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esktop\"/>
    </mc:Choice>
  </mc:AlternateContent>
  <bookViews>
    <workbookView xWindow="0" yWindow="0" windowWidth="21570" windowHeight="8145" tabRatio="920" firstSheet="2" activeTab="2"/>
  </bookViews>
  <sheets>
    <sheet name="Presupuesto Inicial" sheetId="1" r:id="rId1"/>
    <sheet name="Estado de situacion financiera " sheetId="2" r:id="rId2"/>
    <sheet name="Salarios, gastos y costos" sheetId="3" r:id="rId3"/>
    <sheet name="Estado de resultados PyG - 12 m" sheetId="4" r:id="rId4"/>
    <sheet name="Estado de resultados PyG - 5 añ" sheetId="5" r:id="rId5"/>
    <sheet name="Flujo de caja - 5 años" sheetId="6" r:id="rId6"/>
    <sheet name="Flujo de Caja (Profesor) - 5 añ" sheetId="7" r:id="rId7"/>
    <sheet name="Flujo de caja - 12 meses" sheetId="8" r:id="rId8"/>
    <sheet name="VAN y TIR" sheetId="9" r:id="rId9"/>
    <sheet name="Balance General" sheetId="10" r:id="rId10"/>
    <sheet name="Tabla Crecimiento" sheetId="11" r:id="rId11"/>
    <sheet name="Calculo % Rentabilidad" sheetId="12" r:id="rId12"/>
    <sheet name="Análisis metros cuadrados" sheetId="13" r:id="rId13"/>
  </sheets>
  <calcPr calcId="152511"/>
  <fileRecoveryPr repairLoad="1"/>
</workbook>
</file>

<file path=xl/calcChain.xml><?xml version="1.0" encoding="utf-8"?>
<calcChain xmlns="http://schemas.openxmlformats.org/spreadsheetml/2006/main">
  <c r="C4" i="11" l="1"/>
  <c r="C5" i="11"/>
  <c r="C6" i="11"/>
  <c r="C7" i="11"/>
  <c r="C8" i="11"/>
  <c r="C9" i="11"/>
  <c r="C10" i="11"/>
  <c r="C11" i="11"/>
  <c r="C12" i="11"/>
  <c r="C13" i="11"/>
  <c r="C3" i="11"/>
  <c r="C10" i="2"/>
  <c r="D9" i="2"/>
  <c r="E60" i="3"/>
  <c r="E62" i="3" s="1"/>
  <c r="E63" i="3" s="1"/>
  <c r="E61" i="3"/>
  <c r="E49" i="3"/>
  <c r="E50" i="3"/>
  <c r="E51" i="3"/>
  <c r="E52" i="3"/>
  <c r="E56" i="3"/>
  <c r="E59" i="3" s="1"/>
  <c r="J24" i="1"/>
  <c r="J17" i="1"/>
  <c r="I24" i="1"/>
  <c r="I17" i="1"/>
  <c r="I3" i="4"/>
  <c r="E54" i="3" l="1"/>
  <c r="C9" i="8"/>
  <c r="Q9" i="8"/>
  <c r="D23" i="1"/>
  <c r="S10" i="4"/>
  <c r="Q10" i="4"/>
  <c r="O10" i="4"/>
  <c r="M10" i="4"/>
  <c r="K10" i="4"/>
  <c r="I10" i="4"/>
  <c r="F10" i="4"/>
  <c r="C10" i="4"/>
  <c r="G43" i="3"/>
  <c r="G42" i="3"/>
  <c r="G41" i="3"/>
  <c r="G40" i="3"/>
  <c r="G39" i="3"/>
  <c r="E10" i="4" s="1"/>
  <c r="G38" i="3"/>
  <c r="D10" i="4" s="1"/>
  <c r="G37" i="3"/>
  <c r="B3" i="11" l="1"/>
  <c r="K2" i="3"/>
  <c r="D8" i="13" l="1"/>
  <c r="C8" i="13"/>
  <c r="B8" i="13"/>
  <c r="D7" i="13"/>
  <c r="D6" i="13"/>
  <c r="D5" i="13"/>
  <c r="D4" i="13"/>
  <c r="D3" i="13"/>
  <c r="D2" i="13"/>
  <c r="F7" i="12"/>
  <c r="E7" i="12"/>
  <c r="D7" i="12"/>
  <c r="C7" i="12"/>
  <c r="B7" i="12"/>
  <c r="E5" i="12"/>
  <c r="D5" i="12"/>
  <c r="C5" i="12"/>
  <c r="B5" i="12"/>
  <c r="E4" i="12"/>
  <c r="D4" i="12"/>
  <c r="C4" i="12"/>
  <c r="B4" i="12"/>
  <c r="B13" i="11"/>
  <c r="L22" i="7" s="1"/>
  <c r="B12" i="11"/>
  <c r="J22" i="7" s="1"/>
  <c r="B11" i="11"/>
  <c r="B10" i="11"/>
  <c r="B8" i="11"/>
  <c r="B9" i="11" s="1"/>
  <c r="B7" i="11"/>
  <c r="B6" i="11"/>
  <c r="B5" i="11"/>
  <c r="M18" i="4" s="1"/>
  <c r="M3" i="4" s="1"/>
  <c r="B4" i="11"/>
  <c r="K18" i="4" s="1"/>
  <c r="E7" i="10"/>
  <c r="G7" i="10" s="1"/>
  <c r="I7" i="10" s="1"/>
  <c r="K7" i="10" s="1"/>
  <c r="C7" i="10"/>
  <c r="C6" i="10"/>
  <c r="E6" i="10" s="1"/>
  <c r="G6" i="10" s="1"/>
  <c r="I6" i="10" s="1"/>
  <c r="K6" i="10" s="1"/>
  <c r="J9" i="9" a="1"/>
  <c r="H9" i="9" a="1"/>
  <c r="H7" i="9"/>
  <c r="J1" i="9"/>
  <c r="AC11" i="8"/>
  <c r="B11" i="8"/>
  <c r="Q10" i="8"/>
  <c r="P9" i="8" s="1"/>
  <c r="B10" i="8"/>
  <c r="O9" i="8"/>
  <c r="M9" i="8"/>
  <c r="K9" i="8"/>
  <c r="I9" i="8"/>
  <c r="G9" i="8"/>
  <c r="E9" i="8"/>
  <c r="B9" i="8"/>
  <c r="C7" i="8"/>
  <c r="K6" i="8"/>
  <c r="I6" i="8"/>
  <c r="G6" i="8"/>
  <c r="C6" i="8"/>
  <c r="U5" i="8"/>
  <c r="S5" i="8"/>
  <c r="Q5" i="8"/>
  <c r="G5" i="8"/>
  <c r="E5" i="8"/>
  <c r="AA4" i="8"/>
  <c r="U4" i="8"/>
  <c r="E4" i="8"/>
  <c r="C2" i="8"/>
  <c r="B2" i="8" s="1"/>
  <c r="S22" i="7"/>
  <c r="R22" i="7"/>
  <c r="Q22" i="7"/>
  <c r="P22" i="7"/>
  <c r="O22" i="7"/>
  <c r="H22" i="7"/>
  <c r="H13" i="7" s="1"/>
  <c r="F22" i="7"/>
  <c r="F13" i="7" s="1"/>
  <c r="B19" i="7"/>
  <c r="F3" i="7"/>
  <c r="F2" i="7" s="1"/>
  <c r="B11" i="6"/>
  <c r="B10" i="6"/>
  <c r="C9" i="6"/>
  <c r="B9" i="6"/>
  <c r="C7" i="6"/>
  <c r="B7" i="6"/>
  <c r="C6" i="6"/>
  <c r="E5" i="6"/>
  <c r="G5" i="6" s="1"/>
  <c r="I5" i="6" s="1"/>
  <c r="K5" i="6" s="1"/>
  <c r="M5" i="6" s="1"/>
  <c r="C2" i="6"/>
  <c r="B6" i="6" s="1"/>
  <c r="B3" i="6"/>
  <c r="R18" i="5"/>
  <c r="Q18" i="5"/>
  <c r="P18" i="5"/>
  <c r="O18" i="5"/>
  <c r="N18" i="5"/>
  <c r="G18" i="5"/>
  <c r="G3" i="5" s="1"/>
  <c r="E18" i="5"/>
  <c r="E13" i="5" s="1"/>
  <c r="G9" i="5"/>
  <c r="E3" i="5"/>
  <c r="G10" i="6" s="1"/>
  <c r="S18" i="4"/>
  <c r="S3" i="4" s="1"/>
  <c r="AA10" i="8" s="1"/>
  <c r="Q18" i="4"/>
  <c r="O18" i="4"/>
  <c r="O3" i="4" s="1"/>
  <c r="I9" i="4"/>
  <c r="G9" i="4"/>
  <c r="F9" i="4"/>
  <c r="E9" i="4"/>
  <c r="E5" i="4"/>
  <c r="D5" i="4"/>
  <c r="C5" i="4"/>
  <c r="I2" i="4"/>
  <c r="G2" i="4"/>
  <c r="F2" i="4"/>
  <c r="E2" i="4"/>
  <c r="D2" i="4"/>
  <c r="C2" i="4"/>
  <c r="B2" i="4"/>
  <c r="F29" i="3"/>
  <c r="B27" i="3"/>
  <c r="Q3" i="8" s="1"/>
  <c r="N11" i="3"/>
  <c r="K11" i="3"/>
  <c r="Y4" i="8" s="1"/>
  <c r="H11" i="3"/>
  <c r="O6" i="8" s="1"/>
  <c r="E11" i="3"/>
  <c r="C5" i="8" s="1"/>
  <c r="B11" i="3"/>
  <c r="B9" i="2"/>
  <c r="B25" i="1"/>
  <c r="D21" i="1"/>
  <c r="J20" i="1"/>
  <c r="L7" i="7" s="1"/>
  <c r="L17" i="7" s="1"/>
  <c r="B19" i="1"/>
  <c r="B14" i="1"/>
  <c r="B10" i="1"/>
  <c r="B6" i="1"/>
  <c r="B3" i="1"/>
  <c r="B2" i="1"/>
  <c r="B4" i="6" l="1"/>
  <c r="I3" i="8"/>
  <c r="B12" i="3"/>
  <c r="W5" i="8"/>
  <c r="M6" i="8"/>
  <c r="Y5" i="8"/>
  <c r="B5" i="4"/>
  <c r="I5" i="4"/>
  <c r="B18" i="9" s="1"/>
  <c r="G5" i="5"/>
  <c r="K4" i="8"/>
  <c r="K5" i="8"/>
  <c r="AA5" i="8"/>
  <c r="M9" i="4"/>
  <c r="O9" i="4"/>
  <c r="Q9" i="4"/>
  <c r="E4" i="6"/>
  <c r="M4" i="8"/>
  <c r="M5" i="8"/>
  <c r="F5" i="4"/>
  <c r="I5" i="8"/>
  <c r="G5" i="4"/>
  <c r="D9" i="4"/>
  <c r="S4" i="8"/>
  <c r="O5" i="8"/>
  <c r="E6" i="8"/>
  <c r="O7" i="4"/>
  <c r="B2" i="6"/>
  <c r="C12" i="6"/>
  <c r="B5" i="6"/>
  <c r="I7" i="5"/>
  <c r="S7" i="4"/>
  <c r="B8" i="6"/>
  <c r="Q7" i="4"/>
  <c r="K7" i="5"/>
  <c r="D7" i="4"/>
  <c r="E7" i="4"/>
  <c r="C7" i="4"/>
  <c r="F7" i="4"/>
  <c r="G7" i="5"/>
  <c r="I7" i="4"/>
  <c r="H7" i="4" s="1"/>
  <c r="H7" i="7"/>
  <c r="H17" i="7" s="1"/>
  <c r="F7" i="7"/>
  <c r="F17" i="7" s="1"/>
  <c r="K7" i="4"/>
  <c r="J7" i="7"/>
  <c r="J17" i="7" s="1"/>
  <c r="C8" i="10"/>
  <c r="G7" i="4"/>
  <c r="B7" i="4"/>
  <c r="M7" i="4"/>
  <c r="E7" i="5"/>
  <c r="B6" i="8"/>
  <c r="B4" i="8"/>
  <c r="B5" i="8"/>
  <c r="B8" i="8"/>
  <c r="C12" i="8"/>
  <c r="B3" i="8"/>
  <c r="B7" i="8"/>
  <c r="Q6" i="8"/>
  <c r="G13" i="5"/>
  <c r="I18" i="5"/>
  <c r="I9" i="5" s="1"/>
  <c r="K18" i="5"/>
  <c r="K3" i="5" s="1"/>
  <c r="K5" i="5" s="1"/>
  <c r="H3" i="7"/>
  <c r="H2" i="7" s="1"/>
  <c r="G13" i="7" s="1"/>
  <c r="J9" i="7"/>
  <c r="J13" i="7"/>
  <c r="J3" i="7"/>
  <c r="J2" i="7" s="1"/>
  <c r="J5" i="7"/>
  <c r="I5" i="7" s="1"/>
  <c r="J6" i="7"/>
  <c r="AA6" i="8"/>
  <c r="AA9" i="8"/>
  <c r="Z9" i="8" s="1"/>
  <c r="G6" i="6"/>
  <c r="E12" i="10" s="1"/>
  <c r="G9" i="6"/>
  <c r="F9" i="6" s="1"/>
  <c r="U10" i="8"/>
  <c r="M2" i="4"/>
  <c r="L9" i="7"/>
  <c r="L3" i="7"/>
  <c r="L2" i="7" s="1"/>
  <c r="L13" i="7"/>
  <c r="K13" i="7" s="1"/>
  <c r="E18" i="7"/>
  <c r="E17" i="7"/>
  <c r="E7" i="7"/>
  <c r="E12" i="7"/>
  <c r="W10" i="8"/>
  <c r="O2" i="4"/>
  <c r="E13" i="7"/>
  <c r="S5" i="4"/>
  <c r="G4" i="10"/>
  <c r="K3" i="4"/>
  <c r="E2" i="5"/>
  <c r="I6" i="5"/>
  <c r="K3" i="6" s="1"/>
  <c r="I14" i="10" s="1"/>
  <c r="G2" i="5"/>
  <c r="E5" i="5"/>
  <c r="K4" i="6"/>
  <c r="I10" i="6"/>
  <c r="F5" i="7"/>
  <c r="E5" i="7" s="1"/>
  <c r="H9" i="7"/>
  <c r="G9" i="7" s="1"/>
  <c r="E4" i="10"/>
  <c r="M5" i="4"/>
  <c r="I3" i="5"/>
  <c r="S2" i="4"/>
  <c r="I13" i="5"/>
  <c r="O5" i="4"/>
  <c r="H6" i="7"/>
  <c r="G6" i="7" s="1"/>
  <c r="Q3" i="4"/>
  <c r="P10" i="8"/>
  <c r="H13" i="4"/>
  <c r="H12" i="4"/>
  <c r="H10" i="4"/>
  <c r="U3" i="8"/>
  <c r="W3" i="8"/>
  <c r="L6" i="7"/>
  <c r="S3" i="8"/>
  <c r="E6" i="5"/>
  <c r="F6" i="7"/>
  <c r="Y3" i="8"/>
  <c r="AA3" i="8"/>
  <c r="G6" i="5"/>
  <c r="G6" i="4"/>
  <c r="O6" i="4"/>
  <c r="K3" i="8"/>
  <c r="K2" i="8" s="1"/>
  <c r="J4" i="8" s="1"/>
  <c r="M3" i="8"/>
  <c r="I6" i="4"/>
  <c r="B6" i="4"/>
  <c r="C6" i="4"/>
  <c r="C4" i="4" s="1"/>
  <c r="C8" i="4" s="1"/>
  <c r="Q6" i="4"/>
  <c r="E3" i="8"/>
  <c r="E6" i="4"/>
  <c r="G3" i="8"/>
  <c r="O3" i="8"/>
  <c r="K6" i="4"/>
  <c r="S6" i="4"/>
  <c r="D6" i="4"/>
  <c r="D4" i="4" s="1"/>
  <c r="D8" i="4" s="1"/>
  <c r="D11" i="4" s="1"/>
  <c r="D14" i="4" s="1"/>
  <c r="D15" i="4" s="1"/>
  <c r="M6" i="4"/>
  <c r="F6" i="4"/>
  <c r="H9" i="4"/>
  <c r="G4" i="6"/>
  <c r="G4" i="8"/>
  <c r="O4" i="8"/>
  <c r="W4" i="8"/>
  <c r="B9" i="4"/>
  <c r="E9" i="5"/>
  <c r="I4" i="6"/>
  <c r="C9" i="4"/>
  <c r="K9" i="4"/>
  <c r="S9" i="4"/>
  <c r="F9" i="7"/>
  <c r="I4" i="8"/>
  <c r="Q4" i="8"/>
  <c r="F5" i="5" l="1"/>
  <c r="H5" i="4"/>
  <c r="M2" i="8"/>
  <c r="E4" i="4"/>
  <c r="E8" i="4" s="1"/>
  <c r="E11" i="4" s="1"/>
  <c r="E14" i="4" s="1"/>
  <c r="E15" i="4" s="1"/>
  <c r="B4" i="4"/>
  <c r="B8" i="4" s="1"/>
  <c r="F4" i="4"/>
  <c r="F8" i="4" s="1"/>
  <c r="F11" i="4" s="1"/>
  <c r="F14" i="4" s="1"/>
  <c r="F15" i="4" s="1"/>
  <c r="F16" i="4" s="1"/>
  <c r="G4" i="4"/>
  <c r="G8" i="4" s="1"/>
  <c r="G11" i="4" s="1"/>
  <c r="G14" i="4" s="1"/>
  <c r="G15" i="4" s="1"/>
  <c r="E8" i="10"/>
  <c r="C9" i="10"/>
  <c r="B17" i="9"/>
  <c r="B16" i="9" s="1"/>
  <c r="I4" i="4"/>
  <c r="E2" i="8"/>
  <c r="E12" i="8" s="1"/>
  <c r="U3" i="4"/>
  <c r="G7" i="7"/>
  <c r="F10" i="6"/>
  <c r="I6" i="7"/>
  <c r="G17" i="7"/>
  <c r="H5" i="7"/>
  <c r="K13" i="5"/>
  <c r="Z10" i="8"/>
  <c r="N6" i="4"/>
  <c r="G12" i="7"/>
  <c r="M4" i="6"/>
  <c r="K9" i="5"/>
  <c r="K6" i="5"/>
  <c r="M3" i="6" s="1"/>
  <c r="K14" i="10" s="1"/>
  <c r="G18" i="7"/>
  <c r="Q2" i="4"/>
  <c r="P6" i="4" s="1"/>
  <c r="Y10" i="8"/>
  <c r="N10" i="4"/>
  <c r="N9" i="4"/>
  <c r="N13" i="4"/>
  <c r="N7" i="4"/>
  <c r="N12" i="4"/>
  <c r="K6" i="7"/>
  <c r="W6" i="8"/>
  <c r="W9" i="8"/>
  <c r="V9" i="8" s="1"/>
  <c r="N5" i="4"/>
  <c r="K9" i="7"/>
  <c r="L9" i="4"/>
  <c r="L12" i="4"/>
  <c r="L7" i="4"/>
  <c r="L13" i="4"/>
  <c r="L10" i="4"/>
  <c r="J4" i="7"/>
  <c r="J8" i="7" s="1"/>
  <c r="R13" i="4"/>
  <c r="R10" i="4"/>
  <c r="R7" i="4"/>
  <c r="R12" i="4"/>
  <c r="K2" i="4"/>
  <c r="S10" i="8"/>
  <c r="U9" i="8"/>
  <c r="T9" i="8" s="1"/>
  <c r="U6" i="8"/>
  <c r="I18" i="7"/>
  <c r="I7" i="7"/>
  <c r="I17" i="7"/>
  <c r="I12" i="7"/>
  <c r="F9" i="5"/>
  <c r="O4" i="4"/>
  <c r="O8" i="4" s="1"/>
  <c r="I9" i="6"/>
  <c r="H9" i="6" s="1"/>
  <c r="I6" i="6"/>
  <c r="G12" i="10" s="1"/>
  <c r="K10" i="6"/>
  <c r="I2" i="5"/>
  <c r="I4" i="10"/>
  <c r="I13" i="7"/>
  <c r="D7" i="5"/>
  <c r="D12" i="5"/>
  <c r="K4" i="10"/>
  <c r="K2" i="5"/>
  <c r="J5" i="5" s="1"/>
  <c r="M10" i="6"/>
  <c r="I5" i="5"/>
  <c r="K5" i="4"/>
  <c r="J5" i="4" s="1"/>
  <c r="I9" i="7"/>
  <c r="F13" i="5"/>
  <c r="F12" i="5"/>
  <c r="F7" i="5"/>
  <c r="K17" i="7"/>
  <c r="K7" i="7"/>
  <c r="K12" i="7"/>
  <c r="K18" i="7"/>
  <c r="Q5" i="4"/>
  <c r="P5" i="4" s="1"/>
  <c r="K4" i="5"/>
  <c r="L5" i="4"/>
  <c r="D5" i="5"/>
  <c r="R5" i="4"/>
  <c r="L5" i="7"/>
  <c r="D13" i="5"/>
  <c r="F6" i="5"/>
  <c r="G4" i="5"/>
  <c r="I3" i="6"/>
  <c r="G14" i="10" s="1"/>
  <c r="G3" i="6"/>
  <c r="E14" i="10" s="1"/>
  <c r="E4" i="5"/>
  <c r="D6" i="5"/>
  <c r="F4" i="7"/>
  <c r="E6" i="7"/>
  <c r="J8" i="8"/>
  <c r="J7" i="8"/>
  <c r="L4" i="8"/>
  <c r="L5" i="8"/>
  <c r="L6" i="8"/>
  <c r="L2" i="8"/>
  <c r="L8" i="8"/>
  <c r="L7" i="8"/>
  <c r="L3" i="8"/>
  <c r="J6" i="8"/>
  <c r="J5" i="8"/>
  <c r="D16" i="4"/>
  <c r="J2" i="8"/>
  <c r="D4" i="8"/>
  <c r="E16" i="4"/>
  <c r="D8" i="8"/>
  <c r="L6" i="4"/>
  <c r="M4" i="4"/>
  <c r="D3" i="8"/>
  <c r="S4" i="4"/>
  <c r="R6" i="4"/>
  <c r="J6" i="4"/>
  <c r="C11" i="4"/>
  <c r="C14" i="4" s="1"/>
  <c r="C15" i="4" s="1"/>
  <c r="D2" i="8"/>
  <c r="J3" i="8"/>
  <c r="D5" i="8"/>
  <c r="H6" i="4"/>
  <c r="O2" i="8"/>
  <c r="G2" i="8"/>
  <c r="F4" i="8" s="1"/>
  <c r="J9" i="4"/>
  <c r="I2" i="8"/>
  <c r="R9" i="4"/>
  <c r="E9" i="7"/>
  <c r="Q2" i="8"/>
  <c r="D9" i="5"/>
  <c r="D6" i="8" l="1"/>
  <c r="G16" i="4"/>
  <c r="D7" i="8"/>
  <c r="E9" i="10"/>
  <c r="E2" i="10" s="1"/>
  <c r="D4" i="10" s="1"/>
  <c r="G8" i="10"/>
  <c r="T10" i="8"/>
  <c r="I4" i="7"/>
  <c r="H10" i="6"/>
  <c r="V10" i="8"/>
  <c r="K4" i="4"/>
  <c r="J4" i="4" s="1"/>
  <c r="Q4" i="4"/>
  <c r="P4" i="4" s="1"/>
  <c r="U5" i="4"/>
  <c r="D5" i="7" s="1"/>
  <c r="G5" i="7"/>
  <c r="H4" i="7"/>
  <c r="H5" i="5"/>
  <c r="I4" i="5"/>
  <c r="J4" i="5"/>
  <c r="H7" i="5"/>
  <c r="H12" i="5"/>
  <c r="H9" i="5"/>
  <c r="H13" i="5"/>
  <c r="K9" i="6"/>
  <c r="J9" i="6" s="1"/>
  <c r="K6" i="6"/>
  <c r="I12" i="10" s="1"/>
  <c r="D2" i="10"/>
  <c r="D7" i="10"/>
  <c r="C3" i="5"/>
  <c r="D3" i="7"/>
  <c r="D2" i="7" s="1"/>
  <c r="L10" i="6"/>
  <c r="M9" i="6"/>
  <c r="L9" i="6" s="1"/>
  <c r="M6" i="6"/>
  <c r="K12" i="10" s="1"/>
  <c r="J13" i="5"/>
  <c r="H6" i="5"/>
  <c r="S6" i="8"/>
  <c r="S9" i="8"/>
  <c r="Y9" i="8"/>
  <c r="X9" i="8" s="1"/>
  <c r="Y6" i="8"/>
  <c r="J12" i="5"/>
  <c r="J9" i="5"/>
  <c r="J7" i="5"/>
  <c r="J6" i="5"/>
  <c r="K8" i="5"/>
  <c r="U2" i="8"/>
  <c r="T6" i="8" s="1"/>
  <c r="N4" i="4"/>
  <c r="K5" i="7"/>
  <c r="L4" i="7"/>
  <c r="J10" i="4"/>
  <c r="J13" i="4"/>
  <c r="U13" i="4" s="1"/>
  <c r="J12" i="4"/>
  <c r="U12" i="4" s="1"/>
  <c r="J7" i="4"/>
  <c r="U2" i="4"/>
  <c r="P10" i="4"/>
  <c r="P7" i="4"/>
  <c r="P13" i="4"/>
  <c r="P12" i="4"/>
  <c r="P9" i="4"/>
  <c r="U9" i="4" s="1"/>
  <c r="D9" i="7" s="1"/>
  <c r="F8" i="7"/>
  <c r="E4" i="7"/>
  <c r="I8" i="7"/>
  <c r="E8" i="5"/>
  <c r="D4" i="5"/>
  <c r="F4" i="5"/>
  <c r="G8" i="5"/>
  <c r="C16" i="4"/>
  <c r="U6" i="4"/>
  <c r="G12" i="8"/>
  <c r="I12" i="8" s="1"/>
  <c r="K12" i="8" s="1"/>
  <c r="M12" i="8" s="1"/>
  <c r="O12" i="8" s="1"/>
  <c r="Q12" i="8" s="1"/>
  <c r="R4" i="4"/>
  <c r="S8" i="4"/>
  <c r="L4" i="4"/>
  <c r="M8" i="4"/>
  <c r="I8" i="4"/>
  <c r="H4" i="4"/>
  <c r="N8" i="4"/>
  <c r="O11" i="4"/>
  <c r="N5" i="8"/>
  <c r="N2" i="8"/>
  <c r="N8" i="8"/>
  <c r="N7" i="8"/>
  <c r="N3" i="8"/>
  <c r="N6" i="8"/>
  <c r="H7" i="8"/>
  <c r="H6" i="8"/>
  <c r="H3" i="8"/>
  <c r="H8" i="8"/>
  <c r="H2" i="8"/>
  <c r="H5" i="8"/>
  <c r="N4" i="8"/>
  <c r="H4" i="8"/>
  <c r="P8" i="8"/>
  <c r="P6" i="8"/>
  <c r="P3" i="8"/>
  <c r="P7" i="8"/>
  <c r="P5" i="8"/>
  <c r="P2" i="8"/>
  <c r="P4" i="8"/>
  <c r="F5" i="8"/>
  <c r="F2" i="8"/>
  <c r="F7" i="8"/>
  <c r="F8" i="8"/>
  <c r="F6" i="8"/>
  <c r="F3" i="8"/>
  <c r="K8" i="4" l="1"/>
  <c r="D6" i="10"/>
  <c r="D8" i="10"/>
  <c r="D9" i="10"/>
  <c r="G9" i="10"/>
  <c r="I8" i="10"/>
  <c r="D6" i="7"/>
  <c r="C6" i="7" s="1"/>
  <c r="Q8" i="4"/>
  <c r="P8" i="4" s="1"/>
  <c r="C6" i="5"/>
  <c r="E3" i="6" s="1"/>
  <c r="C14" i="10" s="1"/>
  <c r="C5" i="5"/>
  <c r="C9" i="5"/>
  <c r="H8" i="7"/>
  <c r="G8" i="7" s="1"/>
  <c r="G4" i="7"/>
  <c r="X10" i="8"/>
  <c r="S2" i="8"/>
  <c r="R6" i="8" s="1"/>
  <c r="C12" i="7"/>
  <c r="C18" i="7"/>
  <c r="T4" i="8"/>
  <c r="T3" i="8"/>
  <c r="T5" i="8"/>
  <c r="T7" i="8"/>
  <c r="T8" i="8"/>
  <c r="T2" i="8"/>
  <c r="C2" i="5"/>
  <c r="B12" i="5" s="1"/>
  <c r="E10" i="6"/>
  <c r="C4" i="10"/>
  <c r="C2" i="10" s="1"/>
  <c r="J10" i="6"/>
  <c r="I8" i="5"/>
  <c r="H4" i="5"/>
  <c r="U7" i="4"/>
  <c r="Y6" i="4" s="1"/>
  <c r="D13" i="7"/>
  <c r="C13" i="7" s="1"/>
  <c r="C13" i="5"/>
  <c r="J8" i="5"/>
  <c r="U10" i="4"/>
  <c r="R9" i="8"/>
  <c r="AC9" i="8" s="1"/>
  <c r="R10" i="8"/>
  <c r="K4" i="7"/>
  <c r="L8" i="7"/>
  <c r="C5" i="7"/>
  <c r="F8" i="5"/>
  <c r="D8" i="5"/>
  <c r="E8" i="7"/>
  <c r="U4" i="4"/>
  <c r="N11" i="4"/>
  <c r="O14" i="4"/>
  <c r="B11" i="4"/>
  <c r="H8" i="4"/>
  <c r="I11" i="4"/>
  <c r="J8" i="4"/>
  <c r="K11" i="4"/>
  <c r="R8" i="4"/>
  <c r="S11" i="4"/>
  <c r="L8" i="4"/>
  <c r="M11" i="4"/>
  <c r="C9" i="7"/>
  <c r="G2" i="10" l="1"/>
  <c r="F9" i="10" s="1"/>
  <c r="I9" i="10"/>
  <c r="K8" i="10"/>
  <c r="S12" i="8"/>
  <c r="Q11" i="4"/>
  <c r="Q14" i="4" s="1"/>
  <c r="U12" i="8"/>
  <c r="B9" i="5"/>
  <c r="B6" i="5"/>
  <c r="AC10" i="8"/>
  <c r="B5" i="5"/>
  <c r="D7" i="7"/>
  <c r="C7" i="5"/>
  <c r="H8" i="5"/>
  <c r="B4" i="10"/>
  <c r="B7" i="10"/>
  <c r="B6" i="10"/>
  <c r="B8" i="10"/>
  <c r="B9" i="10"/>
  <c r="B2" i="10"/>
  <c r="E6" i="6"/>
  <c r="C12" i="10" s="1"/>
  <c r="E9" i="6"/>
  <c r="D9" i="6" s="1"/>
  <c r="D10" i="6"/>
  <c r="K8" i="7"/>
  <c r="B13" i="5"/>
  <c r="R2" i="8"/>
  <c r="R8" i="8"/>
  <c r="R3" i="8"/>
  <c r="R4" i="8"/>
  <c r="R5" i="8"/>
  <c r="R7" i="8"/>
  <c r="C10" i="5"/>
  <c r="B10" i="5" s="1"/>
  <c r="L10" i="7"/>
  <c r="K10" i="7" s="1"/>
  <c r="F10" i="7"/>
  <c r="J10" i="7"/>
  <c r="K10" i="5"/>
  <c r="E10" i="5"/>
  <c r="H10" i="7"/>
  <c r="G10" i="5"/>
  <c r="I10" i="5"/>
  <c r="D10" i="7"/>
  <c r="C10" i="7" s="1"/>
  <c r="U8" i="4"/>
  <c r="H11" i="4"/>
  <c r="I14" i="4"/>
  <c r="I15" i="4" s="1"/>
  <c r="M14" i="4"/>
  <c r="L11" i="4"/>
  <c r="P11" i="4"/>
  <c r="R11" i="4"/>
  <c r="S14" i="4"/>
  <c r="B14" i="4"/>
  <c r="B15" i="4" s="1"/>
  <c r="K14" i="4"/>
  <c r="J11" i="4"/>
  <c r="N14" i="4"/>
  <c r="O15" i="4"/>
  <c r="K9" i="10" l="1"/>
  <c r="F4" i="10"/>
  <c r="F8" i="10"/>
  <c r="F2" i="10"/>
  <c r="F7" i="10"/>
  <c r="F6" i="10"/>
  <c r="I2" i="10"/>
  <c r="L11" i="7"/>
  <c r="K11" i="7" s="1"/>
  <c r="F10" i="5"/>
  <c r="I7" i="6"/>
  <c r="G15" i="10" s="1"/>
  <c r="G11" i="5"/>
  <c r="D10" i="5"/>
  <c r="G7" i="6"/>
  <c r="E15" i="10" s="1"/>
  <c r="E11" i="5"/>
  <c r="I10" i="7"/>
  <c r="J11" i="7"/>
  <c r="K7" i="6"/>
  <c r="I15" i="10" s="1"/>
  <c r="H10" i="5"/>
  <c r="E10" i="7"/>
  <c r="F11" i="7"/>
  <c r="B7" i="5"/>
  <c r="C4" i="5"/>
  <c r="G10" i="7"/>
  <c r="H11" i="7"/>
  <c r="M7" i="6"/>
  <c r="K15" i="10" s="1"/>
  <c r="J10" i="5"/>
  <c r="K11" i="5"/>
  <c r="I11" i="5"/>
  <c r="E7" i="6"/>
  <c r="C15" i="10" s="1"/>
  <c r="D17" i="7"/>
  <c r="C17" i="7" s="1"/>
  <c r="C7" i="7"/>
  <c r="D4" i="7"/>
  <c r="U11" i="4"/>
  <c r="Q15" i="4"/>
  <c r="Q16" i="4" s="1"/>
  <c r="P16" i="4" s="1"/>
  <c r="P14" i="4"/>
  <c r="K15" i="4"/>
  <c r="J15" i="4" s="1"/>
  <c r="J14" i="4"/>
  <c r="M15" i="4"/>
  <c r="L15" i="4" s="1"/>
  <c r="L14" i="4"/>
  <c r="O16" i="4"/>
  <c r="N16" i="4" s="1"/>
  <c r="W8" i="8"/>
  <c r="N15" i="4"/>
  <c r="S15" i="4"/>
  <c r="S16" i="4" s="1"/>
  <c r="R16" i="4" s="1"/>
  <c r="R14" i="4"/>
  <c r="H14" i="4"/>
  <c r="H15" i="4"/>
  <c r="I16" i="4"/>
  <c r="H16" i="4" s="1"/>
  <c r="H4" i="10" l="1"/>
  <c r="H6" i="10"/>
  <c r="H2" i="10"/>
  <c r="H3" i="10"/>
  <c r="H7" i="10"/>
  <c r="H8" i="10"/>
  <c r="L14" i="7"/>
  <c r="K14" i="7" s="1"/>
  <c r="H9" i="10"/>
  <c r="K2" i="10"/>
  <c r="J9" i="10"/>
  <c r="M16" i="4"/>
  <c r="L16" i="4" s="1"/>
  <c r="K16" i="4"/>
  <c r="J16" i="4" s="1"/>
  <c r="J14" i="7"/>
  <c r="I11" i="7"/>
  <c r="C8" i="5"/>
  <c r="B4" i="5"/>
  <c r="G14" i="5"/>
  <c r="F11" i="5"/>
  <c r="D11" i="5"/>
  <c r="E14" i="5"/>
  <c r="J11" i="5"/>
  <c r="K14" i="5"/>
  <c r="F14" i="7"/>
  <c r="E11" i="7"/>
  <c r="D8" i="7"/>
  <c r="C4" i="7"/>
  <c r="H14" i="7"/>
  <c r="G11" i="7"/>
  <c r="I14" i="5"/>
  <c r="H11" i="5"/>
  <c r="U14" i="4"/>
  <c r="B16" i="4"/>
  <c r="AA8" i="8"/>
  <c r="AA2" i="8" s="1"/>
  <c r="Z2" i="8" s="1"/>
  <c r="R15" i="4"/>
  <c r="W2" i="8"/>
  <c r="V8" i="8" s="1"/>
  <c r="Y8" i="8"/>
  <c r="P15" i="4"/>
  <c r="L15" i="7" l="1"/>
  <c r="K15" i="7" s="1"/>
  <c r="U16" i="4"/>
  <c r="J6" i="10"/>
  <c r="J2" i="10"/>
  <c r="J7" i="10"/>
  <c r="J4" i="10"/>
  <c r="J8" i="10"/>
  <c r="U15" i="4"/>
  <c r="C15" i="5" s="1"/>
  <c r="C8" i="7"/>
  <c r="D11" i="7"/>
  <c r="K15" i="5"/>
  <c r="J14" i="5"/>
  <c r="K16" i="5"/>
  <c r="J16" i="5" s="1"/>
  <c r="H14" i="5"/>
  <c r="I15" i="5"/>
  <c r="F15" i="7"/>
  <c r="E14" i="7"/>
  <c r="B8" i="5"/>
  <c r="C11" i="5"/>
  <c r="E15" i="5"/>
  <c r="D14" i="5"/>
  <c r="E16" i="5"/>
  <c r="D16" i="5" s="1"/>
  <c r="G15" i="5"/>
  <c r="G16" i="5" s="1"/>
  <c r="F16" i="5" s="1"/>
  <c r="F14" i="5"/>
  <c r="G14" i="7"/>
  <c r="H15" i="7"/>
  <c r="G15" i="7" s="1"/>
  <c r="L16" i="7"/>
  <c r="J15" i="7"/>
  <c r="I15" i="7" s="1"/>
  <c r="I14" i="7"/>
  <c r="Z3" i="8"/>
  <c r="Z5" i="8"/>
  <c r="Z6" i="8"/>
  <c r="Z7" i="8"/>
  <c r="Z8" i="8"/>
  <c r="Y2" i="8"/>
  <c r="X8" i="8" s="1"/>
  <c r="Z4" i="8"/>
  <c r="W12" i="8"/>
  <c r="V6" i="8"/>
  <c r="V3" i="8"/>
  <c r="V4" i="8"/>
  <c r="V7" i="8"/>
  <c r="V5" i="8"/>
  <c r="V2" i="8"/>
  <c r="J16" i="7" l="1"/>
  <c r="H16" i="7"/>
  <c r="H19" i="7" s="1"/>
  <c r="D15" i="7"/>
  <c r="C15" i="7" s="1"/>
  <c r="I16" i="7"/>
  <c r="J19" i="7"/>
  <c r="I16" i="5"/>
  <c r="H16" i="5" s="1"/>
  <c r="K8" i="6"/>
  <c r="H15" i="5"/>
  <c r="K16" i="7"/>
  <c r="L19" i="7"/>
  <c r="E15" i="7"/>
  <c r="F16" i="7"/>
  <c r="D15" i="5"/>
  <c r="G8" i="6"/>
  <c r="C14" i="5"/>
  <c r="B14" i="5" s="1"/>
  <c r="B11" i="5"/>
  <c r="M8" i="6"/>
  <c r="J15" i="5"/>
  <c r="F15" i="5"/>
  <c r="I8" i="6"/>
  <c r="D14" i="7"/>
  <c r="C14" i="7" s="1"/>
  <c r="C11" i="7"/>
  <c r="AC8" i="8"/>
  <c r="Y12" i="8"/>
  <c r="AA12" i="8" s="1"/>
  <c r="B15" i="5"/>
  <c r="E8" i="6"/>
  <c r="C20" i="5"/>
  <c r="X7" i="8"/>
  <c r="AC7" i="8" s="1"/>
  <c r="X6" i="8"/>
  <c r="AC6" i="8" s="1"/>
  <c r="X3" i="8"/>
  <c r="AC3" i="8" s="1"/>
  <c r="X2" i="8"/>
  <c r="AC2" i="8" s="1"/>
  <c r="X5" i="8"/>
  <c r="AC5" i="8" s="1"/>
  <c r="X4" i="8"/>
  <c r="AC4" i="8" s="1"/>
  <c r="D24" i="7" l="1"/>
  <c r="G16" i="7"/>
  <c r="AC12" i="8"/>
  <c r="C16" i="5"/>
  <c r="B16" i="5" s="1"/>
  <c r="D16" i="7"/>
  <c r="D19" i="7" s="1"/>
  <c r="K13" i="10"/>
  <c r="M2" i="6"/>
  <c r="K2" i="6"/>
  <c r="J8" i="6" s="1"/>
  <c r="I13" i="10"/>
  <c r="G13" i="10"/>
  <c r="I2" i="6"/>
  <c r="J4" i="9"/>
  <c r="G19" i="7"/>
  <c r="J6" i="9"/>
  <c r="K19" i="7"/>
  <c r="I19" i="7"/>
  <c r="J5" i="9"/>
  <c r="E13" i="10"/>
  <c r="E10" i="10" s="1"/>
  <c r="D15" i="10" s="1"/>
  <c r="G2" i="6"/>
  <c r="E16" i="7"/>
  <c r="F19" i="7"/>
  <c r="C13" i="10"/>
  <c r="C10" i="10" s="1"/>
  <c r="B12" i="10" s="1"/>
  <c r="E2" i="6"/>
  <c r="D8" i="6" s="1"/>
  <c r="C16" i="7"/>
  <c r="F4" i="6" l="1"/>
  <c r="F2" i="6"/>
  <c r="F7" i="6"/>
  <c r="F6" i="6"/>
  <c r="F5" i="6"/>
  <c r="F3" i="6"/>
  <c r="F8" i="6"/>
  <c r="D13" i="10"/>
  <c r="E17" i="10"/>
  <c r="E16" i="10" s="1"/>
  <c r="D16" i="10" s="1"/>
  <c r="D14" i="10"/>
  <c r="J6" i="6"/>
  <c r="J2" i="6"/>
  <c r="J3" i="6"/>
  <c r="J4" i="6"/>
  <c r="J7" i="6"/>
  <c r="J5" i="6"/>
  <c r="H8" i="6"/>
  <c r="H4" i="6"/>
  <c r="H7" i="6"/>
  <c r="H6" i="6"/>
  <c r="H5" i="6"/>
  <c r="H3" i="6"/>
  <c r="H2" i="6"/>
  <c r="G10" i="10"/>
  <c r="D10" i="10"/>
  <c r="I10" i="10"/>
  <c r="H13" i="10" s="1"/>
  <c r="D12" i="10"/>
  <c r="L8" i="6"/>
  <c r="L7" i="6"/>
  <c r="L2" i="6"/>
  <c r="L3" i="6"/>
  <c r="L5" i="6"/>
  <c r="L6" i="6"/>
  <c r="L4" i="6"/>
  <c r="E19" i="7"/>
  <c r="J3" i="9"/>
  <c r="K10" i="10"/>
  <c r="J13" i="10"/>
  <c r="B15" i="10"/>
  <c r="B14" i="10"/>
  <c r="C17" i="10"/>
  <c r="B10" i="10"/>
  <c r="B13" i="10"/>
  <c r="D17" i="10"/>
  <c r="D7" i="6"/>
  <c r="D4" i="6"/>
  <c r="D6" i="6"/>
  <c r="D2" i="6"/>
  <c r="D5" i="6"/>
  <c r="E12" i="6"/>
  <c r="D3" i="6"/>
  <c r="C19" i="7"/>
  <c r="J2" i="9"/>
  <c r="C16" i="10"/>
  <c r="B16" i="10" s="1"/>
  <c r="G17" i="10" l="1"/>
  <c r="F12" i="10"/>
  <c r="F10" i="10"/>
  <c r="F15" i="10"/>
  <c r="F14" i="10"/>
  <c r="H15" i="10"/>
  <c r="H14" i="10"/>
  <c r="H12" i="10"/>
  <c r="I17" i="10"/>
  <c r="H10" i="10"/>
  <c r="J15" i="10"/>
  <c r="J10" i="10"/>
  <c r="K17" i="10"/>
  <c r="J12" i="10"/>
  <c r="J14" i="10"/>
  <c r="F13" i="10"/>
  <c r="H2" i="9"/>
  <c r="B6" i="9"/>
  <c r="G12" i="6"/>
  <c r="B4" i="9"/>
  <c r="M23" i="9"/>
  <c r="M29" i="9"/>
  <c r="M14" i="9"/>
  <c r="M28" i="9"/>
  <c r="M30" i="9"/>
  <c r="M13" i="9"/>
  <c r="M12" i="9"/>
  <c r="M24" i="9"/>
  <c r="M9" i="9"/>
  <c r="J10" i="9"/>
  <c r="M10" i="9"/>
  <c r="M21" i="9"/>
  <c r="J9" i="9"/>
  <c r="M8" i="9"/>
  <c r="M6" i="9"/>
  <c r="M20" i="9"/>
  <c r="M22" i="9"/>
  <c r="M15" i="9"/>
  <c r="M16" i="9"/>
  <c r="M26" i="9"/>
  <c r="M17" i="9"/>
  <c r="M27" i="9"/>
  <c r="M25" i="9"/>
  <c r="M11" i="9"/>
  <c r="M7" i="9"/>
  <c r="M19" i="9"/>
  <c r="M18" i="9"/>
  <c r="B17" i="10"/>
  <c r="K16" i="10" l="1"/>
  <c r="J16" i="10" s="1"/>
  <c r="I16" i="10"/>
  <c r="H16" i="10" s="1"/>
  <c r="G16" i="10"/>
  <c r="F16" i="10" s="1"/>
  <c r="H3" i="9"/>
  <c r="I12" i="6"/>
  <c r="C6" i="9"/>
  <c r="C4" i="9"/>
  <c r="H17" i="10" l="1"/>
  <c r="J17" i="10"/>
  <c r="F17" i="10"/>
  <c r="K12" i="6"/>
  <c r="D6" i="9"/>
  <c r="H4" i="9"/>
  <c r="D4" i="9"/>
  <c r="E4" i="9" l="1"/>
  <c r="H5" i="9"/>
  <c r="M12" i="6"/>
  <c r="E6" i="9"/>
  <c r="F6" i="9" l="1"/>
  <c r="B7" i="9" s="1"/>
  <c r="F4" i="9"/>
  <c r="B5" i="9" s="1"/>
  <c r="H6" i="9"/>
  <c r="H9" i="9" s="1"/>
  <c r="H10" i="9" l="1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<sst xmlns="http://schemas.openxmlformats.org/spreadsheetml/2006/main" count="360" uniqueCount="254">
  <si>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</si>
  <si>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</si>
  <si>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</si>
  <si>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</si>
  <si>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</si>
  <si>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</si>
  <si>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</si>
  <si>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Trámites legales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</si>
  <si>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</si>
  <si>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</si>
  <si>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</si>
  <si>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</si>
  <si>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</si>
  <si>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</si>
  <si>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</si>
  <si>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</si>
  <si>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</si>
  <si>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</si>
  <si>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Energía</t>
  </si>
  <si>
    <t>Servidores</t>
  </si>
  <si>
    <t>Arriendo oficina</t>
  </si>
  <si>
    <t>Papelería</t>
  </si>
  <si>
    <t>Jefe de desarrollo</t>
  </si>
  <si>
    <t>Internet y telefonía</t>
  </si>
  <si>
    <t>Administración</t>
  </si>
  <si>
    <t>Varios oficina</t>
  </si>
  <si>
    <t>Agua y alcantarillado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</si>
  <si>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</si>
  <si>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</si>
  <si>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</si>
  <si>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</si>
  <si>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</si>
  <si>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</si>
  <si>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</si>
  <si>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</si>
  <si>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</si>
  <si>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</si>
  <si>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</si>
  <si>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</si>
  <si>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</si>
  <si>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</si>
  <si>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</si>
  <si>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</si>
  <si>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</si>
  <si>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</si>
  <si>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</si>
  <si>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</si>
  <si>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</si>
  <si>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</si>
  <si>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</si>
  <si>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</si>
  <si>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</si>
  <si>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</si>
  <si>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</si>
  <si>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</si>
  <si>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</si>
  <si>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 xml:space="preserve">Operaciones
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</si>
  <si>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</si>
  <si>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</si>
  <si>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</si>
  <si>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</si>
  <si>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</si>
  <si>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</si>
  <si>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</si>
  <si>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</si>
  <si>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</si>
  <si>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</si>
  <si>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</si>
  <si>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</si>
  <si>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</si>
  <si>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</si>
  <si>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</si>
  <si>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</si>
  <si>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</si>
  <si>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</si>
  <si>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</si>
  <si>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</si>
  <si>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</si>
  <si>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</si>
  <si>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</si>
  <si>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</si>
  <si>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</si>
  <si>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</si>
  <si>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</si>
  <si>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</si>
  <si>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</si>
  <si>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</si>
  <si>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</si>
  <si>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</si>
  <si>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</si>
  <si>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</si>
  <si>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</si>
  <si>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</si>
  <si>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</si>
  <si>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</si>
  <si>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</si>
  <si>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</si>
  <si>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</si>
  <si>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</si>
  <si>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</si>
  <si>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</si>
  <si>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</si>
  <si>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</si>
  <si>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</si>
  <si>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</si>
  <si>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</si>
  <si>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</si>
  <si>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</si>
  <si>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</si>
  <si>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</si>
  <si>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</si>
  <si>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</si>
  <si>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</si>
  <si>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</si>
  <si>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</si>
  <si>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Tasa de rentabilidad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</si>
  <si>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</si>
  <si>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</si>
  <si>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</si>
  <si>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</si>
  <si>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</si>
  <si>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</si>
  <si>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</si>
  <si>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</si>
  <si>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</si>
  <si>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</si>
  <si>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</si>
  <si>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</si>
  <si>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</si>
  <si>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</si>
  <si>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</si>
  <si>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</si>
  <si>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</si>
  <si>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</si>
  <si>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</si>
  <si>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</si>
  <si>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</si>
  <si>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</si>
  <si>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</si>
  <si>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</si>
  <si>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</si>
  <si>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</si>
  <si>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</si>
  <si>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</si>
  <si>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</si>
  <si>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</si>
  <si>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</si>
  <si>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</si>
  <si>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</si>
  <si>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</si>
  <si>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</si>
  <si>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</si>
  <si>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</si>
  <si>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</si>
  <si>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</si>
  <si>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</si>
  <si>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</si>
  <si>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</si>
  <si>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</si>
  <si>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Equipo de oficina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</si>
  <si>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</si>
  <si>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</si>
  <si>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</si>
  <si>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</si>
  <si>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</si>
  <si>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</si>
  <si>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</si>
  <si>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Provedores</t>
  </si>
  <si>
    <t>Impuestos, gravámenes y tasas</t>
  </si>
  <si>
    <t>Obligaciones laborales</t>
  </si>
  <si>
    <t>Otros pasivos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</si>
  <si>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</si>
  <si>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</si>
  <si>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</si>
  <si>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</si>
  <si>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</si>
  <si>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</si>
  <si>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</si>
  <si>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</si>
  <si>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</si>
  <si>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</si>
  <si>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</si>
  <si>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</si>
  <si>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</si>
  <si>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</si>
  <si>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</si>
  <si>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</si>
  <si>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</si>
  <si>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</si>
  <si>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</si>
  <si>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</si>
  <si>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</si>
  <si>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</si>
  <si>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</si>
  <si>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</si>
  <si>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</si>
  <si>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</si>
  <si>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</si>
  <si>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</si>
  <si>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</si>
  <si>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</si>
  <si>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</si>
  <si>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</si>
  <si>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</si>
  <si>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</si>
  <si>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</si>
  <si>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</si>
  <si>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</si>
  <si>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</si>
  <si>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</si>
  <si>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</si>
  <si>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</si>
  <si>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</si>
  <si>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</si>
  <si>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</si>
  <si>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</si>
  <si>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</si>
  <si>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</si>
  <si>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</si>
  <si>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</si>
  <si>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</si>
  <si>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</si>
  <si>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</si>
  <si>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</si>
  <si>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</si>
  <si>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Admon</t>
  </si>
  <si>
    <t>Gastos ventas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</si>
  <si>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</si>
  <si>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</si>
  <si>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</si>
  <si>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</si>
  <si>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</si>
  <si>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</si>
  <si>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</si>
  <si>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</si>
  <si>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</si>
  <si>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</si>
  <si>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</si>
  <si>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</si>
  <si>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</si>
  <si>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</si>
  <si>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</si>
  <si>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</si>
  <si>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</si>
  <si>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</si>
  <si>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</si>
  <si>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Total Costos de Produccion</t>
  </si>
  <si>
    <t>Presupuesto Costos de Operación</t>
  </si>
  <si>
    <t>Tramites Intangibles</t>
  </si>
  <si>
    <t>Operacionales</t>
  </si>
  <si>
    <t>Total Costos de Arranque</t>
  </si>
  <si>
    <t>Costos de arranque</t>
  </si>
  <si>
    <t>Capital pagado</t>
  </si>
  <si>
    <t>Nivel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</si>
</sst>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&quot;$&quot;#,##0.00"/>
    <numFmt numFmtId="165" formatCode="0.0%"/>
    <numFmt numFmtId="178" formatCode="[$$-240A]\ #,##0.00"/>
    <numFmt numFmtId="182" formatCode="[$$-240A]\ #,##0"/>
  </numFmts>
  <fonts count="23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</cellStyleXfs>
  <cellXfs count="15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4" fontId="14" fillId="0" borderId="4" xfId="0" applyNumberFormat="1" applyFont="1" applyBorder="1" applyAlignment="1">
      <alignment horizontal="right"/>
    </xf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4" fillId="0" borderId="0" xfId="0" applyNumberFormat="1" applyFont="1" applyAlignment="1"/>
    <xf numFmtId="4" fontId="15" fillId="2" borderId="0" xfId="0" applyNumberFormat="1" applyFont="1" applyFill="1"/>
    <xf numFmtId="165" fontId="12" fillId="0" borderId="8" xfId="0" applyNumberFormat="1" applyFont="1" applyBorder="1" applyAlignment="1">
      <alignment horizontal="right"/>
    </xf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2" xfId="0" applyNumberFormat="1" applyFont="1" applyBorder="1" applyAlignment="1"/>
    <xf numFmtId="164" fontId="7" fillId="0" borderId="4" xfId="0" applyNumberFormat="1" applyFont="1" applyBorder="1"/>
    <xf numFmtId="164" fontId="7" fillId="0" borderId="3" xfId="0" applyNumberFormat="1" applyFont="1" applyBorder="1"/>
    <xf numFmtId="164" fontId="7" fillId="0" borderId="4" xfId="0" applyNumberFormat="1" applyFont="1" applyBorder="1" applyAlignment="1"/>
    <xf numFmtId="164" fontId="7" fillId="0" borderId="3" xfId="0" applyNumberFormat="1" applyFont="1" applyBorder="1" applyAlignment="1"/>
    <xf numFmtId="164" fontId="1" fillId="0" borderId="2" xfId="0" applyNumberFormat="1" applyFont="1" applyBorder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164" fontId="1" fillId="0" borderId="3" xfId="0" applyNumberFormat="1" applyFont="1" applyBorder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164" fontId="11" fillId="0" borderId="3" xfId="0" applyNumberFormat="1" applyFont="1" applyBorder="1"/>
    <xf numFmtId="0" fontId="10" fillId="0" borderId="4" xfId="0" applyFont="1" applyBorder="1"/>
    <xf numFmtId="165" fontId="16" fillId="0" borderId="2" xfId="0" applyNumberFormat="1" applyFont="1" applyBorder="1" applyAlignment="1"/>
    <xf numFmtId="0" fontId="10" fillId="0" borderId="3" xfId="0" applyFont="1" applyBorder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3" xfId="0" applyFont="1" applyBorder="1"/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1" fillId="0" borderId="2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Font="1" applyBorder="1" applyAlignment="1"/>
    <xf numFmtId="165" fontId="12" fillId="0" borderId="4" xfId="0" applyNumberFormat="1" applyFont="1" applyBorder="1" applyAlignment="1">
      <alignment horizontal="right"/>
    </xf>
    <xf numFmtId="165" fontId="13" fillId="0" borderId="4" xfId="0" applyNumberFormat="1" applyFont="1" applyBorder="1" applyAlignment="1">
      <alignment horizontal="right"/>
    </xf>
    <xf numFmtId="164" fontId="8" fillId="0" borderId="5" xfId="0" applyNumberFormat="1" applyFont="1" applyBorder="1" applyAlignment="1">
      <alignment horizontal="center"/>
    </xf>
    <xf numFmtId="0" fontId="8" fillId="0" borderId="13" xfId="0" applyFont="1" applyBorder="1" applyAlignment="1"/>
    <xf numFmtId="164" fontId="8" fillId="0" borderId="13" xfId="0" applyNumberFormat="1" applyFont="1" applyBorder="1" applyAlignment="1">
      <alignment horizontal="right"/>
    </xf>
    <xf numFmtId="0" fontId="5" fillId="0" borderId="13" xfId="0" applyFont="1" applyBorder="1" applyAlignment="1"/>
    <xf numFmtId="164" fontId="5" fillId="0" borderId="13" xfId="0" applyNumberFormat="1" applyFont="1" applyBorder="1" applyAlignment="1">
      <alignment horizontal="right"/>
    </xf>
    <xf numFmtId="164" fontId="14" fillId="0" borderId="13" xfId="0" applyNumberFormat="1" applyFont="1" applyBorder="1" applyAlignment="1">
      <alignment horizontal="right"/>
    </xf>
    <xf numFmtId="4" fontId="0" fillId="0" borderId="0" xfId="0" applyNumberFormat="1" applyFont="1" applyAlignment="1"/>
    <xf numFmtId="0" fontId="19" fillId="4" borderId="12" xfId="3" applyAlignment="1">
      <alignment horizontal="center"/>
    </xf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>
      <alignment wrapText="1"/>
    </xf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8" fillId="3" borderId="11" xfId="2" applyAlignment="1">
      <alignment horizontal="center" wrapText="1"/>
    </xf>
    <xf numFmtId="0" fontId="0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182" fontId="0" fillId="0" borderId="14" xfId="1" applyNumberFormat="1" applyFont="1" applyBorder="1" applyAlignment="1">
      <alignment horizontal="center"/>
    </xf>
    <xf numFmtId="182" fontId="0" fillId="0" borderId="0" xfId="1" applyNumberFormat="1" applyFont="1" applyAlignment="1">
      <alignment horizontal="center"/>
    </xf>
    <xf numFmtId="182" fontId="0" fillId="0" borderId="0" xfId="0" applyNumberFormat="1" applyFont="1" applyAlignment="1">
      <alignment horizontal="center"/>
    </xf>
    <xf numFmtId="182" fontId="19" fillId="4" borderId="12" xfId="3" applyNumberFormat="1" applyAlignment="1">
      <alignment horizontal="center"/>
    </xf>
    <xf numFmtId="182" fontId="0" fillId="0" borderId="13" xfId="1" applyNumberFormat="1" applyFont="1" applyBorder="1" applyAlignment="1"/>
    <xf numFmtId="182" fontId="22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0" fontId="19" fillId="4" borderId="12" xfId="3"/>
    <xf numFmtId="164" fontId="19" fillId="4" borderId="12" xfId="3" applyNumberFormat="1" applyAlignment="1">
      <alignment horizontal="center"/>
    </xf>
    <xf numFmtId="178" fontId="10" fillId="0" borderId="1" xfId="0" applyNumberFormat="1" applyFont="1" applyBorder="1" applyAlignment="1">
      <alignment horizontal="right"/>
    </xf>
  </cellXfs>
  <cellStyles count="4">
    <cellStyle name="Celda de comprobación" xfId="3" builtinId="23"/>
    <cellStyle name="Moneda" xfId="1" builtinId="4"/>
    <cellStyle name="Normal" xfId="0" builtinId="0"/>
    <cellStyle name="Salida" xfId="2" builtinId="21"/>
  </cellStyles>
  <dxfs count="22">
    <dxf>
      <alignment horizontal="center" vertical="bottom" textRotation="0" wrapText="1" indent="0" justifyLastLine="0" shrinkToFit="0" readingOrder="0"/>
    </dxf>
    <dxf>
      <numFmt numFmtId="182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82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Georgia"/>
              </a:defRPr>
            </a:pPr>
            <a:r>
              <a:rPr lang="es-ES"/>
              <a:t>Gráfica T.I.O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'VAN y TIR'!$L$6:$L$30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</c:numCache>
            </c:numRef>
          </c:cat>
          <c:val>
            <c:numRef>
              <c:f>'VAN y TIR'!$M$6:$M$30</c:f>
              <c:numCache>
                <c:formatCode>"$"#,##0.00</c:formatCode>
                <c:ptCount val="25"/>
                <c:pt idx="0">
                  <c:v>954824699.26281595</c:v>
                </c:pt>
                <c:pt idx="1">
                  <c:v>822345310.6273762</c:v>
                </c:pt>
                <c:pt idx="2">
                  <c:v>716021258.99577498</c:v>
                </c:pt>
                <c:pt idx="3">
                  <c:v>629499877.1274631</c:v>
                </c:pt>
                <c:pt idx="4">
                  <c:v>558200348.98384356</c:v>
                </c:pt>
                <c:pt idx="5">
                  <c:v>498764906.73058271</c:v>
                </c:pt>
                <c:pt idx="6">
                  <c:v>448695005.6928609</c:v>
                </c:pt>
                <c:pt idx="7">
                  <c:v>406105561.06801742</c:v>
                </c:pt>
                <c:pt idx="8">
                  <c:v>369556048.57326913</c:v>
                </c:pt>
                <c:pt idx="9">
                  <c:v>337932569.60613227</c:v>
                </c:pt>
                <c:pt idx="10">
                  <c:v>310364282.79739386</c:v>
                </c:pt>
                <c:pt idx="11">
                  <c:v>286163374.05112779</c:v>
                </c:pt>
                <c:pt idx="12">
                  <c:v>264781384.13013524</c:v>
                </c:pt>
                <c:pt idx="13">
                  <c:v>245777058.02335048</c:v>
                </c:pt>
                <c:pt idx="14">
                  <c:v>228792412.83378732</c:v>
                </c:pt>
                <c:pt idx="15">
                  <c:v>213534737.49442923</c:v>
                </c:pt>
                <c:pt idx="16">
                  <c:v>199762921.46691018</c:v>
                </c:pt>
                <c:pt idx="17">
                  <c:v>187276975.68432191</c:v>
                </c:pt>
                <c:pt idx="18">
                  <c:v>175909930.63703328</c:v>
                </c:pt>
                <c:pt idx="19">
                  <c:v>165521521.03717157</c:v>
                </c:pt>
                <c:pt idx="20">
                  <c:v>155993224.97148955</c:v>
                </c:pt>
                <c:pt idx="21">
                  <c:v>147224338.4616845</c:v>
                </c:pt>
                <c:pt idx="22">
                  <c:v>139128847.73034531</c:v>
                </c:pt>
                <c:pt idx="23">
                  <c:v>131632920.61737844</c:v>
                </c:pt>
                <c:pt idx="24">
                  <c:v>124672881.95885417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532776"/>
        <c:axId val="285533168"/>
      </c:lineChart>
      <c:catAx>
        <c:axId val="285532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>
                    <a:latin typeface="Georgia"/>
                  </a:defRPr>
                </a:pPr>
                <a:r>
                  <a:rPr lang="es-ES"/>
                  <a:t>Tasa de descuento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>
                <a:latin typeface="Georgia"/>
              </a:defRPr>
            </a:pPr>
            <a:endParaRPr lang="es-ES"/>
          </a:p>
        </c:txPr>
        <c:crossAx val="285533168"/>
        <c:crosses val="autoZero"/>
        <c:auto val="1"/>
        <c:lblAlgn val="ctr"/>
        <c:lblOffset val="100"/>
        <c:noMultiLvlLbl val="1"/>
      </c:catAx>
      <c:valAx>
        <c:axId val="285533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Georgia"/>
                  </a:defRPr>
                </a:pPr>
                <a:r>
                  <a:rPr lang="es-ES"/>
                  <a:t>Valor presente neto ($)</a:t>
                </a:r>
              </a:p>
            </c:rich>
          </c:tx>
          <c:layout/>
          <c:overlay val="0"/>
        </c:title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Georgia"/>
              </a:defRPr>
            </a:pPr>
            <a:endParaRPr lang="es-ES"/>
          </a:p>
        </c:txPr>
        <c:crossAx val="28553277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0" totalsRowDxfId="18" headerRowCellStyle="Celda de comprobación">
  <tableColumns count="8">
    <tableColumn id="1" name="Promoción" dataDxfId="17"/>
    <tableColumn id="2" name="Tiempo aproximado de duración" dataDxfId="21" totalsRowDxfId="16"/>
    <tableColumn id="3" name="Objetivo " dataDxfId="20" totalsRowDxfId="15"/>
    <tableColumn id="4" name="Cantidad" dataDxfId="19" totalsRowDxfId="14"/>
    <tableColumn id="5" name="Se requieren" dataDxfId="3" totalsRowDxfId="13"/>
    <tableColumn id="6" name="Costo Unitario" totalsRowLabel="Total" dataDxfId="1" totalsRowDxfId="11" dataCellStyle="Moneda"/>
    <tableColumn id="7" name="Costo total" totalsRowFunction="sum" dataDxfId="2" totalsRowDxfId="10" dataCellStyle="Moneda">
      <calculatedColumnFormula>F37*E37</calculatedColumnFormula>
    </tableColumn>
    <tableColumn id="8" name="Proveedor" dataDxfId="4" totalsRow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banrep.gov.co/es/ipc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A14" sqref="A14:B14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</cols>
  <sheetData>
    <row r="1" spans="1:10" ht="12" customHeight="1" thickTop="1" thickBot="1">
      <c r="A1" s="154" t="s">
        <v>0</v>
      </c>
      <c r="B1" s="154" t="s">
        <v>1</v>
      </c>
      <c r="C1" s="2" t="s">
        <v>2</v>
      </c>
    </row>
    <row r="2" spans="1:10" ht="13.5" thickTop="1">
      <c r="A2" s="5" t="s">
        <v>7</v>
      </c>
      <c r="B2" s="14">
        <f>SUM(B3:B9
)</f>
        <v>116700</v>
      </c>
      <c r="C2" s="3"/>
    </row>
    <row r="3" spans="1:10" ht="12.75">
      <c r="A3" s="7" t="s">
        <v>45</v>
      </c>
      <c r="B3" s="16">
        <f>B25</f>
        <v>51000</v>
      </c>
      <c r="C3" s="4"/>
    </row>
    <row r="4" spans="1:10" ht="12.75">
      <c r="A4" s="7" t="s">
        <v>48</v>
      </c>
      <c r="B4" s="8">
        <v>0</v>
      </c>
      <c r="C4" s="4" t="s">
        <v>49</v>
      </c>
    </row>
    <row r="5" spans="1:10" ht="12.75">
      <c r="A5" s="7" t="s">
        <v>50</v>
      </c>
      <c r="B5" s="8">
        <v>0</v>
      </c>
      <c r="C5" s="3"/>
    </row>
    <row r="6" spans="1:10" ht="12.75">
      <c r="A6" s="7" t="s">
        <v>51</v>
      </c>
      <c r="B6" s="8">
        <f>5400</f>
        <v>5400</v>
      </c>
      <c r="C6" s="4" t="s">
        <v>52</v>
      </c>
    </row>
    <row r="7" spans="1:10" ht="12.75">
      <c r="A7" s="7" t="s">
        <v>53</v>
      </c>
      <c r="B7" s="8">
        <v>0</v>
      </c>
      <c r="C7" s="3"/>
    </row>
    <row r="8" spans="1:10" ht="12.75">
      <c r="A8" s="7" t="s">
        <v>54</v>
      </c>
      <c r="B8" s="8">
        <v>10300</v>
      </c>
      <c r="C8" s="3"/>
    </row>
    <row r="9" spans="1:10" ht="12.75">
      <c r="A9" s="7" t="s">
        <v>55</v>
      </c>
      <c r="B9" s="8">
        <v>50000</v>
      </c>
      <c r="C9" s="3"/>
    </row>
    <row r="10" spans="1:10" ht="12.75">
      <c r="A10" s="5" t="s">
        <v>56</v>
      </c>
      <c r="B10" s="14">
        <f>SUM(B11:B13
)</f>
        <v>3700000</v>
      </c>
      <c r="C10" s="3"/>
    </row>
    <row r="11" spans="1:10" ht="12.75">
      <c r="A11" s="7" t="s">
        <v>60</v>
      </c>
      <c r="B11" s="8">
        <v>200000</v>
      </c>
      <c r="C11" s="4"/>
    </row>
    <row r="12" spans="1:10" ht="22.5">
      <c r="A12" s="102" t="s">
        <v>179</v>
      </c>
      <c r="B12" s="8">
        <v>3000000</v>
      </c>
    </row>
    <row r="13" spans="1:10" ht="12.75">
      <c r="A13" s="7" t="s">
        <v>62</v>
      </c>
      <c r="B13" s="8">
        <v>500000</v>
      </c>
      <c r="C13" s="4"/>
    </row>
    <row r="14" spans="1:10" ht="12.75">
      <c r="A14" s="5" t="s">
        <v>63</v>
      </c>
      <c r="B14" s="14">
        <f>B10+B2</f>
        <v>3816700</v>
      </c>
      <c r="C14" s="3"/>
    </row>
    <row r="15" spans="1:10" ht="12.75"/>
    <row r="16" spans="1:10" ht="12.75">
      <c r="D16" s="3"/>
      <c r="E16" s="3"/>
      <c r="F16" s="3"/>
      <c r="G16" s="4" t="s">
        <v>3</v>
      </c>
      <c r="H16" s="103" t="s">
        <v>4</v>
      </c>
      <c r="I16" s="103" t="s">
        <v>5</v>
      </c>
      <c r="J16" s="4" t="s">
        <v>6</v>
      </c>
    </row>
    <row r="17" spans="1:10" ht="12.75">
      <c r="A17" s="11"/>
      <c r="D17" s="4" t="s">
        <v>28</v>
      </c>
      <c r="E17" s="18">
        <v>1500000</v>
      </c>
      <c r="F17" s="3"/>
      <c r="G17" s="4" t="s">
        <v>37</v>
      </c>
      <c r="H17" s="4">
        <v>5</v>
      </c>
      <c r="I17" s="3">
        <f>H17*12</f>
        <v>60</v>
      </c>
      <c r="J17" s="21">
        <f>SUM(B12,B13)/I17</f>
        <v>58333.333333333336</v>
      </c>
    </row>
    <row r="18" spans="1:10" ht="12.75">
      <c r="A18" s="135" t="s">
        <v>173</v>
      </c>
      <c r="B18" s="153" t="s">
        <v>1</v>
      </c>
      <c r="D18" s="4" t="s">
        <v>44</v>
      </c>
      <c r="E18" s="21">
        <v>975000</v>
      </c>
      <c r="F18" s="3"/>
    </row>
    <row r="19" spans="1:10" ht="15.75" customHeight="1">
      <c r="A19" s="121" t="s">
        <v>174</v>
      </c>
      <c r="B19" s="151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121" t="s">
        <v>175</v>
      </c>
      <c r="B20" s="151">
        <v>4760</v>
      </c>
      <c r="D20" s="11" t="s">
        <v>58</v>
      </c>
      <c r="E20" s="3"/>
      <c r="F20" s="3"/>
      <c r="G20" s="3"/>
      <c r="H20" s="3"/>
      <c r="I20" s="4" t="s">
        <v>47</v>
      </c>
      <c r="J20" s="21">
        <f>SUM(J17:J19
)</f>
        <v>58333.333333333336</v>
      </c>
    </row>
    <row r="21" spans="1:10" ht="15.75" customHeight="1">
      <c r="A21" s="121" t="s">
        <v>175</v>
      </c>
      <c r="B21" s="151">
        <v>2040</v>
      </c>
      <c r="D21" s="25">
        <f>SUM(B12:B13
)</f>
        <v>3500000</v>
      </c>
    </row>
    <row r="22" spans="1:10" ht="15.75" customHeight="1">
      <c r="A22" s="121" t="s">
        <v>176</v>
      </c>
      <c r="B22" s="151">
        <v>39000</v>
      </c>
    </row>
    <row r="23" spans="1:10" ht="15.75" customHeight="1">
      <c r="A23" s="121" t="s">
        <v>177</v>
      </c>
      <c r="B23" s="151">
        <v>-39000</v>
      </c>
      <c r="D23" s="18">
        <f>SUM(B11:B13
)</f>
        <v>3700000</v>
      </c>
    </row>
    <row r="24" spans="1:10" ht="15.75" customHeight="1">
      <c r="A24" s="121" t="s">
        <v>178</v>
      </c>
      <c r="B24" s="151">
        <v>5200</v>
      </c>
      <c r="G24" s="4" t="s">
        <v>37</v>
      </c>
      <c r="H24" s="4">
        <v>1</v>
      </c>
      <c r="I24" s="3">
        <f>H24*12</f>
        <v>12</v>
      </c>
      <c r="J24" s="21">
        <f>SUM($B$12,$B$13)/I24</f>
        <v>291666.66666666669</v>
      </c>
    </row>
    <row r="25" spans="1:10" ht="15.75" customHeight="1">
      <c r="A25" s="135" t="s">
        <v>47</v>
      </c>
      <c r="B25" s="152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131" t="s">
        <v>8</v>
      </c>
      <c r="B2" s="155"/>
      <c r="C2" s="155"/>
      <c r="D2" s="155"/>
    </row>
    <row r="3" spans="1:4" ht="15.75" customHeight="1" thickTop="1">
      <c r="A3" s="104" t="s">
        <v>15</v>
      </c>
      <c r="B3" s="105"/>
      <c r="C3" s="104" t="s">
        <v>16</v>
      </c>
      <c r="D3" s="105"/>
    </row>
    <row r="4" spans="1:4" ht="15.75" customHeight="1">
      <c r="A4" s="106" t="s">
        <v>17</v>
      </c>
      <c r="B4" s="109">
        <v>1500000</v>
      </c>
      <c r="C4" s="19" t="s">
        <v>31</v>
      </c>
      <c r="D4" s="20">
        <v>0</v>
      </c>
    </row>
    <row r="5" spans="1:4" ht="15.75" customHeight="1">
      <c r="A5" s="107"/>
      <c r="B5" s="107"/>
      <c r="C5" s="104" t="s">
        <v>40</v>
      </c>
      <c r="D5" s="105"/>
    </row>
    <row r="6" spans="1:4" ht="15.75" customHeight="1">
      <c r="A6" s="107"/>
      <c r="B6" s="107"/>
      <c r="C6" s="19" t="s">
        <v>41</v>
      </c>
      <c r="D6" s="22">
        <v>1500000</v>
      </c>
    </row>
    <row r="7" spans="1:4" ht="15.75" customHeight="1">
      <c r="A7" s="107"/>
      <c r="B7" s="107"/>
      <c r="C7" s="19" t="s">
        <v>44</v>
      </c>
      <c r="D7" s="22">
        <v>975000</v>
      </c>
    </row>
    <row r="8" spans="1:4" ht="15.75" customHeight="1">
      <c r="A8" s="108"/>
      <c r="B8" s="108"/>
      <c r="C8" s="19" t="s">
        <v>252</v>
      </c>
      <c r="D8" s="22">
        <v>525000</v>
      </c>
    </row>
    <row r="9" spans="1:4" ht="15.75" customHeight="1" thickBot="1">
      <c r="A9" s="23" t="s">
        <v>46</v>
      </c>
      <c r="B9" s="24">
        <f>B4</f>
        <v>1500000</v>
      </c>
      <c r="C9" s="23" t="s">
        <v>57</v>
      </c>
      <c r="D9" s="24">
        <f>B9</f>
        <v>1500000</v>
      </c>
    </row>
    <row r="10" spans="1:4" ht="15.75" customHeight="1" thickTop="1" thickBot="1">
      <c r="A10" s="131" t="s">
        <v>59</v>
      </c>
      <c r="B10" s="155"/>
      <c r="C10" s="156">
        <f>D4+D9</f>
        <v>1500000</v>
      </c>
      <c r="D10" s="155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"/>
  <sheetViews>
    <sheetView tabSelected="1" zoomScale="115" zoomScaleNormal="115" workbookViewId="0">
      <selection activeCell="H2" sqref="H2"/>
    </sheetView>
  </sheetViews>
  <sheetFormatPr baseColWidth="10" defaultColWidth="14.42578125" defaultRowHeight="15.75" customHeight="1"/>
  <cols>
    <col min="1" max="1" width="21.7109375" bestFit="1" customWidth="1"/>
    <col min="3" max="3" width="27.5703125" bestFit="1" customWidth="1"/>
    <col min="4" max="4" width="18.28515625" customWidth="1"/>
    <col min="5" max="5" width="10.42578125" customWidth="1"/>
    <col min="6" max="6" width="13.7109375" customWidth="1"/>
    <col min="7" max="7" width="17.140625" customWidth="1"/>
    <col min="13" max="13" width="17.28515625" customWidth="1"/>
  </cols>
  <sheetData>
    <row r="1" spans="1:14" ht="15.75" customHeight="1">
      <c r="A1" s="110" t="s">
        <v>9</v>
      </c>
      <c r="B1" s="105"/>
      <c r="D1" s="110" t="s">
        <v>10</v>
      </c>
      <c r="E1" s="105"/>
      <c r="G1" s="110" t="s">
        <v>11</v>
      </c>
      <c r="H1" s="105"/>
      <c r="J1" s="110" t="s">
        <v>12</v>
      </c>
      <c r="K1" s="105"/>
      <c r="M1" s="6" t="s">
        <v>13</v>
      </c>
    </row>
    <row r="2" spans="1:14" ht="15.75" customHeight="1">
      <c r="A2" s="7" t="s">
        <v>14</v>
      </c>
      <c r="B2" s="8">
        <v>1600000</v>
      </c>
      <c r="D2" s="9" t="s">
        <v>18</v>
      </c>
      <c r="E2" s="10">
        <v>0</v>
      </c>
      <c r="G2" s="9" t="s">
        <v>19</v>
      </c>
      <c r="H2" s="10">
        <v>60800</v>
      </c>
      <c r="J2" s="9" t="s">
        <v>20</v>
      </c>
      <c r="K2" s="10">
        <f>((279000*0.19)+279000)</f>
        <v>332010</v>
      </c>
      <c r="M2" s="11" t="s">
        <v>21</v>
      </c>
      <c r="N2" s="11">
        <v>20000</v>
      </c>
    </row>
    <row r="3" spans="1:14" ht="15.75" customHeight="1">
      <c r="A3" s="7" t="s">
        <v>22</v>
      </c>
      <c r="B3" s="8">
        <v>2039963</v>
      </c>
      <c r="D3" s="9" t="s">
        <v>23</v>
      </c>
      <c r="E3" s="10">
        <v>0</v>
      </c>
      <c r="G3" s="9"/>
      <c r="H3" s="10"/>
      <c r="J3" s="9" t="s">
        <v>24</v>
      </c>
      <c r="K3" s="10">
        <v>0</v>
      </c>
      <c r="M3" s="11" t="s">
        <v>25</v>
      </c>
      <c r="N3" s="11">
        <v>10000</v>
      </c>
    </row>
    <row r="4" spans="1:14" ht="15.75" customHeight="1">
      <c r="A4" s="7" t="s">
        <v>27</v>
      </c>
      <c r="B4" s="8">
        <v>200000</v>
      </c>
      <c r="D4" s="9" t="s">
        <v>26</v>
      </c>
      <c r="E4" s="10">
        <v>0</v>
      </c>
      <c r="G4" s="12"/>
      <c r="H4" s="13"/>
      <c r="J4" s="12"/>
      <c r="K4" s="13"/>
    </row>
    <row r="5" spans="1:14" ht="15.75" customHeight="1">
      <c r="A5" s="7" t="s">
        <v>180</v>
      </c>
      <c r="B5" s="8">
        <v>1416857</v>
      </c>
      <c r="D5" s="12"/>
      <c r="E5" s="13"/>
      <c r="G5" s="12"/>
      <c r="H5" s="13"/>
      <c r="J5" s="12"/>
      <c r="K5" s="13"/>
    </row>
    <row r="6" spans="1:14" ht="15.75" customHeight="1">
      <c r="A6" s="7" t="s">
        <v>181</v>
      </c>
      <c r="B6" s="8">
        <v>1244703</v>
      </c>
      <c r="D6" s="12"/>
      <c r="E6" s="13"/>
      <c r="G6" s="12"/>
      <c r="H6" s="13"/>
      <c r="J6" s="12"/>
      <c r="K6" s="13"/>
    </row>
    <row r="7" spans="1:14" ht="15.75" customHeight="1">
      <c r="A7" s="7" t="s">
        <v>182</v>
      </c>
      <c r="B7" s="8">
        <v>1244703</v>
      </c>
      <c r="D7" s="12"/>
      <c r="E7" s="13"/>
      <c r="G7" s="12"/>
      <c r="H7" s="13"/>
      <c r="J7" s="12"/>
      <c r="K7" s="13"/>
    </row>
    <row r="8" spans="1:14" ht="15.75" customHeight="1">
      <c r="A8" s="7"/>
      <c r="B8" s="8"/>
      <c r="D8" s="12"/>
      <c r="E8" s="13"/>
      <c r="G8" s="12"/>
      <c r="H8" s="13"/>
      <c r="J8" s="12"/>
      <c r="K8" s="13"/>
    </row>
    <row r="9" spans="1:14" ht="15.75" customHeight="1">
      <c r="A9" s="15"/>
      <c r="B9" s="16"/>
      <c r="D9" s="12"/>
      <c r="E9" s="13"/>
      <c r="G9" s="12"/>
      <c r="H9" s="13"/>
      <c r="J9" s="12"/>
      <c r="K9" s="13"/>
    </row>
    <row r="10" spans="1:14" ht="15.75" customHeight="1">
      <c r="A10" s="15"/>
      <c r="B10" s="16"/>
      <c r="D10" s="12"/>
      <c r="E10" s="13"/>
      <c r="G10" s="12"/>
      <c r="H10" s="13"/>
      <c r="J10" s="12"/>
      <c r="K10" s="13"/>
    </row>
    <row r="11" spans="1:14" ht="15.75" customHeight="1">
      <c r="A11" s="5" t="s">
        <v>229</v>
      </c>
      <c r="B11" s="16">
        <f>SUM(B2:B10)</f>
        <v>7746226</v>
      </c>
      <c r="D11" s="1" t="s">
        <v>30</v>
      </c>
      <c r="E11" s="17">
        <f>SUM(E2:E10)</f>
        <v>0</v>
      </c>
      <c r="G11" s="1" t="s">
        <v>32</v>
      </c>
      <c r="H11" s="17">
        <f>SUM(H2:H10)</f>
        <v>60800</v>
      </c>
      <c r="J11" s="1" t="s">
        <v>33</v>
      </c>
      <c r="K11" s="17">
        <f>SUM(K2:K10)</f>
        <v>332010</v>
      </c>
      <c r="M11" s="6" t="s">
        <v>34</v>
      </c>
      <c r="N11">
        <f>SUM(N2:N10)</f>
        <v>30000</v>
      </c>
    </row>
    <row r="12" spans="1:14" ht="15.75" customHeight="1">
      <c r="A12" s="137" t="s">
        <v>230</v>
      </c>
      <c r="B12" s="16">
        <f>B11*12</f>
        <v>92954712</v>
      </c>
    </row>
    <row r="13" spans="1:14" ht="15.75" customHeight="1">
      <c r="A13" s="11" t="s">
        <v>35</v>
      </c>
      <c r="B13" s="11">
        <v>100</v>
      </c>
    </row>
    <row r="17" spans="1:6" ht="15.75" customHeight="1">
      <c r="A17" s="110" t="s">
        <v>36</v>
      </c>
      <c r="B17" s="105"/>
      <c r="E17" s="11" t="s">
        <v>38</v>
      </c>
      <c r="F17" s="11" t="s">
        <v>39</v>
      </c>
    </row>
    <row r="18" spans="1:6" ht="15.75" customHeight="1">
      <c r="A18" s="7" t="s">
        <v>14</v>
      </c>
      <c r="B18" s="8">
        <v>1600000</v>
      </c>
      <c r="E18" s="11">
        <v>2006</v>
      </c>
      <c r="F18" s="11">
        <v>4.4800000000000004</v>
      </c>
    </row>
    <row r="19" spans="1:6" ht="15.75" customHeight="1">
      <c r="A19" s="7" t="s">
        <v>22</v>
      </c>
      <c r="B19" s="8">
        <v>2039963</v>
      </c>
      <c r="E19" s="11">
        <v>2007</v>
      </c>
      <c r="F19" s="11">
        <v>5.69</v>
      </c>
    </row>
    <row r="20" spans="1:6" ht="15.75" customHeight="1">
      <c r="A20" s="7" t="s">
        <v>27</v>
      </c>
      <c r="B20" s="8">
        <v>200000</v>
      </c>
      <c r="E20" s="11">
        <v>2008</v>
      </c>
      <c r="F20" s="11">
        <v>7.67</v>
      </c>
    </row>
    <row r="21" spans="1:6" ht="15.75" customHeight="1">
      <c r="A21" s="7" t="s">
        <v>180</v>
      </c>
      <c r="B21" s="8">
        <v>1416857</v>
      </c>
      <c r="E21" s="11">
        <v>2009</v>
      </c>
      <c r="F21" s="11">
        <v>2</v>
      </c>
    </row>
    <row r="22" spans="1:6" ht="15.75" customHeight="1">
      <c r="A22" s="7" t="s">
        <v>181</v>
      </c>
      <c r="B22" s="8">
        <v>1244703</v>
      </c>
      <c r="E22" s="11">
        <v>2010</v>
      </c>
      <c r="F22" s="11">
        <v>3.17</v>
      </c>
    </row>
    <row r="23" spans="1:6" ht="15.75" customHeight="1">
      <c r="A23" s="7" t="s">
        <v>182</v>
      </c>
      <c r="B23" s="8">
        <v>1244703</v>
      </c>
      <c r="E23" s="11">
        <v>2011</v>
      </c>
      <c r="F23" s="11">
        <v>3.73</v>
      </c>
    </row>
    <row r="24" spans="1:6" ht="15.75" customHeight="1">
      <c r="A24" s="7"/>
      <c r="B24" s="8"/>
      <c r="E24" s="11">
        <v>2012</v>
      </c>
      <c r="F24" s="11">
        <v>2.44</v>
      </c>
    </row>
    <row r="25" spans="1:6" ht="12.75">
      <c r="A25" s="15"/>
      <c r="B25" s="16"/>
      <c r="E25" s="11">
        <v>2013</v>
      </c>
      <c r="F25" s="11">
        <v>1.94</v>
      </c>
    </row>
    <row r="26" spans="1:6" ht="12.75">
      <c r="A26" s="15"/>
      <c r="B26" s="16"/>
      <c r="E26" s="11">
        <v>2014</v>
      </c>
      <c r="F26" s="11">
        <v>3.66</v>
      </c>
    </row>
    <row r="27" spans="1:6" ht="12.75">
      <c r="A27" s="5" t="s">
        <v>29</v>
      </c>
      <c r="B27" s="16">
        <f>SUM(B18:B26)</f>
        <v>7746226</v>
      </c>
      <c r="E27" s="11">
        <v>2015</v>
      </c>
      <c r="F27" s="11">
        <v>6.77</v>
      </c>
    </row>
    <row r="28" spans="1:6" ht="12.75">
      <c r="E28" s="11">
        <v>2016</v>
      </c>
      <c r="F28" s="11">
        <v>5.75</v>
      </c>
    </row>
    <row r="29" spans="1:6" ht="12.75">
      <c r="F29">
        <f>AVERAGE(F18:F28)</f>
        <v>4.3000000000000007</v>
      </c>
    </row>
    <row r="31" spans="1:6" ht="41.25" customHeight="1">
      <c r="E31" s="11" t="s">
        <v>42</v>
      </c>
      <c r="F31" s="136" t="s">
        <v>43</v>
      </c>
    </row>
    <row r="33" spans="1:8" ht="15.75" customHeight="1" thickBot="1"/>
    <row r="34" spans="1:8" ht="15.75" customHeight="1" thickTop="1" thickBot="1">
      <c r="A34" s="131" t="s">
        <v>228</v>
      </c>
      <c r="B34" s="131"/>
      <c r="C34" s="131"/>
      <c r="D34" s="131"/>
      <c r="E34" s="131"/>
      <c r="F34" s="131"/>
      <c r="G34" s="131"/>
      <c r="H34" s="131"/>
    </row>
    <row r="35" spans="1:8" ht="15.75" customHeight="1" thickTop="1" thickBot="1">
      <c r="A35" s="120"/>
      <c r="B35" s="120"/>
      <c r="C35" s="120"/>
      <c r="D35" s="120"/>
      <c r="E35" s="120"/>
      <c r="F35" s="120"/>
      <c r="G35" s="120"/>
      <c r="H35" s="120"/>
    </row>
    <row r="36" spans="1:8" ht="46.5" customHeight="1" thickTop="1" thickBot="1">
      <c r="A36" s="150" t="s">
        <v>194</v>
      </c>
      <c r="B36" s="150" t="s">
        <v>195</v>
      </c>
      <c r="C36" s="150" t="s">
        <v>196</v>
      </c>
      <c r="D36" s="150" t="s">
        <v>197</v>
      </c>
      <c r="E36" s="150" t="s">
        <v>198</v>
      </c>
      <c r="F36" s="150" t="s">
        <v>199</v>
      </c>
      <c r="G36" s="150" t="s">
        <v>200</v>
      </c>
      <c r="H36" s="150" t="s">
        <v>201</v>
      </c>
    </row>
    <row r="37" spans="1:8" ht="15.75" customHeight="1" thickTop="1">
      <c r="A37" s="121" t="s">
        <v>202</v>
      </c>
      <c r="B37" s="121" t="s">
        <v>203</v>
      </c>
      <c r="C37" s="121" t="s">
        <v>204</v>
      </c>
      <c r="D37" s="121" t="s">
        <v>205</v>
      </c>
      <c r="E37" s="121">
        <v>2</v>
      </c>
      <c r="F37" s="148">
        <v>55000</v>
      </c>
      <c r="G37" s="148">
        <f>F37*E37</f>
        <v>110000</v>
      </c>
      <c r="H37" s="121" t="s">
        <v>206</v>
      </c>
    </row>
    <row r="38" spans="1:8" ht="15.75" customHeight="1">
      <c r="A38" s="121" t="s">
        <v>207</v>
      </c>
      <c r="B38" s="121" t="s">
        <v>203</v>
      </c>
      <c r="C38" s="121" t="s">
        <v>208</v>
      </c>
      <c r="D38" s="121" t="s">
        <v>209</v>
      </c>
      <c r="E38" s="121">
        <v>1</v>
      </c>
      <c r="F38" s="148">
        <v>140000</v>
      </c>
      <c r="G38" s="148">
        <f t="shared" ref="G38:G42" si="0">F38*E38</f>
        <v>140000</v>
      </c>
      <c r="H38" s="121" t="s">
        <v>206</v>
      </c>
    </row>
    <row r="39" spans="1:8" ht="15.75" customHeight="1">
      <c r="A39" s="121" t="s">
        <v>210</v>
      </c>
      <c r="B39" s="121" t="s">
        <v>203</v>
      </c>
      <c r="C39" s="121" t="s">
        <v>208</v>
      </c>
      <c r="D39" s="121" t="s">
        <v>211</v>
      </c>
      <c r="E39" s="121">
        <v>1</v>
      </c>
      <c r="F39" s="148">
        <v>40000</v>
      </c>
      <c r="G39" s="148">
        <f t="shared" si="0"/>
        <v>40000</v>
      </c>
      <c r="H39" s="121" t="s">
        <v>206</v>
      </c>
    </row>
    <row r="40" spans="1:8" ht="15.75" customHeight="1">
      <c r="A40" s="121" t="s">
        <v>212</v>
      </c>
      <c r="B40" s="121" t="s">
        <v>213</v>
      </c>
      <c r="C40" s="121" t="s">
        <v>208</v>
      </c>
      <c r="D40" s="121" t="s">
        <v>214</v>
      </c>
      <c r="E40" s="121">
        <v>1</v>
      </c>
      <c r="F40" s="148">
        <v>40000</v>
      </c>
      <c r="G40" s="148">
        <f t="shared" si="0"/>
        <v>40000</v>
      </c>
      <c r="H40" s="121" t="s">
        <v>206</v>
      </c>
    </row>
    <row r="41" spans="1:8" ht="15.75" customHeight="1">
      <c r="A41" s="121" t="s">
        <v>215</v>
      </c>
      <c r="B41" s="121" t="s">
        <v>216</v>
      </c>
      <c r="C41" s="121" t="s">
        <v>217</v>
      </c>
      <c r="D41" s="121" t="s">
        <v>218</v>
      </c>
      <c r="E41" s="121">
        <v>7</v>
      </c>
      <c r="F41" s="148">
        <v>485000</v>
      </c>
      <c r="G41" s="148">
        <f t="shared" si="0"/>
        <v>3395000</v>
      </c>
      <c r="H41" s="121" t="s">
        <v>215</v>
      </c>
    </row>
    <row r="42" spans="1:8" ht="15.75" customHeight="1">
      <c r="A42" s="121" t="s">
        <v>219</v>
      </c>
      <c r="B42" s="121" t="s">
        <v>216</v>
      </c>
      <c r="C42" s="121" t="s">
        <v>217</v>
      </c>
      <c r="D42" s="121" t="s">
        <v>220</v>
      </c>
      <c r="E42" s="121">
        <v>7</v>
      </c>
      <c r="F42" s="148">
        <v>80000</v>
      </c>
      <c r="G42" s="148">
        <f t="shared" si="0"/>
        <v>560000</v>
      </c>
      <c r="H42" s="121" t="s">
        <v>221</v>
      </c>
    </row>
    <row r="43" spans="1:8" ht="15.75" customHeight="1">
      <c r="B43" s="132"/>
      <c r="C43" s="132"/>
      <c r="D43" s="132"/>
      <c r="E43" s="132"/>
      <c r="F43" s="134" t="s">
        <v>222</v>
      </c>
      <c r="G43" s="149">
        <f>SUBTOTAL(109,PUBLICIDAD[Costo total])</f>
        <v>4285000</v>
      </c>
      <c r="H43" s="133"/>
    </row>
    <row r="45" spans="1:8" ht="15.75" customHeight="1" thickBot="1"/>
    <row r="46" spans="1:8" ht="15.75" customHeight="1" thickTop="1" thickBot="1">
      <c r="A46" s="131" t="s">
        <v>247</v>
      </c>
      <c r="B46" s="131"/>
      <c r="C46" s="131"/>
      <c r="D46" s="131"/>
      <c r="E46" s="131"/>
      <c r="F46" s="131"/>
    </row>
    <row r="47" spans="1:8" ht="15.75" customHeight="1" thickTop="1">
      <c r="A47" s="141" t="s">
        <v>231</v>
      </c>
      <c r="B47" s="141"/>
      <c r="C47" s="141"/>
      <c r="D47" s="141"/>
      <c r="E47" s="141" t="s">
        <v>76</v>
      </c>
      <c r="F47" s="141"/>
    </row>
    <row r="48" spans="1:8" ht="15.75" customHeight="1">
      <c r="A48" s="139" t="s">
        <v>239</v>
      </c>
      <c r="B48" s="140"/>
      <c r="C48" s="138" t="s">
        <v>232</v>
      </c>
      <c r="D48" s="119"/>
      <c r="E48" s="146">
        <v>0</v>
      </c>
      <c r="F48" s="146"/>
    </row>
    <row r="49" spans="1:6" ht="15.75" customHeight="1">
      <c r="A49" s="140"/>
      <c r="B49" s="140"/>
      <c r="C49" s="138" t="s">
        <v>233</v>
      </c>
      <c r="D49" s="119"/>
      <c r="E49" s="146">
        <f>B2*12</f>
        <v>19200000</v>
      </c>
      <c r="F49" s="146"/>
    </row>
    <row r="50" spans="1:6" ht="15.75" customHeight="1">
      <c r="A50" s="140"/>
      <c r="B50" s="140"/>
      <c r="C50" s="138" t="s">
        <v>234</v>
      </c>
      <c r="D50" s="119"/>
      <c r="E50" s="146">
        <f>(B19+B22)*12</f>
        <v>39415992</v>
      </c>
      <c r="F50" s="146"/>
    </row>
    <row r="51" spans="1:6" ht="15.75" customHeight="1">
      <c r="A51" s="140"/>
      <c r="B51" s="140"/>
      <c r="C51" s="138" t="s">
        <v>235</v>
      </c>
      <c r="D51" s="138"/>
      <c r="E51" s="146">
        <f>B4*12</f>
        <v>2400000</v>
      </c>
      <c r="F51" s="146"/>
    </row>
    <row r="52" spans="1:6" ht="15.75" customHeight="1">
      <c r="A52" s="140"/>
      <c r="B52" s="140"/>
      <c r="C52" s="138" t="s">
        <v>236</v>
      </c>
      <c r="D52" s="119"/>
      <c r="E52" s="146">
        <f>(B21+B23)*12</f>
        <v>31938720</v>
      </c>
      <c r="F52" s="146"/>
    </row>
    <row r="53" spans="1:6" ht="15.75" customHeight="1" thickBot="1">
      <c r="A53" s="140"/>
      <c r="B53" s="140"/>
      <c r="C53" s="138" t="s">
        <v>237</v>
      </c>
      <c r="D53" s="119"/>
      <c r="E53" s="146">
        <v>0</v>
      </c>
      <c r="F53" s="146"/>
    </row>
    <row r="54" spans="1:6" ht="15.75" customHeight="1" thickTop="1" thickBot="1">
      <c r="A54" s="140"/>
      <c r="B54" s="140"/>
      <c r="C54" s="131" t="s">
        <v>238</v>
      </c>
      <c r="D54" s="131"/>
      <c r="E54" s="147">
        <f>SUM(E48:F53)</f>
        <v>92954712</v>
      </c>
      <c r="F54" s="147"/>
    </row>
    <row r="55" spans="1:6" ht="15.75" customHeight="1" thickTop="1">
      <c r="A55" s="139" t="s">
        <v>245</v>
      </c>
      <c r="B55" s="140"/>
      <c r="C55" s="143" t="s">
        <v>240</v>
      </c>
      <c r="D55" s="142"/>
      <c r="E55" s="144">
        <v>0</v>
      </c>
      <c r="F55" s="144"/>
    </row>
    <row r="56" spans="1:6" ht="15.75" customHeight="1">
      <c r="A56" s="140"/>
      <c r="B56" s="140"/>
      <c r="C56" s="138" t="s">
        <v>241</v>
      </c>
      <c r="D56" s="119"/>
      <c r="E56" s="145">
        <f>'Presupuesto Inicial'!J20</f>
        <v>58333.333333333336</v>
      </c>
      <c r="F56" s="145"/>
    </row>
    <row r="57" spans="1:6" ht="15.75" customHeight="1">
      <c r="A57" s="140"/>
      <c r="B57" s="140"/>
      <c r="C57" s="138" t="s">
        <v>242</v>
      </c>
      <c r="D57" s="119"/>
      <c r="E57" s="145">
        <v>0</v>
      </c>
      <c r="F57" s="145"/>
    </row>
    <row r="58" spans="1:6" ht="15.75" customHeight="1" thickBot="1">
      <c r="A58" s="140"/>
      <c r="B58" s="140"/>
      <c r="C58" s="138" t="s">
        <v>243</v>
      </c>
      <c r="D58" s="119"/>
      <c r="E58" s="145">
        <v>0</v>
      </c>
      <c r="F58" s="145"/>
    </row>
    <row r="59" spans="1:6" ht="15.75" customHeight="1" thickTop="1" thickBot="1">
      <c r="A59" s="140"/>
      <c r="B59" s="140"/>
      <c r="C59" s="131" t="s">
        <v>244</v>
      </c>
      <c r="D59" s="131"/>
      <c r="E59" s="147">
        <f>SUM(E55:F58)</f>
        <v>58333.333333333336</v>
      </c>
      <c r="F59" s="131"/>
    </row>
    <row r="60" spans="1:6" ht="15.75" customHeight="1" thickTop="1">
      <c r="A60" s="138" t="s">
        <v>251</v>
      </c>
      <c r="B60" s="138"/>
      <c r="C60" s="143" t="s">
        <v>249</v>
      </c>
      <c r="D60" s="143"/>
      <c r="E60" s="144">
        <f>('Presupuesto Inicial'!B12+'Presupuesto Inicial'!B13)+('Presupuesto Inicial'!B11*6)+('Salarios, gastos y costos'!K11*6)</f>
        <v>6692060</v>
      </c>
      <c r="F60" s="144"/>
    </row>
    <row r="61" spans="1:6" ht="15.75" customHeight="1" thickBot="1">
      <c r="A61" s="138"/>
      <c r="B61" s="138"/>
      <c r="C61" s="138" t="s">
        <v>248</v>
      </c>
      <c r="D61" s="138"/>
      <c r="E61" s="145">
        <f>'Presupuesto Inicial'!B2</f>
        <v>116700</v>
      </c>
      <c r="F61" s="145"/>
    </row>
    <row r="62" spans="1:6" ht="15.75" customHeight="1" thickTop="1" thickBot="1">
      <c r="A62" s="138"/>
      <c r="B62" s="138"/>
      <c r="C62" s="131" t="s">
        <v>250</v>
      </c>
      <c r="D62" s="131"/>
      <c r="E62" s="147">
        <f>E60+E61</f>
        <v>6808760</v>
      </c>
      <c r="F62" s="147"/>
    </row>
    <row r="63" spans="1:6" ht="15.75" customHeight="1" thickTop="1" thickBot="1">
      <c r="A63" s="131" t="s">
        <v>246</v>
      </c>
      <c r="B63" s="131"/>
      <c r="C63" s="131"/>
      <c r="D63" s="131"/>
      <c r="E63" s="147">
        <f>E54+E59+E62</f>
        <v>99821805.333333328</v>
      </c>
      <c r="F63" s="147"/>
    </row>
    <row r="64" spans="1:6" ht="15.75" customHeight="1" thickTop="1"/>
  </sheetData>
  <mergeCells count="45"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  <mergeCell ref="C57:D57"/>
    <mergeCell ref="C58:D58"/>
    <mergeCell ref="C59:D59"/>
    <mergeCell ref="E55:F55"/>
    <mergeCell ref="E56:F56"/>
    <mergeCell ref="E57:F57"/>
    <mergeCell ref="E58:F58"/>
    <mergeCell ref="E59:F59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E51:F51"/>
    <mergeCell ref="E52:F52"/>
    <mergeCell ref="A34:H34"/>
    <mergeCell ref="A35:H35"/>
    <mergeCell ref="A47:D47"/>
    <mergeCell ref="E47:F47"/>
    <mergeCell ref="A46:F46"/>
    <mergeCell ref="A1:B1"/>
    <mergeCell ref="A17:B17"/>
    <mergeCell ref="D1:E1"/>
    <mergeCell ref="G1:H1"/>
    <mergeCell ref="J1:K1"/>
  </mergeCells>
  <hyperlinks>
    <hyperlink ref="F31" r:id="rId1"/>
  </hyperlinks>
  <pageMargins left="0.7" right="0.7" top="0.75" bottom="0.75" header="0.3" footer="0.3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opLeftCell="E1" zoomScale="145" zoomScaleNormal="145" workbookViewId="0">
      <selection activeCell="E30" sqref="E30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8" max="8" width="7.85546875" customWidth="1"/>
    <col min="10" max="10" width="8" customWidth="1"/>
    <col min="12" max="12" width="8.28515625" customWidth="1"/>
    <col min="14" max="14" width="8.28515625" customWidth="1"/>
    <col min="16" max="16" width="7.42578125" customWidth="1"/>
    <col min="18" max="18" width="8.28515625" customWidth="1"/>
    <col min="21" max="21" width="15.42578125" bestFit="1" customWidth="1"/>
    <col min="24" max="24" width="35.85546875" bestFit="1" customWidth="1"/>
  </cols>
  <sheetData>
    <row r="1" spans="1:25" ht="12.75">
      <c r="A1" s="26"/>
      <c r="B1" s="124" t="s">
        <v>61</v>
      </c>
      <c r="C1" s="124" t="s">
        <v>64</v>
      </c>
      <c r="D1" s="124" t="s">
        <v>65</v>
      </c>
      <c r="E1" s="124" t="s">
        <v>66</v>
      </c>
      <c r="F1" s="124" t="s">
        <v>67</v>
      </c>
      <c r="G1" s="124" t="s">
        <v>68</v>
      </c>
      <c r="H1" s="111" t="s">
        <v>69</v>
      </c>
      <c r="I1" s="105"/>
      <c r="J1" s="111" t="s">
        <v>70</v>
      </c>
      <c r="K1" s="105"/>
      <c r="L1" s="111" t="s">
        <v>71</v>
      </c>
      <c r="M1" s="105"/>
      <c r="N1" s="111" t="s">
        <v>72</v>
      </c>
      <c r="O1" s="105"/>
      <c r="P1" s="111" t="s">
        <v>73</v>
      </c>
      <c r="Q1" s="105"/>
      <c r="R1" s="111" t="s">
        <v>74</v>
      </c>
      <c r="S1" s="105"/>
    </row>
    <row r="2" spans="1:25" ht="12.75">
      <c r="A2" s="125" t="s">
        <v>75</v>
      </c>
      <c r="B2" s="126">
        <f t="shared" ref="B2:G2" si="0">B3</f>
        <v>0</v>
      </c>
      <c r="C2" s="126">
        <f t="shared" si="0"/>
        <v>0</v>
      </c>
      <c r="D2" s="126">
        <f t="shared" si="0"/>
        <v>0</v>
      </c>
      <c r="E2" s="126">
        <f t="shared" si="0"/>
        <v>0</v>
      </c>
      <c r="F2" s="126">
        <f t="shared" si="0"/>
        <v>0</v>
      </c>
      <c r="G2" s="126">
        <f t="shared" si="0"/>
        <v>0</v>
      </c>
      <c r="H2" s="122">
        <v>1</v>
      </c>
      <c r="I2" s="35">
        <f>I3</f>
        <v>74788000</v>
      </c>
      <c r="J2" s="32">
        <v>1</v>
      </c>
      <c r="K2" s="35">
        <f>K3</f>
        <v>94640000</v>
      </c>
      <c r="L2" s="32">
        <v>1</v>
      </c>
      <c r="M2" s="35">
        <f>M3</f>
        <v>119644000</v>
      </c>
      <c r="N2" s="32">
        <v>1</v>
      </c>
      <c r="O2" s="35">
        <f>O3</f>
        <v>151004000</v>
      </c>
      <c r="P2" s="32">
        <v>1</v>
      </c>
      <c r="Q2" s="35">
        <f>Q3</f>
        <v>190232000</v>
      </c>
      <c r="R2" s="32">
        <v>1</v>
      </c>
      <c r="S2" s="37">
        <f>S3</f>
        <v>239092000</v>
      </c>
      <c r="U2" s="44">
        <f t="shared" ref="U2:U16" si="1">SUM(B2:S2)</f>
        <v>869400006</v>
      </c>
    </row>
    <row r="3" spans="1:25" ht="15.75" customHeight="1">
      <c r="A3" s="127" t="s">
        <v>84</v>
      </c>
      <c r="B3" s="128">
        <v>0</v>
      </c>
      <c r="C3" s="128">
        <v>0</v>
      </c>
      <c r="D3" s="128">
        <v>0</v>
      </c>
      <c r="E3" s="128">
        <v>0</v>
      </c>
      <c r="F3" s="128">
        <v>0</v>
      </c>
      <c r="G3" s="128">
        <v>0</v>
      </c>
      <c r="H3" s="123">
        <v>1</v>
      </c>
      <c r="I3" s="49">
        <f>I18*$I$20</f>
        <v>74788000</v>
      </c>
      <c r="J3" s="47">
        <v>1</v>
      </c>
      <c r="K3" s="49">
        <f>K18*$I$20</f>
        <v>94640000</v>
      </c>
      <c r="L3" s="47">
        <v>1</v>
      </c>
      <c r="M3" s="49">
        <f>M18*$I$20</f>
        <v>119644000</v>
      </c>
      <c r="N3" s="47">
        <v>1</v>
      </c>
      <c r="O3" s="49">
        <f>O18*$I$20</f>
        <v>151004000</v>
      </c>
      <c r="P3" s="47">
        <v>1</v>
      </c>
      <c r="Q3" s="49">
        <f>Q18*$I$20</f>
        <v>190232000</v>
      </c>
      <c r="R3" s="47">
        <v>1</v>
      </c>
      <c r="S3" s="52">
        <f>S18*$I$20</f>
        <v>239092000</v>
      </c>
      <c r="U3" s="44">
        <f>SUM(B3:S3)</f>
        <v>869400006</v>
      </c>
    </row>
    <row r="4" spans="1:25" ht="12.75">
      <c r="A4" s="125" t="s">
        <v>86</v>
      </c>
      <c r="B4" s="126">
        <f>SUM(B5:B7)</f>
        <v>7865359.333333333</v>
      </c>
      <c r="C4" s="126">
        <f t="shared" ref="C4:G4" si="2">SUM(C5:C7)</f>
        <v>7865359.333333333</v>
      </c>
      <c r="D4" s="126">
        <f t="shared" si="2"/>
        <v>7865359.333333333</v>
      </c>
      <c r="E4" s="126">
        <f t="shared" si="2"/>
        <v>7865359.333333333</v>
      </c>
      <c r="F4" s="126">
        <f t="shared" si="2"/>
        <v>7865359.333333333</v>
      </c>
      <c r="G4" s="126">
        <f t="shared" si="2"/>
        <v>7865359.333333333</v>
      </c>
      <c r="H4" s="122">
        <f t="shared" ref="H4:H16" si="3">(I4)/$I$2</f>
        <v>0.40479005580217858</v>
      </c>
      <c r="I4" s="35">
        <f>SUM(I5:I7)</f>
        <v>30273438.693333331</v>
      </c>
      <c r="J4" s="32">
        <f t="shared" ref="J4:J16" si="4">(K4)/$K$2</f>
        <v>0.38290004367427444</v>
      </c>
      <c r="K4" s="35">
        <f>SUM(K5:K7)</f>
        <v>36237660.133333333</v>
      </c>
      <c r="L4" s="32">
        <f t="shared" ref="L4:L16" si="5">(M4)/$M$2</f>
        <v>0.36566580031872337</v>
      </c>
      <c r="M4" s="35">
        <f>SUM(M5:M7)</f>
        <v>43749719.013333336</v>
      </c>
      <c r="N4" s="32">
        <f t="shared" ref="N4:N16" si="6">(O4)/$O$2</f>
        <v>0.35211873998922771</v>
      </c>
      <c r="O4" s="35">
        <f>SUM(O5:O7)</f>
        <v>53171338.213333338</v>
      </c>
      <c r="P4" s="32">
        <f t="shared" ref="P4:P16" si="7">(Q4)/$Q$2</f>
        <v>0.34146081822896956</v>
      </c>
      <c r="Q4" s="35">
        <f>SUM(Q5:Q7)</f>
        <v>64956774.373333335</v>
      </c>
      <c r="R4" s="32">
        <f t="shared" ref="R4:R16" si="8">(S4)/$S$2</f>
        <v>0.33307678037463956</v>
      </c>
      <c r="S4" s="37">
        <f>SUM(S5:S7)</f>
        <v>79635993.573333323</v>
      </c>
      <c r="U4" s="44">
        <f t="shared" si="1"/>
        <v>355217082.18001223</v>
      </c>
    </row>
    <row r="5" spans="1:25" ht="12.75">
      <c r="A5" s="127" t="s">
        <v>88</v>
      </c>
      <c r="B5" s="128">
        <f>'Salarios, gastos y costos'!$H$11</f>
        <v>60800</v>
      </c>
      <c r="C5" s="128">
        <f>'Salarios, gastos y costos'!$H$11</f>
        <v>60800</v>
      </c>
      <c r="D5" s="128">
        <f>'Salarios, gastos y costos'!$H$11</f>
        <v>60800</v>
      </c>
      <c r="E5" s="128">
        <f>'Salarios, gastos y costos'!$H$11</f>
        <v>60800</v>
      </c>
      <c r="F5" s="128">
        <f>'Salarios, gastos y costos'!$H$11</f>
        <v>60800</v>
      </c>
      <c r="G5" s="128">
        <f>'Salarios, gastos y costos'!$H$11</f>
        <v>60800</v>
      </c>
      <c r="H5" s="123">
        <f t="shared" si="3"/>
        <v>0.30043428571428571</v>
      </c>
      <c r="I5" s="49">
        <f>(('Salarios, gastos y costos'!$H$11)*(I18/5000)) + (I3*$I$21*10)</f>
        <v>22468879.359999999</v>
      </c>
      <c r="J5" s="47">
        <f t="shared" si="4"/>
        <v>0.30043428571428571</v>
      </c>
      <c r="K5" s="49">
        <f>(('Salarios, gastos y costos'!$H$11)*(K18/5000)) + (K3*$I$21*10)</f>
        <v>28433100.800000001</v>
      </c>
      <c r="L5" s="47">
        <f t="shared" si="5"/>
        <v>0.30043428571428571</v>
      </c>
      <c r="M5" s="49">
        <f>(('Salarios, gastos y costos'!$H$11)*(M18/5000)) + (M3*$I$21*10)</f>
        <v>35945159.68</v>
      </c>
      <c r="N5" s="47">
        <f t="shared" si="6"/>
        <v>0.30043428571428571</v>
      </c>
      <c r="O5" s="49">
        <f>(('Salarios, gastos y costos'!$H$11)*(O18/5000)) + (O3*$I$21*10)</f>
        <v>45366778.880000003</v>
      </c>
      <c r="P5" s="47">
        <f t="shared" si="7"/>
        <v>0.30043428571428571</v>
      </c>
      <c r="Q5" s="49">
        <f>(('Salarios, gastos y costos'!$H$11)*(Q18/5000)) + (Q3*$I$21*10)</f>
        <v>57152215.039999999</v>
      </c>
      <c r="R5" s="47">
        <f t="shared" si="8"/>
        <v>0.30043428571428571</v>
      </c>
      <c r="S5" s="52">
        <f>(('Salarios, gastos y costos'!$H$11)*(S18/5000)) + (S3*$I$21*10)</f>
        <v>71831434.239999995</v>
      </c>
      <c r="U5" s="44">
        <f t="shared" si="1"/>
        <v>261562369.80260569</v>
      </c>
    </row>
    <row r="6" spans="1:25" ht="12.75">
      <c r="A6" s="127" t="s">
        <v>90</v>
      </c>
      <c r="B6" s="128">
        <f>'Salarios, gastos y costos'!$B$11</f>
        <v>7746226</v>
      </c>
      <c r="C6" s="128">
        <f>'Salarios, gastos y costos'!$B$11</f>
        <v>7746226</v>
      </c>
      <c r="D6" s="128">
        <f>'Salarios, gastos y costos'!$B$11</f>
        <v>7746226</v>
      </c>
      <c r="E6" s="128">
        <f>'Salarios, gastos y costos'!$B$11</f>
        <v>7746226</v>
      </c>
      <c r="F6" s="128">
        <f>'Salarios, gastos y costos'!$B$11</f>
        <v>7746226</v>
      </c>
      <c r="G6" s="128">
        <f>'Salarios, gastos y costos'!$B$11</f>
        <v>7746226</v>
      </c>
      <c r="H6" s="123">
        <f t="shared" si="3"/>
        <v>0.10357578755950153</v>
      </c>
      <c r="I6" s="49">
        <f>'Salarios, gastos y costos'!$B$11</f>
        <v>7746226</v>
      </c>
      <c r="J6" s="47">
        <f t="shared" si="4"/>
        <v>8.1849387151310224E-2</v>
      </c>
      <c r="K6" s="49">
        <f>'Salarios, gastos y costos'!$B$11</f>
        <v>7746226</v>
      </c>
      <c r="L6" s="47">
        <f t="shared" si="5"/>
        <v>6.4743957072648864E-2</v>
      </c>
      <c r="M6" s="49">
        <f>'Salarios, gastos y costos'!$B$11</f>
        <v>7746226</v>
      </c>
      <c r="N6" s="47">
        <f t="shared" si="6"/>
        <v>5.1298151042356493E-2</v>
      </c>
      <c r="O6" s="49">
        <f>'Salarios, gastos y costos'!$B$11</f>
        <v>7746226</v>
      </c>
      <c r="P6" s="47">
        <f t="shared" si="7"/>
        <v>4.0719889398208503E-2</v>
      </c>
      <c r="Q6" s="49">
        <f>'Salarios, gastos y costos'!$B$11</f>
        <v>7746226</v>
      </c>
      <c r="R6" s="47">
        <f t="shared" si="8"/>
        <v>3.2398516052398241E-2</v>
      </c>
      <c r="S6" s="52">
        <f>'Salarios, gastos y costos'!$B$11</f>
        <v>7746226</v>
      </c>
      <c r="U6" s="44">
        <f t="shared" si="1"/>
        <v>92954712.374585703</v>
      </c>
      <c r="V6" s="116" t="s">
        <v>223</v>
      </c>
      <c r="X6" s="116" t="s">
        <v>227</v>
      </c>
      <c r="Y6" s="130">
        <f>U6+U7+U9+U10</f>
        <v>101358832.42078342</v>
      </c>
    </row>
    <row r="7" spans="1:25" ht="12.75">
      <c r="A7" s="127" t="s">
        <v>92</v>
      </c>
      <c r="B7" s="128">
        <f>'Presupuesto Inicial'!$J$20</f>
        <v>58333.333333333336</v>
      </c>
      <c r="C7" s="128">
        <f>'Presupuesto Inicial'!$J$20</f>
        <v>58333.333333333336</v>
      </c>
      <c r="D7" s="128">
        <f>'Presupuesto Inicial'!$J$20</f>
        <v>58333.333333333336</v>
      </c>
      <c r="E7" s="128">
        <f>'Presupuesto Inicial'!$J$20</f>
        <v>58333.333333333336</v>
      </c>
      <c r="F7" s="128">
        <f>'Presupuesto Inicial'!$J$20</f>
        <v>58333.333333333336</v>
      </c>
      <c r="G7" s="128">
        <f>'Presupuesto Inicial'!$J$20</f>
        <v>58333.333333333336</v>
      </c>
      <c r="H7" s="123">
        <f t="shared" si="3"/>
        <v>7.7998252839136411E-4</v>
      </c>
      <c r="I7" s="49">
        <f>'Presupuesto Inicial'!$J$20</f>
        <v>58333.333333333336</v>
      </c>
      <c r="J7" s="47">
        <f t="shared" si="4"/>
        <v>6.1637080867850099E-4</v>
      </c>
      <c r="K7" s="49">
        <f>'Presupuesto Inicial'!$J$20</f>
        <v>58333.333333333336</v>
      </c>
      <c r="L7" s="47">
        <f t="shared" si="5"/>
        <v>4.8755753178875112E-4</v>
      </c>
      <c r="M7" s="49">
        <f>'Presupuesto Inicial'!$J$20</f>
        <v>58333.333333333336</v>
      </c>
      <c r="N7" s="47">
        <f t="shared" si="6"/>
        <v>3.8630323258545031E-4</v>
      </c>
      <c r="O7" s="49">
        <f>'Presupuesto Inicial'!$J$20</f>
        <v>58333.333333333336</v>
      </c>
      <c r="P7" s="47">
        <f t="shared" si="7"/>
        <v>3.0664311647532136E-4</v>
      </c>
      <c r="Q7" s="49">
        <f>'Presupuesto Inicial'!$J$20</f>
        <v>58333.333333333336</v>
      </c>
      <c r="R7" s="47">
        <f t="shared" si="8"/>
        <v>2.4397860795565446E-4</v>
      </c>
      <c r="S7" s="52">
        <f>'Presupuesto Inicial'!$J$20</f>
        <v>58333.333333333336</v>
      </c>
      <c r="U7" s="44">
        <f t="shared" si="1"/>
        <v>700000.00282083591</v>
      </c>
      <c r="V7" s="116" t="s">
        <v>224</v>
      </c>
    </row>
    <row r="8" spans="1:25" ht="12.75">
      <c r="A8" s="125" t="s">
        <v>94</v>
      </c>
      <c r="B8" s="129">
        <f>B2-B4</f>
        <v>-7865359.333333333</v>
      </c>
      <c r="C8" s="129">
        <f t="shared" ref="B8:G8" si="9">C2-C4</f>
        <v>-7865359.333333333</v>
      </c>
      <c r="D8" s="129">
        <f t="shared" si="9"/>
        <v>-7865359.333333333</v>
      </c>
      <c r="E8" s="129">
        <f t="shared" si="9"/>
        <v>-7865359.333333333</v>
      </c>
      <c r="F8" s="129">
        <f t="shared" si="9"/>
        <v>-7865359.333333333</v>
      </c>
      <c r="G8" s="129">
        <f t="shared" si="9"/>
        <v>-7865359.333333333</v>
      </c>
      <c r="H8" s="122">
        <f t="shared" si="3"/>
        <v>0.59520994419782147</v>
      </c>
      <c r="I8" s="35">
        <f>I2-I4</f>
        <v>44514561.306666672</v>
      </c>
      <c r="J8" s="32">
        <f t="shared" si="4"/>
        <v>0.61709995632572556</v>
      </c>
      <c r="K8" s="35">
        <f>K2-K4</f>
        <v>58402339.866666667</v>
      </c>
      <c r="L8" s="32">
        <f t="shared" si="5"/>
        <v>0.63433419968127669</v>
      </c>
      <c r="M8" s="35">
        <f>M2-M4</f>
        <v>75894280.986666664</v>
      </c>
      <c r="N8" s="32">
        <f t="shared" si="6"/>
        <v>0.64788126001077229</v>
      </c>
      <c r="O8" s="35">
        <f>O2-O4</f>
        <v>97832661.786666662</v>
      </c>
      <c r="P8" s="32">
        <f t="shared" si="7"/>
        <v>0.65853918177103044</v>
      </c>
      <c r="Q8" s="35">
        <f>Q2-Q4</f>
        <v>125275225.62666667</v>
      </c>
      <c r="R8" s="32">
        <f t="shared" si="8"/>
        <v>0.66692321962536039</v>
      </c>
      <c r="S8" s="37">
        <f>S2-S4</f>
        <v>159456006.42666668</v>
      </c>
      <c r="U8" s="44">
        <f t="shared" si="1"/>
        <v>514182923.81998777</v>
      </c>
    </row>
    <row r="9" spans="1:25" ht="12.75">
      <c r="A9" s="127" t="s">
        <v>96</v>
      </c>
      <c r="B9" s="128">
        <f>'Salarios, gastos y costos'!$E$11+'Salarios, gastos y costos'!$K$11</f>
        <v>332010</v>
      </c>
      <c r="C9" s="128">
        <f>'Salarios, gastos y costos'!$E$11+'Salarios, gastos y costos'!$K$11</f>
        <v>332010</v>
      </c>
      <c r="D9" s="128">
        <f>'Salarios, gastos y costos'!$E$11+'Salarios, gastos y costos'!$K$11</f>
        <v>332010</v>
      </c>
      <c r="E9" s="128">
        <f>'Salarios, gastos y costos'!$E$11+'Salarios, gastos y costos'!$K$11</f>
        <v>332010</v>
      </c>
      <c r="F9" s="128">
        <f>'Salarios, gastos y costos'!$E$11+'Salarios, gastos y costos'!$K$11</f>
        <v>332010</v>
      </c>
      <c r="G9" s="128">
        <f>'Salarios, gastos y costos'!$E$11+'Salarios, gastos y costos'!$K$11</f>
        <v>332010</v>
      </c>
      <c r="H9" s="123">
        <f t="shared" si="3"/>
        <v>4.439348558592288E-3</v>
      </c>
      <c r="I9" s="49">
        <f>'Salarios, gastos y costos'!$E$11+'Salarios, gastos y costos'!$K$11</f>
        <v>332010</v>
      </c>
      <c r="J9" s="47">
        <f t="shared" si="4"/>
        <v>3.5081360946745562E-3</v>
      </c>
      <c r="K9" s="49">
        <f>'Salarios, gastos y costos'!$E$11+'Salarios, gastos y costos'!$K$11</f>
        <v>332010</v>
      </c>
      <c r="L9" s="47">
        <f t="shared" si="5"/>
        <v>2.7749824479288555E-3</v>
      </c>
      <c r="M9" s="49">
        <f>'Salarios, gastos y costos'!$E$11+'Salarios, gastos y costos'!$K$11</f>
        <v>332010</v>
      </c>
      <c r="N9" s="47">
        <f t="shared" si="6"/>
        <v>2.1986834785833486E-3</v>
      </c>
      <c r="O9" s="49">
        <f>'Salarios, gastos y costos'!$E$11+'Salarios, gastos y costos'!$K$11</f>
        <v>332010</v>
      </c>
      <c r="P9" s="47">
        <f t="shared" si="7"/>
        <v>1.7452899617309392E-3</v>
      </c>
      <c r="Q9" s="49">
        <f>'Salarios, gastos y costos'!$E$11+'Salarios, gastos y costos'!$K$11</f>
        <v>332010</v>
      </c>
      <c r="R9" s="47">
        <f t="shared" si="8"/>
        <v>1.3886286450404029E-3</v>
      </c>
      <c r="S9" s="52">
        <f>'Salarios, gastos y costos'!$E$11+'Salarios, gastos y costos'!$K$11</f>
        <v>332010</v>
      </c>
      <c r="U9" s="44">
        <f t="shared" si="1"/>
        <v>3984120.0160550689</v>
      </c>
      <c r="V9" s="116" t="s">
        <v>225</v>
      </c>
    </row>
    <row r="10" spans="1:25" ht="12.75">
      <c r="A10" s="127" t="s">
        <v>98</v>
      </c>
      <c r="B10" s="128">
        <v>0</v>
      </c>
      <c r="C10" s="128">
        <f>'Salarios, gastos y costos'!G37</f>
        <v>110000</v>
      </c>
      <c r="D10" s="128">
        <f>'Salarios, gastos y costos'!G38</f>
        <v>140000</v>
      </c>
      <c r="E10" s="128">
        <f>'Salarios, gastos y costos'!G39</f>
        <v>40000</v>
      </c>
      <c r="F10" s="128">
        <f>'Salarios, gastos y costos'!G40</f>
        <v>40000</v>
      </c>
      <c r="G10" s="128">
        <v>0</v>
      </c>
      <c r="H10" s="123">
        <f t="shared" si="3"/>
        <v>7.5546879178477831E-3</v>
      </c>
      <c r="I10" s="49">
        <f>'Salarios, gastos y costos'!$F$41+'Salarios, gastos y costos'!$F$42</f>
        <v>565000</v>
      </c>
      <c r="J10" s="47">
        <f t="shared" si="4"/>
        <v>5.9699915469146238E-3</v>
      </c>
      <c r="K10" s="49">
        <f>'Salarios, gastos y costos'!$F$41+'Salarios, gastos y costos'!$F$42</f>
        <v>565000</v>
      </c>
      <c r="L10" s="47">
        <f t="shared" si="5"/>
        <v>4.7223429507539036E-3</v>
      </c>
      <c r="M10" s="49">
        <f>'Salarios, gastos y costos'!$F$41+'Salarios, gastos y costos'!$F$42</f>
        <v>565000</v>
      </c>
      <c r="N10" s="47">
        <f t="shared" si="6"/>
        <v>3.7416227384705039E-3</v>
      </c>
      <c r="O10" s="49">
        <f>'Salarios, gastos y costos'!$F$41+'Salarios, gastos y costos'!$F$42</f>
        <v>565000</v>
      </c>
      <c r="P10" s="47">
        <f t="shared" si="7"/>
        <v>2.9700576138609698E-3</v>
      </c>
      <c r="Q10" s="49">
        <f>'Salarios, gastos y costos'!$F$41+'Salarios, gastos y costos'!$F$42</f>
        <v>565000</v>
      </c>
      <c r="R10" s="47">
        <f t="shared" si="8"/>
        <v>2.3631070884847674E-3</v>
      </c>
      <c r="S10" s="52">
        <f>'Salarios, gastos y costos'!$F$41+'Salarios, gastos y costos'!$F$42</f>
        <v>565000</v>
      </c>
      <c r="U10" s="44">
        <f t="shared" si="1"/>
        <v>3720000.0273218099</v>
      </c>
      <c r="V10" s="116" t="s">
        <v>226</v>
      </c>
    </row>
    <row r="11" spans="1:25" ht="12.75">
      <c r="A11" s="125" t="s">
        <v>101</v>
      </c>
      <c r="B11" s="129">
        <f t="shared" ref="B11:G11" si="10">B8-B9-B10</f>
        <v>-8197369.333333333</v>
      </c>
      <c r="C11" s="129">
        <f>C8-C9-C10</f>
        <v>-8307369.333333333</v>
      </c>
      <c r="D11" s="129">
        <f t="shared" si="10"/>
        <v>-8337369.333333333</v>
      </c>
      <c r="E11" s="129">
        <f t="shared" si="10"/>
        <v>-8237369.333333333</v>
      </c>
      <c r="F11" s="129">
        <f t="shared" si="10"/>
        <v>-8237369.333333333</v>
      </c>
      <c r="G11" s="129">
        <f t="shared" si="10"/>
        <v>-8197369.333333333</v>
      </c>
      <c r="H11" s="122">
        <f t="shared" si="3"/>
        <v>0.58321590772138143</v>
      </c>
      <c r="I11" s="63">
        <f>I8-I9-I10</f>
        <v>43617551.306666672</v>
      </c>
      <c r="J11" s="32">
        <f t="shared" si="4"/>
        <v>0.60762182868413639</v>
      </c>
      <c r="K11" s="63">
        <f>K8-K9-K10</f>
        <v>57505329.866666667</v>
      </c>
      <c r="L11" s="32">
        <f t="shared" si="5"/>
        <v>0.62683687428259394</v>
      </c>
      <c r="M11" s="63">
        <f>M8-M9-M10</f>
        <v>74997270.986666664</v>
      </c>
      <c r="N11" s="32">
        <f t="shared" si="6"/>
        <v>0.64194095379371841</v>
      </c>
      <c r="O11" s="63">
        <f>O8-O9-O10</f>
        <v>96935651.786666662</v>
      </c>
      <c r="P11" s="32">
        <f t="shared" si="7"/>
        <v>0.65382383419543855</v>
      </c>
      <c r="Q11" s="35">
        <f>Q8-Q9-Q10</f>
        <v>124378215.62666667</v>
      </c>
      <c r="R11" s="32">
        <f t="shared" si="8"/>
        <v>0.66317148389183522</v>
      </c>
      <c r="S11" s="37">
        <f>S8-S9-S10</f>
        <v>158558996.42666668</v>
      </c>
      <c r="U11" s="44">
        <f t="shared" si="1"/>
        <v>506478803.77661085</v>
      </c>
    </row>
    <row r="12" spans="1:25" ht="12.75">
      <c r="A12" s="127" t="s">
        <v>102</v>
      </c>
      <c r="B12" s="128">
        <v>0</v>
      </c>
      <c r="C12" s="128">
        <v>0</v>
      </c>
      <c r="D12" s="128">
        <v>0</v>
      </c>
      <c r="E12" s="128">
        <v>0</v>
      </c>
      <c r="F12" s="128">
        <v>0</v>
      </c>
      <c r="G12" s="128">
        <v>0</v>
      </c>
      <c r="H12" s="123">
        <f t="shared" si="3"/>
        <v>0</v>
      </c>
      <c r="I12" s="49">
        <v>0</v>
      </c>
      <c r="J12" s="47">
        <f t="shared" si="4"/>
        <v>0</v>
      </c>
      <c r="K12" s="49">
        <v>0</v>
      </c>
      <c r="L12" s="47">
        <f t="shared" si="5"/>
        <v>0</v>
      </c>
      <c r="M12" s="49">
        <v>0</v>
      </c>
      <c r="N12" s="47">
        <f t="shared" si="6"/>
        <v>0</v>
      </c>
      <c r="O12" s="49">
        <v>0</v>
      </c>
      <c r="P12" s="47">
        <f t="shared" si="7"/>
        <v>0</v>
      </c>
      <c r="Q12" s="49">
        <v>0</v>
      </c>
      <c r="R12" s="47">
        <f t="shared" si="8"/>
        <v>0</v>
      </c>
      <c r="S12" s="49">
        <v>0</v>
      </c>
      <c r="U12" s="44">
        <f t="shared" si="1"/>
        <v>0</v>
      </c>
    </row>
    <row r="13" spans="1:25" ht="12.75">
      <c r="A13" s="127" t="s">
        <v>103</v>
      </c>
      <c r="B13" s="128">
        <v>0</v>
      </c>
      <c r="C13" s="128">
        <v>0</v>
      </c>
      <c r="D13" s="128">
        <v>0</v>
      </c>
      <c r="E13" s="128">
        <v>0</v>
      </c>
      <c r="F13" s="128">
        <v>0</v>
      </c>
      <c r="G13" s="128">
        <v>0</v>
      </c>
      <c r="H13" s="123">
        <f t="shared" si="3"/>
        <v>0</v>
      </c>
      <c r="I13" s="49">
        <v>0</v>
      </c>
      <c r="J13" s="47">
        <f t="shared" si="4"/>
        <v>0</v>
      </c>
      <c r="K13" s="49">
        <v>0</v>
      </c>
      <c r="L13" s="47">
        <f t="shared" si="5"/>
        <v>0</v>
      </c>
      <c r="M13" s="49">
        <v>0</v>
      </c>
      <c r="N13" s="47">
        <f t="shared" si="6"/>
        <v>0</v>
      </c>
      <c r="O13" s="49">
        <v>0</v>
      </c>
      <c r="P13" s="47">
        <f t="shared" si="7"/>
        <v>0</v>
      </c>
      <c r="Q13" s="49">
        <v>0</v>
      </c>
      <c r="R13" s="47">
        <f t="shared" si="8"/>
        <v>0</v>
      </c>
      <c r="S13" s="52">
        <v>0</v>
      </c>
      <c r="U13" s="44">
        <f t="shared" si="1"/>
        <v>0</v>
      </c>
    </row>
    <row r="14" spans="1:25" ht="12.75">
      <c r="A14" s="125" t="s">
        <v>104</v>
      </c>
      <c r="B14" s="129">
        <f t="shared" ref="B14:G14" si="11">B11+B12-B13</f>
        <v>-8197369.333333333</v>
      </c>
      <c r="C14" s="129">
        <f>C11+C12-C13</f>
        <v>-8307369.333333333</v>
      </c>
      <c r="D14" s="129">
        <f t="shared" si="11"/>
        <v>-8337369.333333333</v>
      </c>
      <c r="E14" s="129">
        <f t="shared" si="11"/>
        <v>-8237369.333333333</v>
      </c>
      <c r="F14" s="129">
        <f t="shared" si="11"/>
        <v>-8237369.333333333</v>
      </c>
      <c r="G14" s="129">
        <f t="shared" si="11"/>
        <v>-8197369.333333333</v>
      </c>
      <c r="H14" s="122">
        <f t="shared" si="3"/>
        <v>0.58321590772138143</v>
      </c>
      <c r="I14" s="63">
        <f>I11+I12-I13</f>
        <v>43617551.306666672</v>
      </c>
      <c r="J14" s="32">
        <f t="shared" si="4"/>
        <v>0.60762182868413639</v>
      </c>
      <c r="K14" s="63">
        <f>K11+K12-K13</f>
        <v>57505329.866666667</v>
      </c>
      <c r="L14" s="32">
        <f t="shared" si="5"/>
        <v>0.62683687428259394</v>
      </c>
      <c r="M14" s="63">
        <f>M11+M12-M13</f>
        <v>74997270.986666664</v>
      </c>
      <c r="N14" s="32">
        <f t="shared" si="6"/>
        <v>0.64194095379371841</v>
      </c>
      <c r="O14" s="63">
        <f>O11+O12-O13</f>
        <v>96935651.786666662</v>
      </c>
      <c r="P14" s="32">
        <f t="shared" si="7"/>
        <v>0.65382383419543855</v>
      </c>
      <c r="Q14" s="35">
        <f>Q11+Q12-Q13</f>
        <v>124378215.62666667</v>
      </c>
      <c r="R14" s="32">
        <f t="shared" si="8"/>
        <v>0.66317148389183522</v>
      </c>
      <c r="S14" s="37">
        <f>S11+S12-S13</f>
        <v>158558996.42666668</v>
      </c>
      <c r="U14" s="44">
        <f t="shared" si="1"/>
        <v>506478803.77661085</v>
      </c>
    </row>
    <row r="15" spans="1:25" ht="12.75">
      <c r="A15" s="127" t="s">
        <v>105</v>
      </c>
      <c r="B15" s="128">
        <f>IF(B14&gt;0, B14*0.35, 0)</f>
        <v>0</v>
      </c>
      <c r="C15" s="128">
        <f t="shared" ref="C15:G15" si="12">IF(C14&gt;0, C14*0.35, 0)</f>
        <v>0</v>
      </c>
      <c r="D15" s="128">
        <f t="shared" si="12"/>
        <v>0</v>
      </c>
      <c r="E15" s="128">
        <f t="shared" si="12"/>
        <v>0</v>
      </c>
      <c r="F15" s="128">
        <f t="shared" si="12"/>
        <v>0</v>
      </c>
      <c r="G15" s="128">
        <f t="shared" si="12"/>
        <v>0</v>
      </c>
      <c r="H15" s="123">
        <f t="shared" si="3"/>
        <v>0.20412556770248347</v>
      </c>
      <c r="I15" s="49">
        <f>IF(I14&gt;0, I14*0.35, 0)</f>
        <v>15266142.957333334</v>
      </c>
      <c r="J15" s="47">
        <f t="shared" si="4"/>
        <v>0.21266764003944774</v>
      </c>
      <c r="K15" s="49">
        <f>IF(K14&gt;0, K14*0.35, 0)</f>
        <v>20126865.453333333</v>
      </c>
      <c r="L15" s="47">
        <f t="shared" si="5"/>
        <v>0.21939290599890784</v>
      </c>
      <c r="M15" s="49">
        <f>IF(M14&gt;0, M14*0.35, 0)</f>
        <v>26249044.84533333</v>
      </c>
      <c r="N15" s="47">
        <f t="shared" si="6"/>
        <v>0.22467933382780145</v>
      </c>
      <c r="O15" s="49">
        <f>IF(O14&gt;0, O14*0.35, 0)</f>
        <v>33927478.125333332</v>
      </c>
      <c r="P15" s="47">
        <f t="shared" si="7"/>
        <v>0.22883834196840347</v>
      </c>
      <c r="Q15" s="49">
        <f>IF(Q14&gt;0, Q14*0.35, 0)</f>
        <v>43532375.469333328</v>
      </c>
      <c r="R15" s="47">
        <f t="shared" si="8"/>
        <v>0.23211001936214234</v>
      </c>
      <c r="S15" s="52">
        <f>IF(S14&gt;0, S14*0.35, 0)</f>
        <v>55495648.749333337</v>
      </c>
      <c r="U15" s="44">
        <f t="shared" si="1"/>
        <v>194597556.92181379</v>
      </c>
    </row>
    <row r="16" spans="1:25" ht="12.75">
      <c r="A16" s="125" t="s">
        <v>106</v>
      </c>
      <c r="B16" s="129">
        <f t="shared" ref="B16:G16" si="13">B14-B15</f>
        <v>-8197369.333333333</v>
      </c>
      <c r="C16" s="129">
        <f t="shared" si="13"/>
        <v>-8307369.333333333</v>
      </c>
      <c r="D16" s="129">
        <f t="shared" si="13"/>
        <v>-8337369.333333333</v>
      </c>
      <c r="E16" s="129">
        <f t="shared" si="13"/>
        <v>-8237369.333333333</v>
      </c>
      <c r="F16" s="129">
        <f t="shared" si="13"/>
        <v>-8237369.333333333</v>
      </c>
      <c r="G16" s="129">
        <f t="shared" si="13"/>
        <v>-8197369.333333333</v>
      </c>
      <c r="H16" s="122">
        <f t="shared" si="3"/>
        <v>0.37909034001889791</v>
      </c>
      <c r="I16" s="63">
        <f>I14-I15</f>
        <v>28351408.349333338</v>
      </c>
      <c r="J16" s="32">
        <f t="shared" si="4"/>
        <v>0.39495418864468868</v>
      </c>
      <c r="K16" s="63">
        <f>K14-K15</f>
        <v>37378464.413333334</v>
      </c>
      <c r="L16" s="32">
        <f t="shared" si="5"/>
        <v>0.40744396828368606</v>
      </c>
      <c r="M16" s="63">
        <f>M14-M15</f>
        <v>48748226.141333334</v>
      </c>
      <c r="N16" s="32">
        <f t="shared" si="6"/>
        <v>0.41726161996591699</v>
      </c>
      <c r="O16" s="63">
        <f>O14-O15</f>
        <v>63008173.66133333</v>
      </c>
      <c r="P16" s="32">
        <f t="shared" si="7"/>
        <v>0.42498549222703513</v>
      </c>
      <c r="Q16" s="35">
        <f>Q14-Q15</f>
        <v>80845840.157333344</v>
      </c>
      <c r="R16" s="32">
        <f t="shared" si="8"/>
        <v>0.43106146452969291</v>
      </c>
      <c r="S16" s="37">
        <f>S14-S15</f>
        <v>103063347.67733334</v>
      </c>
      <c r="U16" s="44">
        <f t="shared" si="1"/>
        <v>311881246.85479712</v>
      </c>
    </row>
    <row r="18" spans="7:19" ht="12.75">
      <c r="G18" s="11" t="s">
        <v>111</v>
      </c>
      <c r="H18" s="11"/>
      <c r="I18" s="11">
        <v>2671</v>
      </c>
      <c r="J18" s="11"/>
      <c r="K18" s="66">
        <f>'Tabla Crecimiento'!B4</f>
        <v>3380</v>
      </c>
      <c r="L18" s="11"/>
      <c r="M18" s="66">
        <f>'Tabla Crecimiento'!B5</f>
        <v>4273</v>
      </c>
      <c r="N18" s="11"/>
      <c r="O18" s="66">
        <f>'Tabla Crecimiento'!B6</f>
        <v>5393</v>
      </c>
      <c r="P18" s="11"/>
      <c r="Q18" s="66">
        <f>'Tabla Crecimiento'!B7</f>
        <v>6794</v>
      </c>
      <c r="R18" s="11"/>
      <c r="S18" s="66">
        <f>'Tabla Crecimiento'!B8</f>
        <v>8539</v>
      </c>
    </row>
    <row r="19" spans="7:19" ht="12.75">
      <c r="G19" s="11" t="s">
        <v>112</v>
      </c>
      <c r="H19" s="11"/>
      <c r="I19" s="11">
        <v>1.2</v>
      </c>
    </row>
    <row r="20" spans="7:19" ht="12.75">
      <c r="G20" s="118" t="s">
        <v>193</v>
      </c>
      <c r="H20" s="11"/>
      <c r="I20" s="11">
        <v>28000</v>
      </c>
    </row>
    <row r="21" spans="7:19" ht="12.75">
      <c r="G21" s="11" t="s">
        <v>113</v>
      </c>
      <c r="H21" s="11"/>
      <c r="I21" s="11">
        <v>0.03</v>
      </c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994">
    <cfRule type="cellIs" dxfId="9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145" zoomScaleNormal="145" workbookViewId="0">
      <selection activeCell="C3" sqref="C3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6"/>
      <c r="B1" s="111" t="s">
        <v>76</v>
      </c>
      <c r="C1" s="105"/>
      <c r="D1" s="111" t="s">
        <v>77</v>
      </c>
      <c r="E1" s="105"/>
      <c r="F1" s="111" t="s">
        <v>78</v>
      </c>
      <c r="G1" s="105"/>
      <c r="H1" s="111" t="s">
        <v>80</v>
      </c>
      <c r="I1" s="105"/>
      <c r="J1" s="112" t="s">
        <v>81</v>
      </c>
      <c r="K1" s="113"/>
      <c r="L1" s="28"/>
      <c r="M1" s="28"/>
      <c r="N1" s="28"/>
      <c r="O1" s="28"/>
      <c r="P1" s="28"/>
      <c r="Q1" s="28"/>
      <c r="R1" s="28"/>
    </row>
    <row r="2" spans="1:18" ht="12.75">
      <c r="A2" s="30" t="s">
        <v>75</v>
      </c>
      <c r="B2" s="32">
        <v>1</v>
      </c>
      <c r="C2" s="35">
        <f>C3</f>
        <v>869400006</v>
      </c>
      <c r="D2" s="36">
        <v>1</v>
      </c>
      <c r="E2" s="35">
        <f>E3</f>
        <v>1378377000</v>
      </c>
      <c r="F2" s="36">
        <v>1</v>
      </c>
      <c r="G2" s="35">
        <f>G3</f>
        <v>2610224760</v>
      </c>
      <c r="H2" s="36">
        <v>1</v>
      </c>
      <c r="I2" s="35">
        <f>I3</f>
        <v>2748088200</v>
      </c>
      <c r="J2" s="36">
        <v>1</v>
      </c>
      <c r="K2" s="37">
        <f>K3</f>
        <v>2756273520</v>
      </c>
      <c r="L2" s="45"/>
      <c r="M2" s="45"/>
      <c r="N2" s="45"/>
      <c r="O2" s="45"/>
      <c r="P2" s="45"/>
      <c r="Q2" s="45"/>
      <c r="R2" s="45"/>
    </row>
    <row r="3" spans="1:18" ht="15.75" customHeight="1">
      <c r="A3" s="50" t="s">
        <v>84</v>
      </c>
      <c r="B3" s="47">
        <v>1</v>
      </c>
      <c r="C3" s="49">
        <f>'Estado de resultados PyG - 12 m'!U3</f>
        <v>869400006</v>
      </c>
      <c r="D3" s="51">
        <v>1</v>
      </c>
      <c r="E3" s="49">
        <f>E18*$M$20*6</f>
        <v>1378377000</v>
      </c>
      <c r="F3" s="51">
        <v>1</v>
      </c>
      <c r="G3" s="49">
        <f>G18*$M$20*6</f>
        <v>2610224760</v>
      </c>
      <c r="H3" s="51">
        <v>1</v>
      </c>
      <c r="I3" s="49">
        <f>I18*$M$20*6</f>
        <v>2748088200</v>
      </c>
      <c r="J3" s="51">
        <v>1</v>
      </c>
      <c r="K3" s="52">
        <f>K18*$M$20*6</f>
        <v>2756273520</v>
      </c>
      <c r="L3" s="53"/>
      <c r="M3" s="53"/>
      <c r="N3" s="53"/>
      <c r="O3" s="53"/>
      <c r="P3" s="53"/>
      <c r="Q3" s="53"/>
      <c r="R3" s="53"/>
    </row>
    <row r="4" spans="1:18" ht="12.75">
      <c r="A4" s="30" t="s">
        <v>86</v>
      </c>
      <c r="B4" s="32">
        <f t="shared" ref="B4:B16" si="0">(C4)/$C$2</f>
        <v>0.40857727136939109</v>
      </c>
      <c r="C4" s="35">
        <f>SUM(C5:C7)</f>
        <v>355217082.18001223</v>
      </c>
      <c r="D4" s="51">
        <f>(E4)/$E$2</f>
        <v>0.85070546602272101</v>
      </c>
      <c r="E4" s="35">
        <f>SUM(E5:E7)</f>
        <v>1172592848.1400001</v>
      </c>
      <c r="F4" s="36">
        <f t="shared" ref="F4:F16" si="1">(G4)/$G$2</f>
        <v>0.85046579851736603</v>
      </c>
      <c r="G4" s="35">
        <f>SUM(G5:G7)</f>
        <v>2219906884.8232002</v>
      </c>
      <c r="H4" s="36">
        <f t="shared" ref="H4:H16" si="2">(I4)/$I$2</f>
        <v>0.85045234491527599</v>
      </c>
      <c r="I4" s="35">
        <f>SUM(I5:I7)</f>
        <v>2337118053.724</v>
      </c>
      <c r="J4" s="36">
        <f t="shared" ref="J4:J16" si="3">(K4)/$K$2</f>
        <v>0.85045158846441327</v>
      </c>
      <c r="K4" s="37">
        <f>SUM(K5:K7)</f>
        <v>2344077193.3263998</v>
      </c>
      <c r="L4" s="45"/>
      <c r="M4" s="45"/>
      <c r="N4" s="45"/>
      <c r="O4" s="45"/>
      <c r="P4" s="45"/>
      <c r="Q4" s="45"/>
      <c r="R4" s="45"/>
    </row>
    <row r="5" spans="1:18" ht="12.75">
      <c r="A5" s="50" t="s">
        <v>88</v>
      </c>
      <c r="B5" s="47">
        <f t="shared" si="0"/>
        <v>0.30085388543533742</v>
      </c>
      <c r="C5" s="49">
        <f>'Estado de resultados PyG - 12 m'!U5</f>
        <v>261562369.80260569</v>
      </c>
      <c r="D5" s="51">
        <f>(E5)/E2</f>
        <v>0.30850349650349651</v>
      </c>
      <c r="E5" s="49">
        <f>((('Salarios, gastos y costos'!$H$11)*12)*(E18/5000)) + (E3*$M$21*10)</f>
        <v>425234124</v>
      </c>
      <c r="F5" s="51">
        <f t="shared" si="1"/>
        <v>0.30850349650349651</v>
      </c>
      <c r="G5" s="49">
        <f>((('Salarios, gastos y costos'!$H$11)*12)*(G18/5000)) + (G3*$M$21*10)</f>
        <v>805263465.12</v>
      </c>
      <c r="H5" s="51">
        <f t="shared" si="2"/>
        <v>0.30850349650349651</v>
      </c>
      <c r="I5" s="49">
        <f>((('Salarios, gastos y costos'!$H$11)*12)*(I18/5000)) + (I3*$M$21*10)</f>
        <v>847794818.39999998</v>
      </c>
      <c r="J5" s="51">
        <f t="shared" si="3"/>
        <v>0.30850349650349651</v>
      </c>
      <c r="K5" s="52">
        <f>((('Salarios, gastos y costos'!$H$11)*12)*(K18/5000)) + (K3*$M$21*10)</f>
        <v>850320018.24000001</v>
      </c>
      <c r="L5" s="53"/>
      <c r="M5" s="53"/>
      <c r="N5" s="53"/>
      <c r="O5" s="53"/>
      <c r="P5" s="53"/>
      <c r="Q5" s="53"/>
      <c r="R5" s="53"/>
    </row>
    <row r="6" spans="1:18" ht="12.75">
      <c r="A6" s="50" t="s">
        <v>90</v>
      </c>
      <c r="B6" s="47">
        <f t="shared" si="0"/>
        <v>0.10691823295729964</v>
      </c>
      <c r="C6" s="49">
        <f>'Estado de resultados PyG - 12 m'!U6</f>
        <v>92954712.374585703</v>
      </c>
      <c r="D6" s="51">
        <f t="shared" ref="D6:D16" si="4">E6/$E$2</f>
        <v>0.54169412587412591</v>
      </c>
      <c r="E6" s="49">
        <f>('Salarios, gastos y costos'!$B$27)*12*(E18/10000)</f>
        <v>746658724.1400001</v>
      </c>
      <c r="F6" s="51">
        <f t="shared" si="1"/>
        <v>0.54169412587412591</v>
      </c>
      <c r="G6" s="49">
        <f>('Salarios, gastos y costos'!$B$27)*12*(G18/10000)</f>
        <v>1413943419.7032001</v>
      </c>
      <c r="H6" s="51">
        <f t="shared" si="2"/>
        <v>0.54169412587412591</v>
      </c>
      <c r="I6" s="49">
        <f>('Salarios, gastos y costos'!$B$27)*12*(I18/10000)</f>
        <v>1488623235.3240001</v>
      </c>
      <c r="J6" s="51">
        <f t="shared" si="3"/>
        <v>0.54169412587412591</v>
      </c>
      <c r="K6" s="52">
        <f>('Salarios, gastos y costos'!$B$27)*12*(K18/10000)</f>
        <v>1493057175.0864</v>
      </c>
      <c r="L6" s="53"/>
      <c r="M6" s="53"/>
      <c r="N6" s="53"/>
      <c r="O6" s="53"/>
      <c r="P6" s="53"/>
      <c r="Q6" s="53"/>
      <c r="R6" s="53"/>
    </row>
    <row r="7" spans="1:18" ht="12.75">
      <c r="A7" s="50" t="s">
        <v>92</v>
      </c>
      <c r="B7" s="47">
        <f t="shared" si="0"/>
        <v>8.0515297675398906E-4</v>
      </c>
      <c r="C7" s="49">
        <f>'Estado de resultados PyG - 12 m'!U7</f>
        <v>700000.00282083591</v>
      </c>
      <c r="D7" s="51">
        <f t="shared" si="4"/>
        <v>5.0784364509854707E-4</v>
      </c>
      <c r="E7" s="49">
        <f>('Presupuesto Inicial'!$J$20)*12</f>
        <v>700000</v>
      </c>
      <c r="F7" s="51">
        <f t="shared" si="1"/>
        <v>2.6817613974361351E-4</v>
      </c>
      <c r="G7" s="49">
        <f>('Presupuesto Inicial'!$J$20)*12</f>
        <v>700000</v>
      </c>
      <c r="H7" s="51">
        <f t="shared" si="2"/>
        <v>2.5472253765363134E-4</v>
      </c>
      <c r="I7" s="49">
        <f>('Presupuesto Inicial'!$J$20)*12</f>
        <v>700000</v>
      </c>
      <c r="J7" s="51">
        <f t="shared" si="3"/>
        <v>2.5396608679098E-4</v>
      </c>
      <c r="K7" s="52">
        <f>('Presupuesto Inicial'!$J$20)*12</f>
        <v>700000</v>
      </c>
      <c r="L7" s="53"/>
      <c r="M7" s="53"/>
      <c r="N7" s="53"/>
      <c r="O7" s="53"/>
      <c r="P7" s="53"/>
      <c r="Q7" s="53"/>
      <c r="R7" s="53"/>
    </row>
    <row r="8" spans="1:18" ht="12.75">
      <c r="A8" s="30" t="s">
        <v>94</v>
      </c>
      <c r="B8" s="32">
        <f t="shared" si="0"/>
        <v>0.59142272863060896</v>
      </c>
      <c r="C8" s="35">
        <f>C2-C4</f>
        <v>514182923.81998777</v>
      </c>
      <c r="D8" s="36">
        <f t="shared" si="4"/>
        <v>0.14929453397727899</v>
      </c>
      <c r="E8" s="35">
        <f>E2-E4</f>
        <v>205784151.8599999</v>
      </c>
      <c r="F8" s="36">
        <f t="shared" si="1"/>
        <v>0.14953420148263391</v>
      </c>
      <c r="G8" s="35">
        <f>G2-G4</f>
        <v>390317875.17679977</v>
      </c>
      <c r="H8" s="36">
        <f t="shared" si="2"/>
        <v>0.14954765508472401</v>
      </c>
      <c r="I8" s="35">
        <f>I2-I4</f>
        <v>410970146.27600002</v>
      </c>
      <c r="J8" s="36">
        <f t="shared" si="3"/>
        <v>0.14954841153558671</v>
      </c>
      <c r="K8" s="37">
        <f>K2-K4</f>
        <v>412196326.6736002</v>
      </c>
      <c r="L8" s="56"/>
      <c r="M8" s="45"/>
      <c r="N8" s="45"/>
      <c r="O8" s="45"/>
      <c r="P8" s="45"/>
      <c r="Q8" s="45"/>
      <c r="R8" s="45"/>
    </row>
    <row r="9" spans="1:18" ht="12.75">
      <c r="A9" s="57" t="s">
        <v>96</v>
      </c>
      <c r="B9" s="47">
        <f t="shared" si="0"/>
        <v>4.5826086824930033E-3</v>
      </c>
      <c r="C9" s="49">
        <f>'Estado de resultados PyG - 12 m'!U9</f>
        <v>3984120.0160550689</v>
      </c>
      <c r="D9" s="51">
        <f t="shared" si="4"/>
        <v>1.6583916083916083E-2</v>
      </c>
      <c r="E9" s="49">
        <f>('Salarios, gastos y costos'!$E$11+'Salarios, gastos y costos'!$K$11)*12*(E18/14000)</f>
        <v>22858888.5</v>
      </c>
      <c r="F9" s="51">
        <f t="shared" si="1"/>
        <v>1.6583916083916087E-2</v>
      </c>
      <c r="G9" s="49">
        <f>('Salarios, gastos y costos'!$E$11+'Salarios, gastos y costos'!$K$11)*12*(G18/14000)</f>
        <v>43287748.380000003</v>
      </c>
      <c r="H9" s="51">
        <f t="shared" si="2"/>
        <v>1.6583916083916083E-2</v>
      </c>
      <c r="I9" s="49">
        <f>('Salarios, gastos y costos'!$E$11+'Salarios, gastos y costos'!$K$11)*12*(I18/14000)</f>
        <v>45574064.100000001</v>
      </c>
      <c r="J9" s="51">
        <f t="shared" si="3"/>
        <v>1.6583916083916087E-2</v>
      </c>
      <c r="K9" s="52">
        <f>('Salarios, gastos y costos'!$E$11+'Salarios, gastos y costos'!$K$11)*12*(K18/14000)</f>
        <v>45709808.760000005</v>
      </c>
      <c r="L9" s="53"/>
      <c r="M9" s="53"/>
      <c r="N9" s="53"/>
      <c r="O9" s="53"/>
      <c r="P9" s="53"/>
      <c r="Q9" s="53"/>
      <c r="R9" s="53"/>
    </row>
    <row r="10" spans="1:18" ht="12.75">
      <c r="A10" s="50" t="s">
        <v>98</v>
      </c>
      <c r="B10" s="47">
        <f t="shared" si="0"/>
        <v>4.2788129763617804E-3</v>
      </c>
      <c r="C10" s="49">
        <f>'Estado de resultados PyG - 12 m'!$U$10</f>
        <v>3720000.0273218099</v>
      </c>
      <c r="D10" s="51">
        <f t="shared" si="4"/>
        <v>1.4452214558359792E-2</v>
      </c>
      <c r="E10" s="49">
        <f>'Estado de resultados PyG - 12 m'!$U$10*(E18/15000)</f>
        <v>19920600.146308295</v>
      </c>
      <c r="F10" s="51">
        <f t="shared" si="1"/>
        <v>1.445221455835979E-2</v>
      </c>
      <c r="G10" s="49">
        <f>'Estado de resultados PyG - 12 m'!$U$10*(G18/15000)</f>
        <v>37723528.277063191</v>
      </c>
      <c r="H10" s="51">
        <f t="shared" si="2"/>
        <v>1.445221455835979E-2</v>
      </c>
      <c r="I10" s="49">
        <f>'Estado de resultados PyG - 12 m'!$U$10*(I18/15000)</f>
        <v>39715960.29169675</v>
      </c>
      <c r="J10" s="51">
        <f t="shared" si="3"/>
        <v>1.445221455835979E-2</v>
      </c>
      <c r="K10" s="52">
        <f>'Estado de resultados PyG - 12 m'!$U$10*(K18/15000)</f>
        <v>39834256.292565584</v>
      </c>
      <c r="L10" s="53"/>
      <c r="M10" s="53"/>
      <c r="N10" s="53"/>
      <c r="O10" s="53"/>
      <c r="P10" s="53"/>
      <c r="Q10" s="53"/>
      <c r="R10" s="53"/>
    </row>
    <row r="11" spans="1:18" ht="12.75">
      <c r="A11" s="30" t="s">
        <v>101</v>
      </c>
      <c r="B11" s="32">
        <f t="shared" si="0"/>
        <v>0.58256130697175412</v>
      </c>
      <c r="C11" s="35">
        <f>C8-C9-C10</f>
        <v>506478803.77661091</v>
      </c>
      <c r="D11" s="36">
        <f t="shared" si="4"/>
        <v>0.11825840333500312</v>
      </c>
      <c r="E11" s="35">
        <f>E8-E9-E10</f>
        <v>163004663.21369159</v>
      </c>
      <c r="F11" s="36">
        <f t="shared" si="1"/>
        <v>0.11849807084035804</v>
      </c>
      <c r="G11" s="35">
        <f>G8-G9-G10</f>
        <v>309306598.51973659</v>
      </c>
      <c r="H11" s="36">
        <f t="shared" si="2"/>
        <v>0.11851152444244813</v>
      </c>
      <c r="I11" s="35">
        <f>I8-I9-I10</f>
        <v>325680121.88430327</v>
      </c>
      <c r="J11" s="36">
        <f t="shared" si="3"/>
        <v>0.11851228089331084</v>
      </c>
      <c r="K11" s="37">
        <f>K8-K9-K10</f>
        <v>326652261.62103462</v>
      </c>
      <c r="L11" s="56"/>
      <c r="M11" s="56"/>
      <c r="N11" s="56"/>
      <c r="O11" s="56"/>
      <c r="P11" s="45"/>
      <c r="Q11" s="45"/>
      <c r="R11" s="45"/>
    </row>
    <row r="12" spans="1:18" ht="12.75">
      <c r="A12" s="57" t="s">
        <v>102</v>
      </c>
      <c r="B12" s="47">
        <f t="shared" si="0"/>
        <v>0</v>
      </c>
      <c r="C12" s="49">
        <v>0</v>
      </c>
      <c r="D12" s="51">
        <f t="shared" si="4"/>
        <v>0</v>
      </c>
      <c r="E12" s="49">
        <v>0</v>
      </c>
      <c r="F12" s="51">
        <f t="shared" si="1"/>
        <v>0</v>
      </c>
      <c r="G12" s="49">
        <v>0</v>
      </c>
      <c r="H12" s="51">
        <f t="shared" si="2"/>
        <v>0</v>
      </c>
      <c r="I12" s="49">
        <v>0</v>
      </c>
      <c r="J12" s="51">
        <f t="shared" si="3"/>
        <v>0</v>
      </c>
      <c r="K12" s="52">
        <v>0</v>
      </c>
      <c r="L12" s="53"/>
      <c r="M12" s="53"/>
      <c r="N12" s="53"/>
      <c r="O12" s="53"/>
      <c r="P12" s="53"/>
      <c r="Q12" s="53"/>
      <c r="R12" s="53"/>
    </row>
    <row r="13" spans="1:18" ht="12.75">
      <c r="A13" s="50" t="s">
        <v>103</v>
      </c>
      <c r="B13" s="47">
        <f t="shared" si="0"/>
        <v>0</v>
      </c>
      <c r="C13" s="49">
        <f>'Estado de resultados PyG - 12 m'!U13</f>
        <v>0</v>
      </c>
      <c r="D13" s="51">
        <f t="shared" si="4"/>
        <v>3.4965034965034965E-3</v>
      </c>
      <c r="E13" s="49">
        <f>70000*12*(E18/14000)</f>
        <v>4819500</v>
      </c>
      <c r="F13" s="51">
        <f t="shared" si="1"/>
        <v>3.4965034965034965E-3</v>
      </c>
      <c r="G13" s="49">
        <f>70000*12*(G18/14000)</f>
        <v>9126660</v>
      </c>
      <c r="H13" s="51">
        <f t="shared" si="2"/>
        <v>3.4965034965034965E-3</v>
      </c>
      <c r="I13" s="49">
        <f>70000*12*(I18/14000)</f>
        <v>9608700</v>
      </c>
      <c r="J13" s="51">
        <f t="shared" si="3"/>
        <v>3.4965034965034965E-3</v>
      </c>
      <c r="K13" s="52">
        <f>70000*12*(K18/14000)</f>
        <v>9637320</v>
      </c>
      <c r="L13" s="53"/>
      <c r="M13" s="53"/>
      <c r="N13" s="53"/>
      <c r="O13" s="53"/>
      <c r="P13" s="53"/>
      <c r="Q13" s="53"/>
      <c r="R13" s="53"/>
    </row>
    <row r="14" spans="1:18" ht="12.75">
      <c r="A14" s="30" t="s">
        <v>104</v>
      </c>
      <c r="B14" s="32">
        <f t="shared" si="0"/>
        <v>0.58256130697175412</v>
      </c>
      <c r="C14" s="35">
        <f>C11+C12-C13</f>
        <v>506478803.77661091</v>
      </c>
      <c r="D14" s="36">
        <f t="shared" si="4"/>
        <v>0.11476189983849962</v>
      </c>
      <c r="E14" s="35">
        <f>E11+E12-E13</f>
        <v>158185163.21369159</v>
      </c>
      <c r="F14" s="36">
        <f t="shared" si="1"/>
        <v>0.11500156734385455</v>
      </c>
      <c r="G14" s="35">
        <f>G11+G12-G13</f>
        <v>300179938.51973659</v>
      </c>
      <c r="H14" s="36">
        <f t="shared" si="2"/>
        <v>0.11501502094594462</v>
      </c>
      <c r="I14" s="35">
        <f>I11+I12-I13</f>
        <v>316071421.88430327</v>
      </c>
      <c r="J14" s="36">
        <f t="shared" si="3"/>
        <v>0.11501577739680735</v>
      </c>
      <c r="K14" s="37">
        <f>K11+K12-K13</f>
        <v>317014941.62103462</v>
      </c>
      <c r="L14" s="56"/>
      <c r="M14" s="56"/>
      <c r="N14" s="56"/>
      <c r="O14" s="56"/>
      <c r="P14" s="45"/>
      <c r="Q14" s="45"/>
      <c r="R14" s="45"/>
    </row>
    <row r="15" spans="1:18" ht="12.75">
      <c r="A15" s="50" t="s">
        <v>105</v>
      </c>
      <c r="B15" s="47">
        <f t="shared" si="0"/>
        <v>0.22382971656180756</v>
      </c>
      <c r="C15" s="49">
        <f>'Estado de resultados PyG - 12 m'!U15</f>
        <v>194597556.92181379</v>
      </c>
      <c r="D15" s="51">
        <f t="shared" si="4"/>
        <v>4.0166664943474865E-2</v>
      </c>
      <c r="E15" s="49">
        <f>IF(E14&gt;0, E14*0.35, 0)</f>
        <v>55364807.124792054</v>
      </c>
      <c r="F15" s="51">
        <f t="shared" si="1"/>
        <v>4.0250548570349091E-2</v>
      </c>
      <c r="G15" s="49">
        <f>IF(G14&gt;0, G14*0.35, 0)</f>
        <v>105062978.4819078</v>
      </c>
      <c r="H15" s="51">
        <f t="shared" si="2"/>
        <v>4.0255257331080617E-2</v>
      </c>
      <c r="I15" s="49">
        <f>IF(I14&gt;0, I14*0.35, 0)</f>
        <v>110624997.65950614</v>
      </c>
      <c r="J15" s="51">
        <f t="shared" si="3"/>
        <v>4.025552208888257E-2</v>
      </c>
      <c r="K15" s="52">
        <f>IF(K14&gt;0, K14*0.35, 0)</f>
        <v>110955229.56736211</v>
      </c>
      <c r="L15" s="53"/>
      <c r="M15" s="53"/>
      <c r="N15" s="53"/>
      <c r="O15" s="53"/>
      <c r="P15" s="53"/>
      <c r="Q15" s="53"/>
      <c r="R15" s="53"/>
    </row>
    <row r="16" spans="1:18" ht="12.75">
      <c r="A16" s="30" t="s">
        <v>106</v>
      </c>
      <c r="B16" s="32">
        <f t="shared" si="0"/>
        <v>0.35873159040994662</v>
      </c>
      <c r="C16" s="35">
        <f>C14-C15</f>
        <v>311881246.85479712</v>
      </c>
      <c r="D16" s="36">
        <f t="shared" si="4"/>
        <v>7.4595234895024759E-2</v>
      </c>
      <c r="E16" s="35">
        <f>E14-E15</f>
        <v>102820356.08889954</v>
      </c>
      <c r="F16" s="36">
        <f t="shared" si="1"/>
        <v>7.475101877350547E-2</v>
      </c>
      <c r="G16" s="35">
        <f>G14-G15</f>
        <v>195116960.0378288</v>
      </c>
      <c r="H16" s="36">
        <f t="shared" si="2"/>
        <v>7.4759763614864014E-2</v>
      </c>
      <c r="I16" s="35">
        <f>I14-I15</f>
        <v>205446424.22479713</v>
      </c>
      <c r="J16" s="36">
        <f t="shared" si="3"/>
        <v>7.4760255307924767E-2</v>
      </c>
      <c r="K16" s="37">
        <f>K14-K15</f>
        <v>206059712.05367249</v>
      </c>
      <c r="L16" s="56"/>
      <c r="M16" s="56"/>
      <c r="N16" s="56"/>
      <c r="O16" s="56"/>
      <c r="P16" s="45"/>
      <c r="Q16" s="45"/>
      <c r="R16" s="45"/>
    </row>
    <row r="18" spans="2:18" ht="12.75">
      <c r="B18" s="11"/>
      <c r="C18" s="11"/>
      <c r="E18" s="62">
        <f>'Tabla Crecimiento'!B10</f>
        <v>80325</v>
      </c>
      <c r="G18" s="62">
        <f>'Tabla Crecimiento'!B11</f>
        <v>152111</v>
      </c>
      <c r="I18" s="62">
        <f>'Tabla Crecimiento'!B12</f>
        <v>160145</v>
      </c>
      <c r="K18" s="62">
        <f>'Tabla Crecimiento'!B13</f>
        <v>160622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L19" s="11" t="s">
        <v>107</v>
      </c>
      <c r="M19" s="11">
        <v>3</v>
      </c>
    </row>
    <row r="20" spans="2:18" ht="12.75">
      <c r="C20" s="44">
        <f>C5+C6+C9+C10+C13+C15</f>
        <v>556818759.14238203</v>
      </c>
      <c r="L20" s="11" t="s">
        <v>108</v>
      </c>
      <c r="M20" s="11">
        <v>2860</v>
      </c>
    </row>
    <row r="21" spans="2:18" ht="12.75">
      <c r="L21" s="11" t="s">
        <v>109</v>
      </c>
      <c r="M21" s="11">
        <v>0.03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C5" sqref="C5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7"/>
      <c r="B1" s="114" t="s">
        <v>79</v>
      </c>
      <c r="C1" s="105"/>
      <c r="D1" s="114" t="s">
        <v>76</v>
      </c>
      <c r="E1" s="105"/>
      <c r="F1" s="114" t="s">
        <v>77</v>
      </c>
      <c r="G1" s="105"/>
      <c r="H1" s="114" t="s">
        <v>78</v>
      </c>
      <c r="I1" s="105"/>
      <c r="J1" s="114" t="s">
        <v>80</v>
      </c>
      <c r="K1" s="105"/>
      <c r="L1" s="114" t="s">
        <v>81</v>
      </c>
      <c r="M1" s="105"/>
      <c r="N1" s="29"/>
      <c r="O1" s="29"/>
      <c r="P1" s="29"/>
      <c r="Q1" s="29"/>
      <c r="R1" s="29"/>
      <c r="S1" s="29"/>
      <c r="T1" s="29"/>
    </row>
    <row r="2" spans="1:20" ht="15.75" customHeight="1">
      <c r="A2" s="31" t="s">
        <v>82</v>
      </c>
      <c r="B2" s="33">
        <f>C2/$C$2</f>
        <v>1</v>
      </c>
      <c r="C2" s="34">
        <f>SUM(C3:C8)</f>
        <v>4095700</v>
      </c>
      <c r="D2" s="33">
        <f t="shared" ref="D2:D8" si="0">E2/$E$2</f>
        <v>1</v>
      </c>
      <c r="E2" s="34">
        <f>SUM(E3:E8)</f>
        <v>556076391.12372136</v>
      </c>
      <c r="F2" s="33">
        <f t="shared" ref="F2:F8" si="1">G2/$G$2</f>
        <v>1</v>
      </c>
      <c r="G2" s="34">
        <f>SUM(G3:G8)</f>
        <v>1263135619.9111004</v>
      </c>
      <c r="H2" s="33">
        <f t="shared" ref="H2:H8" si="2">I2/$I$2</f>
        <v>1</v>
      </c>
      <c r="I2" s="34">
        <f>SUM(I3:I8)</f>
        <v>2392211762.8421717</v>
      </c>
      <c r="J2" s="33">
        <f t="shared" ref="J2:J8" si="3">K2/$K$2</f>
        <v>1</v>
      </c>
      <c r="K2" s="34">
        <f>SUM(K3:K8)</f>
        <v>2518573417.3752027</v>
      </c>
      <c r="L2" s="33">
        <f t="shared" ref="L2:L8" si="4">M2/$M$2</f>
        <v>1</v>
      </c>
      <c r="M2" s="38">
        <f>SUM(M3:M8)</f>
        <v>2526075845.7063279</v>
      </c>
      <c r="N2" s="39"/>
      <c r="O2" s="39"/>
      <c r="P2" s="39"/>
      <c r="Q2" s="39"/>
      <c r="R2" s="39"/>
      <c r="S2" s="39"/>
      <c r="T2" s="39"/>
    </row>
    <row r="3" spans="1:20" ht="15.75" customHeight="1">
      <c r="A3" s="40" t="s">
        <v>83</v>
      </c>
      <c r="B3" s="41">
        <f t="shared" ref="B2:B8" si="5">C3/$C$2</f>
        <v>0</v>
      </c>
      <c r="C3" s="42">
        <v>0</v>
      </c>
      <c r="D3" s="41">
        <f t="shared" si="0"/>
        <v>0.16716176744483335</v>
      </c>
      <c r="E3" s="43">
        <f>'Estado de resultados PyG - 5 añ'!C6</f>
        <v>92954712.374585703</v>
      </c>
      <c r="F3" s="41">
        <f t="shared" si="1"/>
        <v>0.59111524714388941</v>
      </c>
      <c r="G3" s="43">
        <f>'Estado de resultados PyG - 5 añ'!E6</f>
        <v>746658724.1400001</v>
      </c>
      <c r="H3" s="41">
        <f t="shared" si="2"/>
        <v>0.59106114335935833</v>
      </c>
      <c r="I3" s="43">
        <f>'Estado de resultados PyG - 5 añ'!G6</f>
        <v>1413943419.7032001</v>
      </c>
      <c r="J3" s="41">
        <f t="shared" si="3"/>
        <v>0.59105810656709301</v>
      </c>
      <c r="K3" s="43">
        <f>'Estado de resultados PyG - 5 añ'!I6</f>
        <v>1488623235.3240001</v>
      </c>
      <c r="L3" s="41">
        <f t="shared" si="4"/>
        <v>0.59105793581938915</v>
      </c>
      <c r="M3" s="46">
        <f>'Estado de resultados PyG - 5 añ'!K6</f>
        <v>1493057175.0864</v>
      </c>
      <c r="N3" s="48"/>
      <c r="O3" s="48"/>
      <c r="P3" s="48"/>
      <c r="Q3" s="48"/>
      <c r="R3" s="48"/>
      <c r="S3" s="48"/>
      <c r="T3" s="48"/>
    </row>
    <row r="4" spans="1:20" ht="15.75" customHeight="1">
      <c r="A4" s="40" t="s">
        <v>85</v>
      </c>
      <c r="B4" s="41">
        <f t="shared" si="5"/>
        <v>6.8120223649193054E-2</v>
      </c>
      <c r="C4" s="42">
        <v>279000</v>
      </c>
      <c r="D4" s="41">
        <f t="shared" si="0"/>
        <v>7.1646990658043846E-3</v>
      </c>
      <c r="E4" s="43">
        <f>('Salarios, gastos y costos'!$K$11)*12</f>
        <v>3984120</v>
      </c>
      <c r="F4" s="41">
        <f t="shared" si="1"/>
        <v>1.8096939188215443E-2</v>
      </c>
      <c r="G4" s="43">
        <f>('Salarios, gastos y costos'!$K$11)*12*('Estado de resultados PyG - 5 añ'!E18/14000)</f>
        <v>22858888.5</v>
      </c>
      <c r="H4" s="41">
        <f t="shared" si="2"/>
        <v>1.809528280580399E-2</v>
      </c>
      <c r="I4" s="43">
        <f>('Salarios, gastos y costos'!$K$11)*12*('Estado de resultados PyG - 5 añ'!G18/14000)</f>
        <v>43287748.380000003</v>
      </c>
      <c r="J4" s="41">
        <f t="shared" si="3"/>
        <v>1.8095189834686738E-2</v>
      </c>
      <c r="K4" s="43">
        <f>('Salarios, gastos y costos'!$K$11)*12*('Estado de resultados PyG - 5 añ'!I18/14000)</f>
        <v>45574064.100000001</v>
      </c>
      <c r="L4" s="41">
        <f t="shared" si="4"/>
        <v>1.8095184607261415E-2</v>
      </c>
      <c r="M4" s="46">
        <f>('Salarios, gastos y costos'!$K$11)*12*('Estado de resultados PyG - 5 añ'!K18/14000)</f>
        <v>45709808.760000005</v>
      </c>
      <c r="N4" s="48"/>
      <c r="O4" s="48"/>
      <c r="P4" s="48"/>
      <c r="Q4" s="48"/>
      <c r="R4" s="48"/>
      <c r="S4" s="48"/>
      <c r="T4" s="48"/>
    </row>
    <row r="5" spans="1:20" ht="15.75" customHeight="1">
      <c r="A5" s="40" t="s">
        <v>87</v>
      </c>
      <c r="B5" s="41">
        <f t="shared" si="5"/>
        <v>0</v>
      </c>
      <c r="C5" s="42">
        <v>0</v>
      </c>
      <c r="D5" s="41">
        <f t="shared" si="0"/>
        <v>0</v>
      </c>
      <c r="E5" s="43">
        <f>('Salarios, gastos y costos'!$E$11)*12</f>
        <v>0</v>
      </c>
      <c r="F5" s="41">
        <f t="shared" si="1"/>
        <v>0</v>
      </c>
      <c r="G5" s="43">
        <f>E5*1.7</f>
        <v>0</v>
      </c>
      <c r="H5" s="41">
        <f t="shared" si="2"/>
        <v>0</v>
      </c>
      <c r="I5" s="43">
        <f>G5*1.7</f>
        <v>0</v>
      </c>
      <c r="J5" s="41">
        <f t="shared" si="3"/>
        <v>0</v>
      </c>
      <c r="K5" s="43">
        <f>I5*1.7</f>
        <v>0</v>
      </c>
      <c r="L5" s="41">
        <f t="shared" si="4"/>
        <v>0</v>
      </c>
      <c r="M5" s="46">
        <f>K5*1.7</f>
        <v>0</v>
      </c>
      <c r="N5" s="48"/>
      <c r="O5" s="48"/>
      <c r="P5" s="48"/>
      <c r="Q5" s="48"/>
      <c r="R5" s="48"/>
      <c r="S5" s="48"/>
      <c r="T5" s="48"/>
    </row>
    <row r="6" spans="1:20" ht="15.75" customHeight="1">
      <c r="A6" s="40" t="s">
        <v>89</v>
      </c>
      <c r="B6" s="41">
        <f t="shared" si="5"/>
        <v>0.90338647850184339</v>
      </c>
      <c r="C6" s="42">
        <f>'Presupuesto Inicial'!D23</f>
        <v>3700000</v>
      </c>
      <c r="D6" s="41">
        <f t="shared" si="0"/>
        <v>0.46903627984085772</v>
      </c>
      <c r="E6" s="43">
        <f>E10*'Estado de resultados PyG - 5 añ'!$M$21*10</f>
        <v>260820001.80000001</v>
      </c>
      <c r="F6" s="41">
        <f t="shared" si="1"/>
        <v>0.32737031042565573</v>
      </c>
      <c r="G6" s="43">
        <f>G10*'Estado de resultados PyG - 5 añ'!$M$21*10</f>
        <v>413513100</v>
      </c>
      <c r="H6" s="41">
        <f t="shared" si="2"/>
        <v>0.3273403467716598</v>
      </c>
      <c r="I6" s="43">
        <f>I10*'Estado de resultados PyG - 5 añ'!$M$21*10</f>
        <v>783067428</v>
      </c>
      <c r="J6" s="41">
        <f t="shared" si="3"/>
        <v>0.32733866494120217</v>
      </c>
      <c r="K6" s="43">
        <f>K10*'Estado de resultados PyG - 5 añ'!$M$21*10</f>
        <v>824426460</v>
      </c>
      <c r="L6" s="41">
        <f t="shared" si="4"/>
        <v>0.32733857037803693</v>
      </c>
      <c r="M6" s="46">
        <f>M10*'Estado de resultados PyG - 5 añ'!$M$21*10</f>
        <v>826882056</v>
      </c>
      <c r="N6" s="48"/>
      <c r="O6" s="48"/>
      <c r="P6" s="48"/>
      <c r="Q6" s="48"/>
      <c r="R6" s="48"/>
      <c r="S6" s="48"/>
      <c r="T6" s="48"/>
    </row>
    <row r="7" spans="1:20" ht="15.75" customHeight="1">
      <c r="A7" s="40" t="s">
        <v>91</v>
      </c>
      <c r="B7" s="41">
        <f t="shared" si="5"/>
        <v>2.8493297848963546E-2</v>
      </c>
      <c r="C7" s="42">
        <f>'Presupuesto Inicial'!B2</f>
        <v>116700</v>
      </c>
      <c r="D7" s="41">
        <f t="shared" si="0"/>
        <v>6.6897284018917246E-3</v>
      </c>
      <c r="E7" s="42">
        <f>'Estado de resultados PyG - 5 añ'!C13+'Estado de resultados PyG - 5 añ'!C10</f>
        <v>3720000.0273218099</v>
      </c>
      <c r="F7" s="41">
        <f t="shared" si="1"/>
        <v>1.9586258004543888E-2</v>
      </c>
      <c r="G7" s="42">
        <f>'Estado de resultados PyG - 5 añ'!E13+'Estado de resultados PyG - 5 añ'!E10</f>
        <v>24740100.146308295</v>
      </c>
      <c r="H7" s="41">
        <f t="shared" si="2"/>
        <v>1.9584465307285664E-2</v>
      </c>
      <c r="I7" s="42">
        <f>'Estado de resultados PyG - 5 añ'!G13+'Estado de resultados PyG - 5 añ'!G10</f>
        <v>46850188.277063191</v>
      </c>
      <c r="J7" s="41">
        <f t="shared" si="3"/>
        <v>1.9584364684949996E-2</v>
      </c>
      <c r="K7" s="42">
        <f>'Estado de resultados PyG - 5 añ'!I13+'Estado de resultados PyG - 5 añ'!I10</f>
        <v>49324660.29169675</v>
      </c>
      <c r="L7" s="41">
        <f t="shared" si="4"/>
        <v>1.9584359027324694E-2</v>
      </c>
      <c r="M7" s="54">
        <f>'Estado de resultados PyG - 5 añ'!K13+'Estado de resultados PyG - 5 añ'!K10</f>
        <v>49471576.292565584</v>
      </c>
      <c r="N7" s="55"/>
      <c r="O7" s="55"/>
      <c r="P7" s="55"/>
      <c r="Q7" s="55"/>
      <c r="R7" s="55"/>
      <c r="S7" s="55"/>
      <c r="T7" s="55"/>
    </row>
    <row r="8" spans="1:20" ht="15.75" customHeight="1">
      <c r="A8" s="40" t="s">
        <v>93</v>
      </c>
      <c r="B8" s="41">
        <f t="shared" si="5"/>
        <v>0</v>
      </c>
      <c r="C8" s="42">
        <v>0</v>
      </c>
      <c r="D8" s="41">
        <f t="shared" si="0"/>
        <v>0.34994752524661277</v>
      </c>
      <c r="E8" s="42">
        <f>'Estado de resultados PyG - 5 añ'!C15</f>
        <v>194597556.92181379</v>
      </c>
      <c r="F8" s="41">
        <f t="shared" si="1"/>
        <v>4.3831245237695562E-2</v>
      </c>
      <c r="G8" s="42">
        <f>'Estado de resultados PyG - 5 añ'!E15</f>
        <v>55364807.124792054</v>
      </c>
      <c r="H8" s="41">
        <f t="shared" si="2"/>
        <v>4.3918761755892023E-2</v>
      </c>
      <c r="I8" s="42">
        <f>'Estado de resultados PyG - 5 añ'!G15</f>
        <v>105062978.4819078</v>
      </c>
      <c r="J8" s="41">
        <f t="shared" si="3"/>
        <v>4.3923673972068235E-2</v>
      </c>
      <c r="K8" s="42">
        <f>'Estado de resultados PyG - 5 añ'!I15</f>
        <v>110624997.65950614</v>
      </c>
      <c r="L8" s="41">
        <f t="shared" si="4"/>
        <v>4.392395016798769E-2</v>
      </c>
      <c r="M8" s="54">
        <f>'Estado de resultados PyG - 5 añ'!K15</f>
        <v>110955229.56736211</v>
      </c>
      <c r="N8" s="55"/>
      <c r="O8" s="55"/>
      <c r="P8" s="55"/>
      <c r="Q8" s="55"/>
      <c r="R8" s="55"/>
      <c r="S8" s="55"/>
      <c r="T8" s="55"/>
    </row>
    <row r="9" spans="1:20" ht="15.75" customHeight="1">
      <c r="A9" s="31" t="s">
        <v>95</v>
      </c>
      <c r="B9" s="33">
        <f>C9/$C$9</f>
        <v>1</v>
      </c>
      <c r="C9" s="34">
        <f>SUM(C10:C11)</f>
        <v>70000000</v>
      </c>
      <c r="D9" s="33">
        <f>E9/$E$9</f>
        <v>1</v>
      </c>
      <c r="E9" s="34">
        <f>SUM(E10:E11)</f>
        <v>869400006</v>
      </c>
      <c r="F9" s="33">
        <f>G9/$G$9</f>
        <v>1</v>
      </c>
      <c r="G9" s="34">
        <f>SUM(G10:G11)</f>
        <v>1378377000</v>
      </c>
      <c r="H9" s="33">
        <f>I9/$I$9</f>
        <v>1</v>
      </c>
      <c r="I9" s="34">
        <f>SUM(I10:I11)</f>
        <v>2610224760</v>
      </c>
      <c r="J9" s="33">
        <f>K9/$K$9</f>
        <v>1</v>
      </c>
      <c r="K9" s="34">
        <f>SUM(K10:K11)</f>
        <v>2748088200</v>
      </c>
      <c r="L9" s="33">
        <f>M9/$M$9</f>
        <v>1</v>
      </c>
      <c r="M9" s="38">
        <f>SUM(M10:M11)</f>
        <v>2756273520</v>
      </c>
      <c r="N9" s="39"/>
      <c r="O9" s="39"/>
      <c r="P9" s="39"/>
      <c r="Q9" s="39"/>
      <c r="R9" s="39"/>
      <c r="S9" s="39"/>
      <c r="T9" s="39"/>
    </row>
    <row r="10" spans="1:20" ht="15.75" customHeight="1">
      <c r="A10" s="40" t="s">
        <v>97</v>
      </c>
      <c r="B10" s="41">
        <f>C10/$C$9</f>
        <v>0</v>
      </c>
      <c r="C10" s="42">
        <v>0</v>
      </c>
      <c r="D10" s="41">
        <f>E10/$E$9</f>
        <v>1</v>
      </c>
      <c r="E10" s="42">
        <f>'Estado de resultados PyG - 5 añ'!C3</f>
        <v>869400006</v>
      </c>
      <c r="F10" s="41">
        <f>G10/$G$9</f>
        <v>1</v>
      </c>
      <c r="G10" s="42">
        <f>'Estado de resultados PyG - 5 añ'!E3</f>
        <v>1378377000</v>
      </c>
      <c r="H10" s="41">
        <f>I10/$I$9</f>
        <v>1</v>
      </c>
      <c r="I10" s="42">
        <f>'Estado de resultados PyG - 5 añ'!G3</f>
        <v>2610224760</v>
      </c>
      <c r="J10" s="41">
        <f>K10/$K$9</f>
        <v>1</v>
      </c>
      <c r="K10" s="42">
        <f>'Estado de resultados PyG - 5 añ'!I3</f>
        <v>2748088200</v>
      </c>
      <c r="L10" s="41">
        <f>M10/$K$9</f>
        <v>1.0029785506884386</v>
      </c>
      <c r="M10" s="54">
        <f>'Estado de resultados PyG - 5 añ'!K3</f>
        <v>2756273520</v>
      </c>
      <c r="N10" s="55"/>
      <c r="O10" s="48"/>
      <c r="P10" s="48"/>
      <c r="Q10" s="48"/>
      <c r="R10" s="48"/>
      <c r="S10" s="48"/>
      <c r="T10" s="48"/>
    </row>
    <row r="11" spans="1:20" ht="15.75" customHeight="1">
      <c r="A11" s="40" t="s">
        <v>99</v>
      </c>
      <c r="B11" s="41">
        <f>C11/$C$9</f>
        <v>1</v>
      </c>
      <c r="C11" s="42">
        <v>70000000</v>
      </c>
      <c r="D11" s="41">
        <v>0</v>
      </c>
      <c r="E11" s="42">
        <v>0</v>
      </c>
      <c r="F11" s="41">
        <v>0</v>
      </c>
      <c r="G11" s="42">
        <v>0</v>
      </c>
      <c r="H11" s="41">
        <v>0</v>
      </c>
      <c r="I11" s="42">
        <v>0</v>
      </c>
      <c r="J11" s="41">
        <v>0</v>
      </c>
      <c r="K11" s="42">
        <v>0</v>
      </c>
      <c r="L11" s="41">
        <v>0</v>
      </c>
      <c r="M11" s="54">
        <v>0</v>
      </c>
      <c r="N11" s="55"/>
      <c r="O11" s="55"/>
      <c r="P11" s="55"/>
      <c r="Q11" s="55"/>
      <c r="R11" s="55"/>
      <c r="S11" s="55"/>
      <c r="T11" s="55"/>
    </row>
    <row r="12" spans="1:20" ht="15.75" customHeight="1">
      <c r="A12" s="31" t="s">
        <v>100</v>
      </c>
      <c r="B12" s="58"/>
      <c r="C12" s="59">
        <f>C9-C2</f>
        <v>65904300</v>
      </c>
      <c r="D12" s="58"/>
      <c r="E12" s="59">
        <f>C12-E2+E9</f>
        <v>379227914.87627864</v>
      </c>
      <c r="F12" s="58"/>
      <c r="G12" s="59">
        <f>E12-G2+G9</f>
        <v>494469294.96517825</v>
      </c>
      <c r="H12" s="58"/>
      <c r="I12" s="59">
        <f>G12-I2+I9</f>
        <v>712482292.12300658</v>
      </c>
      <c r="J12" s="58"/>
      <c r="K12" s="59">
        <f>I12-K2+K9</f>
        <v>941997074.74780393</v>
      </c>
      <c r="L12" s="58"/>
      <c r="M12" s="60">
        <f>K12-M2+M9</f>
        <v>1172194749.041476</v>
      </c>
      <c r="N12" s="61"/>
      <c r="O12" s="61"/>
      <c r="P12" s="61"/>
      <c r="Q12" s="61"/>
      <c r="R12" s="61"/>
      <c r="S12" s="61"/>
      <c r="T12" s="6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D24" sqref="D24"/>
    </sheetView>
  </sheetViews>
  <sheetFormatPr baseColWidth="10" defaultColWidth="14.42578125" defaultRowHeight="15.75" customHeight="1"/>
  <cols>
    <col min="1" max="2" width="23.140625" customWidth="1"/>
    <col min="3" max="3" width="9.5703125" customWidth="1"/>
    <col min="4" max="4" width="14.7109375" bestFit="1" customWidth="1"/>
    <col min="5" max="5" width="7.42578125" customWidth="1"/>
    <col min="7" max="7" width="7" customWidth="1"/>
    <col min="9" max="9" width="7.28515625" customWidth="1"/>
    <col min="11" max="11" width="7.42578125" customWidth="1"/>
  </cols>
  <sheetData>
    <row r="1" spans="1:19" ht="12.75">
      <c r="A1" s="26"/>
      <c r="B1" s="26"/>
      <c r="C1" s="111" t="s">
        <v>76</v>
      </c>
      <c r="D1" s="105"/>
      <c r="E1" s="111" t="s">
        <v>77</v>
      </c>
      <c r="F1" s="105"/>
      <c r="G1" s="111" t="s">
        <v>78</v>
      </c>
      <c r="H1" s="105"/>
      <c r="I1" s="111" t="s">
        <v>80</v>
      </c>
      <c r="J1" s="105"/>
      <c r="K1" s="112" t="s">
        <v>81</v>
      </c>
      <c r="L1" s="113"/>
      <c r="M1" s="28"/>
      <c r="N1" s="28"/>
      <c r="O1" s="28"/>
      <c r="P1" s="28"/>
      <c r="Q1" s="28"/>
      <c r="R1" s="28"/>
      <c r="S1" s="28"/>
    </row>
    <row r="2" spans="1:19" ht="12.75">
      <c r="A2" s="30" t="s">
        <v>75</v>
      </c>
      <c r="B2" s="30"/>
      <c r="C2" s="32">
        <v>1</v>
      </c>
      <c r="D2" s="35">
        <f>D3</f>
        <v>869400006</v>
      </c>
      <c r="E2" s="36">
        <v>1</v>
      </c>
      <c r="F2" s="35">
        <f>F3</f>
        <v>1378377000</v>
      </c>
      <c r="G2" s="36">
        <v>1</v>
      </c>
      <c r="H2" s="35">
        <f>H3</f>
        <v>2610224760</v>
      </c>
      <c r="I2" s="36">
        <v>1</v>
      </c>
      <c r="J2" s="35">
        <f>J3</f>
        <v>2748088200</v>
      </c>
      <c r="K2" s="36">
        <v>1</v>
      </c>
      <c r="L2" s="37">
        <f>L3</f>
        <v>2756273520</v>
      </c>
      <c r="M2" s="45"/>
      <c r="N2" s="45"/>
      <c r="O2" s="45"/>
      <c r="P2" s="45"/>
      <c r="Q2" s="45"/>
      <c r="R2" s="45"/>
      <c r="S2" s="45"/>
    </row>
    <row r="3" spans="1:19" ht="15.75" customHeight="1">
      <c r="A3" s="50" t="s">
        <v>84</v>
      </c>
      <c r="B3" s="50"/>
      <c r="C3" s="47">
        <v>1</v>
      </c>
      <c r="D3" s="49">
        <f>'Estado de resultados PyG - 12 m'!U3</f>
        <v>869400006</v>
      </c>
      <c r="E3" s="51">
        <v>1</v>
      </c>
      <c r="F3" s="49">
        <f>F22*$N$24*6</f>
        <v>1378377000</v>
      </c>
      <c r="G3" s="51">
        <v>1</v>
      </c>
      <c r="H3" s="49">
        <f>H22*$N$24*6</f>
        <v>2610224760</v>
      </c>
      <c r="I3" s="51">
        <v>1</v>
      </c>
      <c r="J3" s="49">
        <f>J22*$N$24*6</f>
        <v>2748088200</v>
      </c>
      <c r="K3" s="51">
        <v>1</v>
      </c>
      <c r="L3" s="52">
        <f>L22*$N$24*6</f>
        <v>2756273520</v>
      </c>
      <c r="M3" s="53"/>
      <c r="N3" s="53"/>
      <c r="O3" s="53"/>
      <c r="P3" s="53"/>
      <c r="Q3" s="53"/>
      <c r="R3" s="53"/>
      <c r="S3" s="53"/>
    </row>
    <row r="4" spans="1:19" ht="12.75">
      <c r="A4" s="30" t="s">
        <v>86</v>
      </c>
      <c r="B4" s="30"/>
      <c r="C4" s="32">
        <f t="shared" ref="C4:C19" si="0">(D4)/$D$2</f>
        <v>0.40857727136939109</v>
      </c>
      <c r="D4" s="35">
        <f>SUM(D5:D7)</f>
        <v>355217082.18001223</v>
      </c>
      <c r="E4" s="51">
        <f>(F4)/$F$2</f>
        <v>0.85070546602272101</v>
      </c>
      <c r="F4" s="35">
        <f>SUM(F5:F7)</f>
        <v>1172592848.1400001</v>
      </c>
      <c r="G4" s="36">
        <f t="shared" ref="G4:G19" si="1">(H4)/$H$2</f>
        <v>0.85046579851736603</v>
      </c>
      <c r="H4" s="35">
        <f>SUM(H5:H7)</f>
        <v>2219906884.8232002</v>
      </c>
      <c r="I4" s="36">
        <f t="shared" ref="I4:I19" si="2">(J4)/$J$2</f>
        <v>0.85045234491527599</v>
      </c>
      <c r="J4" s="35">
        <f>SUM(J5:J7)</f>
        <v>2337118053.724</v>
      </c>
      <c r="K4" s="36">
        <f t="shared" ref="K4:K19" si="3">(L4)/$L$2</f>
        <v>0.85045158846441327</v>
      </c>
      <c r="L4" s="37">
        <f>SUM(L5:L7)</f>
        <v>2344077193.3263998</v>
      </c>
      <c r="M4" s="45"/>
      <c r="N4" s="45"/>
      <c r="O4" s="45"/>
      <c r="P4" s="45"/>
      <c r="Q4" s="45"/>
      <c r="R4" s="45"/>
      <c r="S4" s="45"/>
    </row>
    <row r="5" spans="1:19" ht="12.75">
      <c r="A5" s="50" t="s">
        <v>88</v>
      </c>
      <c r="B5" s="50"/>
      <c r="C5" s="47">
        <f t="shared" si="0"/>
        <v>0.30085388543533742</v>
      </c>
      <c r="D5" s="49">
        <f>'Estado de resultados PyG - 12 m'!U5</f>
        <v>261562369.80260569</v>
      </c>
      <c r="E5" s="51">
        <f>(F5)/F2</f>
        <v>0.30850349650349651</v>
      </c>
      <c r="F5" s="49">
        <f>((('Salarios, gastos y costos'!$H$11)*12)*(F22/5000)) + (F3*$N$25*10)</f>
        <v>425234124</v>
      </c>
      <c r="G5" s="51">
        <f t="shared" si="1"/>
        <v>0.30850349650349651</v>
      </c>
      <c r="H5" s="49">
        <f>((('Salarios, gastos y costos'!$H$11)*12)*(H22/5000)) + (H3*$N$25*10)</f>
        <v>805263465.12</v>
      </c>
      <c r="I5" s="51">
        <f t="shared" si="2"/>
        <v>0.30850349650349651</v>
      </c>
      <c r="J5" s="49">
        <f>((('Salarios, gastos y costos'!$H$11)*12)*(J22/5000)) + (J3*$N$25*10)</f>
        <v>847794818.39999998</v>
      </c>
      <c r="K5" s="51">
        <f t="shared" si="3"/>
        <v>0.30850349650349651</v>
      </c>
      <c r="L5" s="52">
        <f>((('Salarios, gastos y costos'!$H$11)*12)*(L22/5000)) + (L3*$N$25*10)</f>
        <v>850320018.24000001</v>
      </c>
      <c r="M5" s="53"/>
      <c r="N5" s="53"/>
      <c r="O5" s="53"/>
      <c r="P5" s="53"/>
      <c r="Q5" s="53"/>
      <c r="R5" s="53"/>
      <c r="S5" s="53"/>
    </row>
    <row r="6" spans="1:19" ht="12.75">
      <c r="A6" s="50" t="s">
        <v>90</v>
      </c>
      <c r="B6" s="50"/>
      <c r="C6" s="47">
        <f t="shared" si="0"/>
        <v>0.10691823295729964</v>
      </c>
      <c r="D6" s="49">
        <f>'Estado de resultados PyG - 12 m'!U6</f>
        <v>92954712.374585703</v>
      </c>
      <c r="E6" s="51">
        <f t="shared" ref="E6:E19" si="4">F6/$F$2</f>
        <v>0.54169412587412591</v>
      </c>
      <c r="F6" s="49">
        <f>('Salarios, gastos y costos'!$B$27)*12*(F22/10000)</f>
        <v>746658724.1400001</v>
      </c>
      <c r="G6" s="51">
        <f t="shared" si="1"/>
        <v>0.54169412587412591</v>
      </c>
      <c r="H6" s="49">
        <f>('Salarios, gastos y costos'!$B$27)*12*(H22/10000)</f>
        <v>1413943419.7032001</v>
      </c>
      <c r="I6" s="51">
        <f t="shared" si="2"/>
        <v>0.54169412587412591</v>
      </c>
      <c r="J6" s="49">
        <f>('Salarios, gastos y costos'!$B$27)*12*(J22/10000)</f>
        <v>1488623235.3240001</v>
      </c>
      <c r="K6" s="51">
        <f t="shared" si="3"/>
        <v>0.54169412587412591</v>
      </c>
      <c r="L6" s="52">
        <f>('Salarios, gastos y costos'!$B$27)*12*(L22/10000)</f>
        <v>1493057175.0864</v>
      </c>
      <c r="M6" s="53"/>
      <c r="N6" s="53"/>
      <c r="O6" s="53"/>
      <c r="P6" s="53"/>
      <c r="Q6" s="53"/>
      <c r="R6" s="53"/>
      <c r="S6" s="53"/>
    </row>
    <row r="7" spans="1:19" ht="12.75">
      <c r="A7" s="50" t="s">
        <v>92</v>
      </c>
      <c r="B7" s="50"/>
      <c r="C7" s="47">
        <f t="shared" si="0"/>
        <v>8.0515297675398906E-4</v>
      </c>
      <c r="D7" s="49">
        <f>'Estado de resultados PyG - 12 m'!U7</f>
        <v>700000.00282083591</v>
      </c>
      <c r="E7" s="51">
        <f t="shared" si="4"/>
        <v>5.0784364509854707E-4</v>
      </c>
      <c r="F7" s="49">
        <f>('Presupuesto Inicial'!$J$20)*12</f>
        <v>700000</v>
      </c>
      <c r="G7" s="51">
        <f t="shared" si="1"/>
        <v>2.6817613974361351E-4</v>
      </c>
      <c r="H7" s="49">
        <f>('Presupuesto Inicial'!$J$20)*12</f>
        <v>700000</v>
      </c>
      <c r="I7" s="51">
        <f t="shared" si="2"/>
        <v>2.5472253765363134E-4</v>
      </c>
      <c r="J7" s="49">
        <f>('Presupuesto Inicial'!$J$20)*12</f>
        <v>700000</v>
      </c>
      <c r="K7" s="51">
        <f t="shared" si="3"/>
        <v>2.5396608679098E-4</v>
      </c>
      <c r="L7" s="52">
        <f>('Presupuesto Inicial'!$J$20)*12</f>
        <v>700000</v>
      </c>
      <c r="M7" s="53"/>
      <c r="N7" s="53"/>
      <c r="O7" s="53"/>
      <c r="P7" s="53"/>
      <c r="Q7" s="53"/>
      <c r="R7" s="53"/>
      <c r="S7" s="53"/>
    </row>
    <row r="8" spans="1:19" ht="12.75">
      <c r="A8" s="30" t="s">
        <v>94</v>
      </c>
      <c r="B8" s="30"/>
      <c r="C8" s="32">
        <f t="shared" si="0"/>
        <v>0.59142272863060896</v>
      </c>
      <c r="D8" s="35">
        <f>D2-D4</f>
        <v>514182923.81998777</v>
      </c>
      <c r="E8" s="36">
        <f t="shared" si="4"/>
        <v>0.14929453397727899</v>
      </c>
      <c r="F8" s="35">
        <f>F2-F4</f>
        <v>205784151.8599999</v>
      </c>
      <c r="G8" s="36">
        <f t="shared" si="1"/>
        <v>0.14953420148263391</v>
      </c>
      <c r="H8" s="35">
        <f>H2-H4</f>
        <v>390317875.17679977</v>
      </c>
      <c r="I8" s="36">
        <f t="shared" si="2"/>
        <v>0.14954765508472401</v>
      </c>
      <c r="J8" s="35">
        <f>J2-J4</f>
        <v>410970146.27600002</v>
      </c>
      <c r="K8" s="36">
        <f t="shared" si="3"/>
        <v>0.14954841153558671</v>
      </c>
      <c r="L8" s="37">
        <f>L2-L4</f>
        <v>412196326.6736002</v>
      </c>
      <c r="M8" s="56"/>
      <c r="N8" s="45"/>
      <c r="O8" s="45"/>
      <c r="P8" s="45"/>
      <c r="Q8" s="45"/>
      <c r="R8" s="45"/>
      <c r="S8" s="45"/>
    </row>
    <row r="9" spans="1:19" ht="12.75">
      <c r="A9" s="57" t="s">
        <v>96</v>
      </c>
      <c r="B9" s="57"/>
      <c r="C9" s="47">
        <f t="shared" si="0"/>
        <v>4.5826086824930033E-3</v>
      </c>
      <c r="D9" s="49">
        <f>'Estado de resultados PyG - 12 m'!U9</f>
        <v>3984120.0160550689</v>
      </c>
      <c r="E9" s="51">
        <f t="shared" si="4"/>
        <v>1.6583916083916083E-2</v>
      </c>
      <c r="F9" s="49">
        <f>('Salarios, gastos y costos'!$E$11+'Salarios, gastos y costos'!$K$11)*12*(F22/14000)</f>
        <v>22858888.5</v>
      </c>
      <c r="G9" s="51">
        <f t="shared" si="1"/>
        <v>1.6583916083916087E-2</v>
      </c>
      <c r="H9" s="49">
        <f>('Salarios, gastos y costos'!$E$11+'Salarios, gastos y costos'!$K$11)*12*(H22/14000)</f>
        <v>43287748.380000003</v>
      </c>
      <c r="I9" s="51">
        <f t="shared" si="2"/>
        <v>1.6583916083916083E-2</v>
      </c>
      <c r="J9" s="49">
        <f>('Salarios, gastos y costos'!$E$11+'Salarios, gastos y costos'!$K$11)*12*(J22/14000)</f>
        <v>45574064.100000001</v>
      </c>
      <c r="K9" s="51">
        <f t="shared" si="3"/>
        <v>1.6583916083916087E-2</v>
      </c>
      <c r="L9" s="52">
        <f>('Salarios, gastos y costos'!$E$11+'Salarios, gastos y costos'!$K$11)*12*(L22/14000)</f>
        <v>45709808.760000005</v>
      </c>
      <c r="M9" s="53"/>
      <c r="N9" s="53"/>
      <c r="O9" s="53"/>
      <c r="P9" s="53"/>
      <c r="Q9" s="53"/>
      <c r="R9" s="53"/>
      <c r="S9" s="53"/>
    </row>
    <row r="10" spans="1:19" ht="12.75">
      <c r="A10" s="50" t="s">
        <v>98</v>
      </c>
      <c r="B10" s="50"/>
      <c r="C10" s="47">
        <f t="shared" si="0"/>
        <v>4.2788129763617804E-3</v>
      </c>
      <c r="D10" s="49">
        <f>'Estado de resultados PyG - 12 m'!$U$10</f>
        <v>3720000.0273218099</v>
      </c>
      <c r="E10" s="51">
        <f t="shared" si="4"/>
        <v>1.4452214558359792E-2</v>
      </c>
      <c r="F10" s="49">
        <f>'Estado de resultados PyG - 12 m'!$U$10*(F22/15000)</f>
        <v>19920600.146308295</v>
      </c>
      <c r="G10" s="51">
        <f t="shared" si="1"/>
        <v>1.445221455835979E-2</v>
      </c>
      <c r="H10" s="49">
        <f>'Estado de resultados PyG - 12 m'!$U$10*(H22/15000)</f>
        <v>37723528.277063191</v>
      </c>
      <c r="I10" s="51">
        <f t="shared" si="2"/>
        <v>1.445221455835979E-2</v>
      </c>
      <c r="J10" s="49">
        <f>'Estado de resultados PyG - 12 m'!$U$10*(J22/15000)</f>
        <v>39715960.29169675</v>
      </c>
      <c r="K10" s="51">
        <f t="shared" si="3"/>
        <v>1.445221455835979E-2</v>
      </c>
      <c r="L10" s="52">
        <f>'Estado de resultados PyG - 12 m'!$U$10*(L22/15000)</f>
        <v>39834256.292565584</v>
      </c>
      <c r="M10" s="53"/>
      <c r="N10" s="53"/>
      <c r="O10" s="53"/>
      <c r="P10" s="53"/>
      <c r="Q10" s="53"/>
      <c r="R10" s="53"/>
      <c r="S10" s="53"/>
    </row>
    <row r="11" spans="1:19" ht="12.75">
      <c r="A11" s="30" t="s">
        <v>101</v>
      </c>
      <c r="B11" s="30"/>
      <c r="C11" s="32">
        <f t="shared" si="0"/>
        <v>0.58256130697175412</v>
      </c>
      <c r="D11" s="35">
        <f>D8-D9-D10</f>
        <v>506478803.77661091</v>
      </c>
      <c r="E11" s="36">
        <f t="shared" si="4"/>
        <v>0.11825840333500312</v>
      </c>
      <c r="F11" s="35">
        <f>F8-F9-F10</f>
        <v>163004663.21369159</v>
      </c>
      <c r="G11" s="36">
        <f t="shared" si="1"/>
        <v>0.11849807084035804</v>
      </c>
      <c r="H11" s="35">
        <f>H8-H9-H10</f>
        <v>309306598.51973659</v>
      </c>
      <c r="I11" s="36">
        <f t="shared" si="2"/>
        <v>0.11851152444244813</v>
      </c>
      <c r="J11" s="35">
        <f>J8-J9-J10</f>
        <v>325680121.88430327</v>
      </c>
      <c r="K11" s="36">
        <f t="shared" si="3"/>
        <v>0.11851228089331084</v>
      </c>
      <c r="L11" s="37">
        <f>L8-L9-L10</f>
        <v>326652261.62103462</v>
      </c>
      <c r="M11" s="56"/>
      <c r="N11" s="56"/>
      <c r="O11" s="56"/>
      <c r="P11" s="56"/>
      <c r="Q11" s="45"/>
      <c r="R11" s="45"/>
      <c r="S11" s="45"/>
    </row>
    <row r="12" spans="1:19" ht="12.75">
      <c r="A12" s="57" t="s">
        <v>102</v>
      </c>
      <c r="B12" s="57"/>
      <c r="C12" s="47">
        <f t="shared" si="0"/>
        <v>0</v>
      </c>
      <c r="D12" s="49">
        <v>0</v>
      </c>
      <c r="E12" s="51">
        <f t="shared" si="4"/>
        <v>0</v>
      </c>
      <c r="F12" s="49">
        <v>0</v>
      </c>
      <c r="G12" s="51">
        <f t="shared" si="1"/>
        <v>0</v>
      </c>
      <c r="H12" s="49">
        <v>0</v>
      </c>
      <c r="I12" s="51">
        <f t="shared" si="2"/>
        <v>0</v>
      </c>
      <c r="J12" s="49">
        <v>0</v>
      </c>
      <c r="K12" s="51">
        <f t="shared" si="3"/>
        <v>0</v>
      </c>
      <c r="L12" s="52">
        <v>0</v>
      </c>
      <c r="M12" s="53"/>
      <c r="N12" s="53"/>
      <c r="O12" s="53"/>
      <c r="P12" s="53"/>
      <c r="Q12" s="53"/>
      <c r="R12" s="53"/>
      <c r="S12" s="53"/>
    </row>
    <row r="13" spans="1:19" ht="12.75">
      <c r="A13" s="50" t="s">
        <v>103</v>
      </c>
      <c r="B13" s="50"/>
      <c r="C13" s="47">
        <f t="shared" si="0"/>
        <v>0</v>
      </c>
      <c r="D13" s="49">
        <f>'Estado de resultados PyG - 12 m'!U13</f>
        <v>0</v>
      </c>
      <c r="E13" s="51">
        <f t="shared" si="4"/>
        <v>3.4965034965034965E-3</v>
      </c>
      <c r="F13" s="49">
        <f>70000*12*(F22/14000)</f>
        <v>4819500</v>
      </c>
      <c r="G13" s="51">
        <f t="shared" si="1"/>
        <v>3.4965034965034965E-3</v>
      </c>
      <c r="H13" s="49">
        <f>70000*12*(H22/14000)</f>
        <v>9126660</v>
      </c>
      <c r="I13" s="51">
        <f t="shared" si="2"/>
        <v>3.4965034965034965E-3</v>
      </c>
      <c r="J13" s="49">
        <f>70000*12*(J22/14000)</f>
        <v>9608700</v>
      </c>
      <c r="K13" s="51">
        <f t="shared" si="3"/>
        <v>3.4965034965034965E-3</v>
      </c>
      <c r="L13" s="52">
        <f>70000*12*(L22/14000)</f>
        <v>9637320</v>
      </c>
      <c r="M13" s="53"/>
      <c r="N13" s="53"/>
      <c r="O13" s="53"/>
      <c r="P13" s="53"/>
      <c r="Q13" s="53"/>
      <c r="R13" s="53"/>
      <c r="S13" s="53"/>
    </row>
    <row r="14" spans="1:19" ht="12.75">
      <c r="A14" s="30" t="s">
        <v>104</v>
      </c>
      <c r="B14" s="30"/>
      <c r="C14" s="32">
        <f t="shared" si="0"/>
        <v>0.58256130697175412</v>
      </c>
      <c r="D14" s="35">
        <f>D11+D12-D13</f>
        <v>506478803.77661091</v>
      </c>
      <c r="E14" s="36">
        <f t="shared" si="4"/>
        <v>0.11476189983849962</v>
      </c>
      <c r="F14" s="35">
        <f>F11+F12-F13</f>
        <v>158185163.21369159</v>
      </c>
      <c r="G14" s="36">
        <f t="shared" si="1"/>
        <v>0.11500156734385455</v>
      </c>
      <c r="H14" s="35">
        <f>H11+H12-H13</f>
        <v>300179938.51973659</v>
      </c>
      <c r="I14" s="36">
        <f t="shared" si="2"/>
        <v>0.11501502094594462</v>
      </c>
      <c r="J14" s="35">
        <f>J11+J12-J13</f>
        <v>316071421.88430327</v>
      </c>
      <c r="K14" s="36">
        <f t="shared" si="3"/>
        <v>0.11501577739680735</v>
      </c>
      <c r="L14" s="37">
        <f>L11+L12-L13</f>
        <v>317014941.62103462</v>
      </c>
      <c r="M14" s="56"/>
      <c r="N14" s="56"/>
      <c r="O14" s="56"/>
      <c r="P14" s="56"/>
      <c r="Q14" s="45"/>
      <c r="R14" s="45"/>
      <c r="S14" s="45"/>
    </row>
    <row r="15" spans="1:19" ht="12.75">
      <c r="A15" s="50" t="s">
        <v>105</v>
      </c>
      <c r="B15" s="50"/>
      <c r="C15" s="47">
        <f t="shared" si="0"/>
        <v>0.22382971656180756</v>
      </c>
      <c r="D15" s="49">
        <f>'Estado de resultados PyG - 12 m'!U15</f>
        <v>194597556.92181379</v>
      </c>
      <c r="E15" s="51">
        <f t="shared" si="4"/>
        <v>4.0166664943474865E-2</v>
      </c>
      <c r="F15" s="49">
        <f>IF(F14&gt;0, F14*0.35, 0)</f>
        <v>55364807.124792054</v>
      </c>
      <c r="G15" s="51">
        <f t="shared" si="1"/>
        <v>4.0250548570349091E-2</v>
      </c>
      <c r="H15" s="49">
        <f>IF(H14&gt;0, H14*0.35, 0)</f>
        <v>105062978.4819078</v>
      </c>
      <c r="I15" s="51">
        <f t="shared" si="2"/>
        <v>4.0255257331080617E-2</v>
      </c>
      <c r="J15" s="49">
        <f>IF(J14&gt;0, J14*0.35, 0)</f>
        <v>110624997.65950614</v>
      </c>
      <c r="K15" s="51">
        <f t="shared" si="3"/>
        <v>4.025552208888257E-2</v>
      </c>
      <c r="L15" s="52">
        <f>IF(L14&gt;0, L14*0.35, 0)</f>
        <v>110955229.56736211</v>
      </c>
      <c r="M15" s="53"/>
      <c r="N15" s="53"/>
      <c r="O15" s="53"/>
      <c r="P15" s="53"/>
      <c r="Q15" s="53"/>
      <c r="R15" s="53"/>
      <c r="S15" s="53"/>
    </row>
    <row r="16" spans="1:19" ht="12.75">
      <c r="A16" s="30" t="s">
        <v>106</v>
      </c>
      <c r="B16" s="30"/>
      <c r="C16" s="70">
        <f t="shared" si="0"/>
        <v>0.35873159040994662</v>
      </c>
      <c r="D16" s="35">
        <f>D14-D15</f>
        <v>311881246.85479712</v>
      </c>
      <c r="E16" s="71">
        <f t="shared" si="4"/>
        <v>7.4595234895024759E-2</v>
      </c>
      <c r="F16" s="35">
        <f>F14-F15</f>
        <v>102820356.08889954</v>
      </c>
      <c r="G16" s="71">
        <f t="shared" si="1"/>
        <v>7.475101877350547E-2</v>
      </c>
      <c r="H16" s="35">
        <f>H14-H15</f>
        <v>195116960.0378288</v>
      </c>
      <c r="I16" s="71">
        <f t="shared" si="2"/>
        <v>7.4759763614864014E-2</v>
      </c>
      <c r="J16" s="35">
        <f>J14-J15</f>
        <v>205446424.22479713</v>
      </c>
      <c r="K16" s="71">
        <f t="shared" si="3"/>
        <v>7.4760255307924767E-2</v>
      </c>
      <c r="L16" s="37">
        <f>L14-L15</f>
        <v>206059712.05367249</v>
      </c>
      <c r="M16" s="56"/>
      <c r="N16" s="56"/>
      <c r="O16" s="56"/>
      <c r="P16" s="56"/>
      <c r="Q16" s="45"/>
      <c r="R16" s="45"/>
      <c r="S16" s="45"/>
    </row>
    <row r="17" spans="1:19" ht="12.75">
      <c r="A17" s="7" t="s">
        <v>116</v>
      </c>
      <c r="B17" s="73">
        <v>0</v>
      </c>
      <c r="C17" s="32">
        <f t="shared" si="0"/>
        <v>8.0515297675398906E-4</v>
      </c>
      <c r="D17" s="74">
        <f>D7</f>
        <v>700000.00282083591</v>
      </c>
      <c r="E17" s="36">
        <f t="shared" si="4"/>
        <v>5.0784364509854707E-4</v>
      </c>
      <c r="F17" s="74">
        <f>F7</f>
        <v>700000</v>
      </c>
      <c r="G17" s="36">
        <f t="shared" si="1"/>
        <v>2.6817613974361351E-4</v>
      </c>
      <c r="H17" s="74">
        <f>H7</f>
        <v>700000</v>
      </c>
      <c r="I17" s="36">
        <f t="shared" si="2"/>
        <v>2.5472253765363134E-4</v>
      </c>
      <c r="J17" s="74">
        <f>J7</f>
        <v>700000</v>
      </c>
      <c r="K17" s="36">
        <f t="shared" si="3"/>
        <v>2.5396608679098E-4</v>
      </c>
      <c r="L17" s="75">
        <f>L7</f>
        <v>700000</v>
      </c>
    </row>
    <row r="18" spans="1:19" ht="12.75">
      <c r="A18" s="7" t="s">
        <v>119</v>
      </c>
      <c r="B18" s="73">
        <v>-70000000</v>
      </c>
      <c r="C18" s="32">
        <f t="shared" si="0"/>
        <v>0</v>
      </c>
      <c r="D18" s="76">
        <v>0</v>
      </c>
      <c r="E18" s="36">
        <f t="shared" si="4"/>
        <v>0</v>
      </c>
      <c r="F18" s="76">
        <v>0</v>
      </c>
      <c r="G18" s="36">
        <f t="shared" si="1"/>
        <v>0</v>
      </c>
      <c r="H18" s="76">
        <v>0</v>
      </c>
      <c r="I18" s="36">
        <f t="shared" si="2"/>
        <v>0</v>
      </c>
      <c r="J18" s="76">
        <v>0</v>
      </c>
      <c r="K18" s="36">
        <f t="shared" si="3"/>
        <v>0</v>
      </c>
      <c r="L18" s="77">
        <v>0</v>
      </c>
    </row>
    <row r="19" spans="1:19" ht="12.75">
      <c r="A19" s="5" t="s">
        <v>120</v>
      </c>
      <c r="B19" s="78">
        <f>B18+B17</f>
        <v>-70000000</v>
      </c>
      <c r="C19" s="32">
        <f t="shared" si="0"/>
        <v>0.35953674338670061</v>
      </c>
      <c r="D19" s="80">
        <f>D18+D17+D16</f>
        <v>312581246.85761797</v>
      </c>
      <c r="E19" s="36">
        <f t="shared" si="4"/>
        <v>7.5103078540123297E-2</v>
      </c>
      <c r="F19" s="80">
        <f>F18+F17+F16</f>
        <v>103520356.08889954</v>
      </c>
      <c r="G19" s="36">
        <f t="shared" si="1"/>
        <v>7.5019194913249085E-2</v>
      </c>
      <c r="H19" s="80">
        <f>H18+H17+H16</f>
        <v>195816960.0378288</v>
      </c>
      <c r="I19" s="36">
        <f t="shared" si="2"/>
        <v>7.5014486152517643E-2</v>
      </c>
      <c r="J19" s="80">
        <f>J18+J17+J16</f>
        <v>206146424.22479713</v>
      </c>
      <c r="K19" s="36">
        <f t="shared" si="3"/>
        <v>7.5014221394715752E-2</v>
      </c>
      <c r="L19" s="83">
        <f>L18+L17+L16</f>
        <v>206759712.05367249</v>
      </c>
    </row>
    <row r="22" spans="1:19" ht="12.75">
      <c r="C22" s="11"/>
      <c r="D22" s="11"/>
      <c r="F22" s="62">
        <f>'Tabla Crecimiento'!B10</f>
        <v>80325</v>
      </c>
      <c r="H22" s="62">
        <f>'Tabla Crecimiento'!B11</f>
        <v>152111</v>
      </c>
      <c r="J22" s="62">
        <f>'Tabla Crecimiento'!B12</f>
        <v>160145</v>
      </c>
      <c r="L22" s="62">
        <f>'Tabla Crecimiento'!B13</f>
        <v>160622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M23" s="11" t="s">
        <v>107</v>
      </c>
      <c r="N23" s="11">
        <v>3</v>
      </c>
    </row>
    <row r="24" spans="1:19" ht="12.75">
      <c r="D24" s="44">
        <f>D5+D6+D9+D10+D13+D15</f>
        <v>556818759.14238203</v>
      </c>
      <c r="M24" s="11" t="s">
        <v>108</v>
      </c>
      <c r="N24" s="11">
        <v>2860</v>
      </c>
    </row>
    <row r="25" spans="1:19" ht="12.75">
      <c r="M25" s="11" t="s">
        <v>109</v>
      </c>
      <c r="N25" s="11">
        <v>0.03</v>
      </c>
    </row>
  </sheetData>
  <mergeCells count="5">
    <mergeCell ref="E1:F1"/>
    <mergeCell ref="C1:D1"/>
    <mergeCell ref="G1:H1"/>
    <mergeCell ref="I1:J1"/>
    <mergeCell ref="K1:L1"/>
  </mergeCells>
  <conditionalFormatting sqref="A1:B16 C1:C19 D1:D16 E1:E19 F1:F16 G1:G19 H1:H16 I1:I19 J1:J16 K1:K19 L1:L16">
    <cfRule type="cellIs" dxfId="7" priority="1" operator="lessThan">
      <formula>0</formula>
    </cfRule>
  </conditionalFormatting>
  <conditionalFormatting sqref="B17:L19">
    <cfRule type="cellIs" dxfId="6" priority="2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zoomScale="145" zoomScaleNormal="145" workbookViewId="0">
      <selection activeCell="E14" sqref="E14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4" max="4" width="8.5703125" customWidth="1"/>
    <col min="6" max="6" width="9.140625" customWidth="1"/>
    <col min="8" max="8" width="8.85546875" customWidth="1"/>
    <col min="9" max="9" width="14.42578125" customWidth="1"/>
    <col min="10" max="10" width="9.5703125" customWidth="1"/>
    <col min="12" max="12" width="9.42578125" customWidth="1"/>
    <col min="14" max="14" width="8.140625" customWidth="1"/>
    <col min="16" max="16" width="8.28515625" customWidth="1"/>
    <col min="18" max="18" width="8.28515625" customWidth="1"/>
    <col min="20" max="20" width="8.42578125" customWidth="1"/>
    <col min="22" max="22" width="9" customWidth="1"/>
    <col min="24" max="24" width="9.42578125" customWidth="1"/>
    <col min="26" max="26" width="9" customWidth="1"/>
  </cols>
  <sheetData>
    <row r="1" spans="1:29" ht="15.75" customHeight="1">
      <c r="A1" s="27"/>
      <c r="B1" s="114" t="s">
        <v>110</v>
      </c>
      <c r="C1" s="105"/>
      <c r="D1" s="114" t="s">
        <v>61</v>
      </c>
      <c r="E1" s="105"/>
      <c r="F1" s="114" t="s">
        <v>64</v>
      </c>
      <c r="G1" s="105"/>
      <c r="H1" s="114" t="s">
        <v>65</v>
      </c>
      <c r="I1" s="105"/>
      <c r="J1" s="114" t="s">
        <v>66</v>
      </c>
      <c r="K1" s="105"/>
      <c r="L1" s="114" t="s">
        <v>67</v>
      </c>
      <c r="M1" s="105"/>
      <c r="N1" s="115" t="s">
        <v>68</v>
      </c>
      <c r="O1" s="113"/>
      <c r="P1" s="114" t="s">
        <v>69</v>
      </c>
      <c r="Q1" s="105"/>
      <c r="R1" s="114" t="s">
        <v>70</v>
      </c>
      <c r="S1" s="105"/>
      <c r="T1" s="114" t="s">
        <v>71</v>
      </c>
      <c r="U1" s="105"/>
      <c r="V1" s="114" t="s">
        <v>72</v>
      </c>
      <c r="W1" s="105"/>
      <c r="X1" s="114" t="s">
        <v>73</v>
      </c>
      <c r="Y1" s="105"/>
      <c r="Z1" s="114" t="s">
        <v>74</v>
      </c>
      <c r="AA1" s="105"/>
    </row>
    <row r="2" spans="1:29" ht="15.75" customHeight="1">
      <c r="A2" s="31" t="s">
        <v>82</v>
      </c>
      <c r="B2" s="64">
        <f t="shared" ref="B2:B8" si="0">C2/$C$2</f>
        <v>1</v>
      </c>
      <c r="C2" s="34">
        <f>SUM(C3:C8)</f>
        <v>3816700</v>
      </c>
      <c r="D2" s="64">
        <f t="shared" ref="D2:D8" si="1">E2/$E$2</f>
        <v>1</v>
      </c>
      <c r="E2" s="34">
        <f>SUM(E3:E8)</f>
        <v>8209036</v>
      </c>
      <c r="F2" s="64">
        <f t="shared" ref="F2:F8" si="2">G2/$G$2</f>
        <v>1</v>
      </c>
      <c r="G2" s="34">
        <f>SUM(G3:G8)</f>
        <v>8209036</v>
      </c>
      <c r="H2" s="64">
        <f t="shared" ref="H2:H8" si="3">I2/$I$2</f>
        <v>1</v>
      </c>
      <c r="I2" s="34">
        <f>SUM(I3:I8)</f>
        <v>8209036</v>
      </c>
      <c r="J2" s="64">
        <f t="shared" ref="J2:J8" si="4">K2/$K$2</f>
        <v>1</v>
      </c>
      <c r="K2" s="34">
        <f>SUM(K3:K8)</f>
        <v>8209036</v>
      </c>
      <c r="L2" s="33">
        <f t="shared" ref="L2:L8" si="5">M2/$M$2</f>
        <v>1</v>
      </c>
      <c r="M2" s="34">
        <f>SUM(M3:M8)</f>
        <v>8209036</v>
      </c>
      <c r="N2" s="33">
        <f t="shared" ref="N2:N8" si="6">O2/$O$2</f>
        <v>1</v>
      </c>
      <c r="O2" s="34">
        <f>SUM(O3:O8)</f>
        <v>8209036</v>
      </c>
      <c r="P2" s="33">
        <f t="shared" ref="P2:P8" si="7">Q2/$Q$2</f>
        <v>1</v>
      </c>
      <c r="Q2" s="34">
        <f>SUM(Q3:Q8)</f>
        <v>30584636</v>
      </c>
      <c r="R2" s="33">
        <f t="shared" ref="R2:R8" si="8">S2/$S$2</f>
        <v>1</v>
      </c>
      <c r="S2" s="34">
        <f>SUM(S3:S8)</f>
        <v>36540236</v>
      </c>
      <c r="T2" s="33">
        <f t="shared" ref="T2:T8" si="9">U2/$U$2</f>
        <v>1</v>
      </c>
      <c r="U2" s="34">
        <f>SUM(U3:U8)</f>
        <v>44041436</v>
      </c>
      <c r="V2" s="33">
        <f t="shared" ref="V2:V8" si="10">W2/$W$2</f>
        <v>1</v>
      </c>
      <c r="W2" s="34">
        <f>SUM(W3:W8)</f>
        <v>87376914.125333339</v>
      </c>
      <c r="X2" s="33">
        <f t="shared" ref="X2:X8" si="11">Y2/$Y$2</f>
        <v>1</v>
      </c>
      <c r="Y2" s="34">
        <f>SUM(Y3:Y8)</f>
        <v>108750211.46933332</v>
      </c>
      <c r="Z2" s="33">
        <f t="shared" ref="Z2:Z8" si="12">AA2/$AA$2</f>
        <v>1</v>
      </c>
      <c r="AA2" s="38">
        <f>SUM(AA3:AA8)</f>
        <v>135371484.74933332</v>
      </c>
      <c r="AC2" s="25">
        <f t="shared" ref="AC2:AC12" si="13">SUM(E2:AA2)</f>
        <v>491919145.34399998</v>
      </c>
    </row>
    <row r="3" spans="1:29" ht="15.75" customHeight="1">
      <c r="A3" s="40" t="s">
        <v>83</v>
      </c>
      <c r="B3" s="65">
        <f t="shared" si="0"/>
        <v>0</v>
      </c>
      <c r="C3" s="42">
        <v>0</v>
      </c>
      <c r="D3" s="65">
        <f t="shared" si="1"/>
        <v>0.94362188203340802</v>
      </c>
      <c r="E3" s="43">
        <f>'Salarios, gastos y costos'!$B$11</f>
        <v>7746226</v>
      </c>
      <c r="F3" s="65">
        <f t="shared" si="2"/>
        <v>0.94362188203340802</v>
      </c>
      <c r="G3" s="43">
        <f>'Salarios, gastos y costos'!$B$11</f>
        <v>7746226</v>
      </c>
      <c r="H3" s="65">
        <f t="shared" si="3"/>
        <v>0.94362188203340802</v>
      </c>
      <c r="I3" s="43">
        <f>'Salarios, gastos y costos'!$B$11</f>
        <v>7746226</v>
      </c>
      <c r="J3" s="65">
        <f t="shared" si="4"/>
        <v>0.94362188203340802</v>
      </c>
      <c r="K3" s="43">
        <f>'Salarios, gastos y costos'!$B$11</f>
        <v>7746226</v>
      </c>
      <c r="L3" s="41">
        <f t="shared" si="5"/>
        <v>0.94362188203340802</v>
      </c>
      <c r="M3" s="43">
        <f>'Salarios, gastos y costos'!$B$11</f>
        <v>7746226</v>
      </c>
      <c r="N3" s="41">
        <f t="shared" si="6"/>
        <v>0.94362188203340802</v>
      </c>
      <c r="O3" s="43">
        <f>'Salarios, gastos y costos'!$B$11</f>
        <v>7746226</v>
      </c>
      <c r="P3" s="41">
        <f t="shared" si="7"/>
        <v>0.25327180614475842</v>
      </c>
      <c r="Q3" s="43">
        <f>'Salarios, gastos y costos'!$B$27</f>
        <v>7746226</v>
      </c>
      <c r="R3" s="41">
        <f t="shared" si="8"/>
        <v>0.21199167952828768</v>
      </c>
      <c r="S3" s="43">
        <f>'Salarios, gastos y costos'!$B$27</f>
        <v>7746226</v>
      </c>
      <c r="T3" s="41">
        <f t="shared" si="9"/>
        <v>0.17588495524986969</v>
      </c>
      <c r="U3" s="43">
        <f>'Salarios, gastos y costos'!$B$27</f>
        <v>7746226</v>
      </c>
      <c r="V3" s="41">
        <f t="shared" si="10"/>
        <v>8.8653004944633573E-2</v>
      </c>
      <c r="W3" s="43">
        <f>'Salarios, gastos y costos'!$B$27</f>
        <v>7746226</v>
      </c>
      <c r="X3" s="41">
        <f t="shared" si="11"/>
        <v>7.1229525858755444E-2</v>
      </c>
      <c r="Y3" s="43">
        <f>'Salarios, gastos y costos'!$B$27</f>
        <v>7746226</v>
      </c>
      <c r="Z3" s="41">
        <f t="shared" si="12"/>
        <v>5.7221991871801117E-2</v>
      </c>
      <c r="AA3" s="46">
        <f>'Salarios, gastos y costos'!$B$27</f>
        <v>7746226</v>
      </c>
      <c r="AC3" s="25">
        <f t="shared" si="13"/>
        <v>92954717.576362371</v>
      </c>
    </row>
    <row r="4" spans="1:29" ht="15.75" customHeight="1">
      <c r="A4" s="40" t="s">
        <v>85</v>
      </c>
      <c r="B4" s="65">
        <f t="shared" si="0"/>
        <v>0</v>
      </c>
      <c r="C4" s="42">
        <v>0</v>
      </c>
      <c r="D4" s="65">
        <f t="shared" si="1"/>
        <v>4.044445657200188E-2</v>
      </c>
      <c r="E4" s="43">
        <f>'Salarios, gastos y costos'!$K$11</f>
        <v>332010</v>
      </c>
      <c r="F4" s="65">
        <f t="shared" si="2"/>
        <v>4.044445657200188E-2</v>
      </c>
      <c r="G4" s="43">
        <f>'Salarios, gastos y costos'!$K$11</f>
        <v>332010</v>
      </c>
      <c r="H4" s="65">
        <f t="shared" si="3"/>
        <v>4.044445657200188E-2</v>
      </c>
      <c r="I4" s="43">
        <f>'Salarios, gastos y costos'!$K$11</f>
        <v>332010</v>
      </c>
      <c r="J4" s="65">
        <f t="shared" si="4"/>
        <v>4.044445657200188E-2</v>
      </c>
      <c r="K4" s="43">
        <f>'Salarios, gastos y costos'!$K$11</f>
        <v>332010</v>
      </c>
      <c r="L4" s="41">
        <f t="shared" si="5"/>
        <v>4.044445657200188E-2</v>
      </c>
      <c r="M4" s="43">
        <f>'Salarios, gastos y costos'!$K$11</f>
        <v>332010</v>
      </c>
      <c r="N4" s="41">
        <f t="shared" si="6"/>
        <v>4.044445657200188E-2</v>
      </c>
      <c r="O4" s="43">
        <f>'Salarios, gastos y costos'!$K$11</f>
        <v>332010</v>
      </c>
      <c r="P4" s="41">
        <f t="shared" si="7"/>
        <v>1.0855450429424761E-2</v>
      </c>
      <c r="Q4" s="43">
        <f>'Salarios, gastos y costos'!$K$11</f>
        <v>332010</v>
      </c>
      <c r="R4" s="41">
        <f t="shared" si="8"/>
        <v>9.0861482120695655E-3</v>
      </c>
      <c r="S4" s="43">
        <f>'Salarios, gastos y costos'!$K$11</f>
        <v>332010</v>
      </c>
      <c r="T4" s="41">
        <f t="shared" si="9"/>
        <v>7.5385825294161614E-3</v>
      </c>
      <c r="U4" s="43">
        <f>'Salarios, gastos y costos'!$K$11</f>
        <v>332010</v>
      </c>
      <c r="V4" s="41">
        <f t="shared" si="10"/>
        <v>3.7997450851121298E-3</v>
      </c>
      <c r="W4" s="43">
        <f>'Salarios, gastos y costos'!$K$11</f>
        <v>332010</v>
      </c>
      <c r="X4" s="41">
        <f t="shared" si="11"/>
        <v>3.052959580622279E-3</v>
      </c>
      <c r="Y4" s="43">
        <f>'Salarios, gastos y costos'!$K$11</f>
        <v>332010</v>
      </c>
      <c r="Z4" s="41">
        <f t="shared" si="12"/>
        <v>2.4525844613049875E-3</v>
      </c>
      <c r="AA4" s="46">
        <f>'Salarios, gastos y costos'!$K$11</f>
        <v>332010</v>
      </c>
      <c r="AC4" s="25">
        <f t="shared" si="13"/>
        <v>3984120.2390077533</v>
      </c>
    </row>
    <row r="5" spans="1:29" ht="15.75" customHeight="1">
      <c r="A5" s="40" t="s">
        <v>87</v>
      </c>
      <c r="B5" s="65">
        <f t="shared" si="0"/>
        <v>0</v>
      </c>
      <c r="C5" s="42">
        <f>'Salarios, gastos y costos'!E11</f>
        <v>0</v>
      </c>
      <c r="D5" s="65">
        <f t="shared" si="1"/>
        <v>0</v>
      </c>
      <c r="E5" s="43">
        <f>'Salarios, gastos y costos'!$E$11</f>
        <v>0</v>
      </c>
      <c r="F5" s="65">
        <f t="shared" si="2"/>
        <v>0</v>
      </c>
      <c r="G5" s="43">
        <f>'Salarios, gastos y costos'!$E$11</f>
        <v>0</v>
      </c>
      <c r="H5" s="65">
        <f t="shared" si="3"/>
        <v>0</v>
      </c>
      <c r="I5" s="43">
        <f>'Salarios, gastos y costos'!$E$11</f>
        <v>0</v>
      </c>
      <c r="J5" s="65">
        <f t="shared" si="4"/>
        <v>0</v>
      </c>
      <c r="K5" s="43">
        <f>'Salarios, gastos y costos'!$E$11</f>
        <v>0</v>
      </c>
      <c r="L5" s="41">
        <f t="shared" si="5"/>
        <v>0</v>
      </c>
      <c r="M5" s="43">
        <f>'Salarios, gastos y costos'!$E$11</f>
        <v>0</v>
      </c>
      <c r="N5" s="41">
        <f t="shared" si="6"/>
        <v>0</v>
      </c>
      <c r="O5" s="43">
        <f>'Salarios, gastos y costos'!$E$11</f>
        <v>0</v>
      </c>
      <c r="P5" s="41">
        <f t="shared" si="7"/>
        <v>0</v>
      </c>
      <c r="Q5" s="43">
        <f>'Salarios, gastos y costos'!$E$11</f>
        <v>0</v>
      </c>
      <c r="R5" s="41">
        <f t="shared" si="8"/>
        <v>0</v>
      </c>
      <c r="S5" s="43">
        <f>'Salarios, gastos y costos'!$E$11</f>
        <v>0</v>
      </c>
      <c r="T5" s="41">
        <f t="shared" si="9"/>
        <v>0</v>
      </c>
      <c r="U5" s="43">
        <f>'Salarios, gastos y costos'!$E$11</f>
        <v>0</v>
      </c>
      <c r="V5" s="41">
        <f t="shared" si="10"/>
        <v>0</v>
      </c>
      <c r="W5" s="43">
        <f>'Salarios, gastos y costos'!$E$11</f>
        <v>0</v>
      </c>
      <c r="X5" s="41">
        <f t="shared" si="11"/>
        <v>0</v>
      </c>
      <c r="Y5" s="43">
        <f>'Salarios, gastos y costos'!$E$11</f>
        <v>0</v>
      </c>
      <c r="Z5" s="41">
        <f t="shared" si="12"/>
        <v>0</v>
      </c>
      <c r="AA5" s="46">
        <f>'Salarios, gastos y costos'!$E$11</f>
        <v>0</v>
      </c>
      <c r="AC5" s="25">
        <f t="shared" si="13"/>
        <v>0</v>
      </c>
    </row>
    <row r="6" spans="1:29" ht="15.75" customHeight="1">
      <c r="A6" s="40" t="s">
        <v>89</v>
      </c>
      <c r="B6" s="65">
        <f t="shared" si="0"/>
        <v>0.96942384782665658</v>
      </c>
      <c r="C6" s="42">
        <f>'Presupuesto Inicial'!D23</f>
        <v>3700000</v>
      </c>
      <c r="D6" s="65">
        <f t="shared" si="1"/>
        <v>7.4064725748553177E-3</v>
      </c>
      <c r="E6" s="43">
        <f>'Salarios, gastos y costos'!$H$11</f>
        <v>60800</v>
      </c>
      <c r="F6" s="65">
        <f t="shared" si="2"/>
        <v>7.4064725748553177E-3</v>
      </c>
      <c r="G6" s="43">
        <f>'Salarios, gastos y costos'!$H$11</f>
        <v>60800</v>
      </c>
      <c r="H6" s="65">
        <f t="shared" si="3"/>
        <v>7.4064725748553177E-3</v>
      </c>
      <c r="I6" s="43">
        <f>'Salarios, gastos y costos'!$H$11</f>
        <v>60800</v>
      </c>
      <c r="J6" s="65">
        <f t="shared" si="4"/>
        <v>7.4064725748553177E-3</v>
      </c>
      <c r="K6" s="43">
        <f>'Salarios, gastos y costos'!$H$11</f>
        <v>60800</v>
      </c>
      <c r="L6" s="41">
        <f t="shared" si="5"/>
        <v>7.4064725748553177E-3</v>
      </c>
      <c r="M6" s="43">
        <f>'Salarios, gastos y costos'!$H$11</f>
        <v>60800</v>
      </c>
      <c r="N6" s="41">
        <f t="shared" si="6"/>
        <v>7.4064725748553177E-3</v>
      </c>
      <c r="O6" s="43">
        <f>'Salarios, gastos y costos'!$H$11</f>
        <v>60800</v>
      </c>
      <c r="P6" s="41">
        <f t="shared" si="7"/>
        <v>0.73358401257415651</v>
      </c>
      <c r="Q6" s="43">
        <f>Q10*'Estado de resultados PyG - 5 añ'!$M$21*10</f>
        <v>22436400</v>
      </c>
      <c r="R6" s="41">
        <f t="shared" si="8"/>
        <v>0.77700647582024374</v>
      </c>
      <c r="S6" s="43">
        <f>S10*'Estado de resultados PyG - 5 añ'!$M$21*10</f>
        <v>28392000</v>
      </c>
      <c r="T6" s="41">
        <f t="shared" si="9"/>
        <v>0.81498704992271365</v>
      </c>
      <c r="U6" s="43">
        <f>U10*'Estado de resultados PyG - 5 añ'!$M$21*10</f>
        <v>35893200</v>
      </c>
      <c r="V6" s="41">
        <f t="shared" si="10"/>
        <v>0.51845731167640019</v>
      </c>
      <c r="W6" s="43">
        <f>W10*'Estado de resultados PyG - 5 añ'!$M$21*10</f>
        <v>45301200</v>
      </c>
      <c r="X6" s="41">
        <f t="shared" si="11"/>
        <v>0.52477691058185361</v>
      </c>
      <c r="Y6" s="43">
        <f>Y10*'Estado de resultados PyG - 5 añ'!$M$21*10</f>
        <v>57069600</v>
      </c>
      <c r="Z6" s="41">
        <f t="shared" si="12"/>
        <v>0.52985752599831215</v>
      </c>
      <c r="AA6" s="46">
        <f>AA10*'Estado de resultados PyG - 5 añ'!$M$21*10</f>
        <v>71727600</v>
      </c>
      <c r="AC6" s="25">
        <f t="shared" si="13"/>
        <v>261184803.93570161</v>
      </c>
    </row>
    <row r="7" spans="1:29" ht="15.75" customHeight="1">
      <c r="A7" s="40" t="s">
        <v>91</v>
      </c>
      <c r="B7" s="65">
        <f t="shared" si="0"/>
        <v>3.0576152173343463E-2</v>
      </c>
      <c r="C7" s="42">
        <f>'Presupuesto Inicial'!B2</f>
        <v>116700</v>
      </c>
      <c r="D7" s="65">
        <f t="shared" si="1"/>
        <v>8.5271888197347417E-3</v>
      </c>
      <c r="E7" s="42">
        <v>70000</v>
      </c>
      <c r="F7" s="65">
        <f t="shared" si="2"/>
        <v>8.5271888197347417E-3</v>
      </c>
      <c r="G7" s="42">
        <v>70000</v>
      </c>
      <c r="H7" s="65">
        <f t="shared" si="3"/>
        <v>8.5271888197347417E-3</v>
      </c>
      <c r="I7" s="42">
        <v>70000</v>
      </c>
      <c r="J7" s="65">
        <f t="shared" si="4"/>
        <v>8.5271888197347417E-3</v>
      </c>
      <c r="K7" s="42">
        <v>70000</v>
      </c>
      <c r="L7" s="41">
        <f t="shared" si="5"/>
        <v>8.5271888197347417E-3</v>
      </c>
      <c r="M7" s="42">
        <v>70000</v>
      </c>
      <c r="N7" s="41">
        <f t="shared" si="6"/>
        <v>8.5271888197347417E-3</v>
      </c>
      <c r="O7" s="42">
        <v>70000</v>
      </c>
      <c r="P7" s="41">
        <f t="shared" si="7"/>
        <v>2.288730851660291E-3</v>
      </c>
      <c r="Q7" s="42">
        <v>70000</v>
      </c>
      <c r="R7" s="41">
        <f t="shared" si="8"/>
        <v>1.915696439399023E-3</v>
      </c>
      <c r="S7" s="42">
        <v>70000</v>
      </c>
      <c r="T7" s="41">
        <f t="shared" si="9"/>
        <v>1.5894122980004558E-3</v>
      </c>
      <c r="U7" s="42">
        <v>70000</v>
      </c>
      <c r="V7" s="41">
        <f t="shared" si="10"/>
        <v>8.0112694183262284E-4</v>
      </c>
      <c r="W7" s="42">
        <v>70000</v>
      </c>
      <c r="X7" s="41">
        <f t="shared" si="11"/>
        <v>6.4367690926044247E-4</v>
      </c>
      <c r="Y7" s="42">
        <v>70000</v>
      </c>
      <c r="Z7" s="41">
        <f t="shared" si="12"/>
        <v>5.1709560643158081E-4</v>
      </c>
      <c r="AA7" s="54">
        <v>70000</v>
      </c>
      <c r="AC7" s="25">
        <f t="shared" si="13"/>
        <v>840000.05039168312</v>
      </c>
    </row>
    <row r="8" spans="1:29" ht="15.75" customHeight="1">
      <c r="A8" s="40" t="s">
        <v>93</v>
      </c>
      <c r="B8" s="65">
        <f t="shared" si="0"/>
        <v>0</v>
      </c>
      <c r="C8" s="42">
        <v>0</v>
      </c>
      <c r="D8" s="65">
        <f t="shared" si="1"/>
        <v>0</v>
      </c>
      <c r="E8" s="42">
        <v>0</v>
      </c>
      <c r="F8" s="65">
        <f t="shared" si="2"/>
        <v>0</v>
      </c>
      <c r="G8" s="42">
        <v>0</v>
      </c>
      <c r="H8" s="65">
        <f t="shared" si="3"/>
        <v>0</v>
      </c>
      <c r="I8" s="42">
        <v>0</v>
      </c>
      <c r="J8" s="65">
        <f t="shared" si="4"/>
        <v>0</v>
      </c>
      <c r="K8" s="42">
        <v>0</v>
      </c>
      <c r="L8" s="41">
        <f t="shared" si="5"/>
        <v>0</v>
      </c>
      <c r="M8" s="42">
        <v>0</v>
      </c>
      <c r="N8" s="41">
        <f t="shared" si="6"/>
        <v>0</v>
      </c>
      <c r="O8" s="42">
        <v>0</v>
      </c>
      <c r="P8" s="41">
        <f t="shared" si="7"/>
        <v>0</v>
      </c>
      <c r="Q8" s="42">
        <v>0</v>
      </c>
      <c r="R8" s="41">
        <f t="shared" si="8"/>
        <v>0</v>
      </c>
      <c r="S8" s="42">
        <v>0</v>
      </c>
      <c r="T8" s="41">
        <f t="shared" si="9"/>
        <v>0</v>
      </c>
      <c r="U8" s="42">
        <v>0</v>
      </c>
      <c r="V8" s="41">
        <f t="shared" si="10"/>
        <v>0.38828881135202142</v>
      </c>
      <c r="W8" s="42">
        <f>'Estado de resultados PyG - 12 m'!O15</f>
        <v>33927478.125333332</v>
      </c>
      <c r="X8" s="41">
        <f t="shared" si="11"/>
        <v>0.40029692706950831</v>
      </c>
      <c r="Y8" s="42">
        <f>'Estado de resultados PyG - 12 m'!Q15</f>
        <v>43532375.469333328</v>
      </c>
      <c r="Z8" s="41">
        <f t="shared" si="12"/>
        <v>0.40995080206215023</v>
      </c>
      <c r="AA8" s="54">
        <f>'Estado de resultados PyG - 12 m'!S15</f>
        <v>55495648.749333337</v>
      </c>
      <c r="AC8" s="25">
        <f t="shared" si="13"/>
        <v>132955503.54253654</v>
      </c>
    </row>
    <row r="9" spans="1:29" ht="15.75" customHeight="1">
      <c r="A9" s="31" t="s">
        <v>95</v>
      </c>
      <c r="B9" s="64">
        <f>C9/$C$9</f>
        <v>1</v>
      </c>
      <c r="C9" s="34">
        <f>SUM(C10:C11)</f>
        <v>1500000</v>
      </c>
      <c r="D9" s="64">
        <v>0</v>
      </c>
      <c r="E9" s="34">
        <f>SUM(E10:E11)</f>
        <v>0</v>
      </c>
      <c r="F9" s="64">
        <v>0</v>
      </c>
      <c r="G9" s="34">
        <f>SUM(G10:G11)</f>
        <v>0</v>
      </c>
      <c r="H9" s="64">
        <v>0</v>
      </c>
      <c r="I9" s="34">
        <f>SUM(I10:I11)</f>
        <v>0</v>
      </c>
      <c r="J9" s="64">
        <v>0</v>
      </c>
      <c r="K9" s="34">
        <f>SUM(K10:K11)</f>
        <v>0</v>
      </c>
      <c r="L9" s="33">
        <v>0</v>
      </c>
      <c r="M9" s="34">
        <f>SUM(M10:M11)</f>
        <v>0</v>
      </c>
      <c r="N9" s="33">
        <v>0</v>
      </c>
      <c r="O9" s="34">
        <f>SUM(O10:O11)</f>
        <v>0</v>
      </c>
      <c r="P9" s="33">
        <f>Q9/$Q$9</f>
        <v>1</v>
      </c>
      <c r="Q9" s="34">
        <f>SUM(Q10:Q11)</f>
        <v>74788000</v>
      </c>
      <c r="R9" s="33">
        <f>S9/$S$9</f>
        <v>1</v>
      </c>
      <c r="S9" s="34">
        <f>SUM(S10:S11)</f>
        <v>94640000</v>
      </c>
      <c r="T9" s="33">
        <f>U9/$U$9</f>
        <v>1</v>
      </c>
      <c r="U9" s="34">
        <f>SUM(U10:U11)</f>
        <v>119644000</v>
      </c>
      <c r="V9" s="33">
        <f>W9/$W$9</f>
        <v>1</v>
      </c>
      <c r="W9" s="34">
        <f>SUM(W10:W11)</f>
        <v>151004000</v>
      </c>
      <c r="X9" s="33">
        <f>Y9/$Y$9</f>
        <v>1</v>
      </c>
      <c r="Y9" s="34">
        <f>SUM(Y10:Y11)</f>
        <v>190232000</v>
      </c>
      <c r="Z9" s="33">
        <f>AA9/$AA$9</f>
        <v>1</v>
      </c>
      <c r="AA9" s="38">
        <f>SUM(AA10:AA11)</f>
        <v>239092000</v>
      </c>
      <c r="AC9" s="25">
        <f t="shared" si="13"/>
        <v>869400006</v>
      </c>
    </row>
    <row r="10" spans="1:29" ht="15.75" customHeight="1">
      <c r="A10" s="40" t="s">
        <v>97</v>
      </c>
      <c r="B10" s="65">
        <f>C10/$C$9</f>
        <v>0</v>
      </c>
      <c r="C10" s="42">
        <v>0</v>
      </c>
      <c r="D10" s="65">
        <v>0</v>
      </c>
      <c r="E10" s="42">
        <v>0</v>
      </c>
      <c r="F10" s="65">
        <v>0</v>
      </c>
      <c r="G10" s="42">
        <v>0</v>
      </c>
      <c r="H10" s="65">
        <v>0</v>
      </c>
      <c r="I10" s="42">
        <v>0</v>
      </c>
      <c r="J10" s="65">
        <v>0</v>
      </c>
      <c r="K10" s="42">
        <v>0</v>
      </c>
      <c r="L10" s="41">
        <v>0</v>
      </c>
      <c r="M10" s="42">
        <v>0</v>
      </c>
      <c r="N10" s="41">
        <v>0</v>
      </c>
      <c r="O10" s="42">
        <v>0</v>
      </c>
      <c r="P10" s="41">
        <f>Q10/$Q$9</f>
        <v>1</v>
      </c>
      <c r="Q10" s="43">
        <f>'Estado de resultados PyG - 12 m'!I3</f>
        <v>74788000</v>
      </c>
      <c r="R10" s="41">
        <f>S10/$S$9</f>
        <v>1</v>
      </c>
      <c r="S10" s="43">
        <f>'Estado de resultados PyG - 12 m'!K3</f>
        <v>94640000</v>
      </c>
      <c r="T10" s="41">
        <f>U10/$U$9</f>
        <v>1</v>
      </c>
      <c r="U10" s="43">
        <f>'Estado de resultados PyG - 12 m'!M3</f>
        <v>119644000</v>
      </c>
      <c r="V10" s="41">
        <f>W10/$W$9</f>
        <v>1</v>
      </c>
      <c r="W10" s="43">
        <f>'Estado de resultados PyG - 12 m'!O3</f>
        <v>151004000</v>
      </c>
      <c r="X10" s="41">
        <f>Y10/$Y$9</f>
        <v>1</v>
      </c>
      <c r="Y10" s="43">
        <f>'Estado de resultados PyG - 12 m'!Q3</f>
        <v>190232000</v>
      </c>
      <c r="Z10" s="41">
        <f>AA10/$AA$9</f>
        <v>1</v>
      </c>
      <c r="AA10" s="46">
        <f>'Estado de resultados PyG - 12 m'!S3</f>
        <v>239092000</v>
      </c>
      <c r="AC10" s="25">
        <f t="shared" si="13"/>
        <v>869400006</v>
      </c>
    </row>
    <row r="11" spans="1:29" ht="15.75" customHeight="1">
      <c r="A11" s="40" t="s">
        <v>99</v>
      </c>
      <c r="B11" s="65">
        <f>C11/$C$9</f>
        <v>1</v>
      </c>
      <c r="C11" s="42">
        <v>1500000</v>
      </c>
      <c r="D11" s="82">
        <v>0</v>
      </c>
      <c r="E11" s="42">
        <v>0</v>
      </c>
      <c r="F11" s="65">
        <v>0</v>
      </c>
      <c r="G11" s="42">
        <v>0</v>
      </c>
      <c r="H11" s="65">
        <v>0</v>
      </c>
      <c r="I11" s="42">
        <v>0</v>
      </c>
      <c r="J11" s="65">
        <v>0</v>
      </c>
      <c r="K11" s="42">
        <v>0</v>
      </c>
      <c r="L11" s="41">
        <v>0</v>
      </c>
      <c r="M11" s="42">
        <v>0</v>
      </c>
      <c r="N11" s="41">
        <v>0</v>
      </c>
      <c r="O11" s="42">
        <v>0</v>
      </c>
      <c r="P11" s="41">
        <v>0</v>
      </c>
      <c r="Q11" s="42">
        <v>0</v>
      </c>
      <c r="R11" s="41">
        <v>0</v>
      </c>
      <c r="S11" s="42">
        <v>0</v>
      </c>
      <c r="T11" s="41">
        <v>0</v>
      </c>
      <c r="U11" s="42">
        <v>0</v>
      </c>
      <c r="V11" s="41">
        <v>0</v>
      </c>
      <c r="W11" s="42">
        <v>0</v>
      </c>
      <c r="X11" s="41">
        <v>0</v>
      </c>
      <c r="Y11" s="42">
        <v>0</v>
      </c>
      <c r="Z11" s="41">
        <v>0</v>
      </c>
      <c r="AA11" s="54">
        <v>0</v>
      </c>
      <c r="AC11" s="25">
        <f t="shared" si="13"/>
        <v>0</v>
      </c>
    </row>
    <row r="12" spans="1:29" ht="15.75" customHeight="1">
      <c r="A12" s="31" t="s">
        <v>100</v>
      </c>
      <c r="B12" s="58"/>
      <c r="C12" s="59">
        <f>C9-C2</f>
        <v>-2316700</v>
      </c>
      <c r="D12" s="58"/>
      <c r="E12" s="59">
        <f>C12-E2+E9</f>
        <v>-10525736</v>
      </c>
      <c r="F12" s="58"/>
      <c r="G12" s="59">
        <f>E12-G2+G9</f>
        <v>-18734772</v>
      </c>
      <c r="H12" s="58"/>
      <c r="I12" s="59">
        <f>G12-I2+I9</f>
        <v>-26943808</v>
      </c>
      <c r="J12" s="58"/>
      <c r="K12" s="59">
        <f>I12-K2+K9</f>
        <v>-35152844</v>
      </c>
      <c r="L12" s="58"/>
      <c r="M12" s="59">
        <f>K12-M2+M9</f>
        <v>-43361880</v>
      </c>
      <c r="N12" s="58"/>
      <c r="O12" s="59">
        <f>M12-O2+O9</f>
        <v>-51570916</v>
      </c>
      <c r="P12" s="58"/>
      <c r="Q12" s="59">
        <f>O12-Q2+Q9</f>
        <v>-7367552</v>
      </c>
      <c r="R12" s="58"/>
      <c r="S12" s="59">
        <f>Q12-S2+S9</f>
        <v>50732212</v>
      </c>
      <c r="T12" s="58"/>
      <c r="U12" s="59">
        <f>S12-U2+U9</f>
        <v>126334776</v>
      </c>
      <c r="V12" s="58"/>
      <c r="W12" s="59">
        <f>U12-W2+W9</f>
        <v>189961861.87466666</v>
      </c>
      <c r="X12" s="58"/>
      <c r="Y12" s="59">
        <f>W12-Y2+Y9</f>
        <v>271443650.40533334</v>
      </c>
      <c r="Z12" s="58"/>
      <c r="AA12" s="60">
        <f>Y12-AA2+AA9</f>
        <v>375164165.65600002</v>
      </c>
      <c r="AC12" s="25">
        <f t="shared" si="13"/>
        <v>819979157.93599999</v>
      </c>
    </row>
  </sheetData>
  <mergeCells count="13">
    <mergeCell ref="X1:Y1"/>
    <mergeCell ref="Z1:AA1"/>
    <mergeCell ref="R1:S1"/>
    <mergeCell ref="P1:Q1"/>
    <mergeCell ref="V1:W1"/>
    <mergeCell ref="T1:U1"/>
    <mergeCell ref="N1:O1"/>
    <mergeCell ref="J1:K1"/>
    <mergeCell ref="H1:I1"/>
    <mergeCell ref="D1:E1"/>
    <mergeCell ref="B1:C1"/>
    <mergeCell ref="F1:G1"/>
    <mergeCell ref="L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6" sqref="B6"/>
    </sheetView>
  </sheetViews>
  <sheetFormatPr baseColWidth="10" defaultColWidth="14.42578125" defaultRowHeight="15.75" customHeight="1"/>
  <cols>
    <col min="1" max="1" width="23.85546875" customWidth="1"/>
    <col min="2" max="2" width="20.42578125" customWidth="1"/>
    <col min="5" max="6" width="16.5703125" bestFit="1" customWidth="1"/>
    <col min="8" max="8" width="19.42578125" customWidth="1"/>
    <col min="10" max="10" width="18.42578125" customWidth="1"/>
    <col min="13" max="13" width="16.7109375" customWidth="1"/>
  </cols>
  <sheetData>
    <row r="1" spans="1:13" ht="15.75" customHeight="1">
      <c r="A1" s="11" t="s">
        <v>114</v>
      </c>
      <c r="B1" s="67">
        <v>70000000</v>
      </c>
      <c r="H1" s="68">
        <v>-70000000</v>
      </c>
      <c r="J1" s="25">
        <f>'Flujo de Caja (Profesor) - 5 añ'!B19</f>
        <v>-70000000</v>
      </c>
    </row>
    <row r="2" spans="1:13" ht="15.75" customHeight="1">
      <c r="A2" s="11" t="s">
        <v>115</v>
      </c>
      <c r="B2" s="11">
        <v>0.15</v>
      </c>
      <c r="C2" s="11">
        <v>800</v>
      </c>
      <c r="H2" s="69">
        <f>'Flujo de caja - 5 años'!E12</f>
        <v>379227914.87627864</v>
      </c>
      <c r="J2" s="25">
        <f>'Flujo de Caja (Profesor) - 5 añ'!D19</f>
        <v>312581246.85761797</v>
      </c>
    </row>
    <row r="3" spans="1:13" ht="15.75" customHeight="1">
      <c r="H3" s="69">
        <f>'Flujo de caja - 5 años'!G12</f>
        <v>494469294.96517825</v>
      </c>
      <c r="J3" s="25">
        <f>'Flujo de Caja (Profesor) - 5 añ'!F19</f>
        <v>103520356.08889954</v>
      </c>
    </row>
    <row r="4" spans="1:13" ht="15.75" customHeight="1">
      <c r="A4" s="11"/>
      <c r="B4" s="25">
        <f>'Flujo de caja - 5 años'!E12/((1+$B$2)^1)</f>
        <v>329763404.2402423</v>
      </c>
      <c r="C4" s="25">
        <f>'Flujo de caja - 5 años'!G12/((1+$B$2)^2)</f>
        <v>373889826.06062633</v>
      </c>
      <c r="D4" s="25">
        <f>'Flujo de caja - 5 años'!I12/((1+$B$2)^3)</f>
        <v>468468672.39122665</v>
      </c>
      <c r="E4" s="72">
        <f>'Flujo de caja - 5 años'!K12/((1+$B$2)^4)</f>
        <v>538589884.82620013</v>
      </c>
      <c r="F4" s="72">
        <f>'Flujo de caja - 5 años'!M12/((1+$B$2)^5)</f>
        <v>582787958.46223927</v>
      </c>
      <c r="H4" s="69">
        <f>'Flujo de caja - 5 años'!I12</f>
        <v>712482292.12300658</v>
      </c>
      <c r="J4" s="25">
        <f>'Flujo de Caja (Profesor) - 5 añ'!H19</f>
        <v>195816960.0378288</v>
      </c>
    </row>
    <row r="5" spans="1:13" ht="15.75" customHeight="1">
      <c r="A5" s="11" t="s">
        <v>117</v>
      </c>
      <c r="B5" s="25">
        <f>SUM(B4:F4)-B1</f>
        <v>2223499745.9805346</v>
      </c>
      <c r="H5" s="69">
        <f>'Flujo de caja - 5 años'!K12</f>
        <v>941997074.74780393</v>
      </c>
      <c r="J5" s="25">
        <f>'Flujo de Caja (Profesor) - 5 añ'!J19</f>
        <v>206146424.22479713</v>
      </c>
      <c r="L5" s="11" t="s">
        <v>118</v>
      </c>
    </row>
    <row r="6" spans="1:13" ht="15.75" customHeight="1">
      <c r="A6" s="11"/>
      <c r="B6" s="25">
        <f>'Flujo de caja - 5 años'!E12/(1+$C$2)^1</f>
        <v>473443.08973318181</v>
      </c>
      <c r="C6" s="25">
        <f>'Flujo de caja - 5 años'!G12/(1+$C$2)^2</f>
        <v>770.68036827432979</v>
      </c>
      <c r="D6" s="25">
        <f>'Flujo de caja - 5 años'!I12/(1+$C$2)^3</f>
        <v>1.3863616194519737</v>
      </c>
      <c r="E6" s="72">
        <f>'Flujo de caja - 5 años'!K12/(1+$B$2)^4</f>
        <v>538589884.82620013</v>
      </c>
      <c r="F6" s="72">
        <f>'Flujo de caja - 5 años'!M12/(1+$B$2)^5</f>
        <v>582787958.46223927</v>
      </c>
      <c r="H6" s="69">
        <f>'Flujo de caja - 5 años'!M12</f>
        <v>1172194749.041476</v>
      </c>
      <c r="J6" s="25">
        <f>'Flujo de Caja (Profesor) - 5 añ'!L19</f>
        <v>206759712.05367249</v>
      </c>
      <c r="L6" s="11">
        <v>0</v>
      </c>
      <c r="M6" s="44">
        <f t="shared" ref="M6:M30" si="0">NPV(L6,$J$2:$J$6)+$J$1</f>
        <v>954824699.26281595</v>
      </c>
    </row>
    <row r="7" spans="1:13" ht="15.75" customHeight="1">
      <c r="A7" s="11" t="s">
        <v>121</v>
      </c>
      <c r="B7" s="25">
        <f>SUM(B6:F6)-B1</f>
        <v>1051852058.4449024</v>
      </c>
      <c r="H7" s="79">
        <f>'Flujo de caja - 5 años'!E17</f>
        <v>0</v>
      </c>
      <c r="L7" s="11">
        <v>0.05</v>
      </c>
      <c r="M7" s="44">
        <f t="shared" si="0"/>
        <v>822345310.6273762</v>
      </c>
    </row>
    <row r="8" spans="1:13" ht="15.75" customHeight="1">
      <c r="L8" s="11">
        <v>0.1</v>
      </c>
      <c r="M8" s="44">
        <f t="shared" si="0"/>
        <v>716021258.99577498</v>
      </c>
    </row>
    <row r="9" spans="1:13" ht="15.75" customHeight="1">
      <c r="G9" s="11" t="s">
        <v>117</v>
      </c>
      <c r="H9" s="44">
        <f t="array" ref="H9">NPV(0.15,H2:H6)+H1</f>
        <v>2223499745.980535</v>
      </c>
      <c r="J9" s="44">
        <f t="array" ref="J9">NPV(0.15,J2:J6)+J1</f>
        <v>629499877.1274631</v>
      </c>
      <c r="L9" s="11">
        <v>0.15</v>
      </c>
      <c r="M9" s="44">
        <f t="shared" si="0"/>
        <v>629499877.1274631</v>
      </c>
    </row>
    <row r="10" spans="1:13" ht="15.75" customHeight="1">
      <c r="G10" s="11" t="s">
        <v>121</v>
      </c>
      <c r="H10" s="81">
        <f>IRR(H1:H6)</f>
        <v>5.7413735165247362</v>
      </c>
      <c r="J10" s="81">
        <f>IRR(J1:J6)</f>
        <v>3.9123375985674116</v>
      </c>
      <c r="L10" s="11">
        <v>0.2</v>
      </c>
      <c r="M10" s="44">
        <f t="shared" si="0"/>
        <v>558200348.98384356</v>
      </c>
    </row>
    <row r="11" spans="1:13" ht="15.75" customHeight="1">
      <c r="L11" s="11">
        <v>0.25</v>
      </c>
      <c r="M11" s="44">
        <f t="shared" si="0"/>
        <v>498764906.73058271</v>
      </c>
    </row>
    <row r="12" spans="1:13" ht="15.75" customHeight="1">
      <c r="G12" s="11" t="s">
        <v>122</v>
      </c>
      <c r="J12" s="11" t="s">
        <v>123</v>
      </c>
      <c r="L12" s="11">
        <v>0.3</v>
      </c>
      <c r="M12" s="44">
        <f t="shared" si="0"/>
        <v>448695005.6928609</v>
      </c>
    </row>
    <row r="13" spans="1:13" ht="15.75" customHeight="1">
      <c r="L13" s="11">
        <v>0.35</v>
      </c>
      <c r="M13" s="44">
        <f t="shared" si="0"/>
        <v>406105561.06801742</v>
      </c>
    </row>
    <row r="14" spans="1:13" ht="15.75" customHeight="1">
      <c r="L14" s="11">
        <v>0.4</v>
      </c>
      <c r="M14" s="44">
        <f t="shared" si="0"/>
        <v>369556048.57326913</v>
      </c>
    </row>
    <row r="15" spans="1:13" ht="15.75" customHeight="1">
      <c r="L15" s="11">
        <v>0.45</v>
      </c>
      <c r="M15" s="44">
        <f t="shared" si="0"/>
        <v>337932569.60613227</v>
      </c>
    </row>
    <row r="16" spans="1:13" ht="15.75" customHeight="1">
      <c r="A16" s="11" t="s">
        <v>124</v>
      </c>
      <c r="B16">
        <f>B17/(B19-B18)</f>
        <v>-1567.240377318617</v>
      </c>
      <c r="L16" s="11">
        <v>0.5</v>
      </c>
      <c r="M16" s="44">
        <f t="shared" si="0"/>
        <v>310364282.79739386</v>
      </c>
    </row>
    <row r="17" spans="1:13" ht="15.75" customHeight="1">
      <c r="A17" s="11" t="s">
        <v>125</v>
      </c>
      <c r="B17" s="44">
        <f>'Estado de resultados PyG - 12 m'!I6+'Estado de resultados PyG - 12 m'!I7+'Estado de resultados PyG - 12 m'!I9+'Estado de resultados PyG - 12 m'!I10+'Estado de resultados PyG - 12 m'!I13</f>
        <v>8701569.3333333321</v>
      </c>
      <c r="L17" s="11">
        <v>0.55000000000000004</v>
      </c>
      <c r="M17" s="44">
        <f t="shared" si="0"/>
        <v>286163374.05112779</v>
      </c>
    </row>
    <row r="18" spans="1:13" ht="15.75" customHeight="1">
      <c r="A18" s="11" t="s">
        <v>126</v>
      </c>
      <c r="B18" s="44">
        <f>'Estado de resultados PyG - 12 m'!I5/'Estado de resultados PyG - 12 m'!I18</f>
        <v>8412.16</v>
      </c>
      <c r="L18" s="11">
        <v>0.6</v>
      </c>
      <c r="M18" s="44">
        <f t="shared" si="0"/>
        <v>264781384.13013524</v>
      </c>
    </row>
    <row r="19" spans="1:13" ht="15.75" customHeight="1">
      <c r="A19" s="11" t="s">
        <v>127</v>
      </c>
      <c r="B19" s="11">
        <v>2860</v>
      </c>
      <c r="L19" s="11">
        <v>0.65</v>
      </c>
      <c r="M19" s="44">
        <f t="shared" si="0"/>
        <v>245777058.02335048</v>
      </c>
    </row>
    <row r="20" spans="1:13" ht="15.75" customHeight="1">
      <c r="L20" s="11">
        <v>0.7</v>
      </c>
      <c r="M20" s="44">
        <f t="shared" si="0"/>
        <v>228792412.83378732</v>
      </c>
    </row>
    <row r="21" spans="1:13" ht="15.75" customHeight="1">
      <c r="L21" s="11">
        <v>0.75</v>
      </c>
      <c r="M21" s="44">
        <f t="shared" si="0"/>
        <v>213534737.49442923</v>
      </c>
    </row>
    <row r="22" spans="1:13" ht="15.75" customHeight="1">
      <c r="L22" s="11">
        <v>0.8</v>
      </c>
      <c r="M22" s="44">
        <f t="shared" si="0"/>
        <v>199762921.46691018</v>
      </c>
    </row>
    <row r="23" spans="1:13" ht="15.75" customHeight="1">
      <c r="L23" s="11">
        <v>0.85</v>
      </c>
      <c r="M23" s="44">
        <f t="shared" si="0"/>
        <v>187276975.68432191</v>
      </c>
    </row>
    <row r="24" spans="1:13" ht="15.75" customHeight="1">
      <c r="L24" s="11">
        <v>0.9</v>
      </c>
      <c r="M24" s="44">
        <f t="shared" si="0"/>
        <v>175909930.63703328</v>
      </c>
    </row>
    <row r="25" spans="1:13" ht="12.75">
      <c r="L25" s="11">
        <v>0.95</v>
      </c>
      <c r="M25" s="44">
        <f t="shared" si="0"/>
        <v>165521521.03717157</v>
      </c>
    </row>
    <row r="26" spans="1:13" ht="12.75">
      <c r="L26" s="11">
        <v>1</v>
      </c>
      <c r="M26" s="44">
        <f t="shared" si="0"/>
        <v>155993224.97148955</v>
      </c>
    </row>
    <row r="27" spans="1:13" ht="12.75">
      <c r="L27" s="11">
        <v>1.05</v>
      </c>
      <c r="M27" s="44">
        <f t="shared" si="0"/>
        <v>147224338.4616845</v>
      </c>
    </row>
    <row r="28" spans="1:13" ht="12.75">
      <c r="L28" s="11">
        <v>1.1000000000000001</v>
      </c>
      <c r="M28" s="44">
        <f t="shared" si="0"/>
        <v>139128847.73034531</v>
      </c>
    </row>
    <row r="29" spans="1:13" ht="12.75">
      <c r="L29" s="11">
        <v>1.1499999999999999</v>
      </c>
      <c r="M29" s="44">
        <f t="shared" si="0"/>
        <v>131632920.61737844</v>
      </c>
    </row>
    <row r="30" spans="1:13" ht="12.75">
      <c r="L30" s="11">
        <v>1.2</v>
      </c>
      <c r="M30" s="44">
        <f t="shared" si="0"/>
        <v>124672881.95885417</v>
      </c>
    </row>
    <row r="31" spans="1:13" ht="12.75">
      <c r="L31" s="1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baseColWidth="10" defaultColWidth="14.42578125" defaultRowHeight="15.75" customHeight="1"/>
  <cols>
    <col min="1" max="1" width="27.42578125" customWidth="1"/>
    <col min="2" max="2" width="9.28515625" customWidth="1"/>
    <col min="4" max="4" width="8.5703125" customWidth="1"/>
    <col min="6" max="6" width="9" customWidth="1"/>
    <col min="8" max="8" width="8.140625" customWidth="1"/>
    <col min="9" max="9" width="13.5703125" customWidth="1"/>
    <col min="10" max="10" width="9" customWidth="1"/>
    <col min="11" max="11" width="13.85546875" customWidth="1"/>
  </cols>
  <sheetData>
    <row r="1" spans="1:11" ht="15.75" customHeight="1">
      <c r="A1" s="27"/>
      <c r="B1" s="114" t="s">
        <v>76</v>
      </c>
      <c r="C1" s="105"/>
      <c r="D1" s="114" t="s">
        <v>77</v>
      </c>
      <c r="E1" s="105"/>
      <c r="F1" s="114" t="s">
        <v>78</v>
      </c>
      <c r="G1" s="105"/>
      <c r="H1" s="114" t="s">
        <v>80</v>
      </c>
      <c r="I1" s="105"/>
      <c r="J1" s="114" t="s">
        <v>81</v>
      </c>
      <c r="K1" s="105"/>
    </row>
    <row r="2" spans="1:11" ht="15.75" customHeight="1">
      <c r="A2" s="31" t="s">
        <v>130</v>
      </c>
      <c r="B2" s="87" t="e">
        <f>C2/$C$2</f>
        <v>#REF!</v>
      </c>
      <c r="C2" s="89" t="e">
        <f>SUM(C4,C9)</f>
        <v>#REF!</v>
      </c>
      <c r="D2" s="87" t="e">
        <f>E2/$E$2</f>
        <v>#REF!</v>
      </c>
      <c r="E2" s="89" t="e">
        <f>SUM(E4,E9)</f>
        <v>#REF!</v>
      </c>
      <c r="F2" s="87" t="e">
        <f>G2/$G$2</f>
        <v>#REF!</v>
      </c>
      <c r="G2" s="89" t="e">
        <f>SUM(G4,G9)</f>
        <v>#REF!</v>
      </c>
      <c r="H2" s="87" t="e">
        <f>I2/$I$2</f>
        <v>#REF!</v>
      </c>
      <c r="I2" s="89" t="e">
        <f>SUM(I4,I9)</f>
        <v>#REF!</v>
      </c>
      <c r="J2" s="33" t="e">
        <f>K2/$K$2</f>
        <v>#REF!</v>
      </c>
      <c r="K2" s="93" t="e">
        <f>SUM(K4,K9)</f>
        <v>#REF!</v>
      </c>
    </row>
    <row r="3" spans="1:11" ht="15.75" customHeight="1">
      <c r="A3" s="31" t="s">
        <v>144</v>
      </c>
      <c r="B3" s="87"/>
      <c r="C3" s="94"/>
      <c r="D3" s="87"/>
      <c r="E3" s="94"/>
      <c r="F3" s="87"/>
      <c r="G3" s="94"/>
      <c r="H3" s="87" t="e">
        <f>I3/$I$2</f>
        <v>#REF!</v>
      </c>
      <c r="I3" s="94"/>
      <c r="J3" s="95"/>
      <c r="K3" s="96"/>
    </row>
    <row r="4" spans="1:11" ht="15.75" customHeight="1">
      <c r="A4" s="40" t="s">
        <v>149</v>
      </c>
      <c r="B4" s="97" t="e">
        <f>C4/$C$2</f>
        <v>#REF!</v>
      </c>
      <c r="C4" s="98">
        <f>'Estado de resultados PyG - 5 añ'!C3+100000000</f>
        <v>969400006</v>
      </c>
      <c r="D4" s="97" t="e">
        <f>E4/$E$2</f>
        <v>#REF!</v>
      </c>
      <c r="E4" s="98">
        <f>'Estado de resultados PyG - 5 añ'!E3</f>
        <v>1378377000</v>
      </c>
      <c r="F4" s="87" t="e">
        <f>G4/$G$2</f>
        <v>#REF!</v>
      </c>
      <c r="G4" s="98">
        <f>'Estado de resultados PyG - 5 añ'!G3</f>
        <v>2610224760</v>
      </c>
      <c r="H4" s="87" t="e">
        <f>I4/$I$2</f>
        <v>#REF!</v>
      </c>
      <c r="I4" s="98">
        <f>'Estado de resultados PyG - 5 añ'!I3</f>
        <v>2748088200</v>
      </c>
      <c r="J4" s="33" t="e">
        <f>K4/$K$2</f>
        <v>#REF!</v>
      </c>
      <c r="K4" s="100">
        <f>'Estado de resultados PyG - 5 añ'!K3</f>
        <v>2756273520</v>
      </c>
    </row>
    <row r="5" spans="1:11" ht="15.75" customHeight="1">
      <c r="A5" s="31" t="s">
        <v>157</v>
      </c>
      <c r="B5" s="87"/>
      <c r="C5" s="94"/>
      <c r="D5" s="87"/>
      <c r="E5" s="94"/>
      <c r="F5" s="87"/>
      <c r="G5" s="94"/>
      <c r="H5" s="87"/>
      <c r="I5" s="94"/>
      <c r="J5" s="95"/>
      <c r="K5" s="96"/>
    </row>
    <row r="6" spans="1:11" ht="15.75" customHeight="1">
      <c r="A6" s="40" t="s">
        <v>159</v>
      </c>
      <c r="B6" s="97" t="e">
        <f>C6/$C$2</f>
        <v>#REF!</v>
      </c>
      <c r="C6" s="43" t="e">
        <f>'Presupuesto Inicial'!#REF!</f>
        <v>#REF!</v>
      </c>
      <c r="D6" s="97" t="e">
        <f>E6/$E$2</f>
        <v>#REF!</v>
      </c>
      <c r="E6" s="43" t="e">
        <f>C6*3</f>
        <v>#REF!</v>
      </c>
      <c r="F6" s="97" t="e">
        <f>G6/$G$2</f>
        <v>#REF!</v>
      </c>
      <c r="G6" s="43" t="e">
        <f>E6*3</f>
        <v>#REF!</v>
      </c>
      <c r="H6" s="87" t="e">
        <f>I6/$I$2</f>
        <v>#REF!</v>
      </c>
      <c r="I6" s="43" t="e">
        <f>G6*3</f>
        <v>#REF!</v>
      </c>
      <c r="J6" s="41" t="e">
        <f>K6/$K$2</f>
        <v>#REF!</v>
      </c>
      <c r="K6" s="46" t="e">
        <f>I6*3</f>
        <v>#REF!</v>
      </c>
    </row>
    <row r="7" spans="1:11" ht="15.75" customHeight="1">
      <c r="A7" s="40" t="s">
        <v>162</v>
      </c>
      <c r="B7" s="97" t="e">
        <f>C7/$C$2</f>
        <v>#REF!</v>
      </c>
      <c r="C7" s="43">
        <f>'Presupuesto Inicial'!$D$21</f>
        <v>3500000</v>
      </c>
      <c r="D7" s="97" t="e">
        <f>E7/$E$2</f>
        <v>#REF!</v>
      </c>
      <c r="E7" s="43">
        <f>C7*2.5</f>
        <v>8750000</v>
      </c>
      <c r="F7" s="97" t="e">
        <f>G7/$G$2</f>
        <v>#REF!</v>
      </c>
      <c r="G7" s="43">
        <f>E7*2.5</f>
        <v>21875000</v>
      </c>
      <c r="H7" s="87" t="e">
        <f>I7/$I$2</f>
        <v>#REF!</v>
      </c>
      <c r="I7" s="43">
        <f>G7*2.5</f>
        <v>54687500</v>
      </c>
      <c r="J7" s="41" t="e">
        <f>K7/$K$2</f>
        <v>#REF!</v>
      </c>
      <c r="K7" s="46">
        <f>I7*2.5</f>
        <v>136718750</v>
      </c>
    </row>
    <row r="8" spans="1:11" ht="15.75" customHeight="1">
      <c r="A8" s="31" t="s">
        <v>163</v>
      </c>
      <c r="B8" s="87" t="e">
        <f>C8/$C$2</f>
        <v>#REF!</v>
      </c>
      <c r="C8" s="43">
        <f>('Presupuesto Inicial'!J20)*12</f>
        <v>700000</v>
      </c>
      <c r="D8" s="87" t="e">
        <f>E8/$E$2</f>
        <v>#REF!</v>
      </c>
      <c r="E8" s="43">
        <f>C8+$C$8</f>
        <v>1400000</v>
      </c>
      <c r="F8" s="87" t="e">
        <f>G8/$G$2</f>
        <v>#REF!</v>
      </c>
      <c r="G8" s="43">
        <f>E8+$C$8</f>
        <v>2100000</v>
      </c>
      <c r="H8" s="87" t="e">
        <f>I8/$I$2</f>
        <v>#REF!</v>
      </c>
      <c r="I8" s="43">
        <f>G8+$C$8</f>
        <v>2800000</v>
      </c>
      <c r="J8" s="33" t="e">
        <f>K8/$K$2</f>
        <v>#REF!</v>
      </c>
      <c r="K8" s="46">
        <f>I8+$C$8</f>
        <v>3500000</v>
      </c>
    </row>
    <row r="9" spans="1:11" ht="15.75" customHeight="1">
      <c r="A9" s="31" t="s">
        <v>164</v>
      </c>
      <c r="B9" s="87" t="e">
        <f>C9/$C$2</f>
        <v>#REF!</v>
      </c>
      <c r="C9" s="43" t="e">
        <f>C6+C7-C8</f>
        <v>#REF!</v>
      </c>
      <c r="D9" s="87" t="e">
        <f>E9/$E$2</f>
        <v>#REF!</v>
      </c>
      <c r="E9" s="43" t="e">
        <f>E6+E7-E8</f>
        <v>#REF!</v>
      </c>
      <c r="F9" s="87" t="e">
        <f>G9/$G$2</f>
        <v>#REF!</v>
      </c>
      <c r="G9" s="43" t="e">
        <f>G6+G7-G8</f>
        <v>#REF!</v>
      </c>
      <c r="H9" s="87" t="e">
        <f>I9/$I$2</f>
        <v>#REF!</v>
      </c>
      <c r="I9" s="43" t="e">
        <f>I6+I7-I8</f>
        <v>#REF!</v>
      </c>
      <c r="J9" s="33" t="e">
        <f>K9/$K$2</f>
        <v>#REF!</v>
      </c>
      <c r="K9" s="46" t="e">
        <f>K6+K7-K8</f>
        <v>#REF!</v>
      </c>
    </row>
    <row r="10" spans="1:11" ht="15.75" customHeight="1">
      <c r="A10" s="31" t="s">
        <v>165</v>
      </c>
      <c r="B10" s="87">
        <f>C10/$C$10</f>
        <v>1</v>
      </c>
      <c r="C10" s="59">
        <f>SUM(C12:C15)</f>
        <v>556076391.12372136</v>
      </c>
      <c r="D10" s="87">
        <f>E10/$E$10</f>
        <v>1</v>
      </c>
      <c r="E10" s="59">
        <f>SUM(E12:E15)</f>
        <v>1263135619.9111004</v>
      </c>
      <c r="F10" s="87">
        <f>G10/$G$10</f>
        <v>1</v>
      </c>
      <c r="G10" s="59">
        <f>SUM(G12:G15)</f>
        <v>2392211762.8421712</v>
      </c>
      <c r="H10" s="87">
        <f>I10/$I$10</f>
        <v>1</v>
      </c>
      <c r="I10" s="59">
        <f>SUM(I12:I15)</f>
        <v>2518573417.3752031</v>
      </c>
      <c r="J10" s="33">
        <f>K10/$K$10</f>
        <v>1</v>
      </c>
      <c r="K10" s="60">
        <f>SUM(K12:K15)</f>
        <v>2526075845.7063274</v>
      </c>
    </row>
    <row r="11" spans="1:11" ht="15.75" customHeight="1">
      <c r="A11" s="31" t="s">
        <v>166</v>
      </c>
      <c r="B11" s="87"/>
      <c r="C11" s="94"/>
      <c r="D11" s="87"/>
      <c r="E11" s="94"/>
      <c r="F11" s="87"/>
      <c r="G11" s="94"/>
      <c r="H11" s="87"/>
      <c r="I11" s="94"/>
      <c r="J11" s="95"/>
      <c r="K11" s="96"/>
    </row>
    <row r="12" spans="1:11" ht="15.75" customHeight="1">
      <c r="A12" s="40" t="s">
        <v>167</v>
      </c>
      <c r="B12" s="97">
        <f>C12/$C$10</f>
        <v>0.46903627984085772</v>
      </c>
      <c r="C12" s="43">
        <f>'Flujo de caja - 5 años'!E6</f>
        <v>260820001.80000001</v>
      </c>
      <c r="D12" s="97">
        <f>E12/$E$10</f>
        <v>0.32737031042565573</v>
      </c>
      <c r="E12" s="43">
        <f>'Flujo de caja - 5 años'!G6</f>
        <v>413513100</v>
      </c>
      <c r="F12" s="97">
        <f>G12/$G$10</f>
        <v>0.32734034677165985</v>
      </c>
      <c r="G12" s="43">
        <f>'Flujo de caja - 5 años'!I6</f>
        <v>783067428</v>
      </c>
      <c r="H12" s="97">
        <f>I12/$I$10</f>
        <v>0.32733866494120212</v>
      </c>
      <c r="I12" s="43">
        <f>'Flujo de caja - 5 años'!K6</f>
        <v>824426460</v>
      </c>
      <c r="J12" s="41">
        <f>K12/$K$10</f>
        <v>0.32733857037803699</v>
      </c>
      <c r="K12" s="46">
        <f>'Flujo de caja - 5 años'!M6</f>
        <v>826882056</v>
      </c>
    </row>
    <row r="13" spans="1:11" ht="15.75" customHeight="1">
      <c r="A13" s="40" t="s">
        <v>168</v>
      </c>
      <c r="B13" s="97">
        <f>C13/$C$10</f>
        <v>0.34994752524661277</v>
      </c>
      <c r="C13" s="43">
        <f>'Flujo de caja - 5 años'!E8</f>
        <v>194597556.92181379</v>
      </c>
      <c r="D13" s="97">
        <f>E13/$E$10</f>
        <v>4.3831245237695562E-2</v>
      </c>
      <c r="E13" s="43">
        <f>'Flujo de caja - 5 años'!G8</f>
        <v>55364807.124792054</v>
      </c>
      <c r="F13" s="97">
        <f>G13/$G$10</f>
        <v>4.391876175589203E-2</v>
      </c>
      <c r="G13" s="43">
        <f>'Flujo de caja - 5 años'!I8</f>
        <v>105062978.4819078</v>
      </c>
      <c r="H13" s="97">
        <f>I13/$I$10</f>
        <v>4.3923673972068228E-2</v>
      </c>
      <c r="I13" s="43">
        <f>'Flujo de caja - 5 años'!K8</f>
        <v>110624997.65950614</v>
      </c>
      <c r="J13" s="41">
        <f>K13/$K$10</f>
        <v>4.3923950167987703E-2</v>
      </c>
      <c r="K13" s="46">
        <f>'Flujo de caja - 5 años'!M8</f>
        <v>110955229.56736211</v>
      </c>
    </row>
    <row r="14" spans="1:11" ht="15.75" customHeight="1">
      <c r="A14" s="40" t="s">
        <v>169</v>
      </c>
      <c r="B14" s="97">
        <f>C14/$C$10</f>
        <v>0.16716176744483335</v>
      </c>
      <c r="C14" s="43">
        <f>'Flujo de caja - 5 años'!E3</f>
        <v>92954712.374585703</v>
      </c>
      <c r="D14" s="97">
        <f>E14/$E$10</f>
        <v>0.59111524714388941</v>
      </c>
      <c r="E14" s="43">
        <f>'Flujo de caja - 5 años'!G3</f>
        <v>746658724.1400001</v>
      </c>
      <c r="F14" s="97">
        <f>G14/$G$10</f>
        <v>0.59106114335935844</v>
      </c>
      <c r="G14" s="43">
        <f>'Flujo de caja - 5 años'!I3</f>
        <v>1413943419.7032001</v>
      </c>
      <c r="H14" s="97">
        <f>I14/$I$10</f>
        <v>0.5910581065670929</v>
      </c>
      <c r="I14" s="43">
        <f>'Flujo de caja - 5 años'!K3</f>
        <v>1488623235.3240001</v>
      </c>
      <c r="J14" s="41">
        <f>K14/$K$10</f>
        <v>0.59105793581938926</v>
      </c>
      <c r="K14" s="46">
        <f>'Flujo de caja - 5 años'!M3</f>
        <v>1493057175.0864</v>
      </c>
    </row>
    <row r="15" spans="1:11" ht="15.75" customHeight="1">
      <c r="A15" s="40" t="s">
        <v>170</v>
      </c>
      <c r="B15" s="97">
        <f>C15/$C$10</f>
        <v>1.3854427467696108E-2</v>
      </c>
      <c r="C15" s="43">
        <f>'Flujo de caja - 5 años'!E4+'Flujo de caja - 5 años'!E5+'Flujo de caja - 5 años'!E7</f>
        <v>7704120.0273218099</v>
      </c>
      <c r="D15" s="97">
        <f>E15/$E$10</f>
        <v>3.7683197192759331E-2</v>
      </c>
      <c r="E15" s="43">
        <f>'Flujo de caja - 5 años'!G4+'Flujo de caja - 5 años'!G5+'Flujo de caja - 5 años'!G7</f>
        <v>47598988.646308295</v>
      </c>
      <c r="F15" s="97">
        <f>G15/$G$10</f>
        <v>3.7679748113089662E-2</v>
      </c>
      <c r="G15" s="43">
        <f>'Flujo de caja - 5 años'!I4+'Flujo de caja - 5 años'!I5+'Flujo de caja - 5 años'!I7</f>
        <v>90137936.657063186</v>
      </c>
      <c r="H15" s="97">
        <f>I15/$I$10</f>
        <v>3.7679554519636727E-2</v>
      </c>
      <c r="I15" s="43">
        <f>'Flujo de caja - 5 años'!K4+'Flujo de caja - 5 años'!K5+'Flujo de caja - 5 años'!K7</f>
        <v>94898724.391696751</v>
      </c>
      <c r="J15" s="41">
        <f>K15/$K$10</f>
        <v>3.7679543634586116E-2</v>
      </c>
      <c r="K15" s="46">
        <f>'Flujo de caja - 5 años'!M4+'Flujo de caja - 5 años'!M5+'Flujo de caja - 5 años'!M7</f>
        <v>95181385.05256559</v>
      </c>
    </row>
    <row r="16" spans="1:11" ht="15.75" customHeight="1">
      <c r="A16" s="31" t="s">
        <v>171</v>
      </c>
      <c r="B16" s="87" t="e">
        <f>C16/$C$16</f>
        <v>#REF!</v>
      </c>
      <c r="C16" s="59" t="e">
        <f>C17</f>
        <v>#REF!</v>
      </c>
      <c r="D16" s="87" t="e">
        <f>E16/$E$16</f>
        <v>#REF!</v>
      </c>
      <c r="E16" s="59" t="e">
        <f>E17</f>
        <v>#REF!</v>
      </c>
      <c r="F16" s="87" t="e">
        <f>G16/$G$16</f>
        <v>#REF!</v>
      </c>
      <c r="G16" s="59" t="e">
        <f>G17</f>
        <v>#REF!</v>
      </c>
      <c r="H16" s="87" t="e">
        <f>I16/$I$16</f>
        <v>#REF!</v>
      </c>
      <c r="I16" s="59" t="e">
        <f>I17</f>
        <v>#REF!</v>
      </c>
      <c r="J16" s="33" t="e">
        <f>K16/$K$16</f>
        <v>#REF!</v>
      </c>
      <c r="K16" s="59" t="e">
        <f>K17</f>
        <v>#REF!</v>
      </c>
    </row>
    <row r="17" spans="1:11" ht="15.75" customHeight="1">
      <c r="A17" s="40" t="s">
        <v>172</v>
      </c>
      <c r="B17" s="97" t="e">
        <f>C17/$C$16</f>
        <v>#REF!</v>
      </c>
      <c r="C17" s="42" t="e">
        <f>C2-C10</f>
        <v>#REF!</v>
      </c>
      <c r="D17" s="97" t="e">
        <f>E17/$E$16</f>
        <v>#REF!</v>
      </c>
      <c r="E17" s="42" t="e">
        <f>E2-E10</f>
        <v>#REF!</v>
      </c>
      <c r="F17" s="97" t="e">
        <f>G17/$G$16</f>
        <v>#REF!</v>
      </c>
      <c r="G17" s="42" t="e">
        <f>G2-G10</f>
        <v>#REF!</v>
      </c>
      <c r="H17" s="97" t="e">
        <f>I17/$I$16</f>
        <v>#REF!</v>
      </c>
      <c r="I17" s="42" t="e">
        <f>I2-I10</f>
        <v>#REF!</v>
      </c>
      <c r="J17" s="41" t="e">
        <f>K17/$K$16</f>
        <v>#REF!</v>
      </c>
      <c r="K17" s="42" t="e">
        <f>K2-K10</f>
        <v>#REF!</v>
      </c>
    </row>
  </sheetData>
  <mergeCells count="5">
    <mergeCell ref="B1:C1"/>
    <mergeCell ref="D1:E1"/>
    <mergeCell ref="F1:G1"/>
    <mergeCell ref="H1:I1"/>
    <mergeCell ref="J1:K1"/>
  </mergeCells>
  <conditionalFormatting sqref="A1:K17">
    <cfRule type="cellIs" dxfId="5" priority="1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C13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18" bestFit="1" customWidth="1"/>
  </cols>
  <sheetData>
    <row r="1" spans="1:15" ht="15.75" customHeight="1">
      <c r="A1" s="84" t="s">
        <v>128</v>
      </c>
      <c r="B1" s="84" t="s">
        <v>129</v>
      </c>
      <c r="C1" s="88" t="s">
        <v>253</v>
      </c>
      <c r="E1" t="s">
        <v>136</v>
      </c>
      <c r="F1" t="s">
        <v>137</v>
      </c>
      <c r="H1" t="s">
        <v>138</v>
      </c>
    </row>
    <row r="2" spans="1:15" ht="15.75" customHeight="1">
      <c r="A2" s="90" t="s">
        <v>139</v>
      </c>
      <c r="B2" s="91">
        <v>0</v>
      </c>
      <c r="C2" s="157"/>
      <c r="E2">
        <v>6</v>
      </c>
      <c r="F2">
        <v>2109</v>
      </c>
      <c r="H2" t="s">
        <v>141</v>
      </c>
      <c r="I2">
        <v>160650</v>
      </c>
      <c r="K2" t="s">
        <v>183</v>
      </c>
      <c r="N2" t="s">
        <v>184</v>
      </c>
      <c r="O2">
        <v>315000</v>
      </c>
    </row>
    <row r="3" spans="1:15" ht="15.75" customHeight="1">
      <c r="A3" s="90" t="s">
        <v>69</v>
      </c>
      <c r="B3" s="91">
        <f>F2</f>
        <v>2109</v>
      </c>
      <c r="C3" s="157">
        <f>B3*(20060+(20060*0.19))</f>
        <v>50344782.600000001</v>
      </c>
      <c r="E3">
        <v>7</v>
      </c>
      <c r="F3">
        <v>2671</v>
      </c>
      <c r="H3" t="s">
        <v>143</v>
      </c>
      <c r="I3">
        <v>24</v>
      </c>
      <c r="K3" t="s">
        <v>185</v>
      </c>
      <c r="L3" s="117">
        <v>0.32</v>
      </c>
    </row>
    <row r="4" spans="1:15" ht="15.75" customHeight="1">
      <c r="A4" s="90" t="s">
        <v>70</v>
      </c>
      <c r="B4" s="91">
        <f>F4</f>
        <v>3380</v>
      </c>
      <c r="C4" s="157">
        <f t="shared" ref="C4:C13" si="0">B4*(20060+(20060*0.19))</f>
        <v>80685332</v>
      </c>
      <c r="E4">
        <v>8</v>
      </c>
      <c r="F4">
        <v>3380</v>
      </c>
      <c r="H4" t="s">
        <v>146</v>
      </c>
      <c r="I4">
        <v>0.24</v>
      </c>
      <c r="K4" t="s">
        <v>186</v>
      </c>
      <c r="L4" s="117">
        <v>0.51</v>
      </c>
    </row>
    <row r="5" spans="1:15" ht="15.75" customHeight="1">
      <c r="A5" s="90" t="s">
        <v>71</v>
      </c>
      <c r="B5" s="91">
        <f>F5</f>
        <v>4273</v>
      </c>
      <c r="C5" s="157">
        <f t="shared" si="0"/>
        <v>102002492.2</v>
      </c>
      <c r="E5">
        <v>9</v>
      </c>
      <c r="F5">
        <v>4273</v>
      </c>
      <c r="K5" t="s">
        <v>187</v>
      </c>
      <c r="L5" s="117">
        <v>0.16</v>
      </c>
    </row>
    <row r="6" spans="1:15" ht="15.75" customHeight="1">
      <c r="A6" s="90" t="s">
        <v>72</v>
      </c>
      <c r="B6" s="91">
        <f>F6</f>
        <v>5393</v>
      </c>
      <c r="C6" s="157">
        <f t="shared" si="0"/>
        <v>128738460.2</v>
      </c>
      <c r="E6">
        <v>10</v>
      </c>
      <c r="F6">
        <v>5393</v>
      </c>
    </row>
    <row r="7" spans="1:15" ht="15.75" customHeight="1">
      <c r="A7" s="90" t="s">
        <v>73</v>
      </c>
      <c r="B7" s="91">
        <f>F7</f>
        <v>6794</v>
      </c>
      <c r="C7" s="157">
        <f t="shared" si="0"/>
        <v>162182291.60000002</v>
      </c>
      <c r="E7">
        <v>11</v>
      </c>
      <c r="F7">
        <v>6794</v>
      </c>
    </row>
    <row r="8" spans="1:15" ht="15.75" customHeight="1">
      <c r="A8" s="90" t="s">
        <v>74</v>
      </c>
      <c r="B8" s="91">
        <f>F8</f>
        <v>8539</v>
      </c>
      <c r="C8" s="157">
        <f t="shared" si="0"/>
        <v>203837884.60000002</v>
      </c>
      <c r="D8" t="s">
        <v>188</v>
      </c>
      <c r="E8">
        <v>12</v>
      </c>
      <c r="F8">
        <v>8539</v>
      </c>
    </row>
    <row r="9" spans="1:15" ht="15.75" customHeight="1">
      <c r="A9" s="90" t="s">
        <v>76</v>
      </c>
      <c r="B9" s="91">
        <f>B8</f>
        <v>8539</v>
      </c>
      <c r="C9" s="157">
        <f t="shared" si="0"/>
        <v>203837884.60000002</v>
      </c>
      <c r="D9" t="s">
        <v>189</v>
      </c>
      <c r="E9">
        <v>24</v>
      </c>
      <c r="F9">
        <v>80325</v>
      </c>
    </row>
    <row r="10" spans="1:15" ht="15.75" customHeight="1">
      <c r="A10" s="90" t="s">
        <v>77</v>
      </c>
      <c r="B10" s="91">
        <f>F9</f>
        <v>80325</v>
      </c>
      <c r="C10" s="157">
        <f t="shared" si="0"/>
        <v>1917470205</v>
      </c>
      <c r="D10" t="s">
        <v>190</v>
      </c>
      <c r="E10">
        <v>36</v>
      </c>
      <c r="F10">
        <v>152111</v>
      </c>
    </row>
    <row r="11" spans="1:15" ht="15.75" customHeight="1">
      <c r="A11" s="90" t="s">
        <v>78</v>
      </c>
      <c r="B11" s="91">
        <f>F10</f>
        <v>152111</v>
      </c>
      <c r="C11" s="157">
        <f t="shared" si="0"/>
        <v>3631102525.4000001</v>
      </c>
      <c r="D11" t="s">
        <v>191</v>
      </c>
      <c r="E11">
        <v>48</v>
      </c>
      <c r="F11">
        <v>160145</v>
      </c>
    </row>
    <row r="12" spans="1:15" ht="15.75" customHeight="1">
      <c r="A12" s="90" t="s">
        <v>80</v>
      </c>
      <c r="B12" s="91">
        <f>F11</f>
        <v>160145</v>
      </c>
      <c r="C12" s="157">
        <f t="shared" si="0"/>
        <v>3822885353</v>
      </c>
      <c r="D12" t="s">
        <v>192</v>
      </c>
      <c r="E12">
        <v>60</v>
      </c>
      <c r="F12">
        <v>160622</v>
      </c>
    </row>
    <row r="13" spans="1:15" ht="15.75" customHeight="1">
      <c r="A13" s="90" t="s">
        <v>81</v>
      </c>
      <c r="B13" s="91">
        <f>F12</f>
        <v>160622</v>
      </c>
      <c r="C13" s="157">
        <f t="shared" si="0"/>
        <v>3834272010.8000002</v>
      </c>
    </row>
    <row r="14" spans="1:15" ht="15.75" customHeight="1">
      <c r="A14" s="11"/>
    </row>
    <row r="15" spans="1:15" ht="15.75" customHeight="1">
      <c r="A15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85"/>
      <c r="B1" s="86" t="s">
        <v>131</v>
      </c>
      <c r="C1" s="86" t="s">
        <v>132</v>
      </c>
      <c r="D1" s="86" t="s">
        <v>133</v>
      </c>
      <c r="E1" s="86" t="s">
        <v>134</v>
      </c>
    </row>
    <row r="2" spans="1:6" ht="15.75" customHeight="1">
      <c r="A2" s="86" t="s">
        <v>135</v>
      </c>
      <c r="B2" s="92">
        <v>257331</v>
      </c>
      <c r="C2" s="92">
        <v>142971</v>
      </c>
      <c r="D2" s="92">
        <v>142971</v>
      </c>
      <c r="E2" s="92">
        <v>142971</v>
      </c>
    </row>
    <row r="3" spans="1:6" ht="15.75" customHeight="1">
      <c r="A3" s="86" t="s">
        <v>140</v>
      </c>
      <c r="B3" s="92">
        <v>74360</v>
      </c>
      <c r="C3" s="92">
        <v>20020</v>
      </c>
      <c r="D3" s="92">
        <v>20020</v>
      </c>
      <c r="E3" s="92">
        <v>0</v>
      </c>
    </row>
    <row r="4" spans="1:6" ht="15.75" customHeight="1">
      <c r="A4" s="86" t="s">
        <v>142</v>
      </c>
      <c r="B4" s="92">
        <f>SUM(B2:B3)*0.02</f>
        <v>6633.82</v>
      </c>
      <c r="C4" s="92">
        <f>SUM(C2:C3)*0.02</f>
        <v>3259.82</v>
      </c>
      <c r="D4" s="92">
        <f>SUM(D2:D3)*0.02</f>
        <v>3259.82</v>
      </c>
      <c r="E4" s="92">
        <f>SUM(E2:E3)*0.02</f>
        <v>2859.42</v>
      </c>
    </row>
    <row r="5" spans="1:6" ht="15.75" customHeight="1">
      <c r="A5" s="86" t="s">
        <v>145</v>
      </c>
      <c r="B5" s="92">
        <f>SUM(B2:B4)</f>
        <v>338324.82</v>
      </c>
      <c r="C5" s="92">
        <f>SUM(C2:C4)</f>
        <v>166250.82</v>
      </c>
      <c r="D5" s="92">
        <f>SUM(D2:D4)</f>
        <v>166250.82</v>
      </c>
      <c r="E5" s="92">
        <f>SUM(E2:E4)</f>
        <v>145830.42000000001</v>
      </c>
    </row>
    <row r="6" spans="1:6" ht="15.75" customHeight="1">
      <c r="A6" s="86" t="s">
        <v>147</v>
      </c>
      <c r="B6" s="92">
        <v>350000</v>
      </c>
      <c r="C6" s="92">
        <v>180000</v>
      </c>
      <c r="D6" s="92">
        <v>175000</v>
      </c>
      <c r="E6" s="92">
        <v>160000</v>
      </c>
    </row>
    <row r="7" spans="1:6" ht="15.75" customHeight="1">
      <c r="A7" s="86" t="s">
        <v>148</v>
      </c>
      <c r="B7" s="92">
        <f>((B6/B5)-1)*100</f>
        <v>3.4508789511807025</v>
      </c>
      <c r="C7" s="92">
        <f>((C6/C5)-1)*100</f>
        <v>8.2701426675669829</v>
      </c>
      <c r="D7" s="92">
        <f>((D6/D5)-1)*100</f>
        <v>5.2626387045790146</v>
      </c>
      <c r="E7" s="92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150</v>
      </c>
      <c r="C1" s="1" t="s">
        <v>151</v>
      </c>
      <c r="D1" s="1" t="s">
        <v>152</v>
      </c>
    </row>
    <row r="2" spans="1:4" ht="15.75" customHeight="1">
      <c r="A2" s="99" t="s">
        <v>153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99" t="s">
        <v>154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99" t="s">
        <v>155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99" t="s">
        <v>156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99" t="s">
        <v>158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99" t="s">
        <v>160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99" t="s">
        <v>161</v>
      </c>
      <c r="B8" s="14">
        <f>AVERAGE(B2:B7)</f>
        <v>1950000</v>
      </c>
      <c r="C8" s="101">
        <f>AVERAGE(C2:C7)</f>
        <v>78.5</v>
      </c>
      <c r="D8" s="14">
        <f>AVERAGE(D2:D7)</f>
        <v>25758.479963906324</v>
      </c>
    </row>
    <row r="9" spans="1:4" ht="15.75" customHeight="1">
      <c r="A9" s="25"/>
    </row>
    <row r="10" spans="1:4" ht="15.75" customHeight="1">
      <c r="A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Presupuesto Inicial</vt:lpstr>
      <vt:lpstr>Estado de situacion financiera </vt:lpstr>
      <vt:lpstr>Salarios, gastos y costos</vt:lpstr>
      <vt:lpstr>Estado de resultados PyG - 12 m</vt:lpstr>
      <vt:lpstr>Estado de resultados PyG - 5 añ</vt:lpstr>
      <vt:lpstr>Flujo de caja - 5 años</vt:lpstr>
      <vt:lpstr>Flujo de Caja (Profesor) - 5 añ</vt:lpstr>
      <vt:lpstr>Flujo de caja - 12 meses</vt:lpstr>
      <vt:lpstr>VAN y TIR</vt:lpstr>
      <vt:lpstr>Balance General</vt:lpstr>
      <vt:lpstr>Tabla Crecimiento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2017-04-30T23:44:27Z</dcterms:modified>
</cp:coreProperties>
</file>