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Fondo Emprender\"/>
    </mc:Choice>
  </mc:AlternateContent>
  <bookViews>
    <workbookView xWindow="0" yWindow="0" windowWidth="20490" windowHeight="6930" tabRatio="912" firstSheet="4" activeTab="16"/>
  </bookViews>
  <sheets>
    <sheet name="Proyecciones" sheetId="1" r:id="rId1"/>
    <sheet name="Bases" sheetId="2" r:id="rId2"/>
    <sheet name="P&amp;G" sheetId="3" r:id="rId3"/>
    <sheet name="Balance" sheetId="4" r:id="rId4"/>
    <sheet name="Flujo de Caja" sheetId="5" r:id="rId5"/>
    <sheet name="Salidas" sheetId="6" r:id="rId6"/>
    <sheet name="Deuda $" sheetId="7" state="hidden" r:id="rId7"/>
    <sheet name="Terrenos" sheetId="8" state="hidden" r:id="rId8"/>
    <sheet name="Construcciones" sheetId="9" state="hidden" r:id="rId9"/>
    <sheet name="Maquinaria" sheetId="10" state="hidden" r:id="rId10"/>
    <sheet name="Muebles" sheetId="11" state="hidden" r:id="rId11"/>
    <sheet name="Transporte" sheetId="12" state="hidden" r:id="rId12"/>
    <sheet name="Oficina" sheetId="13" state="hidden" r:id="rId13"/>
    <sheet name="Semovientes" sheetId="14" state="hidden" r:id="rId14"/>
    <sheet name="Permanentes" sheetId="15" state="hidden" r:id="rId15"/>
    <sheet name="Anticipados" sheetId="16" state="hidden" r:id="rId16"/>
    <sheet name="PLAN DE PRODUCCCION" sheetId="31" r:id="rId17"/>
    <sheet name="PLAN DE VENTAS" sheetId="33" r:id="rId18"/>
    <sheet name="INVERSIONES" sheetId="34" r:id="rId19"/>
    <sheet name="NOMINA PROYECCION" sheetId="35" r:id="rId20"/>
    <sheet name="COSTOS MATERIA PRIMA" sheetId="32" r:id="rId21"/>
    <sheet name="COSTOS MANO DE OBRA" sheetId="36" r:id="rId22"/>
    <sheet name="GASTOS ADMINISTRATIVOS" sheetId="37" r:id="rId23"/>
    <sheet name="GASTOS VENTAS" sheetId="38" r:id="rId24"/>
    <sheet name="fij precios" sheetId="40" r:id="rId25"/>
    <sheet name="RESUMEN INVERSIONES FONDO" sheetId="39" r:id="rId26"/>
    <sheet name="PLAN OPERATIVO" sheetId="41" r:id="rId27"/>
  </sheets>
  <externalReferences>
    <externalReference r:id="rId28"/>
    <externalReference r:id="rId29"/>
  </externalReferences>
  <definedNames>
    <definedName name="ETAPA_PRODUCTIVA">[1]VARIABLES!$B$5</definedName>
    <definedName name="FF">'[2]PLAN OPERATIVO'!#REF!</definedName>
    <definedName name="incremento">'[2]PROYECCIÓN DE VENTAS'!$B$27</definedName>
    <definedName name="INCREMENTO_SECTOR">[2]VARIABLES!$B$4</definedName>
    <definedName name="ipc">[2]VARIABLES!#REF!</definedName>
    <definedName name="PARTICIPACION">[2]VARIABLES!$B$8</definedName>
    <definedName name="Print_Area" localSheetId="3">Balance!$B$2:$J$57</definedName>
    <definedName name="Print_Area" localSheetId="1">Bases!$C$1:$E$23</definedName>
    <definedName name="Print_Area" localSheetId="4">'Flujo de Caja'!$B$1:$J$45</definedName>
    <definedName name="Print_Area" localSheetId="2">'P&amp;G'!$B$1:$I$27</definedName>
    <definedName name="Print_Area" localSheetId="0">Proyecciones!$C$1:$J$55</definedName>
    <definedName name="Print_Area" localSheetId="5">Salidas!$B$1:$J$46</definedName>
    <definedName name="Print_Titles" localSheetId="0">Proyecciones!$A$1:$IV$1</definedName>
    <definedName name="SMLV_FE">[2]VARIABLES!$B$14</definedName>
    <definedName name="TAMAÑO_MERCADO">[2]VARIABLES!$B$7</definedName>
    <definedName name="Z_63916809_C01D_4B23_BE77_5F659C46351E_.wvu.PrintArea" localSheetId="3">Balance!$C$3:$I$58</definedName>
    <definedName name="Z_63916809_C01D_4B23_BE77_5F659C46351E_.wvu.PrintArea" localSheetId="1">Bases!$C$1:$E$23</definedName>
    <definedName name="Z_63916809_C01D_4B23_BE77_5F659C46351E_.wvu.PrintArea" localSheetId="4">'Flujo de Caja'!$C$2:$I$44</definedName>
    <definedName name="Z_63916809_C01D_4B23_BE77_5F659C46351E_.wvu.PrintArea" localSheetId="2">'P&amp;G'!$C$2:$H$26</definedName>
    <definedName name="Z_63916809_C01D_4B23_BE77_5F659C46351E_.wvu.PrintArea" localSheetId="0">Proyecciones!$C$1:$J$55</definedName>
    <definedName name="Z_63916809_C01D_4B23_BE77_5F659C46351E_.wvu.PrintTitles" localSheetId="0">Proyecciones!$A$1:$IV$1</definedName>
  </definedNames>
  <calcPr calcId="152511" concurrentCalc="0"/>
</workbook>
</file>

<file path=xl/calcChain.xml><?xml version="1.0" encoding="utf-8"?>
<calcChain xmlns="http://schemas.openxmlformats.org/spreadsheetml/2006/main">
  <c r="E27" i="31" l="1"/>
  <c r="K27" i="31"/>
  <c r="K60" i="36"/>
  <c r="D30" i="36"/>
  <c r="E16" i="34"/>
  <c r="F22" i="32"/>
  <c r="F72" i="38"/>
  <c r="J108" i="38"/>
  <c r="F71" i="38"/>
  <c r="J107" i="38"/>
  <c r="F70" i="38"/>
  <c r="J106" i="38"/>
  <c r="F69" i="38"/>
  <c r="J105" i="38"/>
  <c r="F68" i="38"/>
  <c r="J109" i="38"/>
  <c r="J110" i="38"/>
  <c r="F66" i="38"/>
  <c r="J111" i="38"/>
  <c r="F49" i="38"/>
  <c r="E94" i="38"/>
  <c r="E95" i="38"/>
  <c r="F79" i="38"/>
  <c r="E96" i="38"/>
  <c r="F84" i="38"/>
  <c r="E97" i="38"/>
  <c r="F99" i="38"/>
  <c r="B27" i="38"/>
  <c r="J12" i="38"/>
  <c r="K12" i="38"/>
  <c r="L12" i="38"/>
  <c r="M12" i="38"/>
  <c r="N12" i="38"/>
  <c r="O12" i="38"/>
  <c r="P12" i="38"/>
  <c r="Q12" i="38"/>
  <c r="R12" i="38"/>
  <c r="S12" i="38"/>
  <c r="V12" i="38"/>
  <c r="W12" i="38"/>
  <c r="Y12" i="38"/>
  <c r="B19" i="38"/>
  <c r="B20" i="38"/>
  <c r="B23" i="38"/>
  <c r="C20" i="38"/>
  <c r="Z12" i="38"/>
  <c r="C19" i="38"/>
  <c r="C23" i="38"/>
  <c r="D20" i="38"/>
  <c r="AA12" i="38"/>
  <c r="D19" i="38"/>
  <c r="D23" i="38"/>
  <c r="E20" i="38"/>
  <c r="AB12" i="38"/>
  <c r="E19" i="38"/>
  <c r="E23" i="38"/>
  <c r="F20" i="38"/>
  <c r="AC12" i="38"/>
  <c r="F19" i="38"/>
  <c r="F23" i="38"/>
  <c r="C27" i="38"/>
  <c r="D27" i="38"/>
  <c r="E27" i="38"/>
  <c r="F27" i="38"/>
  <c r="B29" i="38"/>
  <c r="C29" i="38"/>
  <c r="D29" i="38"/>
  <c r="E29" i="38"/>
  <c r="F29" i="38"/>
  <c r="O55" i="37"/>
  <c r="D19" i="39"/>
  <c r="O54" i="37"/>
  <c r="D18" i="39"/>
  <c r="H4" i="39"/>
  <c r="P40" i="37"/>
  <c r="I12" i="36"/>
  <c r="J12" i="36"/>
  <c r="K12" i="36"/>
  <c r="L12" i="36"/>
  <c r="M12" i="36"/>
  <c r="I10" i="36"/>
  <c r="N12" i="36"/>
  <c r="O12" i="36"/>
  <c r="P12" i="36"/>
  <c r="Q12" i="36"/>
  <c r="R12" i="36"/>
  <c r="S12" i="36"/>
  <c r="T12" i="36"/>
  <c r="U12" i="36"/>
  <c r="V12" i="36"/>
  <c r="Y12" i="36"/>
  <c r="X12" i="36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Y11" i="35"/>
  <c r="A7" i="35"/>
  <c r="A8" i="35"/>
  <c r="A9" i="35"/>
  <c r="A10" i="35"/>
  <c r="A11" i="35"/>
  <c r="L24" i="38"/>
  <c r="L22" i="38"/>
  <c r="L26" i="38"/>
  <c r="L28" i="38"/>
  <c r="M30" i="38"/>
  <c r="O48" i="37"/>
  <c r="D15" i="39"/>
  <c r="C49" i="37"/>
  <c r="D49" i="37"/>
  <c r="E49" i="37"/>
  <c r="F49" i="37"/>
  <c r="G49" i="37"/>
  <c r="H49" i="37"/>
  <c r="I49" i="37"/>
  <c r="J49" i="37"/>
  <c r="K49" i="37"/>
  <c r="L49" i="37"/>
  <c r="M49" i="37"/>
  <c r="O49" i="37"/>
  <c r="C50" i="37"/>
  <c r="D50" i="37"/>
  <c r="E50" i="37"/>
  <c r="F50" i="37"/>
  <c r="G50" i="37"/>
  <c r="H50" i="37"/>
  <c r="I50" i="37"/>
  <c r="J50" i="37"/>
  <c r="K50" i="37"/>
  <c r="L50" i="37"/>
  <c r="M50" i="37"/>
  <c r="O50" i="37"/>
  <c r="D16" i="39"/>
  <c r="F51" i="37"/>
  <c r="G51" i="37"/>
  <c r="H51" i="37"/>
  <c r="I51" i="37"/>
  <c r="J51" i="37"/>
  <c r="K51" i="37"/>
  <c r="L51" i="37"/>
  <c r="M51" i="37"/>
  <c r="O51" i="37"/>
  <c r="D17" i="39"/>
  <c r="G4" i="31"/>
  <c r="D10" i="31"/>
  <c r="C10" i="31"/>
  <c r="C13" i="31"/>
  <c r="C16" i="31"/>
  <c r="D27" i="31"/>
  <c r="C27" i="31"/>
  <c r="C15" i="33"/>
  <c r="J7" i="32"/>
  <c r="J15" i="32"/>
  <c r="J22" i="32"/>
  <c r="D28" i="31"/>
  <c r="C28" i="31"/>
  <c r="E28" i="31"/>
  <c r="C16" i="33"/>
  <c r="J8" i="32"/>
  <c r="J16" i="32"/>
  <c r="J23" i="32"/>
  <c r="D29" i="31"/>
  <c r="E29" i="31"/>
  <c r="C17" i="33"/>
  <c r="J9" i="32"/>
  <c r="J17" i="32"/>
  <c r="J24" i="32"/>
  <c r="J25" i="32"/>
  <c r="D14" i="39"/>
  <c r="D27" i="39"/>
  <c r="D16" i="34"/>
  <c r="I5" i="34"/>
  <c r="I7" i="34"/>
  <c r="I9" i="34"/>
  <c r="I12" i="34"/>
  <c r="I31" i="34"/>
  <c r="C108" i="31"/>
  <c r="E4" i="31"/>
  <c r="S47" i="33"/>
  <c r="M41" i="33"/>
  <c r="L22" i="33"/>
  <c r="L24" i="33"/>
  <c r="C43" i="31"/>
  <c r="C49" i="31"/>
  <c r="E49" i="31"/>
  <c r="F49" i="31"/>
  <c r="G49" i="31"/>
  <c r="C50" i="31"/>
  <c r="F50" i="31"/>
  <c r="G50" i="31"/>
  <c r="F27" i="31"/>
  <c r="G27" i="31"/>
  <c r="L27" i="31"/>
  <c r="D15" i="33"/>
  <c r="K7" i="32"/>
  <c r="K15" i="32"/>
  <c r="K22" i="32"/>
  <c r="H27" i="31"/>
  <c r="M27" i="31"/>
  <c r="E15" i="33"/>
  <c r="L7" i="32"/>
  <c r="L15" i="32"/>
  <c r="L22" i="32"/>
  <c r="I27" i="31"/>
  <c r="N27" i="31"/>
  <c r="F15" i="33"/>
  <c r="M7" i="32"/>
  <c r="M15" i="32"/>
  <c r="M22" i="32"/>
  <c r="J27" i="31"/>
  <c r="O27" i="31"/>
  <c r="G15" i="33"/>
  <c r="N7" i="32"/>
  <c r="N15" i="32"/>
  <c r="N22" i="32"/>
  <c r="F28" i="31"/>
  <c r="G28" i="31"/>
  <c r="L28" i="31"/>
  <c r="D16" i="33"/>
  <c r="K8" i="32"/>
  <c r="K16" i="32"/>
  <c r="K23" i="32"/>
  <c r="H28" i="31"/>
  <c r="M28" i="31"/>
  <c r="E16" i="33"/>
  <c r="L8" i="32"/>
  <c r="L16" i="32"/>
  <c r="L23" i="32"/>
  <c r="I28" i="31"/>
  <c r="N28" i="31"/>
  <c r="F16" i="33"/>
  <c r="M8" i="32"/>
  <c r="M16" i="32"/>
  <c r="M23" i="32"/>
  <c r="J28" i="31"/>
  <c r="O28" i="31"/>
  <c r="G16" i="33"/>
  <c r="N8" i="32"/>
  <c r="N16" i="32"/>
  <c r="N23" i="32"/>
  <c r="F29" i="31"/>
  <c r="G29" i="31"/>
  <c r="L29" i="31"/>
  <c r="D17" i="33"/>
  <c r="K9" i="32"/>
  <c r="K17" i="32"/>
  <c r="K24" i="32"/>
  <c r="H29" i="31"/>
  <c r="M29" i="31"/>
  <c r="E17" i="33"/>
  <c r="L9" i="32"/>
  <c r="L17" i="32"/>
  <c r="L24" i="32"/>
  <c r="I29" i="31"/>
  <c r="N29" i="31"/>
  <c r="F17" i="33"/>
  <c r="M9" i="32"/>
  <c r="M17" i="32"/>
  <c r="M24" i="32"/>
  <c r="J29" i="31"/>
  <c r="O29" i="31"/>
  <c r="G17" i="33"/>
  <c r="N9" i="32"/>
  <c r="N17" i="32"/>
  <c r="N24" i="32"/>
  <c r="K25" i="32"/>
  <c r="L25" i="32"/>
  <c r="M25" i="32"/>
  <c r="N25" i="32"/>
  <c r="C48" i="31"/>
  <c r="E48" i="31"/>
  <c r="F48" i="31"/>
  <c r="G48" i="31"/>
  <c r="S88" i="33"/>
  <c r="S89" i="33"/>
  <c r="S90" i="33"/>
  <c r="S91" i="33"/>
  <c r="G12" i="41"/>
  <c r="G11" i="41"/>
  <c r="G10" i="41"/>
  <c r="E12" i="41"/>
  <c r="E11" i="41"/>
  <c r="E10" i="41"/>
  <c r="I9" i="32"/>
  <c r="I17" i="32"/>
  <c r="I70" i="32"/>
  <c r="P70" i="32"/>
  <c r="I8" i="32"/>
  <c r="I51" i="32"/>
  <c r="I7" i="32"/>
  <c r="I32" i="32"/>
  <c r="N84" i="32"/>
  <c r="U83" i="32"/>
  <c r="U73" i="32"/>
  <c r="U74" i="32"/>
  <c r="U75" i="32"/>
  <c r="U76" i="32"/>
  <c r="U77" i="32"/>
  <c r="U78" i="32"/>
  <c r="U79" i="32"/>
  <c r="U80" i="32"/>
  <c r="U81" i="32"/>
  <c r="U82" i="32"/>
  <c r="U72" i="32"/>
  <c r="M84" i="32"/>
  <c r="T73" i="32"/>
  <c r="T74" i="32"/>
  <c r="T75" i="32"/>
  <c r="T76" i="32"/>
  <c r="T77" i="32"/>
  <c r="T78" i="32"/>
  <c r="T79" i="32"/>
  <c r="T80" i="32"/>
  <c r="T81" i="32"/>
  <c r="T82" i="32"/>
  <c r="T83" i="32"/>
  <c r="T72" i="32"/>
  <c r="L84" i="32"/>
  <c r="S73" i="32"/>
  <c r="S74" i="32"/>
  <c r="S75" i="32"/>
  <c r="S76" i="32"/>
  <c r="S77" i="32"/>
  <c r="S78" i="32"/>
  <c r="S79" i="32"/>
  <c r="S80" i="32"/>
  <c r="S81" i="32"/>
  <c r="S82" i="32"/>
  <c r="S83" i="32"/>
  <c r="S72" i="32"/>
  <c r="K84" i="32"/>
  <c r="R73" i="32"/>
  <c r="R74" i="32"/>
  <c r="R75" i="32"/>
  <c r="R76" i="32"/>
  <c r="R77" i="32"/>
  <c r="R78" i="32"/>
  <c r="R79" i="32"/>
  <c r="R80" i="32"/>
  <c r="R81" i="32"/>
  <c r="R82" i="32"/>
  <c r="R83" i="32"/>
  <c r="R72" i="32"/>
  <c r="U86" i="32"/>
  <c r="T86" i="32"/>
  <c r="S86" i="32"/>
  <c r="R86" i="32"/>
  <c r="Q86" i="32"/>
  <c r="T67" i="32"/>
  <c r="R67" i="32"/>
  <c r="U67" i="32"/>
  <c r="S67" i="32"/>
  <c r="Q67" i="32"/>
  <c r="T48" i="32"/>
  <c r="S48" i="32"/>
  <c r="R48" i="32"/>
  <c r="U48" i="32"/>
  <c r="Q48" i="32"/>
  <c r="J84" i="32"/>
  <c r="N65" i="32"/>
  <c r="M65" i="32"/>
  <c r="L65" i="32"/>
  <c r="K65" i="32"/>
  <c r="J65" i="32"/>
  <c r="N46" i="32"/>
  <c r="M46" i="32"/>
  <c r="L46" i="32"/>
  <c r="K46" i="32"/>
  <c r="J46" i="32"/>
  <c r="W48" i="33"/>
  <c r="W49" i="33"/>
  <c r="W50" i="33"/>
  <c r="W51" i="33"/>
  <c r="W52" i="33"/>
  <c r="W53" i="33"/>
  <c r="W54" i="33"/>
  <c r="W55" i="33"/>
  <c r="W56" i="33"/>
  <c r="W57" i="33"/>
  <c r="W58" i="33"/>
  <c r="W47" i="33"/>
  <c r="V48" i="33"/>
  <c r="V49" i="33"/>
  <c r="V50" i="33"/>
  <c r="V51" i="33"/>
  <c r="V52" i="33"/>
  <c r="V53" i="33"/>
  <c r="V54" i="33"/>
  <c r="V55" i="33"/>
  <c r="V56" i="33"/>
  <c r="V57" i="33"/>
  <c r="V58" i="33"/>
  <c r="V47" i="33"/>
  <c r="U48" i="33"/>
  <c r="U49" i="33"/>
  <c r="U50" i="33"/>
  <c r="U51" i="33"/>
  <c r="U52" i="33"/>
  <c r="U53" i="33"/>
  <c r="U54" i="33"/>
  <c r="U55" i="33"/>
  <c r="U56" i="33"/>
  <c r="U57" i="33"/>
  <c r="U58" i="33"/>
  <c r="U47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S48" i="33"/>
  <c r="S49" i="33"/>
  <c r="S50" i="33"/>
  <c r="S51" i="33"/>
  <c r="S52" i="33"/>
  <c r="S53" i="33"/>
  <c r="S54" i="33"/>
  <c r="S55" i="33"/>
  <c r="S56" i="33"/>
  <c r="S57" i="33"/>
  <c r="S58" i="33"/>
  <c r="W30" i="33"/>
  <c r="W31" i="33"/>
  <c r="W32" i="33"/>
  <c r="W33" i="33"/>
  <c r="W34" i="33"/>
  <c r="W35" i="33"/>
  <c r="W36" i="33"/>
  <c r="W37" i="33"/>
  <c r="W38" i="33"/>
  <c r="W39" i="33"/>
  <c r="W40" i="33"/>
  <c r="W29" i="33"/>
  <c r="V30" i="33"/>
  <c r="V31" i="33"/>
  <c r="V32" i="33"/>
  <c r="V33" i="33"/>
  <c r="V34" i="33"/>
  <c r="V35" i="33"/>
  <c r="V36" i="33"/>
  <c r="V37" i="33"/>
  <c r="V38" i="33"/>
  <c r="V39" i="33"/>
  <c r="V40" i="33"/>
  <c r="V29" i="33"/>
  <c r="U30" i="33"/>
  <c r="U31" i="33"/>
  <c r="U32" i="33"/>
  <c r="U33" i="33"/>
  <c r="U34" i="33"/>
  <c r="U35" i="33"/>
  <c r="U36" i="33"/>
  <c r="U37" i="33"/>
  <c r="U38" i="33"/>
  <c r="U39" i="33"/>
  <c r="U40" i="33"/>
  <c r="U29" i="33"/>
  <c r="T30" i="33"/>
  <c r="T31" i="33"/>
  <c r="T32" i="33"/>
  <c r="T33" i="33"/>
  <c r="T34" i="33"/>
  <c r="T35" i="33"/>
  <c r="T36" i="33"/>
  <c r="T37" i="33"/>
  <c r="T38" i="33"/>
  <c r="T39" i="33"/>
  <c r="T40" i="33"/>
  <c r="T29" i="33"/>
  <c r="S30" i="33"/>
  <c r="S31" i="33"/>
  <c r="S32" i="33"/>
  <c r="S33" i="33"/>
  <c r="S34" i="33"/>
  <c r="S35" i="33"/>
  <c r="S36" i="33"/>
  <c r="S37" i="33"/>
  <c r="S38" i="33"/>
  <c r="S39" i="33"/>
  <c r="S40" i="33"/>
  <c r="S29" i="33"/>
  <c r="S24" i="33"/>
  <c r="W11" i="33"/>
  <c r="W12" i="33"/>
  <c r="W13" i="33"/>
  <c r="W14" i="33"/>
  <c r="W15" i="33"/>
  <c r="W16" i="33"/>
  <c r="W17" i="33"/>
  <c r="W18" i="33"/>
  <c r="W19" i="33"/>
  <c r="W20" i="33"/>
  <c r="W21" i="33"/>
  <c r="W10" i="33"/>
  <c r="V11" i="33"/>
  <c r="V12" i="33"/>
  <c r="V13" i="33"/>
  <c r="V14" i="33"/>
  <c r="V15" i="33"/>
  <c r="V16" i="33"/>
  <c r="V17" i="33"/>
  <c r="V18" i="33"/>
  <c r="V19" i="33"/>
  <c r="V20" i="33"/>
  <c r="V21" i="33"/>
  <c r="V10" i="33"/>
  <c r="U11" i="33"/>
  <c r="U12" i="33"/>
  <c r="U13" i="33"/>
  <c r="U14" i="33"/>
  <c r="U15" i="33"/>
  <c r="U16" i="33"/>
  <c r="U17" i="33"/>
  <c r="U18" i="33"/>
  <c r="U19" i="33"/>
  <c r="U20" i="33"/>
  <c r="U21" i="33"/>
  <c r="U10" i="33"/>
  <c r="T11" i="33"/>
  <c r="T12" i="33"/>
  <c r="T13" i="33"/>
  <c r="T14" i="33"/>
  <c r="T15" i="33"/>
  <c r="T16" i="33"/>
  <c r="T17" i="33"/>
  <c r="T18" i="33"/>
  <c r="T19" i="33"/>
  <c r="T20" i="33"/>
  <c r="T21" i="33"/>
  <c r="T10" i="33"/>
  <c r="S11" i="33"/>
  <c r="S12" i="33"/>
  <c r="S13" i="33"/>
  <c r="S14" i="33"/>
  <c r="S15" i="33"/>
  <c r="S16" i="33"/>
  <c r="S17" i="33"/>
  <c r="S18" i="33"/>
  <c r="S19" i="33"/>
  <c r="S20" i="33"/>
  <c r="S21" i="33"/>
  <c r="S10" i="33"/>
  <c r="R46" i="33"/>
  <c r="V43" i="33"/>
  <c r="T43" i="33"/>
  <c r="W43" i="33"/>
  <c r="U43" i="33"/>
  <c r="S43" i="33"/>
  <c r="R27" i="33"/>
  <c r="W24" i="33"/>
  <c r="V24" i="33"/>
  <c r="U24" i="33"/>
  <c r="T24" i="33"/>
  <c r="R8" i="33"/>
  <c r="B10" i="33"/>
  <c r="K46" i="33"/>
  <c r="B9" i="33"/>
  <c r="K27" i="33"/>
  <c r="B8" i="33"/>
  <c r="K8" i="33"/>
  <c r="M61" i="33"/>
  <c r="N59" i="33"/>
  <c r="N61" i="33"/>
  <c r="O61" i="33"/>
  <c r="P61" i="33"/>
  <c r="L59" i="33"/>
  <c r="L61" i="33"/>
  <c r="M43" i="33"/>
  <c r="N41" i="33"/>
  <c r="N43" i="33"/>
  <c r="O41" i="33"/>
  <c r="O43" i="33"/>
  <c r="P41" i="33"/>
  <c r="P43" i="33"/>
  <c r="L41" i="33"/>
  <c r="L43" i="33"/>
  <c r="P22" i="33"/>
  <c r="O22" i="33"/>
  <c r="N22" i="33"/>
  <c r="M22" i="33"/>
  <c r="D71" i="31"/>
  <c r="C71" i="31"/>
  <c r="AD64" i="41"/>
  <c r="AD63" i="41"/>
  <c r="AC64" i="41"/>
  <c r="AC63" i="41"/>
  <c r="AD37" i="41"/>
  <c r="AC37" i="41"/>
  <c r="AC36" i="41"/>
  <c r="AD36" i="41"/>
  <c r="AD66" i="41"/>
  <c r="AC66" i="41"/>
  <c r="AD61" i="41"/>
  <c r="AC59" i="41"/>
  <c r="AC48" i="41"/>
  <c r="AC53" i="41"/>
  <c r="AC51" i="41"/>
  <c r="AC52" i="41"/>
  <c r="AC54" i="41"/>
  <c r="AC55" i="41"/>
  <c r="AC56" i="41"/>
  <c r="AC57" i="41"/>
  <c r="AC58" i="41"/>
  <c r="AC41" i="41"/>
  <c r="AC42" i="41"/>
  <c r="AC43" i="41"/>
  <c r="AC44" i="41"/>
  <c r="AC45" i="41"/>
  <c r="AC46" i="41"/>
  <c r="AC47" i="41"/>
  <c r="AC49" i="41"/>
  <c r="AC50" i="41"/>
  <c r="AC40" i="41"/>
  <c r="AD34" i="41"/>
  <c r="AC33" i="41"/>
  <c r="AD32" i="41"/>
  <c r="AC32" i="41"/>
  <c r="AC31" i="41"/>
  <c r="AD30" i="41"/>
  <c r="AD29" i="41"/>
  <c r="AC29" i="41"/>
  <c r="AD28" i="41"/>
  <c r="AC28" i="41"/>
  <c r="AD27" i="41"/>
  <c r="AC27" i="41"/>
  <c r="AC26" i="41"/>
  <c r="AD26" i="41"/>
  <c r="AC24" i="41"/>
  <c r="AD22" i="41"/>
  <c r="AD21" i="41"/>
  <c r="AC19" i="41"/>
  <c r="AC20" i="41"/>
  <c r="AC18" i="41"/>
  <c r="AD16" i="41"/>
  <c r="AD15" i="41"/>
  <c r="AC14" i="41"/>
  <c r="AC5" i="41"/>
  <c r="AC6" i="41"/>
  <c r="AC7" i="41"/>
  <c r="AC4" i="41"/>
  <c r="AC12" i="41"/>
  <c r="AC11" i="41"/>
  <c r="AC10" i="41"/>
  <c r="B24" i="41"/>
  <c r="B21" i="41"/>
  <c r="B22" i="41"/>
  <c r="B19" i="41"/>
  <c r="B20" i="41"/>
  <c r="B18" i="41"/>
  <c r="B16" i="41"/>
  <c r="B15" i="41"/>
  <c r="B14" i="41"/>
  <c r="B11" i="41"/>
  <c r="B12" i="41"/>
  <c r="B10" i="41"/>
  <c r="H3" i="40"/>
  <c r="J8" i="35"/>
  <c r="P43" i="37"/>
  <c r="O52" i="37"/>
  <c r="O56" i="37"/>
  <c r="P41" i="37"/>
  <c r="P42" i="37"/>
  <c r="P39" i="37"/>
  <c r="P44" i="37"/>
  <c r="B24" i="37"/>
  <c r="C24" i="37"/>
  <c r="D24" i="37"/>
  <c r="E24" i="37"/>
  <c r="D11" i="39"/>
  <c r="A24" i="37"/>
  <c r="D19" i="40"/>
  <c r="C20" i="40"/>
  <c r="E19" i="40"/>
  <c r="D20" i="40"/>
  <c r="C31" i="33"/>
  <c r="C30" i="33"/>
  <c r="C14" i="1"/>
  <c r="C33" i="1"/>
  <c r="C15" i="1"/>
  <c r="C21" i="1"/>
  <c r="C13" i="1"/>
  <c r="C19" i="1"/>
  <c r="K18" i="38"/>
  <c r="N14" i="38"/>
  <c r="M14" i="38"/>
  <c r="L14" i="38"/>
  <c r="H14" i="38"/>
  <c r="G14" i="38"/>
  <c r="K14" i="38"/>
  <c r="B16" i="37"/>
  <c r="B23" i="37"/>
  <c r="C16" i="37"/>
  <c r="C23" i="37"/>
  <c r="D16" i="37"/>
  <c r="D23" i="37"/>
  <c r="E16" i="37"/>
  <c r="E23" i="37"/>
  <c r="A16" i="37"/>
  <c r="A23" i="37"/>
  <c r="M12" i="37"/>
  <c r="H12" i="37"/>
  <c r="G12" i="37"/>
  <c r="K12" i="37"/>
  <c r="J12" i="37"/>
  <c r="I11" i="37"/>
  <c r="Q11" i="37"/>
  <c r="A11" i="37"/>
  <c r="I10" i="37"/>
  <c r="A10" i="36"/>
  <c r="F32" i="1"/>
  <c r="J47" i="32"/>
  <c r="C72" i="31"/>
  <c r="C73" i="31"/>
  <c r="F33" i="1"/>
  <c r="J66" i="32"/>
  <c r="C91" i="31"/>
  <c r="C20" i="1"/>
  <c r="C38" i="1"/>
  <c r="D18" i="40"/>
  <c r="C32" i="33"/>
  <c r="D31" i="33"/>
  <c r="I12" i="37"/>
  <c r="C32" i="1"/>
  <c r="C40" i="1"/>
  <c r="C34" i="1"/>
  <c r="C39" i="1"/>
  <c r="J14" i="38"/>
  <c r="O14" i="38"/>
  <c r="P14" i="38"/>
  <c r="Q14" i="38"/>
  <c r="L12" i="37"/>
  <c r="S11" i="37"/>
  <c r="T11" i="37"/>
  <c r="Q10" i="37"/>
  <c r="F34" i="1"/>
  <c r="J85" i="32"/>
  <c r="C109" i="31"/>
  <c r="C110" i="31"/>
  <c r="Q35" i="32"/>
  <c r="Q37" i="32"/>
  <c r="Q39" i="32"/>
  <c r="Q41" i="32"/>
  <c r="Q43" i="32"/>
  <c r="Q45" i="32"/>
  <c r="Q36" i="32"/>
  <c r="Q38" i="32"/>
  <c r="Q40" i="32"/>
  <c r="Q42" i="32"/>
  <c r="Q44" i="32"/>
  <c r="Q34" i="32"/>
  <c r="J48" i="32"/>
  <c r="G33" i="1"/>
  <c r="K66" i="32"/>
  <c r="D91" i="31"/>
  <c r="J67" i="32"/>
  <c r="Q54" i="32"/>
  <c r="Q56" i="32"/>
  <c r="Q58" i="32"/>
  <c r="Q60" i="32"/>
  <c r="Q62" i="32"/>
  <c r="Q64" i="32"/>
  <c r="Q55" i="32"/>
  <c r="Q57" i="32"/>
  <c r="Q59" i="32"/>
  <c r="Q61" i="32"/>
  <c r="Q63" i="32"/>
  <c r="Q53" i="32"/>
  <c r="D32" i="33"/>
  <c r="E20" i="40"/>
  <c r="E31" i="33"/>
  <c r="F19" i="40"/>
  <c r="D30" i="33"/>
  <c r="E18" i="40"/>
  <c r="B33" i="38"/>
  <c r="O12" i="37"/>
  <c r="N12" i="37"/>
  <c r="U11" i="37"/>
  <c r="V11" i="37"/>
  <c r="X11" i="37"/>
  <c r="P12" i="37"/>
  <c r="S10" i="37"/>
  <c r="T10" i="37"/>
  <c r="R54" i="32"/>
  <c r="R56" i="32"/>
  <c r="R58" i="32"/>
  <c r="R60" i="32"/>
  <c r="R62" i="32"/>
  <c r="R64" i="32"/>
  <c r="R55" i="32"/>
  <c r="R57" i="32"/>
  <c r="R59" i="32"/>
  <c r="R61" i="32"/>
  <c r="R63" i="32"/>
  <c r="R53" i="32"/>
  <c r="K67" i="32"/>
  <c r="J86" i="32"/>
  <c r="Q73" i="32"/>
  <c r="Q75" i="32"/>
  <c r="Q77" i="32"/>
  <c r="Q79" i="32"/>
  <c r="Q81" i="32"/>
  <c r="Q83" i="32"/>
  <c r="Q74" i="32"/>
  <c r="Q76" i="32"/>
  <c r="Q78" i="32"/>
  <c r="Q80" i="32"/>
  <c r="Q82" i="32"/>
  <c r="Q72" i="32"/>
  <c r="G32" i="1"/>
  <c r="K47" i="32"/>
  <c r="D72" i="31"/>
  <c r="H33" i="1"/>
  <c r="L66" i="32"/>
  <c r="E91" i="31"/>
  <c r="G34" i="1"/>
  <c r="K85" i="32"/>
  <c r="K86" i="32"/>
  <c r="D109" i="31"/>
  <c r="D108" i="31"/>
  <c r="D110" i="31"/>
  <c r="F18" i="40"/>
  <c r="E30" i="33"/>
  <c r="G19" i="40"/>
  <c r="F31" i="33"/>
  <c r="F20" i="40"/>
  <c r="E32" i="33"/>
  <c r="R14" i="38"/>
  <c r="S14" i="38"/>
  <c r="C61" i="40"/>
  <c r="U14" i="38"/>
  <c r="T14" i="38"/>
  <c r="Y11" i="37"/>
  <c r="A18" i="37"/>
  <c r="U10" i="37"/>
  <c r="S12" i="37"/>
  <c r="T12" i="37"/>
  <c r="Q12" i="37"/>
  <c r="H34" i="1"/>
  <c r="L85" i="32"/>
  <c r="L86" i="32"/>
  <c r="E109" i="31"/>
  <c r="E108" i="31"/>
  <c r="E110" i="31"/>
  <c r="I33" i="1"/>
  <c r="M66" i="32"/>
  <c r="F91" i="31"/>
  <c r="R35" i="32"/>
  <c r="R37" i="32"/>
  <c r="R39" i="32"/>
  <c r="R41" i="32"/>
  <c r="R43" i="32"/>
  <c r="R45" i="32"/>
  <c r="R36" i="32"/>
  <c r="R38" i="32"/>
  <c r="R40" i="32"/>
  <c r="R42" i="32"/>
  <c r="R44" i="32"/>
  <c r="R34" i="32"/>
  <c r="K48" i="32"/>
  <c r="H32" i="1"/>
  <c r="L47" i="32"/>
  <c r="E72" i="31"/>
  <c r="S54" i="32"/>
  <c r="S56" i="32"/>
  <c r="S58" i="32"/>
  <c r="S60" i="32"/>
  <c r="S62" i="32"/>
  <c r="S64" i="32"/>
  <c r="L67" i="32"/>
  <c r="S55" i="32"/>
  <c r="S57" i="32"/>
  <c r="S59" i="32"/>
  <c r="S61" i="32"/>
  <c r="S63" i="32"/>
  <c r="S53" i="32"/>
  <c r="G20" i="40"/>
  <c r="F32" i="33"/>
  <c r="G18" i="40"/>
  <c r="F30" i="33"/>
  <c r="H19" i="40"/>
  <c r="G31" i="33"/>
  <c r="C33" i="38"/>
  <c r="V14" i="38"/>
  <c r="Z11" i="37"/>
  <c r="B18" i="37"/>
  <c r="R12" i="37"/>
  <c r="V10" i="37"/>
  <c r="J33" i="1"/>
  <c r="N66" i="32"/>
  <c r="G91" i="31"/>
  <c r="I32" i="1"/>
  <c r="M47" i="32"/>
  <c r="F72" i="31"/>
  <c r="I34" i="1"/>
  <c r="M85" i="32"/>
  <c r="M86" i="32"/>
  <c r="F109" i="31"/>
  <c r="F108" i="31"/>
  <c r="F110" i="31"/>
  <c r="S35" i="32"/>
  <c r="S37" i="32"/>
  <c r="S39" i="32"/>
  <c r="S41" i="32"/>
  <c r="S43" i="32"/>
  <c r="S45" i="32"/>
  <c r="S36" i="32"/>
  <c r="S38" i="32"/>
  <c r="S40" i="32"/>
  <c r="S42" i="32"/>
  <c r="S44" i="32"/>
  <c r="S34" i="32"/>
  <c r="L48" i="32"/>
  <c r="T54" i="32"/>
  <c r="T56" i="32"/>
  <c r="T58" i="32"/>
  <c r="T60" i="32"/>
  <c r="T62" i="32"/>
  <c r="T64" i="32"/>
  <c r="T55" i="32"/>
  <c r="T57" i="32"/>
  <c r="T59" i="32"/>
  <c r="T61" i="32"/>
  <c r="T63" i="32"/>
  <c r="T53" i="32"/>
  <c r="M67" i="32"/>
  <c r="H18" i="40"/>
  <c r="G30" i="33"/>
  <c r="U12" i="37"/>
  <c r="H20" i="40"/>
  <c r="G32" i="33"/>
  <c r="D61" i="40"/>
  <c r="D33" i="38"/>
  <c r="W14" i="38"/>
  <c r="AA11" i="37"/>
  <c r="C18" i="37"/>
  <c r="X10" i="37"/>
  <c r="A17" i="37"/>
  <c r="A20" i="37"/>
  <c r="V12" i="37"/>
  <c r="J34" i="1"/>
  <c r="N85" i="32"/>
  <c r="N86" i="32"/>
  <c r="G109" i="31"/>
  <c r="G108" i="31"/>
  <c r="G110" i="31"/>
  <c r="U54" i="32"/>
  <c r="U56" i="32"/>
  <c r="U58" i="32"/>
  <c r="U60" i="32"/>
  <c r="U62" i="32"/>
  <c r="U64" i="32"/>
  <c r="U55" i="32"/>
  <c r="U57" i="32"/>
  <c r="U59" i="32"/>
  <c r="U61" i="32"/>
  <c r="U63" i="32"/>
  <c r="U53" i="32"/>
  <c r="N67" i="32"/>
  <c r="J32" i="1"/>
  <c r="N47" i="32"/>
  <c r="G72" i="31"/>
  <c r="T35" i="32"/>
  <c r="T37" i="32"/>
  <c r="T39" i="32"/>
  <c r="T41" i="32"/>
  <c r="T43" i="32"/>
  <c r="T45" i="32"/>
  <c r="M48" i="32"/>
  <c r="T36" i="32"/>
  <c r="T38" i="32"/>
  <c r="T40" i="32"/>
  <c r="T42" i="32"/>
  <c r="T44" i="32"/>
  <c r="T34" i="32"/>
  <c r="E61" i="40"/>
  <c r="Y14" i="38"/>
  <c r="O60" i="37"/>
  <c r="A31" i="37"/>
  <c r="C40" i="40"/>
  <c r="AB11" i="37"/>
  <c r="E18" i="37"/>
  <c r="D18" i="37"/>
  <c r="X12" i="37"/>
  <c r="Y10" i="37"/>
  <c r="B17" i="37"/>
  <c r="U35" i="32"/>
  <c r="U37" i="32"/>
  <c r="U39" i="32"/>
  <c r="U41" i="32"/>
  <c r="U43" i="32"/>
  <c r="U45" i="32"/>
  <c r="U36" i="32"/>
  <c r="U38" i="32"/>
  <c r="U40" i="32"/>
  <c r="U42" i="32"/>
  <c r="U44" i="32"/>
  <c r="U34" i="32"/>
  <c r="N48" i="32"/>
  <c r="E33" i="38"/>
  <c r="F61" i="40"/>
  <c r="Z14" i="38"/>
  <c r="B20" i="37"/>
  <c r="B31" i="37"/>
  <c r="D40" i="40"/>
  <c r="Z10" i="37"/>
  <c r="C17" i="37"/>
  <c r="Y12" i="37"/>
  <c r="F33" i="38"/>
  <c r="G61" i="40"/>
  <c r="AA14" i="38"/>
  <c r="C20" i="37"/>
  <c r="C31" i="37"/>
  <c r="E40" i="40"/>
  <c r="Z12" i="37"/>
  <c r="AA10" i="37"/>
  <c r="D17" i="37"/>
  <c r="AC14" i="38"/>
  <c r="AB14" i="38"/>
  <c r="D20" i="37"/>
  <c r="D31" i="37"/>
  <c r="F40" i="40"/>
  <c r="AB10" i="37"/>
  <c r="AA12" i="37"/>
  <c r="AB12" i="37"/>
  <c r="E17" i="37"/>
  <c r="E20" i="37"/>
  <c r="E31" i="37"/>
  <c r="G40" i="40"/>
  <c r="I23" i="32"/>
  <c r="I24" i="32"/>
  <c r="I15" i="32"/>
  <c r="B60" i="36"/>
  <c r="B44" i="36"/>
  <c r="B21" i="36"/>
  <c r="C21" i="36"/>
  <c r="D21" i="36"/>
  <c r="E21" i="36"/>
  <c r="F21" i="36"/>
  <c r="L31" i="36"/>
  <c r="L48" i="36"/>
  <c r="L59" i="36"/>
  <c r="M31" i="36"/>
  <c r="M48" i="36"/>
  <c r="M59" i="36"/>
  <c r="N31" i="36"/>
  <c r="N48" i="36"/>
  <c r="N59" i="36"/>
  <c r="O31" i="36"/>
  <c r="O48" i="36"/>
  <c r="O59" i="36"/>
  <c r="K31" i="36"/>
  <c r="K48" i="36"/>
  <c r="K59" i="36"/>
  <c r="K28" i="36"/>
  <c r="K11" i="36"/>
  <c r="K10" i="36"/>
  <c r="K13" i="36"/>
  <c r="L11" i="36"/>
  <c r="M11" i="36"/>
  <c r="M10" i="36"/>
  <c r="M13" i="36"/>
  <c r="J11" i="36"/>
  <c r="J10" i="36"/>
  <c r="L10" i="36"/>
  <c r="L13" i="36"/>
  <c r="I11" i="36"/>
  <c r="I13" i="36"/>
  <c r="A11" i="36"/>
  <c r="A12" i="36"/>
  <c r="H13" i="36"/>
  <c r="G13" i="36"/>
  <c r="J13" i="36"/>
  <c r="I16" i="32"/>
  <c r="I22" i="32"/>
  <c r="O11" i="36"/>
  <c r="P11" i="36"/>
  <c r="N10" i="36"/>
  <c r="O10" i="36"/>
  <c r="P10" i="36"/>
  <c r="Q10" i="36"/>
  <c r="R10" i="36"/>
  <c r="N11" i="36"/>
  <c r="T10" i="36"/>
  <c r="Q11" i="36"/>
  <c r="T11" i="36"/>
  <c r="S10" i="36"/>
  <c r="U10" i="36"/>
  <c r="V10" i="36"/>
  <c r="Q13" i="36"/>
  <c r="S11" i="36"/>
  <c r="R11" i="36"/>
  <c r="N13" i="36"/>
  <c r="O13" i="36"/>
  <c r="P13" i="36"/>
  <c r="X10" i="36"/>
  <c r="B19" i="36"/>
  <c r="Y10" i="36"/>
  <c r="Z10" i="36"/>
  <c r="U11" i="36"/>
  <c r="V11" i="36"/>
  <c r="X11" i="36"/>
  <c r="B20" i="36"/>
  <c r="R13" i="36"/>
  <c r="T13" i="36"/>
  <c r="S13" i="36"/>
  <c r="C19" i="36"/>
  <c r="Y11" i="36"/>
  <c r="U13" i="36"/>
  <c r="Z11" i="36"/>
  <c r="C20" i="36"/>
  <c r="AA10" i="36"/>
  <c r="D19" i="36"/>
  <c r="V13" i="36"/>
  <c r="AA11" i="36"/>
  <c r="D20" i="36"/>
  <c r="AB10" i="36"/>
  <c r="F19" i="36"/>
  <c r="E19" i="36"/>
  <c r="X13" i="36"/>
  <c r="B22" i="36"/>
  <c r="AB11" i="36"/>
  <c r="F20" i="36"/>
  <c r="E20" i="36"/>
  <c r="Y13" i="36"/>
  <c r="C22" i="36"/>
  <c r="Z13" i="36"/>
  <c r="D22" i="36"/>
  <c r="AB13" i="36"/>
  <c r="F22" i="36"/>
  <c r="AA13" i="36"/>
  <c r="E22" i="36"/>
  <c r="N10" i="35"/>
  <c r="M10" i="35"/>
  <c r="L10" i="35"/>
  <c r="K10" i="35"/>
  <c r="J10" i="35"/>
  <c r="B50" i="32"/>
  <c r="B28" i="32"/>
  <c r="B2" i="32"/>
  <c r="O10" i="35"/>
  <c r="Q10" i="35"/>
  <c r="P10" i="35"/>
  <c r="R10" i="35"/>
  <c r="T10" i="35"/>
  <c r="U10" i="35"/>
  <c r="S10" i="35"/>
  <c r="V10" i="35"/>
  <c r="W10" i="35"/>
  <c r="B16" i="33"/>
  <c r="C10" i="40"/>
  <c r="B17" i="33"/>
  <c r="C11" i="40"/>
  <c r="B15" i="33"/>
  <c r="C9" i="40"/>
  <c r="C30" i="40"/>
  <c r="C50" i="40"/>
  <c r="C70" i="40"/>
  <c r="C80" i="40"/>
  <c r="C88" i="40"/>
  <c r="C96" i="40"/>
  <c r="B95" i="31"/>
  <c r="B76" i="31"/>
  <c r="D90" i="31"/>
  <c r="C90" i="31"/>
  <c r="B57" i="31"/>
  <c r="E90" i="31"/>
  <c r="Y10" i="35"/>
  <c r="Z10" i="35"/>
  <c r="AA10" i="35"/>
  <c r="AB10" i="35"/>
  <c r="AC10" i="35"/>
  <c r="E71" i="31"/>
  <c r="C32" i="40"/>
  <c r="C52" i="40"/>
  <c r="C72" i="40"/>
  <c r="C82" i="40"/>
  <c r="C90" i="40"/>
  <c r="C98" i="40"/>
  <c r="C19" i="40"/>
  <c r="C31" i="40"/>
  <c r="C51" i="40"/>
  <c r="C71" i="40"/>
  <c r="C81" i="40"/>
  <c r="C89" i="40"/>
  <c r="C97" i="40"/>
  <c r="C18" i="40"/>
  <c r="C92" i="31"/>
  <c r="D92" i="31"/>
  <c r="F90" i="31"/>
  <c r="G90" i="31"/>
  <c r="D73" i="31"/>
  <c r="F71" i="31"/>
  <c r="G71" i="31"/>
  <c r="E92" i="31"/>
  <c r="E73" i="31"/>
  <c r="F92" i="31"/>
  <c r="G92" i="31"/>
  <c r="F73" i="31"/>
  <c r="G73" i="31"/>
  <c r="C11" i="31"/>
  <c r="H4" i="31"/>
  <c r="F4" i="31"/>
  <c r="G16" i="1"/>
  <c r="I16" i="1"/>
  <c r="J16" i="1"/>
  <c r="H16" i="1"/>
  <c r="E6" i="32"/>
  <c r="F41" i="1"/>
  <c r="F11" i="39"/>
  <c r="O44" i="37"/>
  <c r="C44" i="37"/>
  <c r="D53" i="37"/>
  <c r="B57" i="37"/>
  <c r="J6" i="35"/>
  <c r="R6" i="35"/>
  <c r="J7" i="35"/>
  <c r="R7" i="35"/>
  <c r="K8" i="35"/>
  <c r="K9" i="35"/>
  <c r="K12" i="35"/>
  <c r="L8" i="35"/>
  <c r="M8" i="35"/>
  <c r="N8" i="35"/>
  <c r="O8" i="35"/>
  <c r="P8" i="35"/>
  <c r="Q8" i="35"/>
  <c r="J9" i="35"/>
  <c r="O9" i="35"/>
  <c r="L9" i="35"/>
  <c r="M9" i="35"/>
  <c r="N9" i="35"/>
  <c r="P9" i="35"/>
  <c r="N12" i="35"/>
  <c r="G12" i="35"/>
  <c r="I12" i="35"/>
  <c r="L12" i="35"/>
  <c r="D10" i="34"/>
  <c r="D7" i="39"/>
  <c r="F7" i="39"/>
  <c r="D28" i="34"/>
  <c r="D10" i="39"/>
  <c r="F10" i="39"/>
  <c r="B22" i="33"/>
  <c r="B30" i="33"/>
  <c r="B39" i="33"/>
  <c r="B23" i="33"/>
  <c r="B31" i="33"/>
  <c r="B40" i="33"/>
  <c r="B24" i="33"/>
  <c r="B32" i="33"/>
  <c r="B41" i="33"/>
  <c r="E9" i="32"/>
  <c r="E12" i="32"/>
  <c r="E13" i="32"/>
  <c r="C32" i="32"/>
  <c r="E40" i="32"/>
  <c r="F40" i="32"/>
  <c r="C54" i="32"/>
  <c r="C55" i="32"/>
  <c r="C56" i="32"/>
  <c r="C57" i="32"/>
  <c r="C60" i="32"/>
  <c r="E60" i="32"/>
  <c r="C61" i="32"/>
  <c r="E61" i="32"/>
  <c r="I9" i="31"/>
  <c r="C6" i="2"/>
  <c r="C7" i="2"/>
  <c r="C8" i="2"/>
  <c r="D22" i="34"/>
  <c r="D9" i="39"/>
  <c r="E53" i="37"/>
  <c r="J34" i="36"/>
  <c r="J51" i="36"/>
  <c r="J62" i="36"/>
  <c r="J33" i="36"/>
  <c r="J50" i="36"/>
  <c r="J61" i="36"/>
  <c r="J32" i="36"/>
  <c r="J49" i="36"/>
  <c r="J60" i="36"/>
  <c r="E13" i="31"/>
  <c r="G44" i="36"/>
  <c r="E12" i="31"/>
  <c r="G28" i="36"/>
  <c r="E14" i="31"/>
  <c r="G60" i="36"/>
  <c r="P12" i="35"/>
  <c r="E19" i="32"/>
  <c r="F19" i="32"/>
  <c r="T7" i="35"/>
  <c r="U7" i="35"/>
  <c r="D8" i="39"/>
  <c r="E153" i="1"/>
  <c r="F8" i="39"/>
  <c r="C14" i="31"/>
  <c r="C15" i="31"/>
  <c r="M12" i="35"/>
  <c r="C57" i="37"/>
  <c r="F16" i="1"/>
  <c r="R8" i="35"/>
  <c r="U8" i="35"/>
  <c r="J12" i="35"/>
  <c r="F22" i="1"/>
  <c r="E149" i="1"/>
  <c r="E150" i="1"/>
  <c r="E57" i="37"/>
  <c r="D57" i="37"/>
  <c r="O12" i="35"/>
  <c r="T6" i="35"/>
  <c r="U6" i="35"/>
  <c r="Q9" i="35"/>
  <c r="Q12" i="35"/>
  <c r="E18" i="34"/>
  <c r="D31" i="34"/>
  <c r="E66" i="32"/>
  <c r="F66" i="32"/>
  <c r="T8" i="35"/>
  <c r="F53" i="37"/>
  <c r="S8" i="35"/>
  <c r="C17" i="31"/>
  <c r="C18" i="31"/>
  <c r="O33" i="36"/>
  <c r="G51" i="36"/>
  <c r="V7" i="35"/>
  <c r="W7" i="35"/>
  <c r="F57" i="37"/>
  <c r="V6" i="35"/>
  <c r="R9" i="35"/>
  <c r="V8" i="35"/>
  <c r="W8" i="35"/>
  <c r="Z8" i="35"/>
  <c r="G53" i="37"/>
  <c r="G54" i="36"/>
  <c r="G57" i="36"/>
  <c r="G49" i="36"/>
  <c r="G52" i="36"/>
  <c r="G55" i="36"/>
  <c r="G47" i="36"/>
  <c r="G46" i="36"/>
  <c r="G50" i="36"/>
  <c r="G53" i="36"/>
  <c r="G56" i="36"/>
  <c r="G48" i="36"/>
  <c r="AA8" i="35"/>
  <c r="D32" i="31"/>
  <c r="C40" i="33"/>
  <c r="K32" i="36"/>
  <c r="Y7" i="35"/>
  <c r="Z7" i="35"/>
  <c r="AA7" i="35"/>
  <c r="AB7" i="35"/>
  <c r="AC7" i="35"/>
  <c r="L33" i="36"/>
  <c r="G57" i="37"/>
  <c r="T9" i="35"/>
  <c r="T12" i="35"/>
  <c r="S9" i="35"/>
  <c r="U9" i="35"/>
  <c r="U12" i="35"/>
  <c r="R12" i="35"/>
  <c r="W6" i="35"/>
  <c r="Y6" i="35"/>
  <c r="Z6" i="35"/>
  <c r="AA6" i="35"/>
  <c r="AB6" i="35"/>
  <c r="AC6" i="35"/>
  <c r="Y8" i="35"/>
  <c r="H53" i="37"/>
  <c r="F20" i="1"/>
  <c r="D10" i="40"/>
  <c r="F19" i="1"/>
  <c r="D9" i="40"/>
  <c r="C39" i="33"/>
  <c r="D51" i="36"/>
  <c r="D48" i="36"/>
  <c r="D56" i="36"/>
  <c r="D53" i="36"/>
  <c r="D50" i="36"/>
  <c r="D46" i="36"/>
  <c r="D47" i="36"/>
  <c r="D55" i="36"/>
  <c r="D52" i="36"/>
  <c r="D49" i="36"/>
  <c r="D57" i="36"/>
  <c r="D54" i="36"/>
  <c r="AB8" i="35"/>
  <c r="C34" i="36"/>
  <c r="C33" i="36"/>
  <c r="K49" i="36"/>
  <c r="C41" i="36"/>
  <c r="C40" i="36"/>
  <c r="C39" i="36"/>
  <c r="C38" i="36"/>
  <c r="C37" i="36"/>
  <c r="C36" i="36"/>
  <c r="C35" i="36"/>
  <c r="K28" i="31"/>
  <c r="K29" i="31"/>
  <c r="K34" i="36"/>
  <c r="L34" i="36"/>
  <c r="G22" i="1"/>
  <c r="F32" i="31"/>
  <c r="E32" i="31"/>
  <c r="M33" i="36"/>
  <c r="H57" i="37"/>
  <c r="V9" i="35"/>
  <c r="S12" i="35"/>
  <c r="L32" i="36"/>
  <c r="I53" i="37"/>
  <c r="G19" i="1"/>
  <c r="E9" i="40"/>
  <c r="G20" i="1"/>
  <c r="E10" i="40"/>
  <c r="C41" i="33"/>
  <c r="C42" i="33"/>
  <c r="F21" i="1"/>
  <c r="D11" i="40"/>
  <c r="D12" i="40"/>
  <c r="K62" i="36"/>
  <c r="E51" i="36"/>
  <c r="E48" i="36"/>
  <c r="E56" i="36"/>
  <c r="E53" i="36"/>
  <c r="E50" i="36"/>
  <c r="E46" i="36"/>
  <c r="E47" i="36"/>
  <c r="E55" i="36"/>
  <c r="E52" i="36"/>
  <c r="E49" i="36"/>
  <c r="E57" i="36"/>
  <c r="E54" i="36"/>
  <c r="F38" i="1"/>
  <c r="D30" i="40"/>
  <c r="AC8" i="35"/>
  <c r="L62" i="36"/>
  <c r="L50" i="36"/>
  <c r="D40" i="36"/>
  <c r="L49" i="36"/>
  <c r="D38" i="36"/>
  <c r="M32" i="36"/>
  <c r="K33" i="36"/>
  <c r="M34" i="36"/>
  <c r="C18" i="33"/>
  <c r="G32" i="31"/>
  <c r="F23" i="1"/>
  <c r="K32" i="31"/>
  <c r="K37" i="36"/>
  <c r="H22" i="1"/>
  <c r="N33" i="36"/>
  <c r="D40" i="33"/>
  <c r="D39" i="33"/>
  <c r="D41" i="33"/>
  <c r="G41" i="1"/>
  <c r="I57" i="37"/>
  <c r="W9" i="35"/>
  <c r="Z9" i="35"/>
  <c r="V12" i="35"/>
  <c r="D41" i="36"/>
  <c r="D35" i="36"/>
  <c r="D32" i="36"/>
  <c r="D37" i="36"/>
  <c r="D34" i="36"/>
  <c r="D33" i="36"/>
  <c r="D39" i="36"/>
  <c r="D31" i="36"/>
  <c r="D36" i="36"/>
  <c r="AA9" i="35"/>
  <c r="Z12" i="35"/>
  <c r="J53" i="37"/>
  <c r="G21" i="1"/>
  <c r="E11" i="40"/>
  <c r="E12" i="40"/>
  <c r="D18" i="33"/>
  <c r="H19" i="1"/>
  <c r="F9" i="40"/>
  <c r="H20" i="1"/>
  <c r="F10" i="40"/>
  <c r="J10" i="32"/>
  <c r="F51" i="36"/>
  <c r="F48" i="36"/>
  <c r="F56" i="36"/>
  <c r="F53" i="36"/>
  <c r="F50" i="36"/>
  <c r="F46" i="36"/>
  <c r="F47" i="36"/>
  <c r="F55" i="36"/>
  <c r="F52" i="36"/>
  <c r="F49" i="36"/>
  <c r="F57" i="36"/>
  <c r="F54" i="36"/>
  <c r="C50" i="36"/>
  <c r="C53" i="36"/>
  <c r="C52" i="36"/>
  <c r="C51" i="36"/>
  <c r="C56" i="36"/>
  <c r="C54" i="36"/>
  <c r="C57" i="36"/>
  <c r="C49" i="36"/>
  <c r="K50" i="36"/>
  <c r="C55" i="36"/>
  <c r="L61" i="36"/>
  <c r="G39" i="1"/>
  <c r="E31" i="40"/>
  <c r="G40" i="1"/>
  <c r="E32" i="40"/>
  <c r="L60" i="36"/>
  <c r="L64" i="36"/>
  <c r="G38" i="1"/>
  <c r="E30" i="40"/>
  <c r="F40" i="1"/>
  <c r="D32" i="40"/>
  <c r="N32" i="36"/>
  <c r="M50" i="36"/>
  <c r="E32" i="36"/>
  <c r="E36" i="36"/>
  <c r="E40" i="36"/>
  <c r="E31" i="36"/>
  <c r="E35" i="36"/>
  <c r="E39" i="36"/>
  <c r="E41" i="36"/>
  <c r="E34" i="36"/>
  <c r="E38" i="36"/>
  <c r="E30" i="36"/>
  <c r="E33" i="36"/>
  <c r="E37" i="36"/>
  <c r="O34" i="36"/>
  <c r="N34" i="36"/>
  <c r="G23" i="1"/>
  <c r="L32" i="31"/>
  <c r="L37" i="36"/>
  <c r="J22" i="1"/>
  <c r="D42" i="33"/>
  <c r="H32" i="31"/>
  <c r="I22" i="1"/>
  <c r="E40" i="33"/>
  <c r="E39" i="33"/>
  <c r="E18" i="33"/>
  <c r="E41" i="33"/>
  <c r="H41" i="1"/>
  <c r="J57" i="37"/>
  <c r="Y9" i="35"/>
  <c r="Y12" i="35"/>
  <c r="D13" i="39"/>
  <c r="W12" i="35"/>
  <c r="K53" i="37"/>
  <c r="AB9" i="35"/>
  <c r="AA12" i="35"/>
  <c r="K10" i="32"/>
  <c r="I19" i="1"/>
  <c r="G9" i="40"/>
  <c r="I20" i="1"/>
  <c r="G10" i="40"/>
  <c r="J20" i="1"/>
  <c r="H10" i="40"/>
  <c r="H21" i="1"/>
  <c r="F11" i="40"/>
  <c r="F12" i="40"/>
  <c r="L10" i="32"/>
  <c r="M62" i="36"/>
  <c r="H40" i="1"/>
  <c r="F32" i="40"/>
  <c r="M49" i="36"/>
  <c r="M60" i="36"/>
  <c r="M61" i="36"/>
  <c r="H39" i="1"/>
  <c r="F31" i="40"/>
  <c r="F39" i="1"/>
  <c r="D31" i="40"/>
  <c r="K61" i="36"/>
  <c r="K64" i="36"/>
  <c r="O32" i="36"/>
  <c r="N50" i="36"/>
  <c r="F32" i="36"/>
  <c r="F36" i="36"/>
  <c r="F40" i="36"/>
  <c r="F31" i="36"/>
  <c r="F35" i="36"/>
  <c r="F39" i="36"/>
  <c r="F34" i="36"/>
  <c r="F38" i="36"/>
  <c r="F30" i="36"/>
  <c r="N49" i="36"/>
  <c r="F33" i="36"/>
  <c r="F37" i="36"/>
  <c r="F41" i="36"/>
  <c r="I32" i="31"/>
  <c r="H23" i="1"/>
  <c r="M32" i="31"/>
  <c r="M37" i="36"/>
  <c r="F40" i="33"/>
  <c r="G40" i="33"/>
  <c r="E42" i="33"/>
  <c r="F39" i="33"/>
  <c r="J41" i="1"/>
  <c r="I41" i="1"/>
  <c r="K57" i="37"/>
  <c r="M64" i="36"/>
  <c r="AC9" i="35"/>
  <c r="AC12" i="35"/>
  <c r="AB12" i="35"/>
  <c r="L53" i="37"/>
  <c r="M53" i="37"/>
  <c r="I21" i="1"/>
  <c r="G11" i="40"/>
  <c r="J19" i="1"/>
  <c r="H9" i="40"/>
  <c r="J21" i="1"/>
  <c r="H11" i="40"/>
  <c r="G12" i="40"/>
  <c r="N61" i="36"/>
  <c r="I39" i="1"/>
  <c r="G31" i="40"/>
  <c r="N60" i="36"/>
  <c r="I38" i="1"/>
  <c r="G30" i="40"/>
  <c r="N62" i="36"/>
  <c r="N64" i="36"/>
  <c r="I40" i="1"/>
  <c r="G32" i="40"/>
  <c r="H38" i="1"/>
  <c r="F30" i="40"/>
  <c r="O50" i="36"/>
  <c r="G32" i="36"/>
  <c r="G36" i="36"/>
  <c r="G40" i="36"/>
  <c r="G31" i="36"/>
  <c r="G35" i="36"/>
  <c r="G39" i="36"/>
  <c r="G34" i="36"/>
  <c r="G38" i="36"/>
  <c r="G30" i="36"/>
  <c r="O49" i="36"/>
  <c r="G33" i="36"/>
  <c r="G37" i="36"/>
  <c r="G41" i="36"/>
  <c r="F41" i="33"/>
  <c r="I23" i="1"/>
  <c r="N32" i="31"/>
  <c r="N37" i="36"/>
  <c r="J32" i="31"/>
  <c r="G39" i="33"/>
  <c r="G41" i="33"/>
  <c r="L57" i="37"/>
  <c r="O53" i="37"/>
  <c r="H12" i="40"/>
  <c r="M10" i="32"/>
  <c r="N10" i="32"/>
  <c r="O61" i="36"/>
  <c r="J39" i="1"/>
  <c r="H31" i="40"/>
  <c r="O60" i="36"/>
  <c r="J38" i="1"/>
  <c r="H30" i="40"/>
  <c r="O62" i="36"/>
  <c r="J40" i="1"/>
  <c r="H32" i="40"/>
  <c r="J23" i="1"/>
  <c r="O32" i="31"/>
  <c r="O37" i="36"/>
  <c r="F42" i="33"/>
  <c r="F18" i="33"/>
  <c r="G42" i="1"/>
  <c r="F42" i="1"/>
  <c r="M57" i="37"/>
  <c r="O64" i="36"/>
  <c r="F16" i="39"/>
  <c r="F22" i="39"/>
  <c r="O57" i="37"/>
  <c r="A25" i="37"/>
  <c r="B25" i="37"/>
  <c r="C25" i="37"/>
  <c r="B26" i="37"/>
  <c r="B32" i="37"/>
  <c r="O59" i="37"/>
  <c r="G42" i="33"/>
  <c r="G18" i="33"/>
  <c r="H42" i="1"/>
  <c r="A26" i="37"/>
  <c r="A32" i="37"/>
  <c r="A33" i="37"/>
  <c r="F59" i="1"/>
  <c r="B33" i="37"/>
  <c r="G59" i="1"/>
  <c r="D41" i="40"/>
  <c r="D42" i="40"/>
  <c r="D25" i="37"/>
  <c r="C26" i="37"/>
  <c r="C32" i="37"/>
  <c r="I42" i="1"/>
  <c r="O62" i="37"/>
  <c r="C41" i="40"/>
  <c r="C42" i="40"/>
  <c r="D50" i="40"/>
  <c r="E52" i="40"/>
  <c r="E50" i="40"/>
  <c r="E51" i="40"/>
  <c r="D51" i="40"/>
  <c r="D52" i="40"/>
  <c r="C33" i="37"/>
  <c r="H59" i="1"/>
  <c r="E41" i="40"/>
  <c r="E42" i="40"/>
  <c r="E25" i="37"/>
  <c r="E26" i="37"/>
  <c r="E32" i="37"/>
  <c r="D26" i="37"/>
  <c r="D32" i="37"/>
  <c r="J42" i="1"/>
  <c r="G17" i="1"/>
  <c r="E33" i="37"/>
  <c r="J59" i="1"/>
  <c r="G41" i="40"/>
  <c r="G42" i="40"/>
  <c r="D33" i="37"/>
  <c r="I59" i="1"/>
  <c r="F41" i="40"/>
  <c r="F42" i="40"/>
  <c r="F51" i="40"/>
  <c r="F52" i="40"/>
  <c r="F50" i="40"/>
  <c r="H17" i="1"/>
  <c r="F42" i="32"/>
  <c r="F17" i="1"/>
  <c r="G51" i="40"/>
  <c r="G50" i="40"/>
  <c r="G52" i="40"/>
  <c r="H51" i="40"/>
  <c r="H52" i="40"/>
  <c r="H50" i="40"/>
  <c r="J17" i="1"/>
  <c r="I17" i="1"/>
  <c r="G42" i="16"/>
  <c r="F42" i="16"/>
  <c r="E42" i="16"/>
  <c r="D42" i="16"/>
  <c r="C42" i="16"/>
  <c r="F41" i="16"/>
  <c r="E41" i="16"/>
  <c r="D41" i="16"/>
  <c r="C41" i="16"/>
  <c r="E40" i="16"/>
  <c r="D40" i="16"/>
  <c r="C40" i="16"/>
  <c r="D39" i="16"/>
  <c r="C39" i="16"/>
  <c r="C38" i="16"/>
  <c r="H34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E31" i="16"/>
  <c r="D31" i="16"/>
  <c r="C31" i="16"/>
  <c r="D30" i="16"/>
  <c r="C30" i="16"/>
  <c r="C29" i="16"/>
  <c r="G26" i="16"/>
  <c r="F26" i="16"/>
  <c r="E26" i="16"/>
  <c r="D26" i="16"/>
  <c r="C26" i="16"/>
  <c r="F25" i="16"/>
  <c r="E25" i="16"/>
  <c r="D25" i="16"/>
  <c r="C25" i="16"/>
  <c r="E24" i="16"/>
  <c r="D24" i="16"/>
  <c r="C24" i="16"/>
  <c r="D23" i="16"/>
  <c r="C23" i="16"/>
  <c r="C22" i="16"/>
  <c r="H21" i="16"/>
  <c r="G18" i="16"/>
  <c r="F18" i="16"/>
  <c r="E18" i="16"/>
  <c r="D18" i="16"/>
  <c r="C18" i="16"/>
  <c r="F17" i="16"/>
  <c r="E17" i="16"/>
  <c r="D17" i="16"/>
  <c r="C17" i="16"/>
  <c r="E16" i="16"/>
  <c r="D16" i="16"/>
  <c r="C16" i="16"/>
  <c r="D15" i="16"/>
  <c r="C15" i="16"/>
  <c r="C14" i="16"/>
  <c r="G10" i="16"/>
  <c r="F10" i="16"/>
  <c r="E10" i="16"/>
  <c r="D10" i="16"/>
  <c r="C10" i="16"/>
  <c r="F9" i="16"/>
  <c r="E9" i="16"/>
  <c r="D9" i="16"/>
  <c r="C9" i="16"/>
  <c r="E8" i="16"/>
  <c r="D8" i="16"/>
  <c r="C8" i="16"/>
  <c r="D7" i="16"/>
  <c r="C7" i="16"/>
  <c r="C6" i="16"/>
  <c r="H3" i="16"/>
  <c r="G3" i="16"/>
  <c r="F3" i="16"/>
  <c r="E3" i="16"/>
  <c r="D3" i="16"/>
  <c r="F37" i="15"/>
  <c r="E37" i="15"/>
  <c r="D37" i="15"/>
  <c r="C37" i="15"/>
  <c r="E36" i="15"/>
  <c r="D36" i="15"/>
  <c r="C36" i="15"/>
  <c r="D35" i="15"/>
  <c r="C35" i="15"/>
  <c r="C34" i="15"/>
  <c r="G30" i="15"/>
  <c r="F30" i="15"/>
  <c r="E30" i="15"/>
  <c r="D30" i="15"/>
  <c r="C30" i="15"/>
  <c r="F29" i="15"/>
  <c r="E29" i="15"/>
  <c r="D29" i="15"/>
  <c r="C29" i="15"/>
  <c r="E28" i="15"/>
  <c r="D28" i="15"/>
  <c r="C28" i="15"/>
  <c r="D27" i="15"/>
  <c r="C27" i="15"/>
  <c r="C26" i="15"/>
  <c r="F23" i="15"/>
  <c r="E23" i="15"/>
  <c r="D23" i="15"/>
  <c r="C23" i="15"/>
  <c r="E22" i="15"/>
  <c r="D22" i="15"/>
  <c r="C22" i="15"/>
  <c r="D21" i="15"/>
  <c r="C21" i="15"/>
  <c r="C20" i="15"/>
  <c r="F16" i="15"/>
  <c r="E16" i="15"/>
  <c r="D16" i="15"/>
  <c r="C16" i="15"/>
  <c r="E15" i="15"/>
  <c r="D15" i="15"/>
  <c r="C15" i="15"/>
  <c r="D14" i="15"/>
  <c r="C14" i="15"/>
  <c r="C13" i="15"/>
  <c r="F9" i="15"/>
  <c r="E9" i="15"/>
  <c r="D9" i="15"/>
  <c r="C9" i="15"/>
  <c r="E8" i="15"/>
  <c r="D8" i="15"/>
  <c r="C8" i="15"/>
  <c r="D7" i="15"/>
  <c r="C7" i="15"/>
  <c r="C6" i="15"/>
  <c r="G3" i="15"/>
  <c r="F3" i="15"/>
  <c r="E3" i="15"/>
  <c r="D3" i="15"/>
  <c r="C3" i="15"/>
  <c r="F37" i="14"/>
  <c r="E37" i="14"/>
  <c r="D37" i="14"/>
  <c r="C37" i="14"/>
  <c r="E36" i="14"/>
  <c r="D36" i="14"/>
  <c r="C36" i="14"/>
  <c r="D35" i="14"/>
  <c r="C35" i="14"/>
  <c r="C34" i="14"/>
  <c r="G30" i="14"/>
  <c r="F30" i="14"/>
  <c r="E30" i="14"/>
  <c r="D30" i="14"/>
  <c r="C30" i="14"/>
  <c r="F29" i="14"/>
  <c r="E29" i="14"/>
  <c r="D29" i="14"/>
  <c r="C29" i="14"/>
  <c r="E28" i="14"/>
  <c r="D28" i="14"/>
  <c r="C28" i="14"/>
  <c r="D27" i="14"/>
  <c r="C27" i="14"/>
  <c r="C26" i="14"/>
  <c r="F23" i="14"/>
  <c r="E23" i="14"/>
  <c r="D23" i="14"/>
  <c r="C23" i="14"/>
  <c r="E22" i="14"/>
  <c r="D22" i="14"/>
  <c r="C22" i="14"/>
  <c r="D21" i="14"/>
  <c r="C21" i="14"/>
  <c r="C20" i="14"/>
  <c r="F16" i="14"/>
  <c r="E16" i="14"/>
  <c r="D16" i="14"/>
  <c r="C16" i="14"/>
  <c r="E15" i="14"/>
  <c r="D15" i="14"/>
  <c r="C15" i="14"/>
  <c r="D14" i="14"/>
  <c r="C14" i="14"/>
  <c r="C13" i="14"/>
  <c r="F9" i="14"/>
  <c r="E9" i="14"/>
  <c r="D9" i="14"/>
  <c r="C9" i="14"/>
  <c r="E8" i="14"/>
  <c r="D8" i="14"/>
  <c r="C8" i="14"/>
  <c r="D7" i="14"/>
  <c r="C7" i="14"/>
  <c r="C6" i="14"/>
  <c r="G3" i="14"/>
  <c r="F3" i="14"/>
  <c r="E3" i="14"/>
  <c r="D3" i="14"/>
  <c r="C3" i="14"/>
  <c r="F37" i="13"/>
  <c r="E37" i="13"/>
  <c r="D37" i="13"/>
  <c r="C37" i="13"/>
  <c r="E36" i="13"/>
  <c r="D36" i="13"/>
  <c r="C36" i="13"/>
  <c r="D35" i="13"/>
  <c r="C35" i="13"/>
  <c r="C34" i="13"/>
  <c r="G30" i="13"/>
  <c r="F30" i="13"/>
  <c r="E30" i="13"/>
  <c r="D30" i="13"/>
  <c r="C30" i="13"/>
  <c r="F29" i="13"/>
  <c r="E29" i="13"/>
  <c r="D29" i="13"/>
  <c r="C29" i="13"/>
  <c r="E28" i="13"/>
  <c r="D28" i="13"/>
  <c r="C28" i="13"/>
  <c r="D27" i="13"/>
  <c r="C27" i="13"/>
  <c r="C26" i="13"/>
  <c r="F23" i="13"/>
  <c r="E23" i="13"/>
  <c r="D23" i="13"/>
  <c r="C23" i="13"/>
  <c r="E22" i="13"/>
  <c r="D22" i="13"/>
  <c r="C22" i="13"/>
  <c r="D21" i="13"/>
  <c r="C21" i="13"/>
  <c r="G20" i="13"/>
  <c r="C20" i="13"/>
  <c r="G19" i="13"/>
  <c r="F19" i="13"/>
  <c r="F16" i="13"/>
  <c r="E16" i="13"/>
  <c r="D16" i="13"/>
  <c r="C16" i="13"/>
  <c r="E15" i="13"/>
  <c r="D15" i="13"/>
  <c r="C15" i="13"/>
  <c r="D14" i="13"/>
  <c r="C14" i="13"/>
  <c r="C13" i="13"/>
  <c r="F9" i="13"/>
  <c r="E9" i="13"/>
  <c r="D9" i="13"/>
  <c r="C9" i="13"/>
  <c r="E8" i="13"/>
  <c r="D8" i="13"/>
  <c r="C8" i="13"/>
  <c r="D7" i="13"/>
  <c r="C7" i="13"/>
  <c r="C6" i="13"/>
  <c r="G3" i="13"/>
  <c r="F3" i="13"/>
  <c r="E3" i="13"/>
  <c r="D3" i="13"/>
  <c r="C3" i="13"/>
  <c r="F37" i="12"/>
  <c r="E37" i="12"/>
  <c r="D37" i="12"/>
  <c r="C37" i="12"/>
  <c r="E36" i="12"/>
  <c r="D36" i="12"/>
  <c r="C36" i="12"/>
  <c r="D35" i="12"/>
  <c r="C35" i="12"/>
  <c r="C34" i="12"/>
  <c r="G30" i="12"/>
  <c r="F30" i="12"/>
  <c r="E30" i="12"/>
  <c r="D30" i="12"/>
  <c r="C30" i="12"/>
  <c r="F29" i="12"/>
  <c r="E29" i="12"/>
  <c r="D29" i="12"/>
  <c r="C29" i="12"/>
  <c r="E28" i="12"/>
  <c r="D28" i="12"/>
  <c r="C28" i="12"/>
  <c r="D27" i="12"/>
  <c r="C27" i="12"/>
  <c r="C26" i="12"/>
  <c r="F23" i="12"/>
  <c r="E23" i="12"/>
  <c r="D23" i="12"/>
  <c r="C23" i="12"/>
  <c r="E22" i="12"/>
  <c r="D22" i="12"/>
  <c r="C22" i="12"/>
  <c r="D21" i="12"/>
  <c r="C21" i="12"/>
  <c r="C20" i="12"/>
  <c r="F16" i="12"/>
  <c r="E16" i="12"/>
  <c r="D16" i="12"/>
  <c r="C16" i="12"/>
  <c r="E15" i="12"/>
  <c r="D15" i="12"/>
  <c r="C15" i="12"/>
  <c r="D14" i="12"/>
  <c r="C14" i="12"/>
  <c r="C13" i="12"/>
  <c r="F9" i="12"/>
  <c r="E9" i="12"/>
  <c r="D9" i="12"/>
  <c r="C9" i="12"/>
  <c r="E8" i="12"/>
  <c r="D8" i="12"/>
  <c r="C8" i="12"/>
  <c r="D7" i="12"/>
  <c r="C7" i="12"/>
  <c r="C6" i="12"/>
  <c r="G3" i="12"/>
  <c r="F3" i="12"/>
  <c r="E3" i="12"/>
  <c r="D3" i="12"/>
  <c r="C3" i="12"/>
  <c r="F37" i="11"/>
  <c r="E37" i="11"/>
  <c r="D37" i="11"/>
  <c r="C37" i="11"/>
  <c r="E36" i="11"/>
  <c r="D36" i="11"/>
  <c r="C36" i="11"/>
  <c r="D35" i="11"/>
  <c r="C35" i="11"/>
  <c r="C34" i="11"/>
  <c r="G30" i="11"/>
  <c r="F30" i="11"/>
  <c r="E30" i="11"/>
  <c r="D30" i="11"/>
  <c r="C30" i="11"/>
  <c r="F29" i="11"/>
  <c r="E29" i="11"/>
  <c r="D29" i="11"/>
  <c r="C29" i="11"/>
  <c r="E28" i="11"/>
  <c r="D28" i="11"/>
  <c r="C28" i="11"/>
  <c r="D27" i="11"/>
  <c r="C27" i="11"/>
  <c r="C26" i="11"/>
  <c r="F23" i="11"/>
  <c r="E23" i="11"/>
  <c r="D23" i="11"/>
  <c r="C23" i="11"/>
  <c r="E22" i="11"/>
  <c r="D22" i="11"/>
  <c r="C22" i="11"/>
  <c r="D21" i="11"/>
  <c r="C21" i="11"/>
  <c r="C20" i="11"/>
  <c r="F16" i="11"/>
  <c r="E16" i="11"/>
  <c r="D16" i="11"/>
  <c r="C16" i="11"/>
  <c r="E15" i="11"/>
  <c r="D15" i="11"/>
  <c r="C15" i="11"/>
  <c r="D14" i="11"/>
  <c r="C14" i="11"/>
  <c r="C13" i="11"/>
  <c r="F9" i="11"/>
  <c r="E9" i="11"/>
  <c r="D9" i="11"/>
  <c r="C9" i="11"/>
  <c r="E8" i="11"/>
  <c r="D8" i="11"/>
  <c r="C8" i="11"/>
  <c r="D7" i="11"/>
  <c r="C7" i="11"/>
  <c r="C6" i="11"/>
  <c r="G3" i="11"/>
  <c r="F3" i="11"/>
  <c r="E3" i="11"/>
  <c r="D3" i="11"/>
  <c r="C3" i="11"/>
  <c r="F37" i="10"/>
  <c r="E37" i="10"/>
  <c r="D37" i="10"/>
  <c r="C37" i="10"/>
  <c r="E36" i="10"/>
  <c r="D36" i="10"/>
  <c r="C36" i="10"/>
  <c r="D35" i="10"/>
  <c r="C35" i="10"/>
  <c r="C34" i="10"/>
  <c r="G30" i="10"/>
  <c r="F30" i="10"/>
  <c r="E30" i="10"/>
  <c r="D30" i="10"/>
  <c r="C30" i="10"/>
  <c r="F29" i="10"/>
  <c r="E29" i="10"/>
  <c r="D29" i="10"/>
  <c r="C29" i="10"/>
  <c r="E28" i="10"/>
  <c r="D28" i="10"/>
  <c r="C28" i="10"/>
  <c r="D27" i="10"/>
  <c r="C27" i="10"/>
  <c r="C26" i="10"/>
  <c r="F23" i="10"/>
  <c r="E23" i="10"/>
  <c r="D23" i="10"/>
  <c r="C23" i="10"/>
  <c r="E22" i="10"/>
  <c r="D22" i="10"/>
  <c r="C22" i="10"/>
  <c r="D21" i="10"/>
  <c r="C21" i="10"/>
  <c r="C20" i="10"/>
  <c r="F16" i="10"/>
  <c r="E16" i="10"/>
  <c r="D16" i="10"/>
  <c r="C16" i="10"/>
  <c r="E15" i="10"/>
  <c r="D15" i="10"/>
  <c r="C15" i="10"/>
  <c r="D14" i="10"/>
  <c r="C14" i="10"/>
  <c r="C13" i="10"/>
  <c r="F9" i="10"/>
  <c r="E9" i="10"/>
  <c r="D9" i="10"/>
  <c r="C9" i="10"/>
  <c r="E8" i="10"/>
  <c r="D8" i="10"/>
  <c r="C8" i="10"/>
  <c r="D7" i="10"/>
  <c r="C7" i="10"/>
  <c r="C6" i="10"/>
  <c r="G3" i="10"/>
  <c r="F3" i="10"/>
  <c r="E3" i="10"/>
  <c r="D3" i="10"/>
  <c r="C3" i="10"/>
  <c r="F37" i="9"/>
  <c r="E37" i="9"/>
  <c r="D37" i="9"/>
  <c r="C37" i="9"/>
  <c r="E36" i="9"/>
  <c r="D36" i="9"/>
  <c r="C36" i="9"/>
  <c r="D35" i="9"/>
  <c r="C35" i="9"/>
  <c r="C34" i="9"/>
  <c r="G30" i="9"/>
  <c r="F30" i="9"/>
  <c r="E30" i="9"/>
  <c r="D30" i="9"/>
  <c r="C30" i="9"/>
  <c r="F29" i="9"/>
  <c r="E29" i="9"/>
  <c r="D29" i="9"/>
  <c r="C29" i="9"/>
  <c r="E28" i="9"/>
  <c r="D28" i="9"/>
  <c r="C28" i="9"/>
  <c r="D27" i="9"/>
  <c r="C27" i="9"/>
  <c r="C26" i="9"/>
  <c r="F23" i="9"/>
  <c r="E23" i="9"/>
  <c r="D23" i="9"/>
  <c r="C23" i="9"/>
  <c r="E22" i="9"/>
  <c r="D22" i="9"/>
  <c r="C22" i="9"/>
  <c r="D21" i="9"/>
  <c r="C21" i="9"/>
  <c r="C20" i="9"/>
  <c r="F16" i="9"/>
  <c r="E16" i="9"/>
  <c r="D16" i="9"/>
  <c r="C16" i="9"/>
  <c r="E15" i="9"/>
  <c r="D15" i="9"/>
  <c r="C15" i="9"/>
  <c r="D14" i="9"/>
  <c r="C14" i="9"/>
  <c r="C13" i="9"/>
  <c r="F9" i="9"/>
  <c r="E9" i="9"/>
  <c r="D9" i="9"/>
  <c r="C9" i="9"/>
  <c r="E8" i="9"/>
  <c r="D8" i="9"/>
  <c r="C8" i="9"/>
  <c r="D7" i="9"/>
  <c r="C7" i="9"/>
  <c r="C6" i="9"/>
  <c r="G3" i="9"/>
  <c r="F3" i="9"/>
  <c r="E3" i="9"/>
  <c r="D3" i="9"/>
  <c r="C3" i="9"/>
  <c r="F17" i="8"/>
  <c r="E17" i="8"/>
  <c r="D17" i="8"/>
  <c r="C17" i="8"/>
  <c r="E16" i="8"/>
  <c r="D16" i="8"/>
  <c r="C16" i="8"/>
  <c r="D15" i="8"/>
  <c r="C15" i="8"/>
  <c r="C14" i="8"/>
  <c r="F10" i="8"/>
  <c r="E10" i="8"/>
  <c r="D10" i="8"/>
  <c r="C10" i="8"/>
  <c r="E9" i="8"/>
  <c r="D9" i="8"/>
  <c r="C9" i="8"/>
  <c r="D8" i="8"/>
  <c r="C8" i="8"/>
  <c r="C7" i="8"/>
  <c r="G4" i="8"/>
  <c r="F4" i="8"/>
  <c r="E4" i="8"/>
  <c r="D4" i="8"/>
  <c r="C4" i="8"/>
  <c r="G3" i="8"/>
  <c r="F3" i="8"/>
  <c r="E3" i="8"/>
  <c r="D3" i="8"/>
  <c r="C3" i="8"/>
  <c r="H29" i="7"/>
  <c r="G29" i="7"/>
  <c r="F29" i="7"/>
  <c r="E29" i="7"/>
  <c r="D29" i="7"/>
  <c r="C29" i="7"/>
  <c r="G28" i="7"/>
  <c r="F28" i="7"/>
  <c r="E28" i="7"/>
  <c r="D28" i="7"/>
  <c r="C28" i="7"/>
  <c r="F27" i="7"/>
  <c r="E27" i="7"/>
  <c r="D27" i="7"/>
  <c r="C27" i="7"/>
  <c r="E26" i="7"/>
  <c r="D26" i="7"/>
  <c r="C26" i="7"/>
  <c r="D25" i="7"/>
  <c r="C25" i="7"/>
  <c r="C24" i="7"/>
  <c r="H21" i="7"/>
  <c r="G21" i="7"/>
  <c r="F21" i="7"/>
  <c r="E21" i="7"/>
  <c r="D21" i="7"/>
  <c r="C21" i="7"/>
  <c r="G20" i="7"/>
  <c r="F20" i="7"/>
  <c r="E20" i="7"/>
  <c r="D20" i="7"/>
  <c r="C20" i="7"/>
  <c r="F19" i="7"/>
  <c r="E19" i="7"/>
  <c r="D19" i="7"/>
  <c r="C19" i="7"/>
  <c r="E18" i="7"/>
  <c r="D18" i="7"/>
  <c r="C18" i="7"/>
  <c r="D17" i="7"/>
  <c r="C17" i="7"/>
  <c r="C16" i="7"/>
  <c r="C22" i="7"/>
  <c r="G13" i="7"/>
  <c r="F13" i="7"/>
  <c r="E13" i="7"/>
  <c r="D13" i="7"/>
  <c r="C13" i="7"/>
  <c r="F12" i="7"/>
  <c r="E12" i="7"/>
  <c r="D12" i="7"/>
  <c r="C12" i="7"/>
  <c r="E11" i="7"/>
  <c r="D11" i="7"/>
  <c r="C11" i="7"/>
  <c r="D10" i="7"/>
  <c r="C10" i="7"/>
  <c r="C9" i="7"/>
  <c r="H5" i="7"/>
  <c r="H13" i="7"/>
  <c r="G5" i="7"/>
  <c r="G12" i="7"/>
  <c r="F5" i="7"/>
  <c r="G19" i="7"/>
  <c r="E5" i="7"/>
  <c r="G18" i="7"/>
  <c r="D5" i="7"/>
  <c r="G17" i="7"/>
  <c r="C5" i="7"/>
  <c r="G16" i="7"/>
  <c r="H3" i="7"/>
  <c r="H4" i="7"/>
  <c r="G3" i="7"/>
  <c r="G4" i="7"/>
  <c r="F3" i="7"/>
  <c r="F4" i="7"/>
  <c r="E3" i="7"/>
  <c r="E4" i="7"/>
  <c r="D3" i="7"/>
  <c r="D4" i="7"/>
  <c r="D45" i="6"/>
  <c r="D44" i="6"/>
  <c r="D42" i="6"/>
  <c r="D38" i="6"/>
  <c r="E34" i="6"/>
  <c r="I13" i="6"/>
  <c r="H13" i="6"/>
  <c r="G13" i="6"/>
  <c r="F13" i="6"/>
  <c r="E13" i="6"/>
  <c r="I12" i="6"/>
  <c r="H12" i="6"/>
  <c r="G12" i="6"/>
  <c r="F12" i="6"/>
  <c r="E12" i="6"/>
  <c r="I6" i="6"/>
  <c r="H6" i="6"/>
  <c r="G6" i="6"/>
  <c r="F6" i="6"/>
  <c r="E6" i="6"/>
  <c r="I5" i="6"/>
  <c r="H5" i="6"/>
  <c r="G5" i="6"/>
  <c r="F5" i="6"/>
  <c r="E5" i="6"/>
  <c r="I4" i="6"/>
  <c r="H4" i="6"/>
  <c r="G4" i="6"/>
  <c r="F4" i="6"/>
  <c r="E4" i="6"/>
  <c r="I3" i="6"/>
  <c r="H3" i="6"/>
  <c r="G3" i="6"/>
  <c r="F3" i="6"/>
  <c r="E3" i="6"/>
  <c r="I39" i="5"/>
  <c r="H39" i="5"/>
  <c r="G39" i="5"/>
  <c r="F39" i="5"/>
  <c r="E39" i="5"/>
  <c r="H35" i="5"/>
  <c r="G35" i="5"/>
  <c r="D35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I23" i="5"/>
  <c r="H23" i="5"/>
  <c r="G23" i="5"/>
  <c r="F23" i="5"/>
  <c r="E23" i="5"/>
  <c r="D23" i="5"/>
  <c r="I22" i="5"/>
  <c r="H22" i="5"/>
  <c r="G22" i="5"/>
  <c r="F22" i="5"/>
  <c r="E22" i="5"/>
  <c r="D22" i="5"/>
  <c r="D21" i="5"/>
  <c r="I17" i="5"/>
  <c r="H17" i="5"/>
  <c r="G17" i="5"/>
  <c r="F17" i="5"/>
  <c r="E17" i="5"/>
  <c r="E9" i="5"/>
  <c r="J57" i="4"/>
  <c r="I46" i="4"/>
  <c r="H46" i="4"/>
  <c r="G46" i="4"/>
  <c r="F46" i="4"/>
  <c r="E46" i="4"/>
  <c r="I44" i="4"/>
  <c r="H44" i="4"/>
  <c r="G44" i="4"/>
  <c r="F44" i="4"/>
  <c r="E44" i="4"/>
  <c r="I39" i="4"/>
  <c r="H39" i="4"/>
  <c r="G39" i="4"/>
  <c r="F39" i="4"/>
  <c r="E39" i="4"/>
  <c r="D39" i="4"/>
  <c r="I11" i="4"/>
  <c r="H11" i="4"/>
  <c r="G11" i="4"/>
  <c r="F11" i="4"/>
  <c r="E11" i="4"/>
  <c r="D11" i="4"/>
  <c r="D10" i="4"/>
  <c r="D9" i="4"/>
  <c r="D8" i="4"/>
  <c r="D6" i="4"/>
  <c r="F8" i="3"/>
  <c r="D8" i="3"/>
  <c r="J159" i="1"/>
  <c r="I30" i="5"/>
  <c r="I159" i="1"/>
  <c r="H30" i="5"/>
  <c r="H159" i="1"/>
  <c r="G30" i="5"/>
  <c r="G159" i="1"/>
  <c r="F30" i="5"/>
  <c r="F159" i="1"/>
  <c r="E30" i="5"/>
  <c r="J156" i="1"/>
  <c r="I156" i="1"/>
  <c r="H156" i="1"/>
  <c r="G156" i="1"/>
  <c r="F156" i="1"/>
  <c r="F144" i="1"/>
  <c r="E141" i="1"/>
  <c r="F142" i="1"/>
  <c r="F137" i="1"/>
  <c r="E134" i="1"/>
  <c r="D32" i="4"/>
  <c r="D34" i="4"/>
  <c r="F130" i="1"/>
  <c r="J129" i="1"/>
  <c r="I129" i="1"/>
  <c r="F123" i="1"/>
  <c r="E120" i="1"/>
  <c r="D26" i="4"/>
  <c r="D28" i="4"/>
  <c r="F116" i="1"/>
  <c r="E113" i="1"/>
  <c r="F109" i="1"/>
  <c r="F102" i="1"/>
  <c r="E99" i="1"/>
  <c r="E96" i="1"/>
  <c r="F97" i="1"/>
  <c r="F96" i="1"/>
  <c r="J93" i="1"/>
  <c r="I20" i="5"/>
  <c r="I93" i="1"/>
  <c r="H20" i="5"/>
  <c r="H93" i="1"/>
  <c r="G20" i="5"/>
  <c r="G93" i="1"/>
  <c r="F20" i="5"/>
  <c r="F93" i="1"/>
  <c r="E20" i="5"/>
  <c r="J91" i="1"/>
  <c r="I19" i="5"/>
  <c r="I91" i="1"/>
  <c r="H19" i="5"/>
  <c r="H91" i="1"/>
  <c r="G19" i="5"/>
  <c r="G91" i="1"/>
  <c r="F19" i="5"/>
  <c r="F91" i="1"/>
  <c r="E19" i="5"/>
  <c r="J85" i="1"/>
  <c r="I85" i="1"/>
  <c r="H85" i="1"/>
  <c r="G85" i="1"/>
  <c r="J82" i="1"/>
  <c r="I16" i="5"/>
  <c r="I82" i="1"/>
  <c r="H16" i="5"/>
  <c r="H82" i="1"/>
  <c r="G16" i="5"/>
  <c r="G82" i="1"/>
  <c r="F16" i="5"/>
  <c r="F82" i="1"/>
  <c r="E16" i="5"/>
  <c r="E8" i="3"/>
  <c r="J26" i="1"/>
  <c r="H26" i="1"/>
  <c r="F26" i="1"/>
  <c r="I26" i="1"/>
  <c r="G26" i="1"/>
  <c r="E3" i="1"/>
  <c r="D16" i="4"/>
  <c r="H31" i="5"/>
  <c r="I35" i="5"/>
  <c r="C30" i="7"/>
  <c r="F35" i="5"/>
  <c r="C31" i="13"/>
  <c r="C31" i="14"/>
  <c r="C35" i="16"/>
  <c r="E35" i="5"/>
  <c r="G22" i="7"/>
  <c r="H36" i="5"/>
  <c r="C31" i="9"/>
  <c r="C31" i="10"/>
  <c r="C31" i="11"/>
  <c r="C31" i="12"/>
  <c r="C31" i="15"/>
  <c r="G97" i="1"/>
  <c r="J45" i="1"/>
  <c r="J51" i="1"/>
  <c r="I9" i="6"/>
  <c r="D1" i="6"/>
  <c r="D1" i="5"/>
  <c r="D2" i="4"/>
  <c r="F3" i="1"/>
  <c r="E9" i="6"/>
  <c r="D39" i="5"/>
  <c r="F175" i="1"/>
  <c r="D50" i="4"/>
  <c r="D23" i="4"/>
  <c r="D25" i="4"/>
  <c r="F9" i="6"/>
  <c r="G44" i="1"/>
  <c r="G50" i="1"/>
  <c r="H9" i="6"/>
  <c r="G9" i="6"/>
  <c r="H45" i="1"/>
  <c r="H51" i="1"/>
  <c r="I45" i="1"/>
  <c r="I51" i="1"/>
  <c r="C3" i="16"/>
  <c r="F85" i="1"/>
  <c r="F100" i="1"/>
  <c r="F114" i="1"/>
  <c r="F113" i="1"/>
  <c r="F141" i="1"/>
  <c r="D35" i="4"/>
  <c r="D37" i="4"/>
  <c r="D17" i="4"/>
  <c r="D19" i="4"/>
  <c r="F31" i="5"/>
  <c r="E35" i="6"/>
  <c r="F34" i="6"/>
  <c r="G34" i="6"/>
  <c r="H34" i="6"/>
  <c r="I34" i="6"/>
  <c r="F121" i="1"/>
  <c r="F120" i="1"/>
  <c r="F135" i="1"/>
  <c r="F134" i="1"/>
  <c r="E31" i="5"/>
  <c r="G31" i="5"/>
  <c r="I31" i="5"/>
  <c r="H28" i="7"/>
  <c r="D9" i="7"/>
  <c r="F11" i="7"/>
  <c r="D16" i="7"/>
  <c r="D22" i="7"/>
  <c r="E36" i="5"/>
  <c r="F16" i="7"/>
  <c r="H16" i="7"/>
  <c r="F17" i="7"/>
  <c r="H17" i="7"/>
  <c r="F18" i="7"/>
  <c r="H18" i="7"/>
  <c r="H19" i="7"/>
  <c r="H20" i="7"/>
  <c r="H12" i="7"/>
  <c r="C5" i="9"/>
  <c r="C10" i="9"/>
  <c r="D6" i="9"/>
  <c r="D13" i="9"/>
  <c r="E7" i="9"/>
  <c r="E14" i="9"/>
  <c r="F8" i="9"/>
  <c r="F15" i="9"/>
  <c r="G9" i="9"/>
  <c r="G16" i="9"/>
  <c r="G23" i="9"/>
  <c r="G37" i="9"/>
  <c r="C5" i="11"/>
  <c r="C10" i="11"/>
  <c r="D6" i="11"/>
  <c r="D13" i="11"/>
  <c r="E7" i="11"/>
  <c r="E14" i="11"/>
  <c r="F8" i="11"/>
  <c r="F15" i="11"/>
  <c r="G9" i="11"/>
  <c r="G16" i="11"/>
  <c r="G23" i="11"/>
  <c r="G37" i="11"/>
  <c r="C5" i="13"/>
  <c r="C10" i="13"/>
  <c r="D6" i="13"/>
  <c r="D13" i="13"/>
  <c r="E7" i="13"/>
  <c r="E14" i="13"/>
  <c r="F8" i="13"/>
  <c r="F15" i="13"/>
  <c r="G9" i="13"/>
  <c r="G16" i="13"/>
  <c r="G23" i="13"/>
  <c r="G37" i="13"/>
  <c r="C5" i="15"/>
  <c r="C10" i="15"/>
  <c r="D6" i="15"/>
  <c r="D13" i="15"/>
  <c r="E7" i="15"/>
  <c r="E14" i="15"/>
  <c r="F8" i="15"/>
  <c r="F15" i="15"/>
  <c r="G9" i="15"/>
  <c r="G16" i="15"/>
  <c r="G23" i="15"/>
  <c r="G37" i="15"/>
  <c r="E7" i="16"/>
  <c r="E15" i="16"/>
  <c r="G9" i="16"/>
  <c r="G17" i="16"/>
  <c r="C8" i="7"/>
  <c r="E10" i="7"/>
  <c r="E16" i="7"/>
  <c r="E17" i="7"/>
  <c r="C6" i="8"/>
  <c r="C11" i="8"/>
  <c r="D7" i="8"/>
  <c r="D14" i="8"/>
  <c r="E8" i="8"/>
  <c r="E15" i="8"/>
  <c r="F9" i="8"/>
  <c r="F16" i="8"/>
  <c r="G10" i="8"/>
  <c r="G17" i="8"/>
  <c r="C5" i="10"/>
  <c r="C10" i="10"/>
  <c r="D6" i="10"/>
  <c r="D13" i="10"/>
  <c r="E7" i="10"/>
  <c r="E14" i="10"/>
  <c r="F8" i="10"/>
  <c r="F15" i="10"/>
  <c r="G9" i="10"/>
  <c r="G16" i="10"/>
  <c r="G23" i="10"/>
  <c r="G37" i="10"/>
  <c r="C5" i="12"/>
  <c r="C10" i="12"/>
  <c r="D6" i="12"/>
  <c r="D13" i="12"/>
  <c r="E7" i="12"/>
  <c r="E14" i="12"/>
  <c r="F8" i="12"/>
  <c r="F15" i="12"/>
  <c r="G9" i="12"/>
  <c r="G16" i="12"/>
  <c r="G23" i="12"/>
  <c r="G37" i="12"/>
  <c r="C5" i="14"/>
  <c r="C10" i="14"/>
  <c r="D6" i="14"/>
  <c r="D13" i="14"/>
  <c r="E7" i="14"/>
  <c r="E14" i="14"/>
  <c r="F8" i="14"/>
  <c r="F15" i="14"/>
  <c r="G9" i="14"/>
  <c r="G16" i="14"/>
  <c r="G23" i="14"/>
  <c r="G37" i="14"/>
  <c r="D6" i="16"/>
  <c r="D14" i="16"/>
  <c r="F8" i="16"/>
  <c r="F16" i="16"/>
  <c r="H10" i="16"/>
  <c r="H18" i="16"/>
  <c r="H26" i="16"/>
  <c r="H42" i="16"/>
  <c r="D20" i="3"/>
  <c r="D22" i="3"/>
  <c r="D22" i="16"/>
  <c r="D38" i="16"/>
  <c r="E6" i="16"/>
  <c r="E14" i="16"/>
  <c r="F22" i="14"/>
  <c r="F36" i="14"/>
  <c r="G8" i="14"/>
  <c r="G15" i="14"/>
  <c r="G22" i="14"/>
  <c r="D20" i="14"/>
  <c r="D34" i="14"/>
  <c r="E6" i="14"/>
  <c r="E13" i="14"/>
  <c r="E21" i="12"/>
  <c r="E35" i="12"/>
  <c r="F7" i="12"/>
  <c r="F14" i="12"/>
  <c r="F22" i="10"/>
  <c r="F36" i="10"/>
  <c r="G8" i="10"/>
  <c r="G15" i="10"/>
  <c r="G22" i="10"/>
  <c r="D20" i="10"/>
  <c r="D34" i="10"/>
  <c r="E6" i="10"/>
  <c r="E13" i="10"/>
  <c r="F8" i="8"/>
  <c r="F15" i="8"/>
  <c r="H9" i="16"/>
  <c r="H17" i="16"/>
  <c r="H25" i="16"/>
  <c r="G25" i="16"/>
  <c r="G41" i="16"/>
  <c r="F7" i="15"/>
  <c r="F14" i="15"/>
  <c r="E21" i="15"/>
  <c r="E35" i="15"/>
  <c r="G8" i="13"/>
  <c r="G15" i="13"/>
  <c r="G22" i="13"/>
  <c r="F22" i="13"/>
  <c r="F36" i="13"/>
  <c r="E6" i="13"/>
  <c r="E13" i="13"/>
  <c r="D20" i="13"/>
  <c r="D34" i="13"/>
  <c r="F7" i="11"/>
  <c r="F14" i="11"/>
  <c r="E21" i="11"/>
  <c r="E35" i="11"/>
  <c r="G8" i="9"/>
  <c r="G15" i="9"/>
  <c r="G22" i="9"/>
  <c r="F22" i="9"/>
  <c r="F36" i="9"/>
  <c r="E6" i="9"/>
  <c r="E13" i="9"/>
  <c r="D20" i="9"/>
  <c r="D34" i="9"/>
  <c r="F24" i="16"/>
  <c r="F40" i="16"/>
  <c r="G8" i="16"/>
  <c r="G16" i="16"/>
  <c r="E21" i="14"/>
  <c r="E35" i="14"/>
  <c r="F7" i="14"/>
  <c r="F14" i="14"/>
  <c r="F22" i="12"/>
  <c r="F36" i="12"/>
  <c r="G8" i="12"/>
  <c r="G15" i="12"/>
  <c r="G22" i="12"/>
  <c r="D20" i="12"/>
  <c r="D34" i="12"/>
  <c r="E6" i="12"/>
  <c r="E13" i="12"/>
  <c r="E21" i="10"/>
  <c r="E35" i="10"/>
  <c r="F7" i="10"/>
  <c r="F14" i="10"/>
  <c r="G9" i="8"/>
  <c r="G16" i="8"/>
  <c r="E7" i="8"/>
  <c r="E14" i="8"/>
  <c r="F7" i="16"/>
  <c r="F15" i="16"/>
  <c r="E23" i="16"/>
  <c r="E39" i="16"/>
  <c r="G8" i="15"/>
  <c r="G15" i="15"/>
  <c r="G22" i="15"/>
  <c r="F22" i="15"/>
  <c r="F36" i="15"/>
  <c r="E6" i="15"/>
  <c r="E13" i="15"/>
  <c r="D20" i="15"/>
  <c r="D34" i="15"/>
  <c r="F7" i="13"/>
  <c r="F14" i="13"/>
  <c r="E21" i="13"/>
  <c r="E35" i="13"/>
  <c r="G8" i="11"/>
  <c r="G15" i="11"/>
  <c r="G22" i="11"/>
  <c r="F22" i="11"/>
  <c r="F36" i="11"/>
  <c r="E6" i="11"/>
  <c r="E13" i="11"/>
  <c r="D20" i="11"/>
  <c r="D34" i="11"/>
  <c r="F7" i="9"/>
  <c r="F14" i="9"/>
  <c r="E21" i="9"/>
  <c r="E35" i="9"/>
  <c r="F115" i="1"/>
  <c r="F117" i="1"/>
  <c r="F118" i="1"/>
  <c r="G114" i="1"/>
  <c r="G113" i="1"/>
  <c r="F26" i="7"/>
  <c r="F10" i="7"/>
  <c r="F22" i="7"/>
  <c r="G36" i="5"/>
  <c r="G27" i="7"/>
  <c r="G11" i="7"/>
  <c r="C12" i="13"/>
  <c r="C12" i="11"/>
  <c r="C12" i="9"/>
  <c r="C12" i="14"/>
  <c r="C13" i="8"/>
  <c r="F122" i="1"/>
  <c r="F124" i="1"/>
  <c r="F125" i="1"/>
  <c r="G121" i="1"/>
  <c r="G120" i="1"/>
  <c r="F35" i="6"/>
  <c r="G35" i="6"/>
  <c r="H35" i="6"/>
  <c r="I35" i="6"/>
  <c r="F143" i="1"/>
  <c r="F145" i="1"/>
  <c r="F146" i="1"/>
  <c r="G142" i="1"/>
  <c r="G141" i="1"/>
  <c r="C5" i="16"/>
  <c r="C11" i="16"/>
  <c r="D55" i="4"/>
  <c r="F164" i="1"/>
  <c r="E180" i="1"/>
  <c r="E185" i="1"/>
  <c r="F186" i="1"/>
  <c r="F99" i="1"/>
  <c r="E1" i="6"/>
  <c r="E1" i="5"/>
  <c r="E2" i="4"/>
  <c r="G3" i="1"/>
  <c r="D1" i="3"/>
  <c r="E106" i="1"/>
  <c r="D24" i="5"/>
  <c r="H8" i="3"/>
  <c r="G8" i="3"/>
  <c r="H44" i="1"/>
  <c r="F44" i="1"/>
  <c r="F50" i="1"/>
  <c r="E22" i="7"/>
  <c r="F36" i="5"/>
  <c r="C14" i="7"/>
  <c r="D45" i="4"/>
  <c r="D24" i="7"/>
  <c r="D30" i="7"/>
  <c r="D8" i="7"/>
  <c r="H22" i="7"/>
  <c r="I36" i="5"/>
  <c r="E25" i="7"/>
  <c r="E9" i="7"/>
  <c r="C12" i="12"/>
  <c r="C12" i="10"/>
  <c r="C12" i="15"/>
  <c r="F136" i="1"/>
  <c r="G135" i="1"/>
  <c r="G134" i="1"/>
  <c r="F180" i="1"/>
  <c r="G175" i="1"/>
  <c r="G96" i="1"/>
  <c r="F23" i="16"/>
  <c r="G7" i="16"/>
  <c r="G15" i="16"/>
  <c r="E20" i="9"/>
  <c r="F6" i="9"/>
  <c r="F13" i="9"/>
  <c r="F21" i="11"/>
  <c r="G7" i="11"/>
  <c r="G14" i="11"/>
  <c r="G21" i="11"/>
  <c r="E20" i="13"/>
  <c r="F6" i="13"/>
  <c r="F13" i="13"/>
  <c r="F21" i="15"/>
  <c r="G7" i="15"/>
  <c r="G14" i="15"/>
  <c r="G21" i="15"/>
  <c r="F6" i="10"/>
  <c r="F13" i="10"/>
  <c r="E20" i="10"/>
  <c r="G7" i="12"/>
  <c r="G14" i="12"/>
  <c r="G21" i="12"/>
  <c r="F21" i="12"/>
  <c r="F6" i="14"/>
  <c r="F13" i="14"/>
  <c r="E20" i="14"/>
  <c r="F6" i="16"/>
  <c r="F14" i="16"/>
  <c r="E22" i="16"/>
  <c r="G136" i="1"/>
  <c r="H135" i="1"/>
  <c r="H134" i="1"/>
  <c r="G122" i="1"/>
  <c r="H121" i="1"/>
  <c r="H120" i="1"/>
  <c r="F21" i="9"/>
  <c r="G7" i="9"/>
  <c r="G14" i="9"/>
  <c r="G21" i="9"/>
  <c r="E20" i="15"/>
  <c r="F6" i="15"/>
  <c r="F13" i="15"/>
  <c r="F7" i="8"/>
  <c r="F14" i="8"/>
  <c r="G7" i="10"/>
  <c r="G14" i="10"/>
  <c r="G21" i="10"/>
  <c r="F21" i="10"/>
  <c r="F6" i="12"/>
  <c r="F13" i="12"/>
  <c r="E20" i="12"/>
  <c r="G7" i="14"/>
  <c r="G14" i="14"/>
  <c r="G21" i="14"/>
  <c r="F21" i="14"/>
  <c r="H8" i="16"/>
  <c r="H16" i="16"/>
  <c r="H24" i="16"/>
  <c r="G24" i="16"/>
  <c r="G8" i="8"/>
  <c r="G15" i="8"/>
  <c r="G77" i="1"/>
  <c r="C19" i="10"/>
  <c r="C17" i="10"/>
  <c r="D5" i="10"/>
  <c r="D10" i="10"/>
  <c r="H97" i="1"/>
  <c r="H96" i="1"/>
  <c r="H175" i="1"/>
  <c r="G180" i="1"/>
  <c r="F138" i="1"/>
  <c r="C17" i="15"/>
  <c r="E35" i="4"/>
  <c r="D5" i="15"/>
  <c r="D10" i="15"/>
  <c r="C19" i="15"/>
  <c r="C19" i="12"/>
  <c r="C17" i="12"/>
  <c r="E26" i="4"/>
  <c r="D5" i="12"/>
  <c r="D10" i="12"/>
  <c r="E24" i="7"/>
  <c r="E30" i="7"/>
  <c r="E8" i="7"/>
  <c r="D14" i="7"/>
  <c r="E45" i="4"/>
  <c r="I44" i="1"/>
  <c r="J44" i="1"/>
  <c r="D20" i="4"/>
  <c r="D22" i="4"/>
  <c r="F107" i="1"/>
  <c r="F106" i="1"/>
  <c r="F1" i="6"/>
  <c r="F1" i="5"/>
  <c r="F2" i="4"/>
  <c r="E1" i="3"/>
  <c r="H3" i="1"/>
  <c r="D18" i="3"/>
  <c r="F187" i="1"/>
  <c r="C13" i="16"/>
  <c r="G144" i="1"/>
  <c r="G123" i="1"/>
  <c r="C18" i="8"/>
  <c r="E16" i="4"/>
  <c r="D6" i="8"/>
  <c r="D11" i="8"/>
  <c r="C17" i="9"/>
  <c r="E17" i="4"/>
  <c r="D5" i="9"/>
  <c r="D10" i="9"/>
  <c r="C19" i="9"/>
  <c r="C17" i="13"/>
  <c r="D5" i="13"/>
  <c r="D10" i="13"/>
  <c r="C19" i="13"/>
  <c r="G26" i="7"/>
  <c r="G10" i="7"/>
  <c r="G116" i="1"/>
  <c r="F28" i="9"/>
  <c r="F35" i="9"/>
  <c r="G29" i="11"/>
  <c r="G36" i="11"/>
  <c r="E27" i="15"/>
  <c r="F31" i="16"/>
  <c r="F39" i="16"/>
  <c r="E27" i="12"/>
  <c r="E34" i="12"/>
  <c r="F28" i="14"/>
  <c r="G29" i="9"/>
  <c r="G36" i="9"/>
  <c r="E27" i="13"/>
  <c r="E34" i="13"/>
  <c r="F28" i="15"/>
  <c r="F35" i="15"/>
  <c r="E27" i="10"/>
  <c r="E34" i="10"/>
  <c r="F28" i="12"/>
  <c r="G29" i="14"/>
  <c r="G36" i="14"/>
  <c r="E50" i="4"/>
  <c r="F181" i="1"/>
  <c r="F25" i="7"/>
  <c r="F9" i="7"/>
  <c r="D16" i="3"/>
  <c r="E37" i="5"/>
  <c r="H46" i="1"/>
  <c r="H50" i="1"/>
  <c r="F101" i="1"/>
  <c r="G100" i="1"/>
  <c r="G99" i="1"/>
  <c r="G143" i="1"/>
  <c r="H142" i="1"/>
  <c r="H141" i="1"/>
  <c r="C19" i="14"/>
  <c r="C17" i="14"/>
  <c r="E32" i="4"/>
  <c r="D5" i="14"/>
  <c r="D10" i="14"/>
  <c r="C17" i="11"/>
  <c r="E23" i="4"/>
  <c r="D5" i="11"/>
  <c r="D10" i="11"/>
  <c r="C19" i="11"/>
  <c r="H27" i="7"/>
  <c r="H11" i="7"/>
  <c r="D27" i="5"/>
  <c r="D31" i="5"/>
  <c r="D32" i="5"/>
  <c r="E127" i="1"/>
  <c r="G115" i="1"/>
  <c r="H114" i="1"/>
  <c r="H113" i="1"/>
  <c r="E27" i="11"/>
  <c r="E20" i="11"/>
  <c r="F6" i="11"/>
  <c r="F13" i="11"/>
  <c r="F28" i="13"/>
  <c r="F21" i="13"/>
  <c r="G7" i="13"/>
  <c r="G14" i="13"/>
  <c r="G21" i="13"/>
  <c r="G24" i="13"/>
  <c r="G29" i="15"/>
  <c r="G36" i="15"/>
  <c r="F28" i="10"/>
  <c r="G29" i="12"/>
  <c r="G36" i="12"/>
  <c r="G32" i="16"/>
  <c r="G40" i="16"/>
  <c r="E27" i="9"/>
  <c r="E34" i="9"/>
  <c r="F28" i="11"/>
  <c r="F35" i="11"/>
  <c r="G29" i="13"/>
  <c r="G36" i="13"/>
  <c r="H33" i="16"/>
  <c r="H41" i="16"/>
  <c r="G29" i="10"/>
  <c r="G36" i="10"/>
  <c r="E27" i="14"/>
  <c r="E34" i="14"/>
  <c r="E30" i="16"/>
  <c r="F35" i="10"/>
  <c r="F35" i="14"/>
  <c r="E38" i="16"/>
  <c r="G117" i="1"/>
  <c r="G145" i="1"/>
  <c r="G124" i="1"/>
  <c r="H123" i="1"/>
  <c r="F35" i="12"/>
  <c r="E34" i="15"/>
  <c r="D12" i="13"/>
  <c r="D12" i="9"/>
  <c r="D17" i="9"/>
  <c r="F17" i="4"/>
  <c r="E34" i="11"/>
  <c r="D12" i="14"/>
  <c r="D12" i="12"/>
  <c r="F35" i="13"/>
  <c r="G28" i="13"/>
  <c r="G35" i="13"/>
  <c r="H116" i="1"/>
  <c r="G118" i="1"/>
  <c r="H144" i="1"/>
  <c r="G146" i="1"/>
  <c r="F27" i="12"/>
  <c r="F27" i="15"/>
  <c r="G28" i="9"/>
  <c r="G35" i="9"/>
  <c r="F20" i="14"/>
  <c r="G6" i="14"/>
  <c r="G13" i="14"/>
  <c r="G20" i="14"/>
  <c r="H7" i="16"/>
  <c r="H15" i="16"/>
  <c r="H23" i="16"/>
  <c r="G23" i="16"/>
  <c r="G6" i="11"/>
  <c r="G13" i="11"/>
  <c r="G20" i="11"/>
  <c r="F20" i="11"/>
  <c r="F27" i="11"/>
  <c r="F34" i="11"/>
  <c r="G28" i="14"/>
  <c r="G35" i="14"/>
  <c r="G31" i="16"/>
  <c r="F20" i="12"/>
  <c r="F34" i="12"/>
  <c r="G6" i="12"/>
  <c r="G13" i="12"/>
  <c r="G20" i="12"/>
  <c r="F20" i="10"/>
  <c r="G6" i="10"/>
  <c r="G13" i="10"/>
  <c r="G20" i="10"/>
  <c r="F27" i="14"/>
  <c r="G28" i="11"/>
  <c r="G35" i="11"/>
  <c r="D29" i="4"/>
  <c r="D31" i="4"/>
  <c r="D38" i="4"/>
  <c r="F128" i="1"/>
  <c r="F127" i="1"/>
  <c r="D17" i="14"/>
  <c r="F32" i="4"/>
  <c r="E5" i="14"/>
  <c r="E10" i="14"/>
  <c r="D19" i="14"/>
  <c r="D24" i="14"/>
  <c r="C33" i="14"/>
  <c r="C24" i="14"/>
  <c r="H143" i="1"/>
  <c r="H145" i="1"/>
  <c r="I142" i="1"/>
  <c r="I141" i="1"/>
  <c r="G101" i="1"/>
  <c r="H100" i="1"/>
  <c r="H99" i="1"/>
  <c r="H77" i="1"/>
  <c r="H78" i="1"/>
  <c r="G13" i="5"/>
  <c r="H52" i="1"/>
  <c r="E23" i="6"/>
  <c r="D17" i="3"/>
  <c r="F182" i="1"/>
  <c r="F190" i="1"/>
  <c r="F192" i="1"/>
  <c r="E38" i="5"/>
  <c r="G28" i="12"/>
  <c r="G35" i="12"/>
  <c r="F27" i="10"/>
  <c r="G28" i="15"/>
  <c r="G35" i="15"/>
  <c r="F27" i="13"/>
  <c r="C24" i="13"/>
  <c r="C33" i="13"/>
  <c r="D19" i="13"/>
  <c r="D24" i="13"/>
  <c r="D17" i="13"/>
  <c r="E5" i="13"/>
  <c r="E10" i="13"/>
  <c r="C24" i="9"/>
  <c r="C33" i="9"/>
  <c r="D19" i="9"/>
  <c r="D24" i="9"/>
  <c r="F108" i="1"/>
  <c r="F110" i="1"/>
  <c r="G107" i="1"/>
  <c r="E20" i="4"/>
  <c r="I50" i="1"/>
  <c r="I46" i="1"/>
  <c r="F37" i="5"/>
  <c r="E16" i="3"/>
  <c r="D17" i="12"/>
  <c r="F26" i="4"/>
  <c r="E5" i="12"/>
  <c r="E10" i="12"/>
  <c r="D19" i="12"/>
  <c r="D24" i="12"/>
  <c r="C33" i="12"/>
  <c r="C24" i="12"/>
  <c r="H180" i="1"/>
  <c r="I175" i="1"/>
  <c r="G7" i="8"/>
  <c r="G14" i="8"/>
  <c r="G6" i="15"/>
  <c r="G13" i="15"/>
  <c r="G20" i="15"/>
  <c r="F20" i="15"/>
  <c r="F34" i="15"/>
  <c r="H122" i="1"/>
  <c r="I121" i="1"/>
  <c r="I120" i="1"/>
  <c r="F22" i="16"/>
  <c r="G6" i="16"/>
  <c r="G14" i="16"/>
  <c r="G6" i="13"/>
  <c r="G13" i="13"/>
  <c r="F20" i="13"/>
  <c r="F24" i="13"/>
  <c r="G6" i="9"/>
  <c r="G13" i="9"/>
  <c r="G20" i="9"/>
  <c r="F20" i="9"/>
  <c r="F30" i="16"/>
  <c r="F27" i="9"/>
  <c r="H32" i="16"/>
  <c r="H40" i="16"/>
  <c r="G28" i="10"/>
  <c r="G35" i="10"/>
  <c r="H115" i="1"/>
  <c r="H117" i="1"/>
  <c r="I114" i="1"/>
  <c r="I113" i="1"/>
  <c r="C24" i="11"/>
  <c r="C33" i="11"/>
  <c r="D12" i="11"/>
  <c r="F103" i="1"/>
  <c r="E24" i="6"/>
  <c r="E40" i="5"/>
  <c r="E32" i="6"/>
  <c r="G25" i="7"/>
  <c r="G9" i="7"/>
  <c r="H26" i="7"/>
  <c r="H10" i="7"/>
  <c r="D13" i="8"/>
  <c r="D5" i="16"/>
  <c r="D11" i="16"/>
  <c r="C21" i="16"/>
  <c r="C19" i="16"/>
  <c r="D12" i="4"/>
  <c r="E54" i="4"/>
  <c r="G1" i="6"/>
  <c r="G1" i="5"/>
  <c r="F1" i="3"/>
  <c r="G2" i="4"/>
  <c r="I3" i="1"/>
  <c r="J50" i="1"/>
  <c r="J46" i="1"/>
  <c r="F77" i="1"/>
  <c r="E14" i="7"/>
  <c r="F45" i="4"/>
  <c r="F24" i="7"/>
  <c r="F30" i="7"/>
  <c r="F8" i="7"/>
  <c r="C24" i="15"/>
  <c r="C33" i="15"/>
  <c r="D12" i="15"/>
  <c r="G137" i="1"/>
  <c r="G138" i="1"/>
  <c r="F139" i="1"/>
  <c r="F50" i="4"/>
  <c r="I97" i="1"/>
  <c r="D12" i="10"/>
  <c r="C33" i="10"/>
  <c r="C24" i="10"/>
  <c r="F8" i="4"/>
  <c r="G125" i="1"/>
  <c r="H136" i="1"/>
  <c r="I135" i="1"/>
  <c r="I134" i="1"/>
  <c r="E5" i="9"/>
  <c r="E10" i="9"/>
  <c r="F34" i="10"/>
  <c r="F34" i="14"/>
  <c r="H124" i="1"/>
  <c r="D19" i="3"/>
  <c r="E12" i="9"/>
  <c r="F5" i="9"/>
  <c r="E12" i="13"/>
  <c r="F34" i="9"/>
  <c r="F38" i="16"/>
  <c r="G30" i="16"/>
  <c r="E12" i="12"/>
  <c r="F5" i="12"/>
  <c r="G39" i="16"/>
  <c r="D13" i="16"/>
  <c r="E5" i="16"/>
  <c r="E11" i="16"/>
  <c r="H137" i="1"/>
  <c r="H138" i="1"/>
  <c r="G139" i="1"/>
  <c r="I116" i="1"/>
  <c r="H118" i="1"/>
  <c r="H6" i="16"/>
  <c r="H14" i="16"/>
  <c r="H22" i="16"/>
  <c r="H27" i="16"/>
  <c r="H13" i="3"/>
  <c r="I6" i="5"/>
  <c r="G22" i="16"/>
  <c r="I122" i="1"/>
  <c r="J121" i="1"/>
  <c r="J120" i="1"/>
  <c r="G27" i="15"/>
  <c r="G34" i="15"/>
  <c r="G27" i="14"/>
  <c r="G34" i="14"/>
  <c r="H31" i="16"/>
  <c r="H39" i="16"/>
  <c r="I136" i="1"/>
  <c r="J135" i="1"/>
  <c r="J134" i="1"/>
  <c r="G27" i="9"/>
  <c r="G34" i="9"/>
  <c r="I123" i="1"/>
  <c r="I124" i="1"/>
  <c r="H125" i="1"/>
  <c r="G27" i="10"/>
  <c r="G34" i="10"/>
  <c r="I144" i="1"/>
  <c r="H146" i="1"/>
  <c r="E29" i="4"/>
  <c r="F129" i="1"/>
  <c r="F53" i="1"/>
  <c r="G128" i="1"/>
  <c r="G127" i="1"/>
  <c r="G27" i="12"/>
  <c r="G34" i="12"/>
  <c r="C38" i="15"/>
  <c r="E36" i="4"/>
  <c r="E37" i="4"/>
  <c r="D26" i="15"/>
  <c r="D31" i="15"/>
  <c r="C38" i="10"/>
  <c r="D26" i="10"/>
  <c r="D31" i="10"/>
  <c r="I96" i="1"/>
  <c r="D19" i="15"/>
  <c r="D24" i="15"/>
  <c r="D17" i="15"/>
  <c r="F35" i="4"/>
  <c r="E5" i="15"/>
  <c r="E10" i="15"/>
  <c r="G24" i="7"/>
  <c r="G30" i="7"/>
  <c r="G8" i="7"/>
  <c r="F14" i="7"/>
  <c r="G45" i="4"/>
  <c r="D18" i="8"/>
  <c r="F16" i="4"/>
  <c r="E6" i="8"/>
  <c r="E11" i="8"/>
  <c r="G102" i="1"/>
  <c r="G103" i="1"/>
  <c r="F104" i="1"/>
  <c r="D19" i="11"/>
  <c r="D24" i="11"/>
  <c r="D17" i="11"/>
  <c r="F23" i="4"/>
  <c r="E5" i="11"/>
  <c r="E10" i="11"/>
  <c r="I115" i="1"/>
  <c r="I117" i="1"/>
  <c r="J114" i="1"/>
  <c r="J113" i="1"/>
  <c r="J175" i="1"/>
  <c r="J180" i="1"/>
  <c r="I180" i="1"/>
  <c r="C38" i="12"/>
  <c r="E27" i="4"/>
  <c r="E28" i="4"/>
  <c r="D26" i="12"/>
  <c r="D31" i="12"/>
  <c r="F24" i="6"/>
  <c r="I77" i="1"/>
  <c r="I78" i="1"/>
  <c r="H13" i="5"/>
  <c r="I52" i="1"/>
  <c r="G106" i="1"/>
  <c r="C38" i="9"/>
  <c r="E18" i="4"/>
  <c r="E19" i="4"/>
  <c r="D26" i="9"/>
  <c r="D31" i="9"/>
  <c r="C38" i="13"/>
  <c r="D26" i="13"/>
  <c r="D31" i="13"/>
  <c r="F34" i="13"/>
  <c r="F183" i="1"/>
  <c r="E51" i="4"/>
  <c r="F185" i="1"/>
  <c r="G186" i="1"/>
  <c r="G8" i="4"/>
  <c r="D7" i="3"/>
  <c r="E7" i="5"/>
  <c r="F54" i="1"/>
  <c r="E12" i="14"/>
  <c r="D17" i="10"/>
  <c r="E5" i="10"/>
  <c r="E10" i="10"/>
  <c r="D19" i="10"/>
  <c r="D24" i="10"/>
  <c r="G37" i="5"/>
  <c r="F16" i="3"/>
  <c r="E8" i="4"/>
  <c r="F78" i="1"/>
  <c r="E13" i="5"/>
  <c r="G78" i="1"/>
  <c r="F13" i="5"/>
  <c r="J77" i="1"/>
  <c r="I8" i="4"/>
  <c r="J52" i="1"/>
  <c r="H1" i="6"/>
  <c r="H1" i="5"/>
  <c r="H2" i="4"/>
  <c r="G1" i="3"/>
  <c r="J3" i="1"/>
  <c r="C37" i="16"/>
  <c r="C27" i="16"/>
  <c r="D19" i="16"/>
  <c r="E12" i="4"/>
  <c r="H25" i="7"/>
  <c r="H9" i="7"/>
  <c r="C38" i="11"/>
  <c r="E24" i="4"/>
  <c r="E25" i="4"/>
  <c r="D26" i="11"/>
  <c r="D31" i="11"/>
  <c r="G50" i="4"/>
  <c r="E17" i="3"/>
  <c r="F23" i="6"/>
  <c r="E21" i="4"/>
  <c r="E22" i="4"/>
  <c r="G109" i="1"/>
  <c r="F111" i="1"/>
  <c r="E17" i="13"/>
  <c r="F5" i="13"/>
  <c r="F12" i="13"/>
  <c r="F10" i="13"/>
  <c r="E19" i="13"/>
  <c r="E24" i="13"/>
  <c r="F5" i="3"/>
  <c r="H88" i="1"/>
  <c r="H101" i="1"/>
  <c r="I100" i="1"/>
  <c r="I99" i="1"/>
  <c r="I143" i="1"/>
  <c r="I145" i="1"/>
  <c r="J142" i="1"/>
  <c r="J141" i="1"/>
  <c r="C38" i="14"/>
  <c r="E33" i="4"/>
  <c r="E34" i="4"/>
  <c r="D26" i="14"/>
  <c r="D31" i="14"/>
  <c r="G27" i="11"/>
  <c r="G34" i="11"/>
  <c r="D21" i="16"/>
  <c r="D27" i="16"/>
  <c r="D13" i="3"/>
  <c r="E6" i="5"/>
  <c r="G38" i="16"/>
  <c r="F10" i="12"/>
  <c r="F12" i="12"/>
  <c r="F17" i="12"/>
  <c r="H26" i="4"/>
  <c r="F10" i="9"/>
  <c r="F12" i="9"/>
  <c r="E19" i="9"/>
  <c r="E24" i="9"/>
  <c r="E19" i="12"/>
  <c r="E24" i="12"/>
  <c r="E17" i="9"/>
  <c r="G17" i="4"/>
  <c r="E17" i="12"/>
  <c r="G26" i="4"/>
  <c r="E22" i="3"/>
  <c r="D33" i="13"/>
  <c r="D38" i="13"/>
  <c r="E12" i="10"/>
  <c r="E12" i="11"/>
  <c r="E13" i="8"/>
  <c r="E18" i="8"/>
  <c r="G16" i="4"/>
  <c r="E19" i="3"/>
  <c r="J116" i="1"/>
  <c r="I118" i="1"/>
  <c r="J136" i="1"/>
  <c r="J144" i="1"/>
  <c r="I146" i="1"/>
  <c r="J115" i="1"/>
  <c r="J117" i="1"/>
  <c r="H102" i="1"/>
  <c r="H103" i="1"/>
  <c r="G104" i="1"/>
  <c r="J123" i="1"/>
  <c r="I125" i="1"/>
  <c r="J122" i="1"/>
  <c r="J124" i="1"/>
  <c r="J143" i="1"/>
  <c r="J145" i="1"/>
  <c r="G42" i="4"/>
  <c r="D33" i="14"/>
  <c r="D33" i="11"/>
  <c r="E13" i="16"/>
  <c r="D29" i="16"/>
  <c r="D35" i="16"/>
  <c r="D21" i="3"/>
  <c r="D23" i="3"/>
  <c r="C43" i="16"/>
  <c r="D13" i="4"/>
  <c r="D14" i="4"/>
  <c r="H5" i="3"/>
  <c r="J88" i="1"/>
  <c r="G23" i="6"/>
  <c r="F17" i="3"/>
  <c r="E52" i="4"/>
  <c r="D33" i="9"/>
  <c r="F20" i="4"/>
  <c r="G108" i="1"/>
  <c r="H107" i="1"/>
  <c r="G5" i="3"/>
  <c r="I88" i="1"/>
  <c r="D33" i="12"/>
  <c r="H50" i="4"/>
  <c r="H37" i="5"/>
  <c r="G16" i="3"/>
  <c r="E12" i="15"/>
  <c r="G54" i="1"/>
  <c r="E7" i="3"/>
  <c r="F7" i="5"/>
  <c r="D33" i="15"/>
  <c r="G129" i="1"/>
  <c r="H128" i="1"/>
  <c r="H127" i="1"/>
  <c r="F29" i="4"/>
  <c r="I101" i="1"/>
  <c r="J100" i="1"/>
  <c r="J99" i="1"/>
  <c r="F17" i="13"/>
  <c r="G5" i="13"/>
  <c r="G10" i="13"/>
  <c r="F19" i="9"/>
  <c r="F24" i="9"/>
  <c r="F17" i="9"/>
  <c r="H17" i="4"/>
  <c r="G5" i="9"/>
  <c r="G10" i="9"/>
  <c r="F19" i="12"/>
  <c r="F24" i="12"/>
  <c r="I1" i="6"/>
  <c r="I1" i="5"/>
  <c r="I2" i="4"/>
  <c r="H1" i="3"/>
  <c r="G24" i="6"/>
  <c r="E19" i="10"/>
  <c r="E24" i="10"/>
  <c r="E17" i="10"/>
  <c r="F5" i="10"/>
  <c r="F10" i="10"/>
  <c r="E19" i="14"/>
  <c r="E24" i="14"/>
  <c r="E17" i="14"/>
  <c r="G32" i="4"/>
  <c r="F5" i="14"/>
  <c r="F10" i="14"/>
  <c r="E18" i="3"/>
  <c r="G187" i="1"/>
  <c r="G27" i="13"/>
  <c r="G34" i="13"/>
  <c r="E26" i="13"/>
  <c r="E31" i="13"/>
  <c r="J78" i="1"/>
  <c r="I13" i="5"/>
  <c r="H8" i="4"/>
  <c r="I50" i="4"/>
  <c r="E17" i="11"/>
  <c r="G23" i="4"/>
  <c r="F5" i="11"/>
  <c r="F10" i="11"/>
  <c r="E19" i="11"/>
  <c r="E24" i="11"/>
  <c r="G14" i="7"/>
  <c r="H45" i="4"/>
  <c r="H24" i="7"/>
  <c r="H30" i="7"/>
  <c r="H8" i="7"/>
  <c r="H14" i="7"/>
  <c r="I45" i="4"/>
  <c r="J97" i="1"/>
  <c r="J96" i="1"/>
  <c r="D33" i="10"/>
  <c r="F131" i="1"/>
  <c r="H30" i="16"/>
  <c r="H38" i="16"/>
  <c r="I137" i="1"/>
  <c r="H139" i="1"/>
  <c r="G5" i="12"/>
  <c r="G10" i="12"/>
  <c r="F6" i="8"/>
  <c r="F11" i="8"/>
  <c r="F12" i="14"/>
  <c r="F12" i="10"/>
  <c r="G29" i="4"/>
  <c r="H129" i="1"/>
  <c r="I128" i="1"/>
  <c r="I127" i="1"/>
  <c r="J125" i="1"/>
  <c r="J118" i="1"/>
  <c r="J146" i="1"/>
  <c r="E5" i="5"/>
  <c r="D6" i="3"/>
  <c r="F54" i="4"/>
  <c r="F17" i="14"/>
  <c r="H32" i="4"/>
  <c r="G5" i="14"/>
  <c r="G10" i="14"/>
  <c r="F19" i="14"/>
  <c r="F24" i="14"/>
  <c r="F17" i="10"/>
  <c r="G5" i="10"/>
  <c r="G10" i="10"/>
  <c r="F19" i="10"/>
  <c r="F24" i="10"/>
  <c r="J101" i="1"/>
  <c r="E17" i="15"/>
  <c r="G35" i="4"/>
  <c r="F5" i="15"/>
  <c r="F10" i="15"/>
  <c r="E19" i="15"/>
  <c r="E24" i="15"/>
  <c r="F7" i="3"/>
  <c r="G7" i="5"/>
  <c r="H24" i="6"/>
  <c r="D38" i="12"/>
  <c r="F27" i="4"/>
  <c r="F28" i="4"/>
  <c r="E26" i="12"/>
  <c r="E31" i="12"/>
  <c r="F5" i="16"/>
  <c r="F11" i="16"/>
  <c r="F19" i="3"/>
  <c r="E21" i="16"/>
  <c r="E27" i="16"/>
  <c r="E13" i="3"/>
  <c r="F6" i="5"/>
  <c r="E19" i="16"/>
  <c r="F12" i="4"/>
  <c r="D38" i="11"/>
  <c r="F24" i="4"/>
  <c r="F25" i="4"/>
  <c r="E26" i="11"/>
  <c r="E31" i="11"/>
  <c r="D38" i="10"/>
  <c r="E26" i="10"/>
  <c r="E31" i="10"/>
  <c r="H16" i="3"/>
  <c r="I37" i="5"/>
  <c r="I138" i="1"/>
  <c r="G130" i="1"/>
  <c r="E20" i="3"/>
  <c r="E30" i="4"/>
  <c r="E31" i="4"/>
  <c r="E38" i="4"/>
  <c r="F132" i="1"/>
  <c r="F12" i="11"/>
  <c r="E33" i="13"/>
  <c r="G12" i="9"/>
  <c r="G12" i="13"/>
  <c r="G17" i="13"/>
  <c r="D38" i="15"/>
  <c r="F36" i="4"/>
  <c r="F37" i="4"/>
  <c r="E26" i="15"/>
  <c r="E31" i="15"/>
  <c r="H23" i="6"/>
  <c r="G17" i="3"/>
  <c r="H42" i="4"/>
  <c r="I89" i="1"/>
  <c r="H18" i="5"/>
  <c r="H106" i="1"/>
  <c r="G110" i="1"/>
  <c r="G53" i="1"/>
  <c r="D38" i="9"/>
  <c r="F18" i="4"/>
  <c r="F19" i="4"/>
  <c r="E26" i="9"/>
  <c r="E31" i="9"/>
  <c r="I42" i="4"/>
  <c r="J89" i="1"/>
  <c r="I18" i="5"/>
  <c r="D37" i="16"/>
  <c r="D38" i="14"/>
  <c r="F33" i="4"/>
  <c r="F34" i="4"/>
  <c r="E26" i="14"/>
  <c r="E31" i="14"/>
  <c r="F22" i="3"/>
  <c r="I102" i="1"/>
  <c r="I103" i="1"/>
  <c r="H104" i="1"/>
  <c r="E33" i="9"/>
  <c r="G12" i="12"/>
  <c r="G17" i="12"/>
  <c r="I26" i="4"/>
  <c r="F13" i="8"/>
  <c r="E33" i="10"/>
  <c r="E33" i="14"/>
  <c r="H29" i="4"/>
  <c r="J128" i="1"/>
  <c r="J127" i="1"/>
  <c r="H109" i="1"/>
  <c r="F21" i="4"/>
  <c r="F22" i="4"/>
  <c r="G111" i="1"/>
  <c r="E33" i="15"/>
  <c r="F18" i="8"/>
  <c r="H16" i="4"/>
  <c r="G6" i="8"/>
  <c r="G11" i="8"/>
  <c r="G131" i="1"/>
  <c r="J137" i="1"/>
  <c r="J138" i="1"/>
  <c r="I139" i="1"/>
  <c r="I24" i="6"/>
  <c r="E33" i="12"/>
  <c r="F12" i="15"/>
  <c r="H54" i="1"/>
  <c r="J102" i="1"/>
  <c r="J103" i="1"/>
  <c r="I104" i="1"/>
  <c r="E38" i="14"/>
  <c r="G33" i="4"/>
  <c r="G34" i="4"/>
  <c r="F26" i="14"/>
  <c r="F31" i="14"/>
  <c r="D43" i="16"/>
  <c r="E13" i="4"/>
  <c r="E14" i="4"/>
  <c r="E29" i="16"/>
  <c r="E35" i="16"/>
  <c r="E21" i="3"/>
  <c r="E23" i="3"/>
  <c r="E38" i="9"/>
  <c r="G18" i="4"/>
  <c r="G19" i="4"/>
  <c r="F26" i="9"/>
  <c r="F31" i="9"/>
  <c r="F5" i="5"/>
  <c r="E6" i="3"/>
  <c r="G20" i="4"/>
  <c r="H108" i="1"/>
  <c r="H53" i="1"/>
  <c r="I107" i="1"/>
  <c r="I106" i="1"/>
  <c r="G17" i="9"/>
  <c r="I17" i="4"/>
  <c r="G19" i="9"/>
  <c r="G24" i="9"/>
  <c r="E38" i="13"/>
  <c r="F26" i="13"/>
  <c r="F31" i="13"/>
  <c r="F19" i="11"/>
  <c r="F24" i="11"/>
  <c r="F17" i="11"/>
  <c r="H23" i="4"/>
  <c r="G5" i="11"/>
  <c r="G10" i="11"/>
  <c r="I23" i="6"/>
  <c r="H17" i="3"/>
  <c r="E38" i="10"/>
  <c r="F26" i="10"/>
  <c r="F31" i="10"/>
  <c r="E33" i="11"/>
  <c r="F13" i="16"/>
  <c r="G12" i="10"/>
  <c r="G12" i="14"/>
  <c r="G19" i="12"/>
  <c r="G24" i="12"/>
  <c r="G12" i="11"/>
  <c r="G19" i="11"/>
  <c r="G24" i="11"/>
  <c r="F33" i="13"/>
  <c r="F33" i="10"/>
  <c r="E37" i="16"/>
  <c r="F29" i="16"/>
  <c r="F35" i="16"/>
  <c r="F21" i="3"/>
  <c r="F33" i="14"/>
  <c r="G26" i="14"/>
  <c r="G31" i="14"/>
  <c r="I29" i="4"/>
  <c r="G19" i="10"/>
  <c r="G24" i="10"/>
  <c r="G17" i="10"/>
  <c r="E38" i="11"/>
  <c r="G24" i="4"/>
  <c r="G25" i="4"/>
  <c r="F26" i="11"/>
  <c r="F31" i="11"/>
  <c r="F38" i="10"/>
  <c r="G26" i="10"/>
  <c r="G31" i="10"/>
  <c r="G17" i="11"/>
  <c r="I23" i="4"/>
  <c r="F38" i="13"/>
  <c r="G26" i="13"/>
  <c r="G31" i="13"/>
  <c r="G5" i="5"/>
  <c r="F6" i="3"/>
  <c r="H55" i="1"/>
  <c r="H20" i="4"/>
  <c r="I108" i="1"/>
  <c r="I53" i="1"/>
  <c r="J107" i="1"/>
  <c r="J106" i="1"/>
  <c r="E43" i="16"/>
  <c r="F13" i="4"/>
  <c r="F14" i="4"/>
  <c r="F38" i="14"/>
  <c r="H33" i="4"/>
  <c r="H34" i="4"/>
  <c r="J104" i="1"/>
  <c r="F19" i="15"/>
  <c r="F24" i="15"/>
  <c r="F17" i="15"/>
  <c r="H35" i="4"/>
  <c r="G5" i="15"/>
  <c r="G10" i="15"/>
  <c r="J139" i="1"/>
  <c r="G19" i="14"/>
  <c r="G24" i="14"/>
  <c r="G17" i="14"/>
  <c r="I32" i="4"/>
  <c r="F21" i="16"/>
  <c r="F27" i="16"/>
  <c r="F13" i="3"/>
  <c r="G6" i="5"/>
  <c r="F19" i="16"/>
  <c r="G12" i="4"/>
  <c r="G5" i="16"/>
  <c r="G11" i="16"/>
  <c r="G19" i="3"/>
  <c r="F33" i="9"/>
  <c r="E38" i="12"/>
  <c r="G27" i="4"/>
  <c r="G28" i="4"/>
  <c r="F26" i="12"/>
  <c r="F31" i="12"/>
  <c r="F30" i="4"/>
  <c r="F31" i="4"/>
  <c r="F38" i="4"/>
  <c r="H130" i="1"/>
  <c r="H131" i="1"/>
  <c r="G132" i="1"/>
  <c r="G13" i="8"/>
  <c r="G18" i="8"/>
  <c r="I16" i="4"/>
  <c r="E38" i="15"/>
  <c r="G36" i="4"/>
  <c r="G37" i="4"/>
  <c r="F26" i="15"/>
  <c r="F31" i="15"/>
  <c r="G22" i="3"/>
  <c r="H110" i="1"/>
  <c r="F20" i="3"/>
  <c r="G33" i="10"/>
  <c r="G38" i="10"/>
  <c r="F33" i="12"/>
  <c r="G13" i="16"/>
  <c r="H5" i="16"/>
  <c r="H11" i="16"/>
  <c r="H19" i="3"/>
  <c r="G21" i="4"/>
  <c r="G22" i="4"/>
  <c r="I109" i="1"/>
  <c r="H111" i="1"/>
  <c r="F33" i="15"/>
  <c r="G12" i="15"/>
  <c r="G7" i="3"/>
  <c r="H7" i="5"/>
  <c r="I54" i="1"/>
  <c r="I55" i="1"/>
  <c r="H5" i="5"/>
  <c r="G6" i="3"/>
  <c r="H71" i="1"/>
  <c r="H74" i="1"/>
  <c r="G33" i="13"/>
  <c r="G38" i="13"/>
  <c r="F33" i="11"/>
  <c r="I130" i="1"/>
  <c r="I131" i="1"/>
  <c r="G30" i="4"/>
  <c r="G31" i="4"/>
  <c r="H132" i="1"/>
  <c r="F38" i="12"/>
  <c r="H27" i="4"/>
  <c r="H28" i="4"/>
  <c r="G26" i="12"/>
  <c r="G31" i="12"/>
  <c r="F38" i="9"/>
  <c r="H18" i="4"/>
  <c r="H19" i="4"/>
  <c r="G26" i="9"/>
  <c r="G31" i="9"/>
  <c r="G19" i="16"/>
  <c r="H12" i="4"/>
  <c r="G33" i="14"/>
  <c r="G38" i="14"/>
  <c r="I33" i="4"/>
  <c r="I34" i="4"/>
  <c r="F37" i="16"/>
  <c r="J108" i="1"/>
  <c r="J53" i="1"/>
  <c r="I20" i="4"/>
  <c r="G20" i="6"/>
  <c r="G21" i="16"/>
  <c r="G27" i="16"/>
  <c r="G13" i="3"/>
  <c r="H6" i="5"/>
  <c r="H13" i="16"/>
  <c r="H19" i="16"/>
  <c r="I12" i="4"/>
  <c r="H20" i="6"/>
  <c r="F38" i="15"/>
  <c r="H36" i="4"/>
  <c r="H37" i="4"/>
  <c r="G26" i="15"/>
  <c r="G31" i="15"/>
  <c r="H22" i="3"/>
  <c r="G20" i="3"/>
  <c r="G38" i="4"/>
  <c r="I5" i="5"/>
  <c r="H6" i="3"/>
  <c r="F43" i="16"/>
  <c r="G13" i="4"/>
  <c r="G14" i="4"/>
  <c r="G29" i="16"/>
  <c r="G35" i="16"/>
  <c r="G21" i="3"/>
  <c r="G33" i="9"/>
  <c r="G38" i="9"/>
  <c r="I18" i="4"/>
  <c r="I19" i="4"/>
  <c r="G33" i="12"/>
  <c r="G38" i="12"/>
  <c r="I27" i="4"/>
  <c r="I28" i="4"/>
  <c r="H30" i="4"/>
  <c r="H31" i="4"/>
  <c r="J130" i="1"/>
  <c r="J131" i="1"/>
  <c r="I132" i="1"/>
  <c r="F38" i="11"/>
  <c r="H24" i="4"/>
  <c r="H25" i="4"/>
  <c r="G26" i="11"/>
  <c r="G31" i="11"/>
  <c r="G9" i="4"/>
  <c r="G10" i="4"/>
  <c r="H79" i="1"/>
  <c r="G14" i="6"/>
  <c r="I74" i="1"/>
  <c r="I71" i="1"/>
  <c r="H10" i="6"/>
  <c r="G45" i="1"/>
  <c r="G51" i="1"/>
  <c r="G17" i="15"/>
  <c r="I35" i="4"/>
  <c r="G19" i="15"/>
  <c r="G24" i="15"/>
  <c r="I110" i="1"/>
  <c r="G33" i="11"/>
  <c r="G38" i="11"/>
  <c r="I24" i="4"/>
  <c r="I25" i="4"/>
  <c r="H7" i="3"/>
  <c r="I7" i="5"/>
  <c r="J54" i="1"/>
  <c r="J55" i="1"/>
  <c r="J109" i="1"/>
  <c r="H20" i="3"/>
  <c r="H21" i="4"/>
  <c r="H22" i="4"/>
  <c r="H38" i="4"/>
  <c r="I111" i="1"/>
  <c r="H9" i="4"/>
  <c r="I75" i="1"/>
  <c r="H14" i="5"/>
  <c r="G37" i="16"/>
  <c r="G33" i="15"/>
  <c r="G38" i="15"/>
  <c r="I36" i="4"/>
  <c r="I37" i="4"/>
  <c r="G52" i="1"/>
  <c r="G46" i="1"/>
  <c r="I79" i="1"/>
  <c r="H14" i="6"/>
  <c r="H10" i="4"/>
  <c r="I72" i="1"/>
  <c r="H15" i="5"/>
  <c r="I30" i="4"/>
  <c r="I31" i="4"/>
  <c r="J132" i="1"/>
  <c r="F45" i="1"/>
  <c r="F51" i="1"/>
  <c r="F52" i="1"/>
  <c r="F55" i="1"/>
  <c r="I20" i="6"/>
  <c r="J110" i="1"/>
  <c r="J111" i="1"/>
  <c r="G88" i="1"/>
  <c r="E5" i="3"/>
  <c r="G55" i="1"/>
  <c r="H29" i="16"/>
  <c r="H35" i="16"/>
  <c r="H21" i="3"/>
  <c r="G43" i="16"/>
  <c r="H13" i="4"/>
  <c r="H14" i="4"/>
  <c r="F46" i="1"/>
  <c r="I10" i="6"/>
  <c r="J74" i="1"/>
  <c r="J71" i="1"/>
  <c r="I21" i="4"/>
  <c r="I22" i="4"/>
  <c r="I38" i="4"/>
  <c r="D5" i="3"/>
  <c r="F88" i="1"/>
  <c r="G89" i="1"/>
  <c r="F18" i="5"/>
  <c r="H37" i="16"/>
  <c r="H43" i="16"/>
  <c r="I13" i="4"/>
  <c r="I14" i="4"/>
  <c r="F10" i="6"/>
  <c r="G74" i="1"/>
  <c r="G71" i="1"/>
  <c r="G10" i="6"/>
  <c r="F42" i="4"/>
  <c r="F20" i="6"/>
  <c r="H89" i="1"/>
  <c r="G18" i="5"/>
  <c r="I10" i="4"/>
  <c r="J79" i="1"/>
  <c r="I14" i="6"/>
  <c r="J72" i="1"/>
  <c r="I15" i="5"/>
  <c r="I9" i="4"/>
  <c r="J75" i="1"/>
  <c r="I14" i="5"/>
  <c r="E11" i="6"/>
  <c r="D11" i="3"/>
  <c r="H75" i="1"/>
  <c r="G14" i="5"/>
  <c r="F9" i="4"/>
  <c r="E10" i="6"/>
  <c r="F74" i="1"/>
  <c r="F71" i="1"/>
  <c r="F11" i="6"/>
  <c r="E11" i="3"/>
  <c r="G79" i="1"/>
  <c r="F14" i="6"/>
  <c r="H72" i="1"/>
  <c r="G15" i="5"/>
  <c r="F10" i="4"/>
  <c r="E42" i="4"/>
  <c r="E88" i="1"/>
  <c r="D42" i="4"/>
  <c r="F89" i="1"/>
  <c r="E18" i="5"/>
  <c r="E9" i="4"/>
  <c r="F75" i="1"/>
  <c r="E14" i="5"/>
  <c r="G75" i="1"/>
  <c r="F14" i="5"/>
  <c r="E20" i="6"/>
  <c r="E10" i="4"/>
  <c r="F72" i="1"/>
  <c r="E15" i="5"/>
  <c r="F79" i="1"/>
  <c r="E14" i="6"/>
  <c r="G72" i="1"/>
  <c r="F15" i="5"/>
  <c r="F11" i="3"/>
  <c r="G11" i="6"/>
  <c r="I11" i="6"/>
  <c r="H11" i="3"/>
  <c r="H11" i="6"/>
  <c r="G11" i="3"/>
  <c r="E177" i="1"/>
  <c r="D34" i="5"/>
  <c r="D40" i="5"/>
  <c r="D32" i="6"/>
  <c r="D42" i="5"/>
  <c r="D44" i="5"/>
  <c r="F177" i="1"/>
  <c r="D47" i="4"/>
  <c r="D48" i="4"/>
  <c r="D56" i="4"/>
  <c r="G177" i="1"/>
  <c r="E47" i="4"/>
  <c r="F47" i="4"/>
  <c r="H177" i="1"/>
  <c r="D5" i="4"/>
  <c r="E43" i="5"/>
  <c r="D15" i="4"/>
  <c r="G47" i="4"/>
  <c r="I177" i="1"/>
  <c r="H47" i="4"/>
  <c r="J177" i="1"/>
  <c r="I47" i="4"/>
  <c r="D31" i="6"/>
  <c r="D40" i="4"/>
  <c r="D57" i="4"/>
  <c r="D43" i="6"/>
  <c r="D58" i="4"/>
  <c r="D33" i="6"/>
  <c r="D36" i="6"/>
  <c r="M24" i="33"/>
  <c r="O24" i="33"/>
  <c r="P24" i="33"/>
  <c r="N24" i="33"/>
  <c r="C34" i="38"/>
  <c r="D62" i="40"/>
  <c r="D63" i="40"/>
  <c r="E72" i="40"/>
  <c r="E82" i="40"/>
  <c r="E98" i="40"/>
  <c r="D10" i="33"/>
  <c r="G15" i="1"/>
  <c r="E70" i="40"/>
  <c r="E80" i="40"/>
  <c r="E96" i="40"/>
  <c r="D8" i="33"/>
  <c r="G13" i="1"/>
  <c r="E71" i="40"/>
  <c r="E81" i="40"/>
  <c r="E97" i="40"/>
  <c r="D9" i="33"/>
  <c r="G14" i="1"/>
  <c r="G25" i="1"/>
  <c r="G27" i="1"/>
  <c r="E3" i="3"/>
  <c r="G30" i="1"/>
  <c r="E4" i="3"/>
  <c r="E9" i="3"/>
  <c r="G64" i="1"/>
  <c r="G67" i="1"/>
  <c r="B34" i="38"/>
  <c r="C62" i="40"/>
  <c r="C63" i="40"/>
  <c r="D70" i="40"/>
  <c r="D80" i="40"/>
  <c r="D96" i="40"/>
  <c r="C8" i="33"/>
  <c r="F13" i="1"/>
  <c r="D71" i="40"/>
  <c r="D81" i="40"/>
  <c r="D97" i="40"/>
  <c r="C9" i="33"/>
  <c r="F14" i="1"/>
  <c r="D72" i="40"/>
  <c r="D82" i="40"/>
  <c r="D98" i="40"/>
  <c r="C10" i="33"/>
  <c r="F15" i="1"/>
  <c r="F25" i="1"/>
  <c r="F27" i="1"/>
  <c r="F64" i="1"/>
  <c r="F67" i="1"/>
  <c r="G68" i="1"/>
  <c r="E12" i="3"/>
  <c r="C35" i="38"/>
  <c r="G58" i="1"/>
  <c r="E10" i="3"/>
  <c r="E14" i="3"/>
  <c r="E24" i="3"/>
  <c r="G165" i="1"/>
  <c r="D3" i="3"/>
  <c r="F30" i="1"/>
  <c r="D4" i="3"/>
  <c r="D9" i="3"/>
  <c r="B35" i="38"/>
  <c r="F58" i="1"/>
  <c r="D10" i="3"/>
  <c r="F68" i="1"/>
  <c r="D12" i="3"/>
  <c r="D14" i="3"/>
  <c r="D24" i="3"/>
  <c r="F165" i="1"/>
  <c r="F170" i="1"/>
  <c r="F171" i="1"/>
  <c r="F172" i="1"/>
  <c r="D25" i="3"/>
  <c r="D26" i="3"/>
  <c r="F184" i="1"/>
  <c r="E53" i="4"/>
  <c r="E55" i="4"/>
  <c r="F162" i="1"/>
  <c r="G164" i="1"/>
  <c r="G170" i="1"/>
  <c r="G171" i="1"/>
  <c r="G172" i="1"/>
  <c r="F43" i="4"/>
  <c r="F48" i="4"/>
  <c r="E34" i="38"/>
  <c r="F62" i="40"/>
  <c r="F63" i="40"/>
  <c r="G72" i="40"/>
  <c r="G82" i="40"/>
  <c r="G98" i="40"/>
  <c r="F10" i="33"/>
  <c r="I15" i="1"/>
  <c r="G70" i="40"/>
  <c r="G80" i="40"/>
  <c r="G96" i="40"/>
  <c r="F8" i="33"/>
  <c r="I13" i="1"/>
  <c r="G71" i="40"/>
  <c r="G81" i="40"/>
  <c r="G97" i="40"/>
  <c r="F9" i="33"/>
  <c r="I14" i="1"/>
  <c r="I25" i="1"/>
  <c r="I27" i="1"/>
  <c r="G3" i="3"/>
  <c r="I30" i="1"/>
  <c r="G4" i="3"/>
  <c r="G9" i="3"/>
  <c r="I64" i="1"/>
  <c r="I67" i="1"/>
  <c r="D34" i="38"/>
  <c r="E62" i="40"/>
  <c r="E63" i="40"/>
  <c r="F72" i="40"/>
  <c r="F82" i="40"/>
  <c r="F98" i="40"/>
  <c r="E10" i="33"/>
  <c r="H15" i="1"/>
  <c r="F70" i="40"/>
  <c r="F80" i="40"/>
  <c r="F96" i="40"/>
  <c r="E8" i="33"/>
  <c r="H13" i="1"/>
  <c r="F71" i="40"/>
  <c r="F81" i="40"/>
  <c r="F97" i="40"/>
  <c r="E9" i="33"/>
  <c r="H14" i="1"/>
  <c r="H25" i="1"/>
  <c r="H27" i="1"/>
  <c r="H64" i="1"/>
  <c r="H67" i="1"/>
  <c r="I68" i="1"/>
  <c r="G12" i="3"/>
  <c r="E35" i="38"/>
  <c r="I58" i="1"/>
  <c r="G10" i="3"/>
  <c r="G14" i="3"/>
  <c r="E25" i="3"/>
  <c r="E26" i="3"/>
  <c r="G184" i="1"/>
  <c r="G181" i="1"/>
  <c r="G182" i="1"/>
  <c r="H181" i="1"/>
  <c r="H182" i="1"/>
  <c r="G190" i="1"/>
  <c r="G192" i="1"/>
  <c r="G183" i="1"/>
  <c r="H190" i="1"/>
  <c r="H192" i="1"/>
  <c r="H183" i="1"/>
  <c r="H185" i="1"/>
  <c r="I186" i="1"/>
  <c r="G18" i="3"/>
  <c r="G23" i="3"/>
  <c r="G24" i="3"/>
  <c r="I165" i="1"/>
  <c r="G51" i="4"/>
  <c r="G52" i="4"/>
  <c r="G185" i="1"/>
  <c r="H186" i="1"/>
  <c r="F18" i="3"/>
  <c r="F23" i="3"/>
  <c r="F3" i="3"/>
  <c r="H30" i="1"/>
  <c r="F4" i="3"/>
  <c r="F9" i="3"/>
  <c r="D35" i="38"/>
  <c r="H58" i="1"/>
  <c r="F10" i="3"/>
  <c r="H68" i="1"/>
  <c r="F12" i="3"/>
  <c r="F14" i="3"/>
  <c r="F24" i="3"/>
  <c r="H165" i="1"/>
  <c r="F51" i="4"/>
  <c r="F52" i="4"/>
  <c r="F53" i="4"/>
  <c r="F55" i="4"/>
  <c r="G162" i="1"/>
  <c r="H164" i="1"/>
  <c r="H170" i="1"/>
  <c r="H171" i="1"/>
  <c r="H172" i="1"/>
  <c r="F25" i="3"/>
  <c r="F26" i="3"/>
  <c r="H184" i="1"/>
  <c r="G53" i="4"/>
  <c r="H187" i="1"/>
  <c r="G54" i="4"/>
  <c r="G55" i="4"/>
  <c r="H162" i="1"/>
  <c r="I164" i="1"/>
  <c r="I170" i="1"/>
  <c r="I171" i="1"/>
  <c r="I172" i="1"/>
  <c r="H43" i="4"/>
  <c r="H48" i="4"/>
  <c r="F34" i="38"/>
  <c r="G62" i="40"/>
  <c r="G63" i="40"/>
  <c r="H72" i="40"/>
  <c r="H82" i="40"/>
  <c r="H98" i="40"/>
  <c r="G10" i="33"/>
  <c r="J15" i="1"/>
  <c r="H70" i="40"/>
  <c r="H80" i="40"/>
  <c r="H96" i="40"/>
  <c r="G8" i="33"/>
  <c r="J13" i="1"/>
  <c r="H71" i="40"/>
  <c r="H81" i="40"/>
  <c r="H97" i="40"/>
  <c r="G9" i="33"/>
  <c r="J14" i="1"/>
  <c r="J25" i="1"/>
  <c r="J27" i="1"/>
  <c r="H3" i="3"/>
  <c r="J30" i="1"/>
  <c r="H4" i="3"/>
  <c r="H9" i="3"/>
  <c r="J64" i="1"/>
  <c r="J67" i="1"/>
  <c r="J68" i="1"/>
  <c r="H12" i="3"/>
  <c r="F35" i="38"/>
  <c r="J58" i="1"/>
  <c r="H10" i="3"/>
  <c r="H14" i="3"/>
  <c r="I181" i="1"/>
  <c r="I182" i="1"/>
  <c r="I190" i="1"/>
  <c r="I192" i="1"/>
  <c r="I183" i="1"/>
  <c r="I185" i="1"/>
  <c r="J186" i="1"/>
  <c r="H18" i="3"/>
  <c r="H23" i="3"/>
  <c r="H24" i="3"/>
  <c r="J165" i="1"/>
  <c r="H51" i="4"/>
  <c r="H52" i="4"/>
  <c r="G25" i="3"/>
  <c r="G26" i="3"/>
  <c r="I184" i="1"/>
  <c r="H53" i="4"/>
  <c r="I187" i="1"/>
  <c r="H54" i="4"/>
  <c r="H55" i="4"/>
  <c r="I162" i="1"/>
  <c r="J164" i="1"/>
  <c r="J170" i="1"/>
  <c r="J171" i="1"/>
  <c r="J172" i="1"/>
  <c r="I43" i="4"/>
  <c r="I48" i="4"/>
  <c r="I22" i="6"/>
  <c r="E43" i="4"/>
  <c r="E48" i="4"/>
  <c r="G43" i="4"/>
  <c r="G48" i="4"/>
  <c r="F22" i="6"/>
  <c r="G22" i="6"/>
  <c r="E22" i="6"/>
  <c r="H22" i="6"/>
  <c r="E4" i="5"/>
  <c r="E8" i="5"/>
  <c r="E10" i="5"/>
  <c r="E30" i="6"/>
  <c r="F65" i="1"/>
  <c r="E12" i="5"/>
  <c r="E21" i="5"/>
  <c r="E32" i="5"/>
  <c r="E31" i="6"/>
  <c r="E33" i="6"/>
  <c r="F4" i="5"/>
  <c r="F8" i="5"/>
  <c r="G173" i="1"/>
  <c r="F9" i="5"/>
  <c r="F10" i="5"/>
  <c r="F30" i="6"/>
  <c r="G65" i="1"/>
  <c r="F12" i="5"/>
  <c r="F21" i="5"/>
  <c r="F32" i="5"/>
  <c r="F31" i="6"/>
  <c r="F33" i="6"/>
  <c r="G4" i="5"/>
  <c r="G8" i="5"/>
  <c r="H173" i="1"/>
  <c r="G9" i="5"/>
  <c r="G10" i="5"/>
  <c r="G30" i="6"/>
  <c r="H65" i="1"/>
  <c r="G12" i="5"/>
  <c r="G21" i="5"/>
  <c r="G32" i="5"/>
  <c r="G31" i="6"/>
  <c r="G33" i="6"/>
  <c r="H4" i="5"/>
  <c r="H8" i="5"/>
  <c r="I173" i="1"/>
  <c r="H9" i="5"/>
  <c r="H10" i="5"/>
  <c r="H30" i="6"/>
  <c r="I65" i="1"/>
  <c r="H12" i="5"/>
  <c r="H21" i="5"/>
  <c r="H32" i="5"/>
  <c r="H31" i="6"/>
  <c r="H33" i="6"/>
  <c r="I4" i="5"/>
  <c r="I8" i="5"/>
  <c r="J173" i="1"/>
  <c r="I9" i="5"/>
  <c r="I10" i="5"/>
  <c r="I30" i="6"/>
  <c r="J65" i="1"/>
  <c r="I12" i="5"/>
  <c r="I21" i="5"/>
  <c r="I32" i="5"/>
  <c r="I31" i="6"/>
  <c r="I33" i="6"/>
  <c r="D39" i="6"/>
  <c r="D21" i="39"/>
  <c r="D22" i="39"/>
  <c r="D40" i="6" a="1"/>
  <c r="D40" i="6"/>
  <c r="D41" i="6"/>
  <c r="E36" i="6"/>
  <c r="H38" i="5"/>
  <c r="H40" i="5"/>
  <c r="H42" i="5"/>
  <c r="G38" i="5"/>
  <c r="G40" i="5"/>
  <c r="G42" i="5"/>
  <c r="F38" i="5"/>
  <c r="F40" i="5"/>
  <c r="F42" i="5"/>
  <c r="E42" i="5"/>
  <c r="E44" i="5"/>
  <c r="E5" i="4"/>
  <c r="F43" i="5"/>
  <c r="F44" i="5"/>
  <c r="F5" i="4"/>
  <c r="G43" i="5"/>
  <c r="G44" i="5"/>
  <c r="G5" i="4"/>
  <c r="H43" i="5"/>
  <c r="H44" i="5"/>
  <c r="H5" i="4"/>
  <c r="H6" i="4"/>
  <c r="H7" i="4"/>
  <c r="H15" i="4"/>
  <c r="H40" i="4"/>
  <c r="H28" i="6"/>
  <c r="G27" i="3"/>
  <c r="H27" i="6"/>
  <c r="H25" i="3"/>
  <c r="H26" i="3"/>
  <c r="J181" i="1"/>
  <c r="J190" i="1"/>
  <c r="J192" i="1"/>
  <c r="I38" i="5"/>
  <c r="I40" i="5"/>
  <c r="I42" i="5"/>
  <c r="I43" i="5"/>
  <c r="I44" i="5"/>
  <c r="I5" i="4"/>
  <c r="I6" i="4"/>
  <c r="I7" i="4"/>
  <c r="I15" i="4"/>
  <c r="I40" i="4"/>
  <c r="I28" i="6"/>
  <c r="H27" i="3"/>
  <c r="J182" i="1"/>
  <c r="I51" i="4"/>
  <c r="J183" i="1"/>
  <c r="I52" i="4"/>
  <c r="J184" i="1"/>
  <c r="I53" i="4"/>
  <c r="J187" i="1"/>
  <c r="I54" i="4"/>
  <c r="I55" i="4"/>
  <c r="I27" i="6"/>
  <c r="E27" i="3"/>
  <c r="F6" i="4"/>
  <c r="F7" i="4"/>
  <c r="F15" i="4"/>
  <c r="F40" i="4"/>
  <c r="F28" i="6"/>
  <c r="F27" i="6"/>
  <c r="F17" i="6"/>
  <c r="F16" i="6"/>
  <c r="F19" i="6"/>
  <c r="F26" i="6"/>
  <c r="E19" i="6"/>
  <c r="E26" i="6"/>
  <c r="I60" i="1"/>
  <c r="E6" i="4"/>
  <c r="E7" i="4"/>
  <c r="E15" i="4"/>
  <c r="E16" i="6"/>
  <c r="E17" i="6"/>
  <c r="J60" i="1"/>
  <c r="H60" i="1"/>
  <c r="H26" i="6"/>
  <c r="H19" i="6"/>
  <c r="E40" i="4"/>
  <c r="E28" i="6"/>
  <c r="E27" i="6"/>
  <c r="D27" i="3"/>
  <c r="G27" i="6"/>
  <c r="F27" i="3"/>
  <c r="G6" i="4"/>
  <c r="G7" i="4"/>
  <c r="G15" i="4"/>
  <c r="G40" i="4"/>
  <c r="G28" i="6"/>
  <c r="I16" i="6"/>
  <c r="I17" i="6"/>
  <c r="G60" i="1"/>
  <c r="G16" i="6"/>
  <c r="G17" i="6"/>
  <c r="G19" i="6"/>
  <c r="G26" i="6"/>
  <c r="F60" i="1"/>
  <c r="I26" i="6"/>
  <c r="I19" i="6"/>
  <c r="H16" i="6"/>
  <c r="H17" i="6"/>
  <c r="I25" i="6"/>
  <c r="H56" i="1"/>
  <c r="F8" i="6"/>
  <c r="E25" i="6"/>
  <c r="J162" i="1"/>
  <c r="E21" i="6"/>
  <c r="I21" i="6"/>
  <c r="F18" i="6"/>
  <c r="G18" i="6"/>
  <c r="G32" i="6"/>
  <c r="G21" i="6"/>
  <c r="C22" i="33"/>
  <c r="C23" i="33"/>
  <c r="C24" i="33"/>
  <c r="C25" i="33"/>
  <c r="F56" i="4"/>
  <c r="F57" i="4"/>
  <c r="E22" i="33"/>
  <c r="E23" i="33"/>
  <c r="E24" i="33"/>
  <c r="E25" i="33"/>
  <c r="I56" i="1"/>
  <c r="F56" i="1"/>
  <c r="F21" i="6"/>
  <c r="G56" i="4"/>
  <c r="G57" i="4"/>
  <c r="J56" i="1"/>
  <c r="E18" i="6"/>
  <c r="F25" i="6"/>
  <c r="F87" i="38"/>
  <c r="G58" i="4"/>
  <c r="E56" i="4"/>
  <c r="E57" i="4"/>
  <c r="H21" i="6"/>
  <c r="G8" i="6"/>
  <c r="I32" i="6"/>
  <c r="G56" i="1"/>
  <c r="H32" i="6"/>
  <c r="I36" i="6"/>
  <c r="E58" i="4"/>
  <c r="I56" i="4"/>
  <c r="I58" i="4"/>
  <c r="I18" i="6"/>
  <c r="F36" i="6"/>
  <c r="G22" i="33"/>
  <c r="G23" i="33"/>
  <c r="G24" i="33"/>
  <c r="G25" i="33"/>
  <c r="H56" i="4"/>
  <c r="H58" i="4"/>
  <c r="H25" i="6"/>
  <c r="G25" i="6"/>
  <c r="G36" i="6"/>
  <c r="H18" i="6"/>
  <c r="F58" i="4"/>
  <c r="H57" i="4"/>
  <c r="I8" i="6"/>
  <c r="D22" i="33"/>
  <c r="D23" i="33"/>
  <c r="D24" i="33"/>
  <c r="D25" i="33"/>
  <c r="F32" i="6"/>
  <c r="E8" i="6"/>
  <c r="H8" i="6"/>
  <c r="J185" i="1"/>
  <c r="H36" i="6"/>
  <c r="F22" i="33"/>
  <c r="F23" i="33"/>
  <c r="F24" i="33"/>
  <c r="F25" i="33"/>
  <c r="I57" i="4"/>
</calcChain>
</file>

<file path=xl/sharedStrings.xml><?xml version="1.0" encoding="utf-8"?>
<sst xmlns="http://schemas.openxmlformats.org/spreadsheetml/2006/main" count="2044" uniqueCount="715">
  <si>
    <t>Propiedad de Fonade - Valora-CE. No es de Uso Obligatorio. Solo se pueden modificar las celdas amarillas.</t>
  </si>
  <si>
    <t>Un.</t>
  </si>
  <si>
    <t>Variables Macroeconómicas</t>
  </si>
  <si>
    <t>Inflación</t>
  </si>
  <si>
    <t>%</t>
  </si>
  <si>
    <t>Devaluación</t>
  </si>
  <si>
    <t>PAGG</t>
  </si>
  <si>
    <t>IPP</t>
  </si>
  <si>
    <t>Crecimiento PIB</t>
  </si>
  <si>
    <t>DTF T.A.</t>
  </si>
  <si>
    <t>Ventas, Costos y Gastos</t>
  </si>
  <si>
    <t>Precio Por Producto</t>
  </si>
  <si>
    <t>$ / unid.</t>
  </si>
  <si>
    <t>Unidades Vendidas por Producto</t>
  </si>
  <si>
    <t>unid.</t>
  </si>
  <si>
    <t>Total Ventas</t>
  </si>
  <si>
    <t>Precio Promedio</t>
  </si>
  <si>
    <t>$</t>
  </si>
  <si>
    <t>Ventas</t>
  </si>
  <si>
    <t>Rebajas en Ventas</t>
  </si>
  <si>
    <t>Rebaja</t>
  </si>
  <si>
    <t>% ventas</t>
  </si>
  <si>
    <t>Pronto pago</t>
  </si>
  <si>
    <t>Costos Unitarios Materia Prima</t>
  </si>
  <si>
    <t>Costos Unitarios Mano de Obra</t>
  </si>
  <si>
    <t>Costos Variables Unitarios</t>
  </si>
  <si>
    <t>Materia Prima (Costo Promedio)</t>
  </si>
  <si>
    <t>Mano de Obra (Costo Promedio)</t>
  </si>
  <si>
    <t>Materia Prima y M.O.</t>
  </si>
  <si>
    <t>Otros Costos de Fabricación</t>
  </si>
  <si>
    <t>Costos Producción Inventariables</t>
  </si>
  <si>
    <t>Materia Prima</t>
  </si>
  <si>
    <t>Mano de Obra</t>
  </si>
  <si>
    <t>Depreciación</t>
  </si>
  <si>
    <t>Agotamiento</t>
  </si>
  <si>
    <t>Total</t>
  </si>
  <si>
    <t>Margen Bruto</t>
  </si>
  <si>
    <t>Gastos Operacionales</t>
  </si>
  <si>
    <t>Gastos de Ventas</t>
  </si>
  <si>
    <t>Gastos Administación</t>
  </si>
  <si>
    <t>Total Gastos</t>
  </si>
  <si>
    <t>Capital de Trabajo</t>
  </si>
  <si>
    <t>Cuentas por cobrar</t>
  </si>
  <si>
    <t>Rotación Cartera Clientes</t>
  </si>
  <si>
    <t>días</t>
  </si>
  <si>
    <t>Cartera Clientes</t>
  </si>
  <si>
    <t>Cartera Clientes (Var.)</t>
  </si>
  <si>
    <t>Provisión Cuentas por Cobrar</t>
  </si>
  <si>
    <t>Provisión Período</t>
  </si>
  <si>
    <t>Inventarios</t>
  </si>
  <si>
    <t>Invent. Prod. Final Rotación</t>
  </si>
  <si>
    <t>días costo</t>
  </si>
  <si>
    <t>Invent. Prod. Final</t>
  </si>
  <si>
    <t>Invent. Prod. Final Variación</t>
  </si>
  <si>
    <t xml:space="preserve">Invent. Prod. en Proceso Rotación </t>
  </si>
  <si>
    <t>Invent. Prod. Proceso</t>
  </si>
  <si>
    <t>Invent. Prod. Proceso Variación</t>
  </si>
  <si>
    <t xml:space="preserve">Invent. Materia Prima Rotación </t>
  </si>
  <si>
    <t>días compras</t>
  </si>
  <si>
    <t>Invent. Materia Prima</t>
  </si>
  <si>
    <t>Invent. Materia Prima Variación</t>
  </si>
  <si>
    <t>Total Inventario</t>
  </si>
  <si>
    <t>Anticipos y Otras Cuentas por Cobar</t>
  </si>
  <si>
    <t>Anticipos y Otras Cuentas por Cobar (Var.)</t>
  </si>
  <si>
    <t>Gastos Anticipados</t>
  </si>
  <si>
    <t>Acreedores Gastos Anticipados(Var.)</t>
  </si>
  <si>
    <t>Cuentas por Pagar</t>
  </si>
  <si>
    <t>Cuentas por Pagar Proveedores</t>
  </si>
  <si>
    <t>Cuentas por Pagar Proveedores (Var.)</t>
  </si>
  <si>
    <t>Acreedores Varios</t>
  </si>
  <si>
    <t>Acreedores Varios (Var.)</t>
  </si>
  <si>
    <t>Otros Pasivos</t>
  </si>
  <si>
    <t>Otros Pasivos (Var.)</t>
  </si>
  <si>
    <t>Activos iniciales</t>
  </si>
  <si>
    <t>Terrenos</t>
  </si>
  <si>
    <t>Valor Ajustado</t>
  </si>
  <si>
    <t>Axi</t>
  </si>
  <si>
    <t>Construcciones y Edificios</t>
  </si>
  <si>
    <t>Depreciación Período</t>
  </si>
  <si>
    <t>Axi Depreciación acumulada</t>
  </si>
  <si>
    <t>Depreciación acumulada</t>
  </si>
  <si>
    <t>Valor neto</t>
  </si>
  <si>
    <t>Maquinaria y Equipo</t>
  </si>
  <si>
    <t>Depreciación acum.</t>
  </si>
  <si>
    <t>Muebles y Enseres</t>
  </si>
  <si>
    <t>Equipo de Transporte</t>
  </si>
  <si>
    <t>Equipo de Oficina</t>
  </si>
  <si>
    <t>Semovientes pie de Cria</t>
  </si>
  <si>
    <t>Amortización Período</t>
  </si>
  <si>
    <t>Axi Amortización acumulada</t>
  </si>
  <si>
    <t>Amortización acum.</t>
  </si>
  <si>
    <t>Cultivos Permanentes</t>
  </si>
  <si>
    <t>Inversiones (Inicio Período)</t>
  </si>
  <si>
    <t>Equipos de Oficina</t>
  </si>
  <si>
    <t>Total Inversiones</t>
  </si>
  <si>
    <t>Otros Activos</t>
  </si>
  <si>
    <t>Variación</t>
  </si>
  <si>
    <t>Impuestos</t>
  </si>
  <si>
    <t>Renta</t>
  </si>
  <si>
    <t>Patrimonio</t>
  </si>
  <si>
    <t>Renta Presuntiva sobre patrimonio Liquido</t>
  </si>
  <si>
    <t>Renta Presuntiva</t>
  </si>
  <si>
    <t>Renta Liquida</t>
  </si>
  <si>
    <t>Tarifa Impuesto de Renta</t>
  </si>
  <si>
    <t>Tarifa a pagar sobre impuesto renta(Según ley 1429)</t>
  </si>
  <si>
    <t>CREE</t>
  </si>
  <si>
    <t>tarifa de impuesto CREE</t>
  </si>
  <si>
    <t>Impuesto Renta</t>
  </si>
  <si>
    <t>Impuesto CREE</t>
  </si>
  <si>
    <t>Impuestos por Pagar</t>
  </si>
  <si>
    <t>Pago de Impuesto Renta +CREE</t>
  </si>
  <si>
    <t>Estructura de Capital</t>
  </si>
  <si>
    <t>Capital Socios</t>
  </si>
  <si>
    <t>Capital Adicional Socios</t>
  </si>
  <si>
    <t>Obligaciones Fondo Emprender</t>
  </si>
  <si>
    <t>Obligaciones Financieras</t>
  </si>
  <si>
    <t>Capital Social</t>
  </si>
  <si>
    <t>Reserva Legal Período</t>
  </si>
  <si>
    <t>Reserva Legal Acumulada</t>
  </si>
  <si>
    <t>Utilidades Retenidas</t>
  </si>
  <si>
    <t>Utilidades del Ejercicio</t>
  </si>
  <si>
    <t>Base Revalorización</t>
  </si>
  <si>
    <t>Revalorizacion patrimonio período</t>
  </si>
  <si>
    <t>Revalorizacion patrimonio acumulado</t>
  </si>
  <si>
    <t>TOTAL PATRIMONIO</t>
  </si>
  <si>
    <t>Dividendos</t>
  </si>
  <si>
    <t>Utilidades Repartibles</t>
  </si>
  <si>
    <t>icono</t>
  </si>
  <si>
    <t>PARAMETRO</t>
  </si>
  <si>
    <t>VALOR</t>
  </si>
  <si>
    <t>EXPLICACION</t>
  </si>
  <si>
    <t>Fecha</t>
  </si>
  <si>
    <t>Ultimo año</t>
  </si>
  <si>
    <t>Nombre de los Productos</t>
  </si>
  <si>
    <t>Informacón del Proyecto</t>
  </si>
  <si>
    <t>Indique la Tasa de Descuento del emprendedor</t>
  </si>
  <si>
    <t>Tasa Efectiva Anual</t>
  </si>
  <si>
    <t xml:space="preserve"> Duración de la etapa improductiva del negocio ( fase de implementación).en meses  </t>
  </si>
  <si>
    <t xml:space="preserve"> Periodo en el cual se plantea la primera expansión del negocio ( Indique el mes )  </t>
  </si>
  <si>
    <t xml:space="preserve"> Periodo en el cual se plantea la segunda expansión del negocio ( Indique el mes ) </t>
  </si>
  <si>
    <t>Condiciones de la Deuda</t>
  </si>
  <si>
    <t>Gracia</t>
  </si>
  <si>
    <t>Gracia a Capital (Años)</t>
  </si>
  <si>
    <t>Plazo</t>
  </si>
  <si>
    <t>Plazo de la Deuda (Años)</t>
  </si>
  <si>
    <t>Tasa en pesos</t>
  </si>
  <si>
    <t>Puntos por encima del DTF</t>
  </si>
  <si>
    <t>Depreciación Activos Fijos</t>
  </si>
  <si>
    <t>Ajustes por Inflación</t>
  </si>
  <si>
    <t>0: Tener en cuenta; 1: No Tener en cuenta</t>
  </si>
  <si>
    <t>Construcciones y Edificaciones</t>
  </si>
  <si>
    <t>Vida útil (años)</t>
  </si>
  <si>
    <t>Maquinaria y Equipo de Operación</t>
  </si>
  <si>
    <t>Semovientes</t>
  </si>
  <si>
    <t>Agotamiento (años)</t>
  </si>
  <si>
    <t>Otros</t>
  </si>
  <si>
    <t>Amortización (años)</t>
  </si>
  <si>
    <t>Indique si se acoge a la ley 1429</t>
  </si>
  <si>
    <t>Selecciones Si o No</t>
  </si>
  <si>
    <t>ESTADO DE RESULTADOS</t>
  </si>
  <si>
    <t>Devoluciones y rebajas en ventas</t>
  </si>
  <si>
    <t>Materia Prima, Mano de Obra</t>
  </si>
  <si>
    <t>Otros Costos</t>
  </si>
  <si>
    <t>Utilidad Bruta</t>
  </si>
  <si>
    <t>Gasto de Ventas</t>
  </si>
  <si>
    <t>Gastos de Administracion</t>
  </si>
  <si>
    <t>Provisiones</t>
  </si>
  <si>
    <t>Amortización Gastos</t>
  </si>
  <si>
    <t>Utilidad Operativa</t>
  </si>
  <si>
    <t>Otros ingresos</t>
  </si>
  <si>
    <t xml:space="preserve"> Intereses</t>
  </si>
  <si>
    <t>Otros ingresos y egresos</t>
  </si>
  <si>
    <t xml:space="preserve"> Revalorización de Patrimonio</t>
  </si>
  <si>
    <t xml:space="preserve"> Ajuste Activos no Monetarios</t>
  </si>
  <si>
    <t xml:space="preserve"> Ajuste Depreciación Acumulada</t>
  </si>
  <si>
    <t>Ajuste Amortización Acumulada</t>
  </si>
  <si>
    <t>Ajuste Agotamiento Acumulada</t>
  </si>
  <si>
    <t>Total Corrección Monetaria</t>
  </si>
  <si>
    <t>Utilidad antes de impuestos</t>
  </si>
  <si>
    <t>Impuesto renta +CREE</t>
  </si>
  <si>
    <t>Utilidad Neta Final</t>
  </si>
  <si>
    <t>BALANCE GENERAL</t>
  </si>
  <si>
    <t>Activo</t>
  </si>
  <si>
    <t>Efectivo</t>
  </si>
  <si>
    <t>Cuentas X Cobrar</t>
  </si>
  <si>
    <t>Inventarios Materias Primas e Insumos</t>
  </si>
  <si>
    <t>Inventarios de Producto en Proceso</t>
  </si>
  <si>
    <t>Inventarios Producto Terminado</t>
  </si>
  <si>
    <t>Anticipos y Otras Cuentas por Cobrar</t>
  </si>
  <si>
    <t>Amortización Acumulada</t>
  </si>
  <si>
    <t>Total Activo Corriente:</t>
  </si>
  <si>
    <t>Depreciación Acumulada Planta</t>
  </si>
  <si>
    <t xml:space="preserve"> Depreciación Acumulada</t>
  </si>
  <si>
    <t>Semovientes pie de cria</t>
  </si>
  <si>
    <t xml:space="preserve"> Agotamiento Acumulada</t>
  </si>
  <si>
    <t>Total Activos Fijos:</t>
  </si>
  <si>
    <t>Total Otros Activos Fijos</t>
  </si>
  <si>
    <t>ACTIVO</t>
  </si>
  <si>
    <t>Pasivo</t>
  </si>
  <si>
    <t>Cuentas X Pagar Proveedores</t>
  </si>
  <si>
    <t>Impuestos X Pagar</t>
  </si>
  <si>
    <t>Otros pasivos a LP</t>
  </si>
  <si>
    <t>Obligacion Fondo Emprender (Contingente)</t>
  </si>
  <si>
    <t>PASIVO</t>
  </si>
  <si>
    <t>Revalorizacion patrimonio</t>
  </si>
  <si>
    <t>PATRIMONIO</t>
  </si>
  <si>
    <t>PASIVO + PATRIMONIO</t>
  </si>
  <si>
    <t>CUADRE</t>
  </si>
  <si>
    <t>FLUJO DE CAJA</t>
  </si>
  <si>
    <t>Flujo de Caja Operativo</t>
  </si>
  <si>
    <t>Utilidad Operacional</t>
  </si>
  <si>
    <t>Depreciaciones</t>
  </si>
  <si>
    <t>Neto Flujo de Caja Operativo</t>
  </si>
  <si>
    <t>Flujo de Caja Inversión</t>
  </si>
  <si>
    <t>Variacion Cuentas por Cobrar</t>
  </si>
  <si>
    <t>Variacion Inv. Materias Primas e insumos3</t>
  </si>
  <si>
    <t>Variacion Inv. Prod. En Proceso</t>
  </si>
  <si>
    <t>Variacion Inv. Prod. Terminados</t>
  </si>
  <si>
    <t>Var. Anticipos y Otros Cuentas por Cobrar</t>
  </si>
  <si>
    <t>Variación Cuentas por Pagar</t>
  </si>
  <si>
    <t>Variación Acreedores Varios</t>
  </si>
  <si>
    <t>Variación Otros Pasivos</t>
  </si>
  <si>
    <t>Variación del Capital de Trabajo</t>
  </si>
  <si>
    <t>Inversión en Terrenos</t>
  </si>
  <si>
    <t>Inversión en Construcciones</t>
  </si>
  <si>
    <t>Inversión en Maquinaria y Equipo</t>
  </si>
  <si>
    <t>Inversión en Muebles</t>
  </si>
  <si>
    <t>Inversión en Equipo de Transporte</t>
  </si>
  <si>
    <t>Inversión en Equipos de Oficina</t>
  </si>
  <si>
    <t>Inversión en Semovientes</t>
  </si>
  <si>
    <t>Inversión Cultivos Permanentes</t>
  </si>
  <si>
    <t>Inversión Otros Activos</t>
  </si>
  <si>
    <t>Inversión Activos Fijos</t>
  </si>
  <si>
    <t>Neto Flujo de Caja Inversión</t>
  </si>
  <si>
    <t>Flujo de Caja Financiamiento</t>
  </si>
  <si>
    <t>Desembolsos Fondo Emprender</t>
  </si>
  <si>
    <t>Desembolsos Pasivo Largo Plazo</t>
  </si>
  <si>
    <t>Amortizaciones Pasivos Largo Plazo</t>
  </si>
  <si>
    <t>Intereses Pagados</t>
  </si>
  <si>
    <t>Dividendos Pagados</t>
  </si>
  <si>
    <t>Capital</t>
  </si>
  <si>
    <t>Neto Flujo de Caja Financiamiento</t>
  </si>
  <si>
    <t>Neto Periodo</t>
  </si>
  <si>
    <t>Saldo anterior</t>
  </si>
  <si>
    <t>Saldo siguiente</t>
  </si>
  <si>
    <t xml:space="preserve">  Supuestos Macroeconómicos  </t>
  </si>
  <si>
    <t xml:space="preserve">  Variación Anual IPC     </t>
  </si>
  <si>
    <t xml:space="preserve">  Devaluación     </t>
  </si>
  <si>
    <t xml:space="preserve">  Variación PIB     </t>
  </si>
  <si>
    <t xml:space="preserve">  DTF ATA     </t>
  </si>
  <si>
    <t xml:space="preserve">  Supuestos Operativos  </t>
  </si>
  <si>
    <t xml:space="preserve">  Variación precios     </t>
  </si>
  <si>
    <t xml:space="preserve">  Variación Cantidades vendidas     </t>
  </si>
  <si>
    <t xml:space="preserve">  Variación costos de producción     </t>
  </si>
  <si>
    <t xml:space="preserve">  Variación Gastos Administrativos     </t>
  </si>
  <si>
    <t xml:space="preserve">  Rotación Cartera (días)     </t>
  </si>
  <si>
    <t xml:space="preserve">  Rotación Proveedores (días)     </t>
  </si>
  <si>
    <t xml:space="preserve">  Rotación inventarios (días)     </t>
  </si>
  <si>
    <t xml:space="preserve">  Indicadores Financieros Proyectados </t>
  </si>
  <si>
    <t xml:space="preserve">  Liquidez - Razón Corriente       </t>
  </si>
  <si>
    <t xml:space="preserve">  Prueba Acida       </t>
  </si>
  <si>
    <t xml:space="preserve">  Rotacion cartera (días),       </t>
  </si>
  <si>
    <t xml:space="preserve">  Rotación Inventarios (días)       </t>
  </si>
  <si>
    <t xml:space="preserve">  Rotacion Proveedores (días)       </t>
  </si>
  <si>
    <t xml:space="preserve">  Nivel de Endeudamiento Total       </t>
  </si>
  <si>
    <t xml:space="preserve">  Concentración Corto Plazo       </t>
  </si>
  <si>
    <t xml:space="preserve">  Ebitda / Gastos Financieros       </t>
  </si>
  <si>
    <t xml:space="preserve">  Ebitda / Servicio de Deuda       </t>
  </si>
  <si>
    <t xml:space="preserve">  Rentabilidad Operacional       </t>
  </si>
  <si>
    <t xml:space="preserve">  Rentabilidad Neta       </t>
  </si>
  <si>
    <t xml:space="preserve">  Rentabilidad Patrimonio       </t>
  </si>
  <si>
    <t xml:space="preserve">  Rentabilidad del Activo       </t>
  </si>
  <si>
    <t xml:space="preserve">Flujo de Caja y Rentabilidad  </t>
  </si>
  <si>
    <t xml:space="preserve">  Flujo de Operación     </t>
  </si>
  <si>
    <t xml:space="preserve">  Flujo de Inversión     </t>
  </si>
  <si>
    <t xml:space="preserve">  Flujo de Financiación     </t>
  </si>
  <si>
    <t xml:space="preserve">  Flujo de caja para evaluación     </t>
  </si>
  <si>
    <t xml:space="preserve">  Tasa de descuento Utilizada     </t>
  </si>
  <si>
    <t>Factor</t>
  </si>
  <si>
    <t xml:space="preserve">  Flujo de caja descontado     </t>
  </si>
  <si>
    <t xml:space="preserve">   Criterios de Decisión</t>
  </si>
  <si>
    <t xml:space="preserve"> Tasa mínima de rendimiento a la que aspira el emprendedor </t>
  </si>
  <si>
    <t xml:space="preserve"> TIR (Tasa Interna de Retorno) </t>
  </si>
  <si>
    <t xml:space="preserve"> VAN (Valor actual neto) </t>
  </si>
  <si>
    <t xml:space="preserve"> PRI (Periodo de recuperación de la inversión)  </t>
  </si>
  <si>
    <t xml:space="preserve"> Nivel de endeudamiento inicial del negocio, teniendo en cuenta los recursos del fondo emprender. ( AFE/AT)  </t>
  </si>
  <si>
    <t>Deuda</t>
  </si>
  <si>
    <t>DTF T.A. + puntos</t>
  </si>
  <si>
    <t>DTF EA</t>
  </si>
  <si>
    <t>Nueva Deuda Final año</t>
  </si>
  <si>
    <t>Saldo Deuda Final</t>
  </si>
  <si>
    <t xml:space="preserve"> Obligación 0</t>
  </si>
  <si>
    <t xml:space="preserve"> Obligación 1</t>
  </si>
  <si>
    <t xml:space="preserve"> Obligación 2</t>
  </si>
  <si>
    <t xml:space="preserve"> Obligación 3</t>
  </si>
  <si>
    <t xml:space="preserve"> Obligación 4</t>
  </si>
  <si>
    <t xml:space="preserve"> Obligación 5</t>
  </si>
  <si>
    <t>Total Saldo Deuda</t>
  </si>
  <si>
    <t>Amortización Deuda</t>
  </si>
  <si>
    <t>Total Amortización</t>
  </si>
  <si>
    <t>Total Intereses</t>
  </si>
  <si>
    <t>Inversiones al inicio del período</t>
  </si>
  <si>
    <t>Inversión 1</t>
  </si>
  <si>
    <t>Inversión 2</t>
  </si>
  <si>
    <t>Inversión 3</t>
  </si>
  <si>
    <t>Inversión 4</t>
  </si>
  <si>
    <t>Inversión 5</t>
  </si>
  <si>
    <t>Total Axi</t>
  </si>
  <si>
    <t>Inversión Ajustada</t>
  </si>
  <si>
    <t>Total Inversiones Ajustadas</t>
  </si>
  <si>
    <t>Construcciones</t>
  </si>
  <si>
    <t>Total Depreciación período</t>
  </si>
  <si>
    <t>Axi Depreciación</t>
  </si>
  <si>
    <t>Total Axi Depreciación</t>
  </si>
  <si>
    <t>Depreciación Acumulada</t>
  </si>
  <si>
    <t>Total Depreciación Acumulada</t>
  </si>
  <si>
    <t>Muebles</t>
  </si>
  <si>
    <t>Transporte</t>
  </si>
  <si>
    <t>Oficina</t>
  </si>
  <si>
    <t>Amortización</t>
  </si>
  <si>
    <t>Total Amortización período</t>
  </si>
  <si>
    <t>Axi Amortización</t>
  </si>
  <si>
    <t>Total Axi Amortización</t>
  </si>
  <si>
    <t>Total Amortización Acumulada</t>
  </si>
  <si>
    <t>Permanentes</t>
  </si>
  <si>
    <t>Gastos durante el período</t>
  </si>
  <si>
    <t>Inversión 0</t>
  </si>
  <si>
    <t>AÑO 1</t>
  </si>
  <si>
    <t>AÑO 2</t>
  </si>
  <si>
    <t>AÑO 3</t>
  </si>
  <si>
    <t>AÑO 4</t>
  </si>
  <si>
    <t>AÑO 5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</si>
  <si>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</si>
  <si>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</si>
  <si>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</si>
  <si>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</si>
  <si>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</si>
  <si>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</si>
  <si>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</si>
  <si>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</si>
  <si>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</si>
  <si>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</si>
  <si>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</si>
  <si>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</si>
  <si>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</si>
  <si>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UNIDAD DE MEDIDA</t>
  </si>
  <si>
    <t>GASTOS DE ADMINISTRACION</t>
  </si>
  <si>
    <t>CANTIDAD</t>
  </si>
  <si>
    <t>MUEBLES Y ENSERES</t>
  </si>
  <si>
    <t>EQUIPO DE OFICINA</t>
  </si>
  <si>
    <t>PRECIO</t>
  </si>
  <si>
    <t>MATERIA PRIMA</t>
  </si>
  <si>
    <t>TOTAL EQUIPO DE OFICINA</t>
  </si>
  <si>
    <t>TOTAL MUEBLES Y ENSERES</t>
  </si>
  <si>
    <t>MAQUINARIA Y EQUIPO</t>
  </si>
  <si>
    <t>TOTAL MAQUINARIA Y EQUIPO</t>
  </si>
  <si>
    <t>CAPACIDAD MÁXIMA ANUAL (Unidades)</t>
  </si>
  <si>
    <t xml:space="preserve">Capacidad en unidades Mensual  </t>
  </si>
  <si>
    <t>Unidades a Producir en relación a los minutos</t>
  </si>
  <si>
    <t>% de tiempo utilizado por unidad</t>
  </si>
  <si>
    <t>TIEMPO PROMEDIO DE PRODUCC. (dado en minutos)</t>
  </si>
  <si>
    <t>PRODUCTOS</t>
  </si>
  <si>
    <t>TIEMPO PRODUCTIVO EN EL PRIMER AÑO (MESES)</t>
  </si>
  <si>
    <t>DÍAS TRABAJADOS AL MES (por operaria)</t>
  </si>
  <si>
    <t>CANT, HORAS TRABAJADAS AL DÍA (por operaria y presentada en minutos)</t>
  </si>
  <si>
    <t>No. De operarios</t>
  </si>
  <si>
    <t>Item</t>
  </si>
  <si>
    <t>total unidades</t>
  </si>
  <si>
    <t>Año 5</t>
  </si>
  <si>
    <t>Año 4</t>
  </si>
  <si>
    <t>Año 3</t>
  </si>
  <si>
    <t>Año 2</t>
  </si>
  <si>
    <t>Año 1</t>
  </si>
  <si>
    <t>AÑO 5 - mensual</t>
  </si>
  <si>
    <t>AÑO 4 - mensual</t>
  </si>
  <si>
    <t>AÑO 3 - mensual</t>
  </si>
  <si>
    <t>AÑO 2 - mensual</t>
  </si>
  <si>
    <t>CAPACIDAD promedio MENSUAL</t>
  </si>
  <si>
    <t>Unidades Producidas año</t>
  </si>
  <si>
    <t>UNIDADES DIARIAS PRODUCIDAS</t>
  </si>
  <si>
    <t>PRODUCTO</t>
  </si>
  <si>
    <t>PRODUCCION UNIDADES PROYECTADA A 5 AÑOS</t>
  </si>
  <si>
    <r>
      <t xml:space="preserve">PLAN DE PRODUCCIÓN </t>
    </r>
    <r>
      <rPr>
        <b/>
        <sz val="12"/>
        <color theme="1"/>
        <rFont val="Calibri"/>
        <family val="2"/>
        <scheme val="minor"/>
      </rPr>
      <t>AÑO 1</t>
    </r>
  </si>
  <si>
    <t xml:space="preserve">CAPACIDAD para fabricar  EN EL AÑO </t>
  </si>
  <si>
    <t>capacidad para fabricar en el MES</t>
  </si>
  <si>
    <t>capacidad para fabricar en el día</t>
  </si>
  <si>
    <t>2 OPERARIOS TRABAJAN /dia</t>
  </si>
  <si>
    <t>Tiempo PARA PRODUCIR 1 PRODUCTO DE CADA REFERENCIA.</t>
  </si>
  <si>
    <t>PARTICIPACIÓN PRODUCCION</t>
  </si>
  <si>
    <t>Total Minutosdisponible en el mes por operaria</t>
  </si>
  <si>
    <t>Total minutos/dia, por 2 operari0s</t>
  </si>
  <si>
    <t>Total horas disponible en el mes por operaria</t>
  </si>
  <si>
    <t>Total horas x día x 2 operarios</t>
  </si>
  <si>
    <t>número productos a fabricar</t>
  </si>
  <si>
    <t>total TIEMPO DE PRODUCCIÓN: MINUTOS</t>
  </si>
  <si>
    <t>producto</t>
  </si>
  <si>
    <r>
      <t>con Iva</t>
    </r>
    <r>
      <rPr>
        <b/>
        <sz val="11"/>
        <color rgb="FF000000"/>
        <rFont val="Calibri"/>
        <family val="2"/>
        <scheme val="minor"/>
      </rPr>
      <t xml:space="preserve"> 19%</t>
    </r>
  </si>
  <si>
    <t>TOTAL COSTO PROMEDIO LINEA EMPAQUES PROMOCIONALES</t>
  </si>
  <si>
    <t>PRECIO DE VENTA</t>
  </si>
  <si>
    <t>TOTAL COSTO DE PRODUCCION UNIDAD DE PRODUCTO</t>
  </si>
  <si>
    <t>Transporte Prom.</t>
  </si>
  <si>
    <t>kg</t>
  </si>
  <si>
    <t>Tinta</t>
  </si>
  <si>
    <t>golpe</t>
  </si>
  <si>
    <t>Troquelado A</t>
  </si>
  <si>
    <t>M2</t>
  </si>
  <si>
    <t>troquel A</t>
  </si>
  <si>
    <t>jgo poli</t>
  </si>
  <si>
    <t>CANT. MAT. P</t>
  </si>
  <si>
    <t>M. PRIMA</t>
  </si>
  <si>
    <t>Troquelado B</t>
  </si>
  <si>
    <t>troquel B</t>
  </si>
  <si>
    <t>Kg</t>
  </si>
  <si>
    <t>pegante</t>
  </si>
  <si>
    <t>planchas marcos revelado B</t>
  </si>
  <si>
    <t>planchas marcos revelado A</t>
  </si>
  <si>
    <t>carton 620k parte B 70x60</t>
  </si>
  <si>
    <t>carton 620k parte A 40x45</t>
  </si>
  <si>
    <t>Stand de mesa en carton corrugado base 620k  con escalera impreso SCREEN de: 30x20x20</t>
  </si>
  <si>
    <t>pliego</t>
  </si>
  <si>
    <r>
      <t xml:space="preserve">con Iva </t>
    </r>
    <r>
      <rPr>
        <b/>
        <sz val="11"/>
        <color theme="1"/>
        <rFont val="Calibri"/>
        <family val="2"/>
        <scheme val="minor"/>
      </rPr>
      <t>19%</t>
    </r>
  </si>
  <si>
    <t>TOTAL COSTO PROMEDIO LINEA EMPAQUES ECOFRIENDLY PACK</t>
  </si>
  <si>
    <t>planchas y revelado</t>
  </si>
  <si>
    <t>metros</t>
  </si>
  <si>
    <t>troquel 1</t>
  </si>
  <si>
    <t>troquelado</t>
  </si>
  <si>
    <t xml:space="preserve">und </t>
  </si>
  <si>
    <t>arte</t>
  </si>
  <si>
    <t>1 pliego</t>
  </si>
  <si>
    <t>pleigo</t>
  </si>
  <si>
    <t>8,28 MTS / 1000</t>
  </si>
  <si>
    <t>carton 620k parte1 63x75</t>
  </si>
  <si>
    <t>Caja tipo estuche recicle-pack 2 tintas medidas: 40x30x5  troquelada area: 63x75</t>
  </si>
  <si>
    <t xml:space="preserve">unidad  </t>
  </si>
  <si>
    <t>CM2</t>
  </si>
  <si>
    <t>100*70</t>
  </si>
  <si>
    <t>revelado arte de impresión</t>
  </si>
  <si>
    <t>arte de impresión</t>
  </si>
  <si>
    <t>0,01 kg</t>
  </si>
  <si>
    <t>tinta</t>
  </si>
  <si>
    <t>grapado/ servicio</t>
  </si>
  <si>
    <t>5 grapas laterales</t>
  </si>
  <si>
    <t>Pliego</t>
  </si>
  <si>
    <t>planchas</t>
  </si>
  <si>
    <t>m3</t>
  </si>
  <si>
    <t>carton 1130 k</t>
  </si>
  <si>
    <t>PRECIO TOTAL</t>
  </si>
  <si>
    <t>UNIDAD DE E</t>
  </si>
  <si>
    <t xml:space="preserve"> 55x50x34 grapada Cierre regular  Caja en carton c1130 k impresa 1 tinta area: 2,14*85 =1,82 m2</t>
  </si>
  <si>
    <t>Costo Materia prima</t>
  </si>
  <si>
    <t>Mes 12</t>
  </si>
  <si>
    <t>Mes 11</t>
  </si>
  <si>
    <t>Mes 10</t>
  </si>
  <si>
    <t>Mes 9</t>
  </si>
  <si>
    <t>Mes 8</t>
  </si>
  <si>
    <t>Mes 7</t>
  </si>
  <si>
    <t>Mes 6</t>
  </si>
  <si>
    <t>Mes 5</t>
  </si>
  <si>
    <t>Mes 4</t>
  </si>
  <si>
    <t>Mes 3</t>
  </si>
  <si>
    <t>Mes 2</t>
  </si>
  <si>
    <t>Mes 1</t>
  </si>
  <si>
    <t>total</t>
  </si>
  <si>
    <t>TOTAL Unidades</t>
  </si>
  <si>
    <t>TOTAL unidades vendidas  PROYECTADAS DE CADA PRODUCTO</t>
  </si>
  <si>
    <t>Total Inversiones Aportes Emprendedora</t>
  </si>
  <si>
    <t>Total Inversiones Fondo Emprender</t>
  </si>
  <si>
    <t>TOTAL ADECUACIONES</t>
  </si>
  <si>
    <t>PRECIO UNITARIO</t>
  </si>
  <si>
    <t>ADECUACIONES</t>
  </si>
  <si>
    <t>Escritorio Auxiliar</t>
  </si>
  <si>
    <t>Impresora Multifuncional con escaner y copiado</t>
  </si>
  <si>
    <t>Computador  de escritorio</t>
  </si>
  <si>
    <t>INVERSIONES APORTE DEL EMPRENDEDOR</t>
  </si>
  <si>
    <t>Operario 1</t>
  </si>
  <si>
    <t>Administrativa</t>
  </si>
  <si>
    <t>HORAS</t>
  </si>
  <si>
    <t>DIAS</t>
  </si>
  <si>
    <t>SUB TOTAL APORTES PARAFISCALES</t>
  </si>
  <si>
    <t>SENA</t>
  </si>
  <si>
    <t>ICBF</t>
  </si>
  <si>
    <t>CONPEN.FAMILIAR</t>
  </si>
  <si>
    <t>SUB TOTAL SALARIO Y PREST. SOCIALES</t>
  </si>
  <si>
    <t>PRIMA DE SERVICIOS</t>
  </si>
  <si>
    <t>INTERESES CESANTÍAS</t>
  </si>
  <si>
    <t>CESANTÍAS</t>
  </si>
  <si>
    <t>VACACIONES</t>
  </si>
  <si>
    <t>RIESGOS</t>
  </si>
  <si>
    <t>PENSIÓN</t>
  </si>
  <si>
    <t>SALUD</t>
  </si>
  <si>
    <t>SUBTOTAL DEVENGADO</t>
  </si>
  <si>
    <t>AUX. DE T/TE</t>
  </si>
  <si>
    <t>TIEMPO</t>
  </si>
  <si>
    <t>CARGO</t>
  </si>
  <si>
    <t>Area</t>
  </si>
  <si>
    <t xml:space="preserve">No. </t>
  </si>
  <si>
    <t>MESES AL AÑO</t>
  </si>
  <si>
    <t>TOTAL MES</t>
  </si>
  <si>
    <t>APORTES PARAFISCALES</t>
  </si>
  <si>
    <t>PRESTACIONES SOCIALES</t>
  </si>
  <si>
    <t>SALARIO</t>
  </si>
  <si>
    <t>NOMINA</t>
  </si>
  <si>
    <t xml:space="preserve">TOTAL GASTOS </t>
  </si>
  <si>
    <t>TOTAL GASTOS ADMON</t>
  </si>
  <si>
    <t>Nomina ADMON</t>
  </si>
  <si>
    <t>TOTAL GASTOS ADMINISTRACION</t>
  </si>
  <si>
    <t>Elementos seguridad Industrial</t>
  </si>
  <si>
    <t>Dotaciones</t>
  </si>
  <si>
    <t>Suministros de Oficina</t>
  </si>
  <si>
    <t>Telefono e Internet</t>
  </si>
  <si>
    <t>Servicios Públicos</t>
  </si>
  <si>
    <t>Arrendamientos</t>
  </si>
  <si>
    <t>TOTAL GASTOS PREOPERATIVOS</t>
  </si>
  <si>
    <t>LIBROS CONTABLES</t>
  </si>
  <si>
    <t>GASTOS PREOPERATIVOS</t>
  </si>
  <si>
    <t>subtotal</t>
  </si>
  <si>
    <t>TOTAL ESTRAGIA DE SERVICIO</t>
  </si>
  <si>
    <t>TOTAL ESTRATEGIA DE COMUNICACIÓN</t>
  </si>
  <si>
    <t>TOTAL ESTRATEGIA PROMOCION</t>
  </si>
  <si>
    <t>TOTAL ESTRATEGIA DISTRIBUCION</t>
  </si>
  <si>
    <t>PRESUPUESTO DE LA MEZCLA DE MERCADO</t>
  </si>
  <si>
    <t>TOTAL MEZCLA DE PRESUPUESTO DE ESTRATEGIAS DE MERCADO</t>
  </si>
  <si>
    <t>Visitas programadas periódicas , para presentación de nuevas propuestas y análisis de resultados y envió de recomendaciones (realizada por la fuerza de ventas)</t>
  </si>
  <si>
    <t>Blog y chat al cliente , respuesta de reclamaciones (incluida en la estrategia de comunicación)</t>
  </si>
  <si>
    <t>Fuelles de seguimientos y archivado de hoja de vida del cliente, evolución, y tratamiento del cliente.</t>
  </si>
  <si>
    <t>ESTRATEGIA DE SERVICIO</t>
  </si>
  <si>
    <t>Registro portal del cuero en base de proveedores (no tiene costo)</t>
  </si>
  <si>
    <t>Pauta portal especializado ABC publicitario</t>
  </si>
  <si>
    <t>Página Web diseño personalizado , incluye dominio y hosting por un año</t>
  </si>
  <si>
    <t>ESTRATEGIA DE COMUNICACIÓN</t>
  </si>
  <si>
    <t>Participación en ferio Socio creativo</t>
  </si>
  <si>
    <t>2 Roll Up publicitarios para feria</t>
  </si>
  <si>
    <t>200 esferos contramarcados 1 tinta con logo y datos de contacto de Grupo Publiz</t>
  </si>
  <si>
    <t>Base datos cámara de comercio (adquirida por la emprendedora)</t>
  </si>
  <si>
    <t>ESTRATEGIA DE PROMOCION</t>
  </si>
  <si>
    <t>TOTAL ESTRATEGIA PRECIO</t>
  </si>
  <si>
    <t>ESTRATEGIA DE PRECIO</t>
  </si>
  <si>
    <t>Aviso Fachada</t>
  </si>
  <si>
    <t>50 Muestras de producto, montadas por unidad en plotter de corte.</t>
  </si>
  <si>
    <t>Mesa de negocios/4 sillas</t>
  </si>
  <si>
    <t>2 Roll Up publicitarios</t>
  </si>
  <si>
    <t>ESTRATEGIA DE DISTRIBUCION</t>
  </si>
  <si>
    <t>                    2.000.000,00</t>
  </si>
  <si>
    <t>ESTRATEGIA MERCADO</t>
  </si>
  <si>
    <t>Seguros</t>
  </si>
  <si>
    <t>elementos de seguridad industrial</t>
  </si>
  <si>
    <t>dotaciones</t>
  </si>
  <si>
    <t>SERVICIOS</t>
  </si>
  <si>
    <t>ARRIENDO</t>
  </si>
  <si>
    <t>CAPITAL DE TRABAJO</t>
  </si>
  <si>
    <t>Licencia</t>
  </si>
  <si>
    <t>adecuaciones</t>
  </si>
  <si>
    <t>Muebles y enseres</t>
  </si>
  <si>
    <t>Computador de diseño</t>
  </si>
  <si>
    <t>Maquinaria</t>
  </si>
  <si>
    <t>Fondo</t>
  </si>
  <si>
    <t>TOTAL MONTO DEL PROYECTO</t>
  </si>
  <si>
    <t>completas</t>
  </si>
  <si>
    <t>1 dotacion</t>
  </si>
  <si>
    <t>Emprendedora</t>
  </si>
  <si>
    <t>meses operativos 4-5-6 de materias primas</t>
  </si>
  <si>
    <t>seguro anual</t>
  </si>
  <si>
    <t>CAPACIDAD INSTALADA CALCULO POR LINEA</t>
  </si>
  <si>
    <t>Comercial 1</t>
  </si>
  <si>
    <t>Costo entrega de los paquetes comerciales 200 unds año  1</t>
  </si>
  <si>
    <r>
      <t xml:space="preserve">Capacidad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DIA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</si>
  <si>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MENSUAL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</si>
  <si>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Año 1</t>
    </r>
  </si>
  <si>
    <t>CAPACIDAD DE PRODUCCION PROYECTADA A 5 AÑOS (ANUAL)</t>
  </si>
  <si>
    <t>CAPACIDAD DE PRODUCCION PROYECTADA A 5 AÑOS (MENSUAL)</t>
  </si>
  <si>
    <t>Columna1</t>
  </si>
  <si>
    <r>
      <t xml:space="preserve">DÍAS AÑO 1          </t>
    </r>
    <r>
      <rPr>
        <sz val="9"/>
        <color theme="1"/>
        <rFont val="Calibri"/>
        <family val="2"/>
        <scheme val="minor"/>
      </rPr>
      <t>(9 MESES)</t>
    </r>
  </si>
  <si>
    <t>PROYECCION PLAN DE PRODUCCION</t>
  </si>
  <si>
    <t xml:space="preserve"> COSTO MATERIA PRIMA UNITARIO</t>
  </si>
  <si>
    <t>PROYECCION DE VENTAS</t>
  </si>
  <si>
    <t>Proyección de Precios UNITARIO ( Antes Iva 19%  )</t>
  </si>
  <si>
    <t>TOTAL COSTO MP EMPAQUES ECO-INDUSTRIALES</t>
  </si>
  <si>
    <t>Año de Ingreso</t>
  </si>
  <si>
    <t>ASIGNACIÓN BÁSICA MENSUAL</t>
  </si>
  <si>
    <t>Contador por servicios (prestacion de Serv)</t>
  </si>
  <si>
    <t>TOTAL AÑO 1</t>
  </si>
  <si>
    <t>TOTAL AÑO 2</t>
  </si>
  <si>
    <t>TOTAL AÑO 3</t>
  </si>
  <si>
    <t>TOTAL AÑO 4</t>
  </si>
  <si>
    <t>TOTAL AÑO 5</t>
  </si>
  <si>
    <t>NÓMINA GRUPO PUBLIZ</t>
  </si>
  <si>
    <t>COSTOS MANO DE OBRA POR PRODUCTO</t>
  </si>
  <si>
    <t xml:space="preserve"> % de ocupacion Mano de obra </t>
  </si>
  <si>
    <t>Proyeccion Nomina Mano de Obra</t>
  </si>
  <si>
    <t>Proyección de COSTO  materia prima IVA Incluido 19%</t>
  </si>
  <si>
    <t>Proyección de COSTO ANUAL materia prima IVA Incluido 19%</t>
  </si>
  <si>
    <t>TOTAL COSTO MANO DE OBRA PROYECCION AÑO</t>
  </si>
  <si>
    <t>COSTO MANO DE OBRA UNIDAD PROYECCION AÑO</t>
  </si>
  <si>
    <t>PROYECCION NOMINA ADMINISTRATIVA POR AÑO</t>
  </si>
  <si>
    <t>PROYECCION MENSUAL PARA EL AÑO 1</t>
  </si>
  <si>
    <t>PROYECCION GASTOS ADMINISTRATIVOS  POR AÑO</t>
  </si>
  <si>
    <t>PROYECCION NOMINA VENTAS POR AÑO</t>
  </si>
  <si>
    <t>PROYECCION ESTRATEGIA DE MERCADO POR AÑO</t>
  </si>
  <si>
    <t>PROYECCION TOTAL GASTOS DE VENTAS POR AÑO</t>
  </si>
  <si>
    <t>PRESUPUESTO DE LA MEZCLA DE MERCADOS / ESTRATEGIA DE MERCADO</t>
  </si>
  <si>
    <t>TOTAL PRESUPUESTO MEZCLA DE MERCADO</t>
  </si>
  <si>
    <t>GASTOS administrativos POR UNIDAD PROYECCION AÑO</t>
  </si>
  <si>
    <t>GASTOS VENTAS POR UNIDAD PROYECCION AÑO</t>
  </si>
  <si>
    <t>Fijacion de Precios UNITARIO BASE</t>
  </si>
  <si>
    <t>% utilidad  UNITARIO BASE</t>
  </si>
  <si>
    <t xml:space="preserve">proyeccion  de Precios UNITARIO </t>
  </si>
  <si>
    <t>SEO (Posicionamiento página web a fin de lograr alta visibilidad y por ende contacto efectivo con nuestro cliente en buscadores. Costo anual costo Incluye manejo de redes sociales anual- comunity manager</t>
  </si>
  <si>
    <t>Estantería / cajonería Rustica Eco</t>
  </si>
  <si>
    <t>Mailing  diseños de piezas por la emprendedora</t>
  </si>
  <si>
    <t>300 brochure tamaño carta, tipo carpeta de presentación,en carton eco impreso en tinta vegetal 2 colores/troquelado</t>
  </si>
  <si>
    <t>200 unds Muestra de producto, estrategia marketing de guerrilla caja de cartón micro corrugado, impresa con la imagen corporativa de grupo Publiz,</t>
  </si>
  <si>
    <t xml:space="preserve">Millar tarjetas de presentación mate 4x4 / </t>
  </si>
  <si>
    <t>20 Muestras de producto, montadas por unidad en plotter de corte  para feria</t>
  </si>
  <si>
    <t>Herramientas para Show Room</t>
  </si>
  <si>
    <t>Materiales para paquetes comerciales</t>
  </si>
  <si>
    <t xml:space="preserve">Marketing de contenidos periòdico (Manejo de Blog incluido en la página web, enlazado a redes sociales facebook/ comunidad virtual empaques ecoamigables administrada por comunity manager </t>
  </si>
  <si>
    <t>Marketing de contenidos promocional , alimentacion de contenidos por la emprendedora, cargados en el blog de la pagina web, alimentado por el comunity manager</t>
  </si>
  <si>
    <t>MES 0</t>
  </si>
  <si>
    <t>Apertura de Cuenta</t>
  </si>
  <si>
    <t xml:space="preserve">Seguros </t>
  </si>
  <si>
    <t>Gastos Financieros</t>
  </si>
  <si>
    <t>Gastos de Aseo y cafeteria</t>
  </si>
  <si>
    <t>Registro camara de Comercio</t>
  </si>
  <si>
    <t>COMISIONES</t>
  </si>
  <si>
    <t>PROYECCION GASTOS ADMON POR AÑO</t>
  </si>
  <si>
    <t>preoperativos</t>
  </si>
  <si>
    <t>suministros de oficina</t>
  </si>
  <si>
    <t>mes 2-3-4</t>
  </si>
  <si>
    <t>TOTAL FONDO EMPRENDER</t>
  </si>
  <si>
    <t>TOTAL EMPRENDEDOR</t>
  </si>
  <si>
    <t>FONDO EMPRENDER</t>
  </si>
  <si>
    <t>EMPRENDEDOR</t>
  </si>
  <si>
    <t>PREOPERATIVOS</t>
  </si>
  <si>
    <t>GASTOS ADMINISTRATIVOS</t>
  </si>
  <si>
    <t>NOMINA ADMINISTRATIVA</t>
  </si>
  <si>
    <t>Gerente</t>
  </si>
  <si>
    <t>Contador</t>
  </si>
  <si>
    <t>GASTOS DE VENTAS</t>
  </si>
  <si>
    <t>estrategia de Mercado</t>
  </si>
  <si>
    <t>GASTOS DE MANO DE OBRA</t>
  </si>
  <si>
    <t>Operario 2</t>
  </si>
  <si>
    <t>COSTOS DE MATERIA PRIMA</t>
  </si>
  <si>
    <t>INVERSIONES</t>
  </si>
  <si>
    <t>MAQUINARIA</t>
  </si>
  <si>
    <t>Nomina de ventas</t>
  </si>
  <si>
    <t>mes 1-2-3-4-5-6 meses de arriendo</t>
  </si>
  <si>
    <t>mes 1-2-3-4-5-6-7 de servicios publicos + internet + telefonica</t>
  </si>
  <si>
    <t>General Materia prima</t>
  </si>
  <si>
    <t>5 meses nomina - mes 1-2-3 gerente y contador etapa improductiva - mes 4-5-6 gerente+contador+2 operarios</t>
  </si>
  <si>
    <t xml:space="preserve">LICENCIAS SOFTWARE DE DISEÑO ( COREL DRAW) </t>
  </si>
  <si>
    <t>Costo Materia prima und</t>
  </si>
  <si>
    <t>Precio venta und</t>
  </si>
  <si>
    <t>Total venta Prod 1</t>
  </si>
  <si>
    <t>PROYECCION PLAN DE VENTAS EN UNIDADES</t>
  </si>
  <si>
    <t>PROYECCION PLAN DE VENTAS EN PESOS</t>
  </si>
  <si>
    <t>PROYECCION COSTO MATERIA PRIMA MES A MES</t>
  </si>
  <si>
    <t>COSTOS MATERIA PRIMA</t>
  </si>
  <si>
    <t>COSTOS MANO DE OBRA</t>
  </si>
  <si>
    <t>estrategia de Distribucion apoyada por nuestra fuerza de ventas gastoincluido en gastos de ventas , nomina comercial.</t>
  </si>
  <si>
    <t xml:space="preserve">                            -    </t>
  </si>
  <si>
    <t>INVERSIONES REQUERIDAS PARA EL DESARROLLO DEL PROYECTO                                  SOLICITADAS A FONDO EMPRENDER</t>
  </si>
  <si>
    <t>PLAN DE NEGOCIOS proyecto xxx</t>
  </si>
  <si>
    <t>producto 1</t>
  </si>
  <si>
    <t>producto 2</t>
  </si>
  <si>
    <t>producto 3</t>
  </si>
  <si>
    <t>% de uso de la mano de obra producto 1</t>
  </si>
  <si>
    <t>% de uso de la mano de obra producto 2</t>
  </si>
  <si>
    <t>% de uso de la mano de obra Producto 3</t>
  </si>
  <si>
    <t>TOTAL productos/DIA</t>
  </si>
  <si>
    <t>NÓMINA MANO DE OBRA  PROYECTO XXX</t>
  </si>
  <si>
    <t>PRODUCTO 1</t>
  </si>
  <si>
    <t>NÓMINA PROYECTO XXX</t>
  </si>
  <si>
    <t>Licencia Unity</t>
  </si>
  <si>
    <t>Gerente (prestacion de Serv)</t>
  </si>
  <si>
    <t xml:space="preserve">Comercial </t>
  </si>
  <si>
    <t>Ingeniero Desarrolador Jefe</t>
  </si>
  <si>
    <t>Tecnico Desarrolador Software</t>
  </si>
  <si>
    <t>Psicologo Conitivo conductual o pedagogo especial</t>
  </si>
  <si>
    <t>LICENCIAS SOFTWARE DE DISEÑO (adobe)</t>
  </si>
  <si>
    <t>150 SMMLV (MENSUAL $737,717)</t>
  </si>
  <si>
    <t>No</t>
  </si>
  <si>
    <t>Psicologo Cognitivo conductual o pedagogo especial</t>
  </si>
  <si>
    <t>ESTRATEGIAS DE PROMOCIÓN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</si>
  <si>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</si>
  <si>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</si>
  <si>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</si>
  <si>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</si>
  <si>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</si>
  <si>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</si>
  <si>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</si>
  <si>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</si>
  <si>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</si>
  <si>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12 meses</t>
  </si>
  <si>
    <t xml:space="preserve">Generar 100 nuevos contactos </t>
  </si>
  <si>
    <t>1.000 unidades</t>
  </si>
  <si>
    <t xml:space="preserve">Mas publicidad </t>
  </si>
  <si>
    <t>Etiquetas</t>
  </si>
  <si>
    <t>6 meses</t>
  </si>
  <si>
    <t xml:space="preserve">Publicidad Visual </t>
  </si>
  <si>
    <t>500 unidades</t>
  </si>
  <si>
    <t>Stickers</t>
  </si>
  <si>
    <t>1000 unidades</t>
  </si>
  <si>
    <t>Banner 1x2 mts</t>
  </si>
  <si>
    <t>1 unidad</t>
  </si>
  <si>
    <t>Facebook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</si>
  <si>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</si>
  <si>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</si>
  <si>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</si>
  <si>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</si>
  <si>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</si>
  <si>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7 meses</t>
  </si>
  <si>
    <t>Tarjetas de presentación 1000 unidades</t>
  </si>
  <si>
    <t>Etiquetas 500 unidades</t>
  </si>
  <si>
    <t>Stickers 1000 unidades</t>
  </si>
  <si>
    <t>Banner publicitario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</si>
</sst>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-* #,##0.00\ _€_-;\-* #,##0.00\ _€_-;_-* &quot;-&quot;??\ _€_-;_-@_-"/>
    <numFmt numFmtId="164" formatCode="&quot;$&quot;\ #,##0_);[Red]\(&quot;$&quot;\ #,##0\)"/>
    <numFmt numFmtId="165" formatCode="_(* #,##0_);_(* \(#,##0\);_(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&quot;Año &quot;#,##0"/>
    <numFmt numFmtId="169" formatCode="_(* #,##0_);_(* \(#,##0\);_(* &quot;-&quot;??_);_(@_)"/>
    <numFmt numFmtId="170" formatCode="#,##0.0"/>
    <numFmt numFmtId="171" formatCode="0.0%"/>
    <numFmt numFmtId="172" formatCode="#,##0&quot; mes&quot;"/>
    <numFmt numFmtId="173" formatCode="_(&quot;$&quot;\ * #,##0_);_(&quot;$&quot;\ * \(#,##0\);_(&quot;$&quot;\ * &quot;-&quot;??_);_(@_)"/>
    <numFmt numFmtId="174" formatCode="0.000%"/>
    <numFmt numFmtId="175" formatCode="_-* #,##0.00\ _p_t_a_-;\-* #,##0.00\ _p_t_a_-;_-* &quot;-&quot;??\ _p_t_a_-;_-@_-"/>
    <numFmt numFmtId="176" formatCode="_ * #,##0.00_ ;_ * \-#,##0.00_ ;_ * &quot;-&quot;??_ ;_ @_ "/>
    <numFmt numFmtId="177" formatCode="_-* #,##0_-;\-* #,##0_-;_-* &quot;-&quot;_-;_-@_-"/>
    <numFmt numFmtId="178" formatCode="_-&quot;$&quot;* #,##0_-;\-&quot;$&quot;* #,##0_-;_-&quot;$&quot;* &quot;-&quot;_-;_-@_-"/>
    <numFmt numFmtId="179" formatCode="0.0"/>
    <numFmt numFmtId="180" formatCode="_ * #,##0_ ;_ * \-#,##0_ ;_ * &quot;-&quot;??_ ;_ @_ "/>
    <numFmt numFmtId="181" formatCode="&quot;$&quot;\ #,##0"/>
    <numFmt numFmtId="182" formatCode="_-* #,##0\ _€_-;\-* #,##0\ _€_-;_-* &quot;-&quot;??\ _€_-;_-@_-"/>
    <numFmt numFmtId="183" formatCode="_-[$COP]\ * #,##0_-;\-[$COP]\ * #,##0_-;_-[$COP]\ * &quot;-&quot;_-;_-@_-"/>
    <numFmt numFmtId="184" formatCode="[$COP]\ #,##0"/>
    <numFmt numFmtId="185" formatCode="&quot;$&quot;#,##0;[Red]\-&quot;$&quot;#,##0"/>
  </numFmts>
  <fonts count="10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color rgb="FFFFFF99"/>
      <name val="Arial"/>
      <family val="2"/>
    </font>
    <font>
      <sz val="10"/>
      <color rgb="FF0000FF"/>
      <name val="Arial"/>
      <family val="2"/>
    </font>
    <font>
      <sz val="10"/>
      <color rgb="FF3366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"/>
      <family val="2"/>
    </font>
    <font>
      <b/>
      <u/>
      <sz val="10"/>
      <color rgb="FF0000FF"/>
      <name val="Arial"/>
      <family val="2"/>
    </font>
    <font>
      <b/>
      <sz val="10"/>
      <color rgb="FF3366F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Futura-Light Oblique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7"/>
      <color theme="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22222"/>
      <name val="Arial"/>
      <family val="2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</font>
    <font>
      <b/>
      <sz val="12"/>
      <color theme="0"/>
      <name val="Futura-Light Oblique"/>
    </font>
    <font>
      <sz val="12"/>
      <color theme="0"/>
      <name val="Futura-Light Oblique"/>
    </font>
    <font>
      <b/>
      <sz val="12"/>
      <name val="Futura-Light Oblique"/>
    </font>
    <font>
      <sz val="14"/>
      <color rgb="FF00B050"/>
      <name val="Futura-Light Oblique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rgb="FFFFFFFF"/>
      <name val="Calibri"/>
      <family val="2"/>
    </font>
    <font>
      <sz val="16"/>
      <color theme="0"/>
      <name val="Arial"/>
      <family val="2"/>
    </font>
    <font>
      <sz val="16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3366FF"/>
        <bgColor rgb="FF3366FF"/>
      </patternFill>
    </fill>
    <fill>
      <patternFill patternType="solid">
        <fgColor rgb="FF003366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theme="8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0">
    <xf numFmtId="0" fontId="0" fillId="0" borderId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  <xf numFmtId="0" fontId="33" fillId="13" borderId="27" applyNumberFormat="0" applyAlignment="0" applyProtection="0"/>
    <xf numFmtId="0" fontId="34" fillId="14" borderId="28" applyNumberFormat="0" applyAlignment="0" applyProtection="0"/>
    <xf numFmtId="0" fontId="15" fillId="16" borderId="0" applyNumberFormat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48" fillId="0" borderId="0"/>
    <xf numFmtId="166" fontId="15" fillId="0" borderId="0" applyFont="0" applyFill="0" applyBorder="0" applyAlignment="0" applyProtection="0"/>
    <xf numFmtId="0" fontId="15" fillId="15" borderId="29" applyNumberFormat="0" applyFont="0" applyAlignment="0" applyProtection="0"/>
    <xf numFmtId="0" fontId="48" fillId="0" borderId="0"/>
    <xf numFmtId="9" fontId="48" fillId="0" borderId="0" applyFont="0" applyFill="0" applyBorder="0" applyAlignment="0" applyProtection="0"/>
    <xf numFmtId="43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1031">
    <xf numFmtId="0" fontId="0" fillId="0" borderId="0" xfId="0" applyFont="1" applyAlignment="1"/>
    <xf numFmtId="0" fontId="16" fillId="0" borderId="0" xfId="0" applyFont="1"/>
    <xf numFmtId="165" fontId="16" fillId="0" borderId="1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0" borderId="0" xfId="0" applyFont="1"/>
    <xf numFmtId="165" fontId="18" fillId="3" borderId="0" xfId="0" applyNumberFormat="1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/>
    </xf>
    <xf numFmtId="0" fontId="19" fillId="3" borderId="5" xfId="0" applyFont="1" applyFill="1" applyBorder="1" applyAlignment="1">
      <alignment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vertical="center"/>
    </xf>
    <xf numFmtId="0" fontId="16" fillId="0" borderId="7" xfId="0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21" fillId="5" borderId="9" xfId="0" applyFont="1" applyFill="1" applyBorder="1" applyAlignment="1">
      <alignment horizontal="center" vertical="center"/>
    </xf>
    <xf numFmtId="168" fontId="21" fillId="5" borderId="9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165" fontId="22" fillId="6" borderId="12" xfId="0" applyNumberFormat="1" applyFont="1" applyFill="1" applyBorder="1" applyAlignment="1">
      <alignment horizontal="left" vertical="center"/>
    </xf>
    <xf numFmtId="165" fontId="21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9" fontId="16" fillId="4" borderId="0" xfId="0" applyNumberFormat="1" applyFont="1" applyFill="1" applyBorder="1" applyAlignment="1">
      <alignment vertical="center"/>
    </xf>
    <xf numFmtId="9" fontId="16" fillId="0" borderId="11" xfId="0" applyNumberFormat="1" applyFont="1" applyBorder="1" applyAlignment="1">
      <alignment vertical="center"/>
    </xf>
    <xf numFmtId="165" fontId="16" fillId="0" borderId="12" xfId="0" applyNumberFormat="1" applyFont="1" applyBorder="1" applyAlignment="1">
      <alignment horizontal="left" vertical="center"/>
    </xf>
    <xf numFmtId="165" fontId="16" fillId="0" borderId="12" xfId="0" applyNumberFormat="1" applyFont="1" applyBorder="1" applyAlignment="1">
      <alignment horizontal="center" vertical="center"/>
    </xf>
    <xf numFmtId="10" fontId="23" fillId="2" borderId="12" xfId="0" applyNumberFormat="1" applyFont="1" applyFill="1" applyBorder="1" applyAlignment="1">
      <alignment horizontal="center" vertical="center"/>
    </xf>
    <xf numFmtId="9" fontId="16" fillId="0" borderId="14" xfId="0" applyNumberFormat="1" applyFont="1" applyBorder="1" applyAlignment="1">
      <alignment vertical="center"/>
    </xf>
    <xf numFmtId="9" fontId="16" fillId="0" borderId="0" xfId="0" applyNumberFormat="1" applyFont="1" applyAlignment="1">
      <alignment vertical="center"/>
    </xf>
    <xf numFmtId="10" fontId="16" fillId="0" borderId="12" xfId="0" applyNumberFormat="1" applyFont="1" applyBorder="1" applyAlignment="1">
      <alignment horizontal="center" vertical="center"/>
    </xf>
    <xf numFmtId="10" fontId="16" fillId="4" borderId="0" xfId="0" applyNumberFormat="1" applyFont="1" applyFill="1" applyBorder="1" applyAlignment="1">
      <alignment vertical="center"/>
    </xf>
    <xf numFmtId="10" fontId="16" fillId="0" borderId="11" xfId="0" applyNumberFormat="1" applyFont="1" applyBorder="1" applyAlignment="1">
      <alignment vertical="center"/>
    </xf>
    <xf numFmtId="10" fontId="16" fillId="0" borderId="14" xfId="0" applyNumberFormat="1" applyFont="1" applyBorder="1" applyAlignment="1">
      <alignment vertical="center"/>
    </xf>
    <xf numFmtId="10" fontId="16" fillId="0" borderId="0" xfId="0" applyNumberFormat="1" applyFont="1" applyAlignment="1">
      <alignment vertical="center"/>
    </xf>
    <xf numFmtId="169" fontId="16" fillId="4" borderId="0" xfId="0" applyNumberFormat="1" applyFont="1" applyFill="1" applyBorder="1" applyAlignment="1">
      <alignment vertical="center"/>
    </xf>
    <xf numFmtId="169" fontId="16" fillId="0" borderId="11" xfId="0" applyNumberFormat="1" applyFont="1" applyBorder="1" applyAlignment="1">
      <alignment vertical="center"/>
    </xf>
    <xf numFmtId="169" fontId="16" fillId="0" borderId="14" xfId="0" applyNumberFormat="1" applyFont="1" applyBorder="1" applyAlignment="1">
      <alignment vertical="center"/>
    </xf>
    <xf numFmtId="169" fontId="16" fillId="0" borderId="0" xfId="0" applyNumberFormat="1" applyFont="1" applyAlignment="1">
      <alignment vertical="center"/>
    </xf>
    <xf numFmtId="165" fontId="21" fillId="7" borderId="12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169" fontId="16" fillId="0" borderId="11" xfId="0" applyNumberFormat="1" applyFont="1" applyBorder="1" applyAlignment="1">
      <alignment horizontal="center" vertical="center"/>
    </xf>
    <xf numFmtId="3" fontId="23" fillId="2" borderId="12" xfId="0" applyNumberFormat="1" applyFont="1" applyFill="1" applyBorder="1" applyAlignment="1">
      <alignment horizontal="center" vertical="center"/>
    </xf>
    <xf numFmtId="169" fontId="16" fillId="4" borderId="0" xfId="0" applyNumberFormat="1" applyFont="1" applyFill="1" applyBorder="1" applyAlignment="1">
      <alignment horizontal="center" vertical="center"/>
    </xf>
    <xf numFmtId="169" fontId="16" fillId="0" borderId="0" xfId="0" applyNumberFormat="1" applyFont="1" applyAlignment="1">
      <alignment horizontal="center" vertical="center"/>
    </xf>
    <xf numFmtId="170" fontId="16" fillId="0" borderId="12" xfId="0" applyNumberFormat="1" applyFont="1" applyBorder="1" applyAlignment="1">
      <alignment horizontal="center" vertical="center"/>
    </xf>
    <xf numFmtId="3" fontId="16" fillId="0" borderId="12" xfId="0" applyNumberFormat="1" applyFont="1" applyBorder="1" applyAlignment="1">
      <alignment horizontal="center" vertical="center"/>
    </xf>
    <xf numFmtId="171" fontId="23" fillId="2" borderId="12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3" fontId="23" fillId="2" borderId="12" xfId="0" applyNumberFormat="1" applyFont="1" applyFill="1" applyBorder="1" applyAlignment="1">
      <alignment horizontal="center" vertical="center"/>
    </xf>
    <xf numFmtId="3" fontId="16" fillId="0" borderId="11" xfId="0" applyNumberFormat="1" applyFont="1" applyBorder="1" applyAlignment="1">
      <alignment vertical="center"/>
    </xf>
    <xf numFmtId="3" fontId="16" fillId="4" borderId="0" xfId="0" applyNumberFormat="1" applyFont="1" applyFill="1" applyBorder="1" applyAlignment="1">
      <alignment vertical="center"/>
    </xf>
    <xf numFmtId="3" fontId="16" fillId="0" borderId="0" xfId="0" applyNumberFormat="1" applyFont="1" applyAlignment="1">
      <alignment vertical="center"/>
    </xf>
    <xf numFmtId="3" fontId="23" fillId="2" borderId="15" xfId="0" applyNumberFormat="1" applyFont="1" applyFill="1" applyBorder="1" applyAlignment="1">
      <alignment horizontal="center" vertical="center"/>
    </xf>
    <xf numFmtId="9" fontId="23" fillId="2" borderId="12" xfId="0" applyNumberFormat="1" applyFont="1" applyFill="1" applyBorder="1" applyAlignment="1">
      <alignment horizontal="center" vertical="center"/>
    </xf>
    <xf numFmtId="3" fontId="23" fillId="2" borderId="15" xfId="0" applyNumberFormat="1" applyFont="1" applyFill="1" applyBorder="1" applyAlignment="1">
      <alignment horizontal="center" vertical="center"/>
    </xf>
    <xf numFmtId="3" fontId="23" fillId="2" borderId="16" xfId="0" applyNumberFormat="1" applyFont="1" applyFill="1" applyBorder="1" applyAlignment="1">
      <alignment horizontal="center" vertical="center"/>
    </xf>
    <xf numFmtId="3" fontId="16" fillId="0" borderId="14" xfId="0" applyNumberFormat="1" applyFont="1" applyBorder="1" applyAlignment="1">
      <alignment vertical="center"/>
    </xf>
    <xf numFmtId="0" fontId="16" fillId="4" borderId="0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3" fontId="16" fillId="0" borderId="17" xfId="0" applyNumberFormat="1" applyFont="1" applyBorder="1" applyAlignment="1">
      <alignment horizontal="center" vertical="center"/>
    </xf>
    <xf numFmtId="3" fontId="16" fillId="0" borderId="15" xfId="0" applyNumberFormat="1" applyFont="1" applyBorder="1" applyAlignment="1">
      <alignment horizontal="center" vertical="center"/>
    </xf>
    <xf numFmtId="165" fontId="24" fillId="0" borderId="12" xfId="0" applyNumberFormat="1" applyFont="1" applyBorder="1" applyAlignment="1">
      <alignment horizontal="left" vertical="center"/>
    </xf>
    <xf numFmtId="165" fontId="16" fillId="0" borderId="12" xfId="0" applyNumberFormat="1" applyFont="1" applyBorder="1" applyAlignment="1">
      <alignment vertical="center"/>
    </xf>
    <xf numFmtId="165" fontId="16" fillId="0" borderId="0" xfId="0" applyNumberFormat="1" applyFont="1" applyAlignment="1">
      <alignment horizontal="center" vertical="center"/>
    </xf>
    <xf numFmtId="3" fontId="16" fillId="0" borderId="18" xfId="0" applyNumberFormat="1" applyFont="1" applyBorder="1" applyAlignment="1">
      <alignment horizontal="center" vertical="center"/>
    </xf>
    <xf numFmtId="165" fontId="16" fillId="0" borderId="12" xfId="0" applyNumberFormat="1" applyFont="1" applyBorder="1" applyAlignment="1">
      <alignment horizontal="left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vertical="center"/>
    </xf>
    <xf numFmtId="165" fontId="16" fillId="0" borderId="22" xfId="0" applyNumberFormat="1" applyFont="1" applyBorder="1" applyAlignment="1">
      <alignment vertical="center"/>
    </xf>
    <xf numFmtId="165" fontId="16" fillId="0" borderId="22" xfId="0" applyNumberFormat="1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vertical="center"/>
    </xf>
    <xf numFmtId="165" fontId="16" fillId="4" borderId="5" xfId="0" applyNumberFormat="1" applyFont="1" applyFill="1" applyBorder="1" applyAlignment="1">
      <alignment vertical="center"/>
    </xf>
    <xf numFmtId="165" fontId="16" fillId="4" borderId="0" xfId="0" applyNumberFormat="1" applyFont="1" applyFill="1" applyBorder="1" applyAlignment="1">
      <alignment horizontal="center" vertical="center"/>
    </xf>
    <xf numFmtId="165" fontId="25" fillId="0" borderId="0" xfId="0" applyNumberFormat="1" applyFont="1" applyAlignment="1">
      <alignment horizontal="left" vertical="center"/>
    </xf>
    <xf numFmtId="0" fontId="26" fillId="4" borderId="0" xfId="0" applyFont="1" applyFill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1" fillId="5" borderId="9" xfId="0" applyFont="1" applyFill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6" fillId="4" borderId="0" xfId="0" applyFont="1" applyFill="1" applyBorder="1"/>
    <xf numFmtId="0" fontId="16" fillId="0" borderId="11" xfId="0" applyFont="1" applyBorder="1"/>
    <xf numFmtId="0" fontId="16" fillId="0" borderId="14" xfId="0" applyFont="1" applyBorder="1"/>
    <xf numFmtId="165" fontId="21" fillId="4" borderId="0" xfId="0" applyNumberFormat="1" applyFont="1" applyFill="1" applyBorder="1" applyAlignment="1">
      <alignment horizontal="center"/>
    </xf>
    <xf numFmtId="165" fontId="21" fillId="0" borderId="11" xfId="0" applyNumberFormat="1" applyFont="1" applyBorder="1" applyAlignment="1">
      <alignment horizontal="center"/>
    </xf>
    <xf numFmtId="165" fontId="22" fillId="6" borderId="12" xfId="0" applyNumberFormat="1" applyFont="1" applyFill="1" applyBorder="1" applyAlignment="1">
      <alignment horizontal="left"/>
    </xf>
    <xf numFmtId="165" fontId="21" fillId="0" borderId="0" xfId="0" applyNumberFormat="1" applyFont="1" applyAlignment="1">
      <alignment horizontal="center"/>
    </xf>
    <xf numFmtId="165" fontId="21" fillId="0" borderId="14" xfId="0" applyNumberFormat="1" applyFont="1" applyBorder="1" applyAlignment="1">
      <alignment horizontal="center"/>
    </xf>
    <xf numFmtId="165" fontId="16" fillId="0" borderId="12" xfId="0" applyNumberFormat="1" applyFont="1" applyBorder="1"/>
    <xf numFmtId="0" fontId="23" fillId="2" borderId="12" xfId="0" applyFont="1" applyFill="1" applyBorder="1" applyAlignment="1">
      <alignment horizontal="center"/>
    </xf>
    <xf numFmtId="0" fontId="16" fillId="0" borderId="12" xfId="0" applyFont="1" applyBorder="1"/>
    <xf numFmtId="3" fontId="27" fillId="2" borderId="12" xfId="0" applyNumberFormat="1" applyFont="1" applyFill="1" applyBorder="1" applyAlignment="1">
      <alignment horizontal="left"/>
    </xf>
    <xf numFmtId="3" fontId="23" fillId="2" borderId="12" xfId="0" applyNumberFormat="1" applyFont="1" applyFill="1" applyBorder="1" applyAlignment="1">
      <alignment horizontal="left"/>
    </xf>
    <xf numFmtId="9" fontId="23" fillId="2" borderId="12" xfId="0" applyNumberFormat="1" applyFont="1" applyFill="1" applyBorder="1" applyAlignment="1">
      <alignment horizontal="center"/>
    </xf>
    <xf numFmtId="172" fontId="23" fillId="2" borderId="12" xfId="0" applyNumberFormat="1" applyFont="1" applyFill="1" applyBorder="1" applyAlignment="1">
      <alignment horizontal="center" vertical="center" wrapText="1"/>
    </xf>
    <xf numFmtId="3" fontId="23" fillId="2" borderId="12" xfId="0" applyNumberFormat="1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"/>
    </xf>
    <xf numFmtId="0" fontId="16" fillId="0" borderId="21" xfId="0" applyFont="1" applyBorder="1"/>
    <xf numFmtId="165" fontId="16" fillId="0" borderId="22" xfId="0" applyNumberFormat="1" applyFont="1" applyBorder="1"/>
    <xf numFmtId="0" fontId="16" fillId="0" borderId="22" xfId="0" applyFont="1" applyBorder="1"/>
    <xf numFmtId="0" fontId="16" fillId="0" borderId="23" xfId="0" applyFont="1" applyBorder="1"/>
    <xf numFmtId="165" fontId="16" fillId="4" borderId="0" xfId="0" applyNumberFormat="1" applyFont="1" applyFill="1" applyBorder="1"/>
    <xf numFmtId="0" fontId="16" fillId="0" borderId="7" xfId="0" applyFont="1" applyBorder="1"/>
    <xf numFmtId="167" fontId="16" fillId="0" borderId="8" xfId="0" applyNumberFormat="1" applyFont="1" applyBorder="1"/>
    <xf numFmtId="168" fontId="21" fillId="5" borderId="9" xfId="0" applyNumberFormat="1" applyFont="1" applyFill="1" applyBorder="1" applyAlignment="1">
      <alignment horizontal="center"/>
    </xf>
    <xf numFmtId="0" fontId="16" fillId="0" borderId="10" xfId="0" applyFont="1" applyBorder="1"/>
    <xf numFmtId="167" fontId="28" fillId="8" borderId="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0" borderId="12" xfId="0" applyNumberFormat="1" applyFont="1" applyBorder="1" applyAlignment="1">
      <alignment horizontal="left"/>
    </xf>
    <xf numFmtId="3" fontId="16" fillId="0" borderId="12" xfId="0" applyNumberFormat="1" applyFont="1" applyBorder="1" applyAlignment="1">
      <alignment horizontal="center"/>
    </xf>
    <xf numFmtId="0" fontId="26" fillId="4" borderId="0" xfId="0" applyFont="1" applyFill="1" applyBorder="1"/>
    <xf numFmtId="0" fontId="26" fillId="0" borderId="11" xfId="0" applyFont="1" applyBorder="1"/>
    <xf numFmtId="167" fontId="26" fillId="0" borderId="12" xfId="0" applyNumberFormat="1" applyFont="1" applyBorder="1"/>
    <xf numFmtId="3" fontId="26" fillId="0" borderId="12" xfId="0" applyNumberFormat="1" applyFont="1" applyBorder="1" applyAlignment="1">
      <alignment horizontal="center"/>
    </xf>
    <xf numFmtId="0" fontId="26" fillId="0" borderId="14" xfId="0" applyFont="1" applyBorder="1"/>
    <xf numFmtId="0" fontId="26" fillId="0" borderId="0" xfId="0" applyFont="1"/>
    <xf numFmtId="167" fontId="26" fillId="0" borderId="12" xfId="0" applyNumberFormat="1" applyFont="1" applyBorder="1" applyAlignment="1">
      <alignment horizontal="left"/>
    </xf>
    <xf numFmtId="0" fontId="24" fillId="4" borderId="0" xfId="0" applyFont="1" applyFill="1" applyBorder="1"/>
    <xf numFmtId="0" fontId="24" fillId="0" borderId="11" xfId="0" applyFont="1" applyBorder="1"/>
    <xf numFmtId="169" fontId="24" fillId="0" borderId="12" xfId="0" applyNumberFormat="1" applyFont="1" applyBorder="1" applyAlignment="1">
      <alignment horizontal="left"/>
    </xf>
    <xf numFmtId="3" fontId="24" fillId="0" borderId="12" xfId="0" applyNumberFormat="1" applyFont="1" applyBorder="1" applyAlignment="1">
      <alignment horizontal="center"/>
    </xf>
    <xf numFmtId="0" fontId="24" fillId="0" borderId="14" xfId="0" applyFont="1" applyBorder="1"/>
    <xf numFmtId="0" fontId="24" fillId="0" borderId="0" xfId="0" applyFont="1"/>
    <xf numFmtId="167" fontId="16" fillId="0" borderId="12" xfId="0" applyNumberFormat="1" applyFont="1" applyBorder="1"/>
    <xf numFmtId="167" fontId="16" fillId="0" borderId="22" xfId="0" applyNumberFormat="1" applyFont="1" applyBorder="1"/>
    <xf numFmtId="10" fontId="16" fillId="0" borderId="22" xfId="0" applyNumberFormat="1" applyFont="1" applyBorder="1" applyAlignment="1">
      <alignment horizontal="center"/>
    </xf>
    <xf numFmtId="10" fontId="16" fillId="4" borderId="0" xfId="0" applyNumberFormat="1" applyFont="1" applyFill="1" applyBorder="1" applyAlignment="1">
      <alignment horizontal="center"/>
    </xf>
    <xf numFmtId="165" fontId="16" fillId="0" borderId="0" xfId="0" applyNumberFormat="1" applyFont="1"/>
    <xf numFmtId="10" fontId="16" fillId="0" borderId="0" xfId="0" applyNumberFormat="1" applyFont="1" applyAlignment="1">
      <alignment horizontal="center"/>
    </xf>
    <xf numFmtId="1" fontId="21" fillId="7" borderId="0" xfId="0" applyNumberFormat="1" applyFont="1" applyFill="1" applyBorder="1" applyAlignment="1">
      <alignment horizontal="center"/>
    </xf>
    <xf numFmtId="169" fontId="16" fillId="0" borderId="8" xfId="0" applyNumberFormat="1" applyFont="1" applyBorder="1"/>
    <xf numFmtId="169" fontId="28" fillId="8" borderId="0" xfId="0" applyNumberFormat="1" applyFont="1" applyFill="1" applyBorder="1" applyAlignment="1">
      <alignment horizontal="center"/>
    </xf>
    <xf numFmtId="169" fontId="21" fillId="7" borderId="12" xfId="0" applyNumberFormat="1" applyFont="1" applyFill="1" applyBorder="1"/>
    <xf numFmtId="3" fontId="16" fillId="0" borderId="0" xfId="0" applyNumberFormat="1" applyFont="1" applyAlignment="1">
      <alignment horizontal="center"/>
    </xf>
    <xf numFmtId="169" fontId="16" fillId="0" borderId="12" xfId="0" applyNumberFormat="1" applyFont="1" applyBorder="1" applyAlignment="1">
      <alignment horizontal="left"/>
    </xf>
    <xf numFmtId="169" fontId="16" fillId="4" borderId="0" xfId="0" applyNumberFormat="1" applyFont="1" applyFill="1" applyBorder="1"/>
    <xf numFmtId="169" fontId="16" fillId="0" borderId="11" xfId="0" applyNumberFormat="1" applyFont="1" applyBorder="1"/>
    <xf numFmtId="169" fontId="16" fillId="0" borderId="14" xfId="0" applyNumberFormat="1" applyFont="1" applyBorder="1"/>
    <xf numFmtId="169" fontId="16" fillId="0" borderId="0" xfId="0" applyNumberFormat="1" applyFont="1"/>
    <xf numFmtId="169" fontId="26" fillId="0" borderId="12" xfId="0" applyNumberFormat="1" applyFont="1" applyBorder="1" applyAlignment="1">
      <alignment horizontal="left"/>
    </xf>
    <xf numFmtId="169" fontId="26" fillId="0" borderId="12" xfId="0" applyNumberFormat="1" applyFont="1" applyBorder="1"/>
    <xf numFmtId="169" fontId="21" fillId="7" borderId="24" xfId="0" applyNumberFormat="1" applyFont="1" applyFill="1" applyBorder="1"/>
    <xf numFmtId="169" fontId="16" fillId="0" borderId="22" xfId="0" applyNumberFormat="1" applyFont="1" applyBorder="1"/>
    <xf numFmtId="165" fontId="16" fillId="0" borderId="22" xfId="0" applyNumberFormat="1" applyFont="1" applyBorder="1" applyAlignment="1">
      <alignment horizontal="center"/>
    </xf>
    <xf numFmtId="0" fontId="21" fillId="4" borderId="0" xfId="0" applyFont="1" applyFill="1" applyBorder="1"/>
    <xf numFmtId="0" fontId="21" fillId="0" borderId="0" xfId="0" applyFont="1"/>
    <xf numFmtId="169" fontId="26" fillId="0" borderId="0" xfId="0" applyNumberFormat="1" applyFont="1"/>
    <xf numFmtId="3" fontId="21" fillId="9" borderId="0" xfId="0" applyNumberFormat="1" applyFont="1" applyFill="1" applyBorder="1" applyAlignment="1">
      <alignment horizontal="center"/>
    </xf>
    <xf numFmtId="165" fontId="16" fillId="4" borderId="0" xfId="0" applyNumberFormat="1" applyFont="1" applyFill="1" applyBorder="1" applyAlignment="1">
      <alignment horizontal="center"/>
    </xf>
    <xf numFmtId="169" fontId="28" fillId="8" borderId="12" xfId="0" applyNumberFormat="1" applyFont="1" applyFill="1" applyBorder="1" applyAlignment="1">
      <alignment horizontal="center"/>
    </xf>
    <xf numFmtId="1" fontId="16" fillId="4" borderId="0" xfId="0" applyNumberFormat="1" applyFont="1" applyFill="1" applyBorder="1"/>
    <xf numFmtId="1" fontId="16" fillId="0" borderId="0" xfId="0" applyNumberFormat="1" applyFont="1" applyAlignment="1">
      <alignment horizontal="center"/>
    </xf>
    <xf numFmtId="1" fontId="16" fillId="0" borderId="0" xfId="0" applyNumberFormat="1" applyFont="1"/>
    <xf numFmtId="1" fontId="16" fillId="0" borderId="14" xfId="0" applyNumberFormat="1" applyFont="1" applyBorder="1"/>
    <xf numFmtId="0" fontId="17" fillId="4" borderId="0" xfId="0" applyFont="1" applyFill="1" applyBorder="1"/>
    <xf numFmtId="0" fontId="17" fillId="0" borderId="11" xfId="0" applyFont="1" applyBorder="1"/>
    <xf numFmtId="3" fontId="17" fillId="0" borderId="0" xfId="0" applyNumberFormat="1" applyFont="1" applyAlignment="1">
      <alignment horizontal="center"/>
    </xf>
    <xf numFmtId="0" fontId="17" fillId="0" borderId="14" xfId="0" applyFont="1" applyBorder="1"/>
    <xf numFmtId="0" fontId="17" fillId="0" borderId="0" xfId="0" applyFont="1"/>
    <xf numFmtId="3" fontId="16" fillId="0" borderId="0" xfId="0" applyNumberFormat="1" applyFont="1"/>
    <xf numFmtId="3" fontId="24" fillId="0" borderId="0" xfId="0" applyNumberFormat="1" applyFont="1" applyAlignment="1">
      <alignment horizontal="center"/>
    </xf>
    <xf numFmtId="3" fontId="24" fillId="0" borderId="24" xfId="0" applyNumberFormat="1" applyFont="1" applyBorder="1" applyAlignment="1">
      <alignment horizontal="center"/>
    </xf>
    <xf numFmtId="3" fontId="16" fillId="0" borderId="16" xfId="0" applyNumberFormat="1" applyFont="1" applyBorder="1" applyAlignment="1">
      <alignment horizontal="center"/>
    </xf>
    <xf numFmtId="3" fontId="24" fillId="0" borderId="16" xfId="0" applyNumberFormat="1" applyFont="1" applyBorder="1" applyAlignment="1">
      <alignment horizontal="center"/>
    </xf>
    <xf numFmtId="3" fontId="26" fillId="0" borderId="16" xfId="0" applyNumberFormat="1" applyFont="1" applyBorder="1" applyAlignment="1">
      <alignment horizontal="center"/>
    </xf>
    <xf numFmtId="169" fontId="29" fillId="0" borderId="0" xfId="0" applyNumberFormat="1" applyFont="1"/>
    <xf numFmtId="0" fontId="16" fillId="0" borderId="22" xfId="0" applyFont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169" fontId="16" fillId="0" borderId="8" xfId="0" applyNumberFormat="1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169" fontId="16" fillId="0" borderId="12" xfId="0" applyNumberFormat="1" applyFont="1" applyBorder="1" applyAlignment="1">
      <alignment vertical="center"/>
    </xf>
    <xf numFmtId="10" fontId="16" fillId="0" borderId="0" xfId="0" applyNumberFormat="1" applyFont="1" applyAlignment="1">
      <alignment horizontal="center" vertical="center"/>
    </xf>
    <xf numFmtId="171" fontId="16" fillId="0" borderId="12" xfId="0" applyNumberFormat="1" applyFont="1" applyBorder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2" xfId="0" applyNumberFormat="1" applyFont="1" applyBorder="1" applyAlignment="1">
      <alignment horizontal="center" vertical="center"/>
    </xf>
    <xf numFmtId="170" fontId="16" fillId="0" borderId="0" xfId="0" applyNumberFormat="1" applyFont="1" applyAlignment="1">
      <alignment horizontal="center" vertical="center"/>
    </xf>
    <xf numFmtId="171" fontId="16" fillId="0" borderId="0" xfId="0" applyNumberFormat="1" applyFont="1" applyAlignment="1">
      <alignment horizontal="center" vertical="center"/>
    </xf>
    <xf numFmtId="169" fontId="16" fillId="0" borderId="17" xfId="0" applyNumberFormat="1" applyFont="1" applyBorder="1" applyAlignment="1">
      <alignment horizontal="left" vertical="center"/>
    </xf>
    <xf numFmtId="3" fontId="16" fillId="0" borderId="25" xfId="0" applyNumberFormat="1" applyFont="1" applyBorder="1" applyAlignment="1">
      <alignment horizontal="center" vertical="center"/>
    </xf>
    <xf numFmtId="169" fontId="16" fillId="0" borderId="12" xfId="0" applyNumberFormat="1" applyFont="1" applyBorder="1" applyAlignment="1">
      <alignment horizontal="left" vertical="center"/>
    </xf>
    <xf numFmtId="169" fontId="26" fillId="0" borderId="12" xfId="0" applyNumberFormat="1" applyFont="1" applyBorder="1" applyAlignment="1">
      <alignment vertical="center"/>
    </xf>
    <xf numFmtId="3" fontId="26" fillId="0" borderId="12" xfId="0" applyNumberFormat="1" applyFont="1" applyBorder="1" applyAlignment="1">
      <alignment horizontal="center" vertical="center"/>
    </xf>
    <xf numFmtId="3" fontId="16" fillId="10" borderId="12" xfId="0" applyNumberFormat="1" applyFont="1" applyFill="1" applyBorder="1" applyAlignment="1">
      <alignment horizontal="center" vertical="center"/>
    </xf>
    <xf numFmtId="9" fontId="16" fillId="0" borderId="12" xfId="0" applyNumberFormat="1" applyFont="1" applyBorder="1" applyAlignment="1">
      <alignment horizontal="center" vertical="center"/>
    </xf>
    <xf numFmtId="0" fontId="16" fillId="4" borderId="0" xfId="0" applyFont="1" applyFill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169" fontId="16" fillId="0" borderId="12" xfId="0" applyNumberFormat="1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3" fontId="16" fillId="0" borderId="0" xfId="0" applyNumberFormat="1" applyFont="1" applyAlignment="1">
      <alignment horizontal="center" vertical="center" wrapText="1"/>
    </xf>
    <xf numFmtId="0" fontId="16" fillId="0" borderId="14" xfId="0" applyFont="1" applyBorder="1" applyAlignment="1">
      <alignment vertical="center" wrapText="1"/>
    </xf>
    <xf numFmtId="10" fontId="16" fillId="0" borderId="12" xfId="0" applyNumberFormat="1" applyFont="1" applyBorder="1" applyAlignment="1">
      <alignment horizontal="center" vertical="center" wrapText="1"/>
    </xf>
    <xf numFmtId="3" fontId="16" fillId="0" borderId="12" xfId="0" applyNumberFormat="1" applyFont="1" applyBorder="1" applyAlignment="1">
      <alignment horizontal="center" vertical="center" wrapText="1"/>
    </xf>
    <xf numFmtId="4" fontId="16" fillId="0" borderId="12" xfId="0" applyNumberFormat="1" applyFont="1" applyBorder="1" applyAlignment="1">
      <alignment horizontal="center" vertical="center" wrapText="1"/>
    </xf>
    <xf numFmtId="172" fontId="16" fillId="0" borderId="12" xfId="0" applyNumberFormat="1" applyFont="1" applyBorder="1" applyAlignment="1">
      <alignment horizontal="center" vertical="center" wrapText="1"/>
    </xf>
    <xf numFmtId="169" fontId="16" fillId="0" borderId="22" xfId="0" applyNumberFormat="1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168" fontId="21" fillId="8" borderId="12" xfId="0" applyNumberFormat="1" applyFont="1" applyFill="1" applyBorder="1" applyAlignment="1">
      <alignment horizontal="center"/>
    </xf>
    <xf numFmtId="169" fontId="21" fillId="8" borderId="0" xfId="0" applyNumberFormat="1" applyFont="1" applyFill="1" applyBorder="1" applyAlignment="1">
      <alignment horizontal="left"/>
    </xf>
    <xf numFmtId="10" fontId="16" fillId="0" borderId="12" xfId="0" applyNumberFormat="1" applyFont="1" applyBorder="1"/>
    <xf numFmtId="169" fontId="30" fillId="0" borderId="0" xfId="0" applyNumberFormat="1" applyFont="1"/>
    <xf numFmtId="0" fontId="21" fillId="7" borderId="0" xfId="0" applyFont="1" applyFill="1" applyBorder="1"/>
    <xf numFmtId="3" fontId="21" fillId="0" borderId="0" xfId="0" applyNumberFormat="1" applyFont="1" applyAlignment="1">
      <alignment horizontal="center"/>
    </xf>
    <xf numFmtId="9" fontId="16" fillId="0" borderId="12" xfId="0" applyNumberFormat="1" applyFont="1" applyBorder="1" applyAlignment="1">
      <alignment horizontal="center"/>
    </xf>
    <xf numFmtId="0" fontId="21" fillId="7" borderId="12" xfId="0" applyFont="1" applyFill="1" applyBorder="1"/>
    <xf numFmtId="3" fontId="26" fillId="0" borderId="0" xfId="0" applyNumberFormat="1" applyFont="1" applyAlignment="1">
      <alignment horizontal="center"/>
    </xf>
    <xf numFmtId="0" fontId="16" fillId="0" borderId="12" xfId="0" applyFont="1" applyBorder="1" applyAlignment="1">
      <alignment horizontal="left"/>
    </xf>
    <xf numFmtId="169" fontId="21" fillId="8" borderId="12" xfId="0" applyNumberFormat="1" applyFont="1" applyFill="1" applyBorder="1" applyAlignment="1">
      <alignment horizontal="left"/>
    </xf>
    <xf numFmtId="0" fontId="16" fillId="0" borderId="17" xfId="0" applyFont="1" applyBorder="1"/>
    <xf numFmtId="169" fontId="16" fillId="0" borderId="12" xfId="0" applyNumberFormat="1" applyFont="1" applyBorder="1"/>
    <xf numFmtId="0" fontId="21" fillId="7" borderId="24" xfId="0" applyFont="1" applyFill="1" applyBorder="1"/>
    <xf numFmtId="0" fontId="21" fillId="7" borderId="26" xfId="0" applyFont="1" applyFill="1" applyBorder="1"/>
    <xf numFmtId="0" fontId="15" fillId="0" borderId="0" xfId="6"/>
    <xf numFmtId="0" fontId="38" fillId="0" borderId="0" xfId="6" applyFont="1" applyBorder="1" applyAlignment="1">
      <alignment horizontal="left" vertical="center" wrapText="1"/>
    </xf>
    <xf numFmtId="0" fontId="38" fillId="0" borderId="0" xfId="6" applyFont="1" applyBorder="1" applyAlignment="1">
      <alignment vertical="center" wrapText="1"/>
    </xf>
    <xf numFmtId="167" fontId="0" fillId="0" borderId="0" xfId="8" applyFont="1"/>
    <xf numFmtId="169" fontId="15" fillId="0" borderId="0" xfId="6" applyNumberFormat="1"/>
    <xf numFmtId="167" fontId="39" fillId="0" borderId="0" xfId="6" applyNumberFormat="1" applyFont="1"/>
    <xf numFmtId="43" fontId="15" fillId="0" borderId="0" xfId="6" applyNumberFormat="1" applyBorder="1"/>
    <xf numFmtId="43" fontId="15" fillId="0" borderId="0" xfId="6" applyNumberFormat="1" applyFill="1" applyBorder="1"/>
    <xf numFmtId="167" fontId="39" fillId="0" borderId="0" xfId="6" applyNumberFormat="1" applyFont="1" applyFill="1" applyBorder="1"/>
    <xf numFmtId="0" fontId="15" fillId="0" borderId="0" xfId="6" applyFill="1" applyBorder="1"/>
    <xf numFmtId="0" fontId="15" fillId="0" borderId="0" xfId="6" applyFill="1"/>
    <xf numFmtId="0" fontId="15" fillId="17" borderId="0" xfId="6" applyFill="1"/>
    <xf numFmtId="1" fontId="15" fillId="17" borderId="31" xfId="6" applyNumberFormat="1" applyFill="1" applyBorder="1"/>
    <xf numFmtId="1" fontId="15" fillId="17" borderId="32" xfId="6" applyNumberFormat="1" applyFill="1" applyBorder="1"/>
    <xf numFmtId="1" fontId="15" fillId="17" borderId="33" xfId="6" applyNumberFormat="1" applyFill="1" applyBorder="1"/>
    <xf numFmtId="1" fontId="15" fillId="17" borderId="34" xfId="6" applyNumberFormat="1" applyFill="1" applyBorder="1"/>
    <xf numFmtId="0" fontId="15" fillId="17" borderId="33" xfId="6" applyFill="1" applyBorder="1"/>
    <xf numFmtId="0" fontId="15" fillId="17" borderId="35" xfId="6" applyFill="1" applyBorder="1" applyAlignment="1">
      <alignment vertical="center"/>
    </xf>
    <xf numFmtId="0" fontId="15" fillId="18" borderId="0" xfId="6" applyFill="1"/>
    <xf numFmtId="3" fontId="15" fillId="18" borderId="36" xfId="6" applyNumberFormat="1" applyFill="1" applyBorder="1"/>
    <xf numFmtId="3" fontId="15" fillId="18" borderId="30" xfId="6" applyNumberFormat="1" applyFill="1" applyBorder="1"/>
    <xf numFmtId="3" fontId="15" fillId="18" borderId="37" xfId="6" applyNumberFormat="1" applyFill="1" applyBorder="1"/>
    <xf numFmtId="3" fontId="15" fillId="18" borderId="38" xfId="6" applyNumberFormat="1" applyFill="1" applyBorder="1"/>
    <xf numFmtId="1" fontId="15" fillId="18" borderId="30" xfId="6" applyNumberFormat="1" applyFill="1" applyBorder="1"/>
    <xf numFmtId="0" fontId="15" fillId="18" borderId="30" xfId="6" applyFill="1" applyBorder="1"/>
    <xf numFmtId="3" fontId="15" fillId="18" borderId="39" xfId="6" applyNumberFormat="1" applyFill="1" applyBorder="1"/>
    <xf numFmtId="3" fontId="15" fillId="18" borderId="40" xfId="6" applyNumberFormat="1" applyFill="1" applyBorder="1"/>
    <xf numFmtId="3" fontId="15" fillId="18" borderId="41" xfId="6" applyNumberFormat="1" applyFill="1" applyBorder="1"/>
    <xf numFmtId="3" fontId="15" fillId="18" borderId="42" xfId="6" applyNumberFormat="1" applyFill="1" applyBorder="1"/>
    <xf numFmtId="1" fontId="15" fillId="18" borderId="40" xfId="6" applyNumberFormat="1" applyFill="1" applyBorder="1"/>
    <xf numFmtId="0" fontId="15" fillId="18" borderId="40" xfId="6" applyFill="1" applyBorder="1"/>
    <xf numFmtId="0" fontId="15" fillId="18" borderId="43" xfId="6" applyFill="1" applyBorder="1"/>
    <xf numFmtId="0" fontId="41" fillId="18" borderId="35" xfId="6" applyFont="1" applyFill="1" applyBorder="1"/>
    <xf numFmtId="0" fontId="15" fillId="18" borderId="45" xfId="6" applyFill="1" applyBorder="1"/>
    <xf numFmtId="0" fontId="15" fillId="18" borderId="0" xfId="6" applyFill="1" applyBorder="1"/>
    <xf numFmtId="1" fontId="15" fillId="0" borderId="0" xfId="6" applyNumberFormat="1"/>
    <xf numFmtId="164" fontId="40" fillId="0" borderId="0" xfId="6" applyNumberFormat="1" applyFont="1"/>
    <xf numFmtId="0" fontId="15" fillId="0" borderId="0" xfId="6" applyBorder="1"/>
    <xf numFmtId="1" fontId="15" fillId="17" borderId="30" xfId="6" applyNumberFormat="1" applyFill="1" applyBorder="1"/>
    <xf numFmtId="3" fontId="15" fillId="0" borderId="0" xfId="6" applyNumberFormat="1" applyBorder="1"/>
    <xf numFmtId="9" fontId="0" fillId="0" borderId="0" xfId="7" applyFont="1"/>
    <xf numFmtId="0" fontId="42" fillId="17" borderId="30" xfId="6" applyFont="1" applyFill="1" applyBorder="1"/>
    <xf numFmtId="1" fontId="36" fillId="19" borderId="0" xfId="6" applyNumberFormat="1" applyFont="1" applyFill="1" applyBorder="1" applyAlignment="1">
      <alignment horizontal="center"/>
    </xf>
    <xf numFmtId="1" fontId="42" fillId="17" borderId="40" xfId="6" applyNumberFormat="1" applyFont="1" applyFill="1" applyBorder="1"/>
    <xf numFmtId="9" fontId="15" fillId="0" borderId="0" xfId="6" applyNumberFormat="1"/>
    <xf numFmtId="0" fontId="36" fillId="0" borderId="0" xfId="6" applyFont="1" applyAlignment="1">
      <alignment horizontal="center"/>
    </xf>
    <xf numFmtId="1" fontId="15" fillId="22" borderId="38" xfId="6" applyNumberFormat="1" applyFill="1" applyBorder="1" applyAlignment="1">
      <alignment horizontal="center"/>
    </xf>
    <xf numFmtId="167" fontId="39" fillId="23" borderId="30" xfId="6" applyNumberFormat="1" applyFont="1" applyFill="1" applyBorder="1"/>
    <xf numFmtId="0" fontId="40" fillId="0" borderId="30" xfId="6" applyFont="1" applyBorder="1"/>
    <xf numFmtId="0" fontId="15" fillId="17" borderId="0" xfId="6" applyFill="1" applyAlignment="1"/>
    <xf numFmtId="164" fontId="15" fillId="0" borderId="0" xfId="6" applyNumberFormat="1"/>
    <xf numFmtId="173" fontId="50" fillId="0" borderId="0" xfId="23" applyNumberFormat="1" applyFont="1" applyFill="1"/>
    <xf numFmtId="0" fontId="51" fillId="0" borderId="0" xfId="6" applyFont="1" applyFill="1"/>
    <xf numFmtId="0" fontId="50" fillId="0" borderId="0" xfId="6" applyFont="1" applyFill="1"/>
    <xf numFmtId="170" fontId="51" fillId="0" borderId="0" xfId="6" applyNumberFormat="1" applyFont="1" applyBorder="1" applyAlignment="1">
      <alignment horizontal="right"/>
    </xf>
    <xf numFmtId="0" fontId="43" fillId="0" borderId="0" xfId="6" applyFont="1" applyBorder="1" applyAlignment="1">
      <alignment horizontal="center"/>
    </xf>
    <xf numFmtId="0" fontId="51" fillId="0" borderId="0" xfId="6" applyFont="1" applyBorder="1" applyAlignment="1">
      <alignment horizontal="center"/>
    </xf>
    <xf numFmtId="0" fontId="51" fillId="0" borderId="0" xfId="6" applyFont="1" applyBorder="1"/>
    <xf numFmtId="1" fontId="39" fillId="0" borderId="0" xfId="6" applyNumberFormat="1" applyFont="1"/>
    <xf numFmtId="0" fontId="15" fillId="0" borderId="30" xfId="6" applyBorder="1"/>
    <xf numFmtId="0" fontId="15" fillId="0" borderId="37" xfId="6" applyBorder="1"/>
    <xf numFmtId="0" fontId="43" fillId="0" borderId="30" xfId="6" applyFont="1" applyBorder="1" applyAlignment="1">
      <alignment horizontal="center"/>
    </xf>
    <xf numFmtId="0" fontId="51" fillId="0" borderId="30" xfId="6" applyFont="1" applyBorder="1" applyAlignment="1">
      <alignment horizontal="center"/>
    </xf>
    <xf numFmtId="0" fontId="51" fillId="0" borderId="0" xfId="6" applyFont="1"/>
    <xf numFmtId="0" fontId="51" fillId="0" borderId="0" xfId="6" applyFont="1" applyFill="1" applyBorder="1"/>
    <xf numFmtId="0" fontId="51" fillId="0" borderId="30" xfId="6" applyFont="1" applyBorder="1" applyAlignment="1">
      <alignment horizontal="right"/>
    </xf>
    <xf numFmtId="0" fontId="51" fillId="0" borderId="30" xfId="6" applyFont="1" applyBorder="1"/>
    <xf numFmtId="0" fontId="43" fillId="0" borderId="30" xfId="6" applyFont="1" applyBorder="1"/>
    <xf numFmtId="167" fontId="0" fillId="18" borderId="0" xfId="8" applyFont="1" applyFill="1"/>
    <xf numFmtId="3" fontId="51" fillId="0" borderId="30" xfId="6" applyNumberFormat="1" applyFont="1" applyBorder="1"/>
    <xf numFmtId="167" fontId="15" fillId="0" borderId="0" xfId="6" applyNumberFormat="1"/>
    <xf numFmtId="0" fontId="50" fillId="0" borderId="30" xfId="6" applyFont="1" applyBorder="1" applyAlignment="1">
      <alignment horizontal="center"/>
    </xf>
    <xf numFmtId="0" fontId="15" fillId="24" borderId="35" xfId="6" applyFill="1" applyBorder="1"/>
    <xf numFmtId="0" fontId="39" fillId="0" borderId="0" xfId="6" applyFont="1"/>
    <xf numFmtId="3" fontId="51" fillId="0" borderId="30" xfId="6" applyNumberFormat="1" applyFont="1" applyBorder="1" applyAlignment="1">
      <alignment horizontal="right"/>
    </xf>
    <xf numFmtId="3" fontId="51" fillId="0" borderId="30" xfId="6" applyNumberFormat="1" applyFont="1" applyBorder="1" applyAlignment="1">
      <alignment horizontal="center"/>
    </xf>
    <xf numFmtId="0" fontId="51" fillId="0" borderId="67" xfId="6" applyFont="1" applyBorder="1" applyAlignment="1">
      <alignment horizontal="right"/>
    </xf>
    <xf numFmtId="0" fontId="51" fillId="0" borderId="50" xfId="6" applyFont="1" applyBorder="1" applyAlignment="1">
      <alignment horizontal="center"/>
    </xf>
    <xf numFmtId="0" fontId="51" fillId="0" borderId="0" xfId="6" applyFont="1" applyAlignment="1">
      <alignment horizontal="center"/>
    </xf>
    <xf numFmtId="3" fontId="15" fillId="0" borderId="0" xfId="6" applyNumberFormat="1"/>
    <xf numFmtId="0" fontId="37" fillId="0" borderId="0" xfId="6" applyFont="1"/>
    <xf numFmtId="0" fontId="37" fillId="18" borderId="0" xfId="6" applyFont="1" applyFill="1"/>
    <xf numFmtId="167" fontId="0" fillId="0" borderId="0" xfId="8" applyFont="1" applyBorder="1"/>
    <xf numFmtId="1" fontId="15" fillId="0" borderId="0" xfId="6" applyNumberFormat="1" applyFill="1" applyBorder="1"/>
    <xf numFmtId="3" fontId="15" fillId="18" borderId="0" xfId="6" applyNumberFormat="1" applyFill="1"/>
    <xf numFmtId="3" fontId="15" fillId="0" borderId="0" xfId="6" applyNumberFormat="1" applyFill="1" applyBorder="1"/>
    <xf numFmtId="167" fontId="0" fillId="0" borderId="0" xfId="8" applyFont="1" applyFill="1" applyBorder="1"/>
    <xf numFmtId="1" fontId="39" fillId="0" borderId="0" xfId="6" applyNumberFormat="1" applyFont="1" applyFill="1" applyBorder="1"/>
    <xf numFmtId="0" fontId="15" fillId="0" borderId="0" xfId="5" applyFill="1" applyBorder="1"/>
    <xf numFmtId="167" fontId="15" fillId="0" borderId="0" xfId="5" applyNumberFormat="1" applyFill="1" applyBorder="1"/>
    <xf numFmtId="10" fontId="15" fillId="0" borderId="0" xfId="6" applyNumberFormat="1" applyFill="1"/>
    <xf numFmtId="0" fontId="15" fillId="17" borderId="49" xfId="6" applyFill="1" applyBorder="1"/>
    <xf numFmtId="0" fontId="15" fillId="17" borderId="46" xfId="6" applyFill="1" applyBorder="1"/>
    <xf numFmtId="0" fontId="36" fillId="17" borderId="47" xfId="6" applyFont="1" applyFill="1" applyBorder="1"/>
    <xf numFmtId="9" fontId="15" fillId="0" borderId="0" xfId="6" applyNumberFormat="1" applyFill="1"/>
    <xf numFmtId="2" fontId="15" fillId="0" borderId="0" xfId="6" applyNumberFormat="1" applyBorder="1" applyAlignment="1">
      <alignment wrapText="1"/>
    </xf>
    <xf numFmtId="3" fontId="35" fillId="0" borderId="0" xfId="6" applyNumberFormat="1" applyFont="1" applyBorder="1"/>
    <xf numFmtId="3" fontId="36" fillId="0" borderId="0" xfId="6" applyNumberFormat="1" applyFont="1" applyBorder="1"/>
    <xf numFmtId="167" fontId="15" fillId="0" borderId="0" xfId="6" applyNumberFormat="1" applyBorder="1"/>
    <xf numFmtId="167" fontId="36" fillId="0" borderId="65" xfId="8" applyFont="1" applyBorder="1" applyAlignment="1">
      <alignment vertical="center"/>
    </xf>
    <xf numFmtId="167" fontId="36" fillId="26" borderId="57" xfId="8" applyFont="1" applyFill="1" applyBorder="1"/>
    <xf numFmtId="0" fontId="15" fillId="26" borderId="58" xfId="6" applyFill="1" applyBorder="1"/>
    <xf numFmtId="0" fontId="36" fillId="26" borderId="59" xfId="6" applyFont="1" applyFill="1" applyBorder="1"/>
    <xf numFmtId="3" fontId="15" fillId="0" borderId="36" xfId="6" applyNumberFormat="1" applyBorder="1"/>
    <xf numFmtId="2" fontId="15" fillId="0" borderId="0" xfId="6" applyNumberFormat="1" applyFill="1" applyBorder="1" applyAlignment="1">
      <alignment wrapText="1"/>
    </xf>
    <xf numFmtId="167" fontId="0" fillId="0" borderId="30" xfId="8" applyFont="1" applyBorder="1"/>
    <xf numFmtId="0" fontId="36" fillId="0" borderId="37" xfId="6" applyFont="1" applyFill="1" applyBorder="1"/>
    <xf numFmtId="0" fontId="36" fillId="20" borderId="61" xfId="6" applyFont="1" applyFill="1" applyBorder="1" applyAlignment="1">
      <alignment horizontal="center"/>
    </xf>
    <xf numFmtId="0" fontId="36" fillId="20" borderId="62" xfId="6" applyFont="1" applyFill="1" applyBorder="1" applyAlignment="1">
      <alignment horizontal="center"/>
    </xf>
    <xf numFmtId="0" fontId="36" fillId="20" borderId="63" xfId="6" applyFont="1" applyFill="1" applyBorder="1"/>
    <xf numFmtId="0" fontId="36" fillId="0" borderId="0" xfId="6" applyFont="1" applyBorder="1"/>
    <xf numFmtId="3" fontId="15" fillId="26" borderId="58" xfId="6" applyNumberFormat="1" applyFill="1" applyBorder="1"/>
    <xf numFmtId="167" fontId="0" fillId="0" borderId="36" xfId="8" applyFont="1" applyBorder="1" applyAlignment="1">
      <alignment horizontal="right"/>
    </xf>
    <xf numFmtId="167" fontId="0" fillId="0" borderId="30" xfId="8" applyFont="1" applyBorder="1" applyAlignment="1">
      <alignment horizontal="right"/>
    </xf>
    <xf numFmtId="167" fontId="42" fillId="0" borderId="36" xfId="8" applyFont="1" applyBorder="1" applyAlignment="1">
      <alignment horizontal="right"/>
    </xf>
    <xf numFmtId="0" fontId="36" fillId="20" borderId="47" xfId="6" applyFont="1" applyFill="1" applyBorder="1"/>
    <xf numFmtId="3" fontId="36" fillId="18" borderId="0" xfId="6" applyNumberFormat="1" applyFont="1" applyFill="1"/>
    <xf numFmtId="3" fontId="36" fillId="0" borderId="67" xfId="6" applyNumberFormat="1" applyFont="1" applyBorder="1"/>
    <xf numFmtId="3" fontId="15" fillId="0" borderId="50" xfId="6" applyNumberFormat="1" applyBorder="1"/>
    <xf numFmtId="0" fontId="15" fillId="0" borderId="50" xfId="6" applyBorder="1"/>
    <xf numFmtId="2" fontId="36" fillId="0" borderId="0" xfId="6" applyNumberFormat="1" applyFont="1" applyFill="1" applyBorder="1" applyAlignment="1">
      <alignment wrapText="1"/>
    </xf>
    <xf numFmtId="2" fontId="36" fillId="26" borderId="59" xfId="6" applyNumberFormat="1" applyFont="1" applyFill="1" applyBorder="1" applyAlignment="1">
      <alignment wrapText="1"/>
    </xf>
    <xf numFmtId="0" fontId="36" fillId="0" borderId="0" xfId="6" applyFont="1"/>
    <xf numFmtId="167" fontId="0" fillId="0" borderId="36" xfId="8" applyFont="1" applyBorder="1"/>
    <xf numFmtId="2" fontId="15" fillId="0" borderId="37" xfId="6" applyNumberFormat="1" applyFill="1" applyBorder="1" applyAlignment="1">
      <alignment wrapText="1"/>
    </xf>
    <xf numFmtId="2" fontId="36" fillId="20" borderId="68" xfId="6" applyNumberFormat="1" applyFont="1" applyFill="1" applyBorder="1" applyAlignment="1">
      <alignment wrapText="1"/>
    </xf>
    <xf numFmtId="3" fontId="36" fillId="18" borderId="67" xfId="6" applyNumberFormat="1" applyFont="1" applyFill="1" applyBorder="1"/>
    <xf numFmtId="3" fontId="15" fillId="18" borderId="50" xfId="6" applyNumberFormat="1" applyFill="1" applyBorder="1"/>
    <xf numFmtId="3" fontId="36" fillId="18" borderId="85" xfId="6" applyNumberFormat="1" applyFont="1" applyFill="1" applyBorder="1" applyAlignment="1">
      <alignment wrapText="1"/>
    </xf>
    <xf numFmtId="167" fontId="36" fillId="27" borderId="57" xfId="8" applyFont="1" applyFill="1" applyBorder="1"/>
    <xf numFmtId="3" fontId="15" fillId="27" borderId="58" xfId="6" applyNumberFormat="1" applyFill="1" applyBorder="1"/>
    <xf numFmtId="3" fontId="36" fillId="27" borderId="59" xfId="6" applyNumberFormat="1" applyFont="1" applyFill="1" applyBorder="1" applyAlignment="1">
      <alignment wrapText="1"/>
    </xf>
    <xf numFmtId="3" fontId="15" fillId="0" borderId="30" xfId="6" applyNumberFormat="1" applyBorder="1"/>
    <xf numFmtId="2" fontId="15" fillId="0" borderId="37" xfId="6" applyNumberFormat="1" applyBorder="1" applyAlignment="1">
      <alignment wrapText="1"/>
    </xf>
    <xf numFmtId="169" fontId="0" fillId="0" borderId="0" xfId="8" applyNumberFormat="1" applyFont="1" applyBorder="1"/>
    <xf numFmtId="43" fontId="15" fillId="0" borderId="0" xfId="6" applyNumberFormat="1"/>
    <xf numFmtId="167" fontId="0" fillId="0" borderId="86" xfId="8" applyFont="1" applyBorder="1"/>
    <xf numFmtId="167" fontId="0" fillId="0" borderId="53" xfId="8" applyFont="1" applyBorder="1"/>
    <xf numFmtId="0" fontId="15" fillId="0" borderId="53" xfId="6" applyBorder="1"/>
    <xf numFmtId="2" fontId="15" fillId="0" borderId="54" xfId="6" applyNumberFormat="1" applyFill="1" applyBorder="1" applyAlignment="1"/>
    <xf numFmtId="0" fontId="48" fillId="0" borderId="0" xfId="25"/>
    <xf numFmtId="0" fontId="48" fillId="0" borderId="0" xfId="25" applyAlignment="1">
      <alignment horizontal="left" vertical="center" indent="1"/>
    </xf>
    <xf numFmtId="4" fontId="48" fillId="0" borderId="0" xfId="25" applyNumberFormat="1"/>
    <xf numFmtId="0" fontId="48" fillId="18" borderId="0" xfId="25" applyFill="1" applyBorder="1"/>
    <xf numFmtId="4" fontId="53" fillId="28" borderId="0" xfId="6" applyNumberFormat="1" applyFont="1" applyFill="1" applyAlignment="1">
      <alignment horizontal="right" vertical="center" wrapText="1"/>
    </xf>
    <xf numFmtId="3" fontId="54" fillId="18" borderId="0" xfId="25" applyNumberFormat="1" applyFont="1" applyFill="1" applyBorder="1" applyAlignment="1">
      <alignment horizontal="center" vertical="center" wrapText="1"/>
    </xf>
    <xf numFmtId="0" fontId="54" fillId="18" borderId="0" xfId="25" applyFont="1" applyFill="1" applyBorder="1" applyAlignment="1">
      <alignment horizontal="center" vertical="center" wrapText="1"/>
    </xf>
    <xf numFmtId="0" fontId="55" fillId="0" borderId="0" xfId="25" applyFont="1"/>
    <xf numFmtId="4" fontId="53" fillId="0" borderId="0" xfId="6" applyNumberFormat="1" applyFont="1"/>
    <xf numFmtId="3" fontId="48" fillId="18" borderId="0" xfId="25" applyNumberFormat="1" applyFill="1" applyBorder="1"/>
    <xf numFmtId="0" fontId="51" fillId="18" borderId="0" xfId="6" applyFont="1" applyFill="1" applyBorder="1"/>
    <xf numFmtId="3" fontId="48" fillId="0" borderId="0" xfId="25" applyNumberFormat="1"/>
    <xf numFmtId="180" fontId="55" fillId="0" borderId="0" xfId="25" applyNumberFormat="1" applyFont="1"/>
    <xf numFmtId="180" fontId="0" fillId="0" borderId="0" xfId="12" applyNumberFormat="1" applyFont="1"/>
    <xf numFmtId="0" fontId="51" fillId="18" borderId="0" xfId="6" applyFont="1" applyFill="1" applyBorder="1" applyAlignment="1">
      <alignment horizontal="left"/>
    </xf>
    <xf numFmtId="180" fontId="48" fillId="0" borderId="0" xfId="25" applyNumberFormat="1"/>
    <xf numFmtId="171" fontId="48" fillId="0" borderId="0" xfId="25" applyNumberFormat="1"/>
    <xf numFmtId="0" fontId="48" fillId="0" borderId="0" xfId="25" applyFill="1"/>
    <xf numFmtId="0" fontId="56" fillId="0" borderId="0" xfId="25" quotePrefix="1" applyFont="1" applyFill="1" applyBorder="1" applyAlignment="1">
      <alignment horizontal="center" vertical="center" wrapText="1"/>
    </xf>
    <xf numFmtId="0" fontId="54" fillId="20" borderId="44" xfId="25" applyFont="1" applyFill="1" applyBorder="1" applyAlignment="1">
      <alignment horizontal="center" vertical="center"/>
    </xf>
    <xf numFmtId="3" fontId="57" fillId="20" borderId="56" xfId="25" applyNumberFormat="1" applyFont="1" applyFill="1" applyBorder="1" applyAlignment="1">
      <alignment horizontal="center" vertical="center" wrapText="1"/>
    </xf>
    <xf numFmtId="3" fontId="58" fillId="20" borderId="56" xfId="25" applyNumberFormat="1" applyFont="1" applyFill="1" applyBorder="1" applyAlignment="1">
      <alignment horizontal="center" vertical="center" wrapText="1"/>
    </xf>
    <xf numFmtId="3" fontId="58" fillId="20" borderId="43" xfId="25" quotePrefix="1" applyNumberFormat="1" applyFont="1" applyFill="1" applyBorder="1" applyAlignment="1">
      <alignment vertical="center" wrapText="1"/>
    </xf>
    <xf numFmtId="3" fontId="58" fillId="20" borderId="56" xfId="25" quotePrefix="1" applyNumberFormat="1" applyFont="1" applyFill="1" applyBorder="1" applyAlignment="1">
      <alignment vertical="center" wrapText="1"/>
    </xf>
    <xf numFmtId="3" fontId="57" fillId="20" borderId="43" xfId="25" quotePrefix="1" applyNumberFormat="1" applyFont="1" applyFill="1" applyBorder="1" applyAlignment="1">
      <alignment vertical="center" wrapText="1"/>
    </xf>
    <xf numFmtId="3" fontId="57" fillId="20" borderId="56" xfId="25" quotePrefix="1" applyNumberFormat="1" applyFont="1" applyFill="1" applyBorder="1" applyAlignment="1">
      <alignment vertical="center" wrapText="1"/>
    </xf>
    <xf numFmtId="3" fontId="57" fillId="20" borderId="89" xfId="25" applyNumberFormat="1" applyFont="1" applyFill="1" applyBorder="1" applyAlignment="1">
      <alignment horizontal="center"/>
    </xf>
    <xf numFmtId="3" fontId="54" fillId="20" borderId="89" xfId="25" applyNumberFormat="1" applyFont="1" applyFill="1" applyBorder="1" applyAlignment="1">
      <alignment horizontal="center"/>
    </xf>
    <xf numFmtId="180" fontId="61" fillId="18" borderId="42" xfId="12" applyNumberFormat="1" applyFont="1" applyFill="1" applyBorder="1" applyAlignment="1">
      <alignment horizontal="center" vertical="center" wrapText="1"/>
    </xf>
    <xf numFmtId="3" fontId="61" fillId="18" borderId="40" xfId="25" applyNumberFormat="1" applyFont="1" applyFill="1" applyBorder="1" applyAlignment="1">
      <alignment horizontal="center" vertical="center" wrapText="1"/>
    </xf>
    <xf numFmtId="3" fontId="54" fillId="20" borderId="30" xfId="25" applyNumberFormat="1" applyFont="1" applyFill="1" applyBorder="1" applyAlignment="1">
      <alignment horizontal="center"/>
    </xf>
    <xf numFmtId="180" fontId="61" fillId="18" borderId="40" xfId="12" applyNumberFormat="1" applyFont="1" applyFill="1" applyBorder="1" applyAlignment="1">
      <alignment horizontal="center" vertical="center" wrapText="1"/>
    </xf>
    <xf numFmtId="180" fontId="61" fillId="18" borderId="40" xfId="12" quotePrefix="1" applyNumberFormat="1" applyFont="1" applyFill="1" applyBorder="1" applyAlignment="1">
      <alignment horizontal="center" vertical="center" wrapText="1"/>
    </xf>
    <xf numFmtId="0" fontId="61" fillId="18" borderId="90" xfId="25" applyFont="1" applyFill="1" applyBorder="1" applyAlignment="1">
      <alignment horizontal="center" vertical="center"/>
    </xf>
    <xf numFmtId="3" fontId="62" fillId="18" borderId="89" xfId="25" applyNumberFormat="1" applyFont="1" applyFill="1" applyBorder="1" applyAlignment="1">
      <alignment horizontal="center"/>
    </xf>
    <xf numFmtId="3" fontId="54" fillId="29" borderId="30" xfId="25" applyNumberFormat="1" applyFont="1" applyFill="1" applyBorder="1" applyAlignment="1">
      <alignment horizontal="center"/>
    </xf>
    <xf numFmtId="3" fontId="54" fillId="29" borderId="40" xfId="25" applyNumberFormat="1" applyFont="1" applyFill="1" applyBorder="1" applyAlignment="1">
      <alignment horizontal="center" vertical="center" wrapText="1"/>
    </xf>
    <xf numFmtId="0" fontId="61" fillId="18" borderId="30" xfId="25" applyFont="1" applyFill="1" applyBorder="1" applyAlignment="1">
      <alignment horizontal="center" vertical="center" wrapText="1"/>
    </xf>
    <xf numFmtId="0" fontId="61" fillId="0" borderId="91" xfId="25" applyFont="1" applyBorder="1" applyAlignment="1">
      <alignment horizontal="center" vertical="center"/>
    </xf>
    <xf numFmtId="0" fontId="60" fillId="0" borderId="60" xfId="25" applyFont="1" applyBorder="1" applyAlignment="1">
      <alignment horizontal="center"/>
    </xf>
    <xf numFmtId="180" fontId="61" fillId="0" borderId="42" xfId="12" applyNumberFormat="1" applyFont="1" applyBorder="1" applyAlignment="1">
      <alignment horizontal="center" vertical="center" wrapText="1"/>
    </xf>
    <xf numFmtId="3" fontId="61" fillId="0" borderId="40" xfId="25" applyNumberFormat="1" applyFont="1" applyBorder="1" applyAlignment="1">
      <alignment horizontal="center" vertical="center" wrapText="1"/>
    </xf>
    <xf numFmtId="180" fontId="61" fillId="0" borderId="40" xfId="12" applyNumberFormat="1" applyFont="1" applyBorder="1" applyAlignment="1">
      <alignment horizontal="center" vertical="center" wrapText="1"/>
    </xf>
    <xf numFmtId="180" fontId="61" fillId="0" borderId="40" xfId="12" quotePrefix="1" applyNumberFormat="1" applyFont="1" applyBorder="1" applyAlignment="1">
      <alignment horizontal="center" vertical="center" wrapText="1"/>
    </xf>
    <xf numFmtId="3" fontId="54" fillId="20" borderId="40" xfId="25" applyNumberFormat="1" applyFont="1" applyFill="1" applyBorder="1" applyAlignment="1">
      <alignment horizontal="center" vertical="center" wrapText="1"/>
    </xf>
    <xf numFmtId="0" fontId="61" fillId="0" borderId="30" xfId="25" applyFont="1" applyBorder="1" applyAlignment="1">
      <alignment horizontal="center" vertical="center" wrapText="1"/>
    </xf>
    <xf numFmtId="0" fontId="60" fillId="0" borderId="92" xfId="25" applyFont="1" applyBorder="1" applyAlignment="1">
      <alignment horizontal="center"/>
    </xf>
    <xf numFmtId="3" fontId="57" fillId="20" borderId="93" xfId="25" applyNumberFormat="1" applyFont="1" applyFill="1" applyBorder="1" applyAlignment="1">
      <alignment horizontal="center"/>
    </xf>
    <xf numFmtId="0" fontId="61" fillId="0" borderId="40" xfId="25" applyFont="1" applyBorder="1" applyAlignment="1">
      <alignment horizontal="center" vertical="center" wrapText="1"/>
    </xf>
    <xf numFmtId="0" fontId="51" fillId="0" borderId="30" xfId="6" applyFont="1" applyBorder="1" applyAlignment="1">
      <alignment horizontal="left"/>
    </xf>
    <xf numFmtId="9" fontId="64" fillId="0" borderId="38" xfId="26" applyFont="1" applyBorder="1" applyAlignment="1">
      <alignment horizontal="center" vertical="center" wrapText="1"/>
    </xf>
    <xf numFmtId="9" fontId="64" fillId="0" borderId="30" xfId="26" quotePrefix="1" applyFont="1" applyBorder="1" applyAlignment="1">
      <alignment horizontal="center" vertical="center" wrapText="1"/>
    </xf>
    <xf numFmtId="10" fontId="64" fillId="0" borderId="30" xfId="26" applyNumberFormat="1" applyFont="1" applyBorder="1" applyAlignment="1">
      <alignment horizontal="center" vertical="center" wrapText="1"/>
    </xf>
    <xf numFmtId="9" fontId="64" fillId="0" borderId="30" xfId="26" applyFont="1" applyBorder="1" applyAlignment="1">
      <alignment horizontal="center" vertical="center" wrapText="1"/>
    </xf>
    <xf numFmtId="171" fontId="64" fillId="0" borderId="60" xfId="26" applyNumberFormat="1" applyFont="1" applyBorder="1" applyAlignment="1">
      <alignment horizontal="center" vertical="center" wrapText="1"/>
    </xf>
    <xf numFmtId="9" fontId="64" fillId="0" borderId="60" xfId="26" quotePrefix="1" applyFont="1" applyBorder="1" applyAlignment="1">
      <alignment horizontal="center" vertical="center" wrapText="1"/>
    </xf>
    <xf numFmtId="171" fontId="64" fillId="0" borderId="30" xfId="26" applyNumberFormat="1" applyFont="1" applyBorder="1" applyAlignment="1">
      <alignment horizontal="center" vertical="center" wrapText="1"/>
    </xf>
    <xf numFmtId="0" fontId="64" fillId="0" borderId="30" xfId="25" applyFont="1" applyBorder="1" applyAlignment="1">
      <alignment horizontal="center" vertical="center" wrapText="1"/>
    </xf>
    <xf numFmtId="0" fontId="55" fillId="0" borderId="60" xfId="25" applyFont="1" applyBorder="1" applyAlignment="1">
      <alignment horizontal="center" vertical="center"/>
    </xf>
    <xf numFmtId="0" fontId="64" fillId="0" borderId="42" xfId="25" applyFont="1" applyBorder="1" applyAlignment="1">
      <alignment horizontal="center" vertical="center" wrapText="1"/>
    </xf>
    <xf numFmtId="0" fontId="64" fillId="0" borderId="40" xfId="25" quotePrefix="1" applyFont="1" applyBorder="1" applyAlignment="1">
      <alignment horizontal="center" vertical="center" wrapText="1"/>
    </xf>
    <xf numFmtId="0" fontId="65" fillId="0" borderId="40" xfId="25" quotePrefix="1" applyFont="1" applyBorder="1" applyAlignment="1">
      <alignment horizontal="center" vertical="center" wrapText="1"/>
    </xf>
    <xf numFmtId="0" fontId="66" fillId="0" borderId="30" xfId="25" applyFont="1" applyBorder="1" applyAlignment="1">
      <alignment horizontal="center" vertical="center" wrapText="1"/>
    </xf>
    <xf numFmtId="1" fontId="32" fillId="0" borderId="0" xfId="6" applyNumberFormat="1" applyFont="1" applyFill="1" applyBorder="1"/>
    <xf numFmtId="0" fontId="15" fillId="0" borderId="61" xfId="6" applyBorder="1"/>
    <xf numFmtId="2" fontId="15" fillId="0" borderId="0" xfId="6" applyNumberFormat="1" applyFill="1" applyBorder="1"/>
    <xf numFmtId="169" fontId="15" fillId="0" borderId="0" xfId="6" applyNumberFormat="1" applyBorder="1"/>
    <xf numFmtId="0" fontId="36" fillId="0" borderId="30" xfId="6" applyFont="1" applyBorder="1" applyAlignment="1">
      <alignment horizontal="center"/>
    </xf>
    <xf numFmtId="169" fontId="36" fillId="30" borderId="30" xfId="6" applyNumberFormat="1" applyFont="1" applyFill="1" applyBorder="1"/>
    <xf numFmtId="0" fontId="36" fillId="30" borderId="30" xfId="6" applyFont="1" applyFill="1" applyBorder="1"/>
    <xf numFmtId="3" fontId="15" fillId="25" borderId="30" xfId="6" applyNumberFormat="1" applyFill="1" applyBorder="1"/>
    <xf numFmtId="0" fontId="15" fillId="25" borderId="30" xfId="6" applyFill="1" applyBorder="1"/>
    <xf numFmtId="0" fontId="15" fillId="0" borderId="0" xfId="6" applyAlignment="1">
      <alignment horizontal="left"/>
    </xf>
    <xf numFmtId="167" fontId="39" fillId="23" borderId="44" xfId="6" applyNumberFormat="1" applyFont="1" applyFill="1" applyBorder="1" applyAlignment="1">
      <alignment horizontal="center" vertical="center"/>
    </xf>
    <xf numFmtId="167" fontId="39" fillId="0" borderId="98" xfId="6" applyNumberFormat="1" applyFont="1" applyFill="1" applyBorder="1"/>
    <xf numFmtId="0" fontId="15" fillId="0" borderId="0" xfId="6" applyFill="1" applyAlignment="1">
      <alignment horizontal="left"/>
    </xf>
    <xf numFmtId="167" fontId="39" fillId="0" borderId="99" xfId="6" applyNumberFormat="1" applyFont="1" applyFill="1" applyBorder="1"/>
    <xf numFmtId="0" fontId="36" fillId="0" borderId="0" xfId="6" applyFont="1" applyBorder="1" applyAlignment="1">
      <alignment vertical="center"/>
    </xf>
    <xf numFmtId="167" fontId="0" fillId="17" borderId="56" xfId="8" applyFont="1" applyFill="1" applyBorder="1" applyAlignment="1">
      <alignment horizontal="center" vertical="center"/>
    </xf>
    <xf numFmtId="167" fontId="0" fillId="17" borderId="57" xfId="8" applyFont="1" applyFill="1" applyBorder="1"/>
    <xf numFmtId="0" fontId="71" fillId="17" borderId="58" xfId="6" applyFont="1" applyFill="1" applyBorder="1" applyAlignment="1">
      <alignment horizontal="left" vertical="center" wrapText="1"/>
    </xf>
    <xf numFmtId="167" fontId="0" fillId="17" borderId="36" xfId="8" applyFont="1" applyFill="1" applyBorder="1"/>
    <xf numFmtId="0" fontId="71" fillId="17" borderId="30" xfId="6" applyFont="1" applyFill="1" applyBorder="1" applyAlignment="1">
      <alignment horizontal="left" vertical="center" wrapText="1"/>
    </xf>
    <xf numFmtId="0" fontId="72" fillId="17" borderId="30" xfId="6" applyFont="1" applyFill="1" applyBorder="1" applyAlignment="1">
      <alignment horizontal="left" vertical="center" wrapText="1" indent="5"/>
    </xf>
    <xf numFmtId="0" fontId="15" fillId="0" borderId="30" xfId="6" applyBorder="1" applyAlignment="1">
      <alignment horizontal="left"/>
    </xf>
    <xf numFmtId="167" fontId="51" fillId="0" borderId="61" xfId="8" applyFont="1" applyBorder="1" applyAlignment="1">
      <alignment horizontal="right" vertical="center" wrapText="1"/>
    </xf>
    <xf numFmtId="0" fontId="73" fillId="0" borderId="100" xfId="6" applyFont="1" applyBorder="1" applyAlignment="1">
      <alignment vertical="center" wrapText="1"/>
    </xf>
    <xf numFmtId="0" fontId="73" fillId="0" borderId="63" xfId="6" applyFont="1" applyBorder="1" applyAlignment="1">
      <alignment vertical="center" wrapText="1"/>
    </xf>
    <xf numFmtId="0" fontId="73" fillId="0" borderId="57" xfId="6" applyFont="1" applyBorder="1" applyAlignment="1">
      <alignment vertical="center" wrapText="1"/>
    </xf>
    <xf numFmtId="0" fontId="73" fillId="0" borderId="58" xfId="6" applyFont="1" applyBorder="1" applyAlignment="1">
      <alignment vertical="center" wrapText="1"/>
    </xf>
    <xf numFmtId="167" fontId="73" fillId="0" borderId="59" xfId="8" applyFont="1" applyBorder="1" applyAlignment="1">
      <alignment vertical="center" wrapText="1"/>
    </xf>
    <xf numFmtId="167" fontId="73" fillId="0" borderId="57" xfId="6" applyNumberFormat="1" applyFont="1" applyBorder="1" applyAlignment="1">
      <alignment vertical="center" wrapText="1"/>
    </xf>
    <xf numFmtId="0" fontId="73" fillId="0" borderId="59" xfId="6" applyFont="1" applyBorder="1" applyAlignment="1">
      <alignment vertical="center" wrapText="1"/>
    </xf>
    <xf numFmtId="0" fontId="73" fillId="0" borderId="36" xfId="6" applyFont="1" applyBorder="1" applyAlignment="1">
      <alignment vertical="center" wrapText="1"/>
    </xf>
    <xf numFmtId="0" fontId="73" fillId="0" borderId="30" xfId="6" applyFont="1" applyBorder="1" applyAlignment="1">
      <alignment vertical="center" wrapText="1"/>
    </xf>
    <xf numFmtId="167" fontId="73" fillId="0" borderId="37" xfId="8" applyFont="1" applyBorder="1" applyAlignment="1">
      <alignment vertical="center" wrapText="1"/>
    </xf>
    <xf numFmtId="167" fontId="73" fillId="0" borderId="36" xfId="8" applyFont="1" applyBorder="1" applyAlignment="1">
      <alignment vertical="center" wrapText="1"/>
    </xf>
    <xf numFmtId="0" fontId="73" fillId="0" borderId="37" xfId="6" applyFont="1" applyBorder="1" applyAlignment="1">
      <alignment vertical="center" wrapText="1"/>
    </xf>
    <xf numFmtId="0" fontId="15" fillId="0" borderId="0" xfId="6" applyNumberFormat="1"/>
    <xf numFmtId="167" fontId="73" fillId="0" borderId="61" xfId="8" applyFont="1" applyBorder="1" applyAlignment="1">
      <alignment vertical="center" wrapText="1"/>
    </xf>
    <xf numFmtId="167" fontId="36" fillId="0" borderId="62" xfId="8" applyFont="1" applyBorder="1"/>
    <xf numFmtId="0" fontId="36" fillId="0" borderId="63" xfId="6" applyFont="1" applyBorder="1"/>
    <xf numFmtId="10" fontId="75" fillId="31" borderId="101" xfId="0" applyNumberFormat="1" applyFont="1" applyFill="1" applyBorder="1" applyAlignment="1" applyProtection="1">
      <alignment horizontal="center" vertical="center"/>
      <protection locked="0"/>
    </xf>
    <xf numFmtId="10" fontId="48" fillId="0" borderId="101" xfId="0" applyNumberFormat="1" applyFont="1" applyFill="1" applyBorder="1" applyAlignment="1" applyProtection="1">
      <alignment horizontal="center" vertical="center"/>
      <protection hidden="1"/>
    </xf>
    <xf numFmtId="10" fontId="75" fillId="31" borderId="101" xfId="28" applyNumberFormat="1" applyFont="1" applyFill="1" applyBorder="1" applyAlignment="1" applyProtection="1">
      <alignment horizontal="center" vertical="center"/>
      <protection locked="0"/>
    </xf>
    <xf numFmtId="0" fontId="14" fillId="0" borderId="0" xfId="6" applyFont="1"/>
    <xf numFmtId="0" fontId="78" fillId="0" borderId="37" xfId="6" applyFont="1" applyBorder="1" applyAlignment="1">
      <alignment vertical="center" wrapText="1"/>
    </xf>
    <xf numFmtId="43" fontId="73" fillId="0" borderId="30" xfId="27" applyFont="1" applyBorder="1" applyAlignment="1">
      <alignment vertical="center" wrapText="1"/>
    </xf>
    <xf numFmtId="0" fontId="15" fillId="0" borderId="34" xfId="6" applyBorder="1"/>
    <xf numFmtId="0" fontId="64" fillId="0" borderId="30" xfId="25" applyFont="1" applyBorder="1" applyAlignment="1">
      <alignment horizontal="center" vertical="center" wrapText="1"/>
    </xf>
    <xf numFmtId="2" fontId="10" fillId="0" borderId="37" xfId="6" applyNumberFormat="1" applyFont="1" applyBorder="1" applyAlignment="1">
      <alignment wrapText="1"/>
    </xf>
    <xf numFmtId="0" fontId="57" fillId="20" borderId="47" xfId="25" quotePrefix="1" applyFont="1" applyFill="1" applyBorder="1" applyAlignment="1">
      <alignment horizontal="center"/>
    </xf>
    <xf numFmtId="0" fontId="57" fillId="20" borderId="46" xfId="25" quotePrefix="1" applyFont="1" applyFill="1" applyBorder="1" applyAlignment="1">
      <alignment horizontal="center"/>
    </xf>
    <xf numFmtId="0" fontId="64" fillId="0" borderId="30" xfId="25" quotePrefix="1" applyFont="1" applyBorder="1" applyAlignment="1">
      <alignment horizontal="center" vertical="center" wrapText="1"/>
    </xf>
    <xf numFmtId="0" fontId="59" fillId="20" borderId="35" xfId="25" quotePrefix="1" applyFont="1" applyFill="1" applyBorder="1" applyAlignment="1">
      <alignment horizontal="center" vertical="center" wrapText="1"/>
    </xf>
    <xf numFmtId="0" fontId="59" fillId="20" borderId="43" xfId="25" quotePrefix="1" applyFont="1" applyFill="1" applyBorder="1" applyAlignment="1">
      <alignment horizontal="center" vertical="center" wrapText="1"/>
    </xf>
    <xf numFmtId="0" fontId="57" fillId="20" borderId="96" xfId="25" quotePrefix="1" applyFont="1" applyFill="1" applyBorder="1" applyAlignment="1">
      <alignment horizontal="center" vertical="center"/>
    </xf>
    <xf numFmtId="0" fontId="57" fillId="20" borderId="66" xfId="25" quotePrefix="1" applyFont="1" applyFill="1" applyBorder="1" applyAlignment="1">
      <alignment horizontal="center" vertical="center"/>
    </xf>
    <xf numFmtId="0" fontId="57" fillId="20" borderId="95" xfId="25" quotePrefix="1" applyFont="1" applyFill="1" applyBorder="1" applyAlignment="1">
      <alignment horizontal="center" vertical="center"/>
    </xf>
    <xf numFmtId="0" fontId="54" fillId="20" borderId="48" xfId="25" applyFont="1" applyFill="1" applyBorder="1" applyAlignment="1">
      <alignment horizontal="center" vertical="center" wrapText="1"/>
    </xf>
    <xf numFmtId="0" fontId="54" fillId="20" borderId="52" xfId="25" applyFont="1" applyFill="1" applyBorder="1" applyAlignment="1">
      <alignment horizontal="center" vertical="center" wrapText="1"/>
    </xf>
    <xf numFmtId="0" fontId="54" fillId="20" borderId="31" xfId="25" applyFont="1" applyFill="1" applyBorder="1" applyAlignment="1">
      <alignment horizontal="center" vertical="center" wrapText="1"/>
    </xf>
    <xf numFmtId="0" fontId="64" fillId="0" borderId="30" xfId="25" applyFont="1" applyBorder="1" applyAlignment="1">
      <alignment horizontal="center" vertical="center" wrapText="1"/>
    </xf>
    <xf numFmtId="0" fontId="58" fillId="20" borderId="38" xfId="25" quotePrefix="1" applyFont="1" applyFill="1" applyBorder="1" applyAlignment="1">
      <alignment horizontal="center" vertical="center" wrapText="1"/>
    </xf>
    <xf numFmtId="0" fontId="63" fillId="20" borderId="38" xfId="25" applyFont="1" applyFill="1" applyBorder="1" applyAlignment="1">
      <alignment horizontal="center" vertical="center" wrapText="1"/>
    </xf>
    <xf numFmtId="0" fontId="63" fillId="20" borderId="94" xfId="25" applyFont="1" applyFill="1" applyBorder="1" applyAlignment="1">
      <alignment horizontal="center" vertical="center" wrapText="1"/>
    </xf>
    <xf numFmtId="0" fontId="63" fillId="20" borderId="89" xfId="25" applyFont="1" applyFill="1" applyBorder="1" applyAlignment="1">
      <alignment horizontal="center" vertical="center" wrapText="1"/>
    </xf>
    <xf numFmtId="0" fontId="54" fillId="20" borderId="49" xfId="25" applyFont="1" applyFill="1" applyBorder="1" applyAlignment="1">
      <alignment horizontal="center" vertical="center" wrapText="1"/>
    </xf>
    <xf numFmtId="0" fontId="54" fillId="20" borderId="45" xfId="25" applyFont="1" applyFill="1" applyBorder="1" applyAlignment="1">
      <alignment horizontal="center" vertical="center" wrapText="1"/>
    </xf>
    <xf numFmtId="0" fontId="54" fillId="20" borderId="34" xfId="25" applyFont="1" applyFill="1" applyBorder="1" applyAlignment="1">
      <alignment horizontal="center" vertical="center" wrapText="1"/>
    </xf>
    <xf numFmtId="9" fontId="79" fillId="18" borderId="47" xfId="7" applyFont="1" applyFill="1" applyBorder="1"/>
    <xf numFmtId="0" fontId="15" fillId="18" borderId="46" xfId="6" applyFill="1" applyBorder="1"/>
    <xf numFmtId="0" fontId="15" fillId="18" borderId="49" xfId="6" applyFill="1" applyBorder="1"/>
    <xf numFmtId="0" fontId="13" fillId="18" borderId="33" xfId="6" applyFont="1" applyFill="1" applyBorder="1"/>
    <xf numFmtId="0" fontId="15" fillId="18" borderId="34" xfId="6" applyFill="1" applyBorder="1"/>
    <xf numFmtId="0" fontId="42" fillId="21" borderId="30" xfId="6" applyFont="1" applyFill="1" applyBorder="1" applyAlignment="1">
      <alignment vertical="center"/>
    </xf>
    <xf numFmtId="0" fontId="42" fillId="18" borderId="0" xfId="6" applyFont="1" applyFill="1"/>
    <xf numFmtId="43" fontId="39" fillId="18" borderId="0" xfId="6" applyNumberFormat="1" applyFont="1" applyFill="1" applyBorder="1"/>
    <xf numFmtId="0" fontId="15" fillId="18" borderId="33" xfId="6" applyFill="1" applyBorder="1"/>
    <xf numFmtId="9" fontId="0" fillId="18" borderId="32" xfId="7" applyFont="1" applyFill="1" applyBorder="1"/>
    <xf numFmtId="2" fontId="36" fillId="0" borderId="63" xfId="6" applyNumberFormat="1" applyFont="1" applyBorder="1" applyAlignment="1">
      <alignment horizontal="center"/>
    </xf>
    <xf numFmtId="2" fontId="36" fillId="0" borderId="102" xfId="6" applyNumberFormat="1" applyFont="1" applyBorder="1" applyAlignment="1">
      <alignment wrapText="1"/>
    </xf>
    <xf numFmtId="2" fontId="45" fillId="18" borderId="62" xfId="6" applyNumberFormat="1" applyFont="1" applyFill="1" applyBorder="1" applyAlignment="1">
      <alignment vertical="center"/>
    </xf>
    <xf numFmtId="2" fontId="36" fillId="0" borderId="103" xfId="6" applyNumberFormat="1" applyFont="1" applyBorder="1" applyAlignment="1">
      <alignment wrapText="1"/>
    </xf>
    <xf numFmtId="2" fontId="36" fillId="0" borderId="103" xfId="6" applyNumberFormat="1" applyFont="1" applyFill="1" applyBorder="1" applyAlignment="1">
      <alignment wrapText="1"/>
    </xf>
    <xf numFmtId="2" fontId="36" fillId="0" borderId="62" xfId="6" applyNumberFormat="1" applyFont="1" applyBorder="1" applyAlignment="1">
      <alignment wrapText="1"/>
    </xf>
    <xf numFmtId="2" fontId="36" fillId="0" borderId="61" xfId="6" applyNumberFormat="1" applyFont="1" applyFill="1" applyBorder="1" applyAlignment="1">
      <alignment wrapText="1"/>
    </xf>
    <xf numFmtId="9" fontId="15" fillId="0" borderId="36" xfId="6" applyNumberFormat="1" applyBorder="1"/>
    <xf numFmtId="0" fontId="40" fillId="0" borderId="41" xfId="6" applyFont="1" applyBorder="1"/>
    <xf numFmtId="0" fontId="40" fillId="0" borderId="104" xfId="6" applyFont="1" applyBorder="1"/>
    <xf numFmtId="167" fontId="39" fillId="23" borderId="58" xfId="6" applyNumberFormat="1" applyFont="1" applyFill="1" applyBorder="1"/>
    <xf numFmtId="1" fontId="15" fillId="22" borderId="105" xfId="6" applyNumberFormat="1" applyFill="1" applyBorder="1" applyAlignment="1">
      <alignment horizontal="center"/>
    </xf>
    <xf numFmtId="0" fontId="15" fillId="18" borderId="0" xfId="6" applyFill="1" applyAlignment="1"/>
    <xf numFmtId="1" fontId="15" fillId="18" borderId="46" xfId="6" applyNumberFormat="1" applyFill="1" applyBorder="1"/>
    <xf numFmtId="0" fontId="40" fillId="18" borderId="37" xfId="6" applyFont="1" applyFill="1" applyBorder="1"/>
    <xf numFmtId="0" fontId="41" fillId="18" borderId="43" xfId="6" applyFont="1" applyFill="1" applyBorder="1"/>
    <xf numFmtId="0" fontId="35" fillId="18" borderId="0" xfId="6" applyFont="1" applyFill="1" applyBorder="1" applyAlignment="1">
      <alignment vertical="center"/>
    </xf>
    <xf numFmtId="0" fontId="42" fillId="22" borderId="40" xfId="6" applyFont="1" applyFill="1" applyBorder="1" applyAlignment="1">
      <alignment horizontal="center" wrapText="1"/>
    </xf>
    <xf numFmtId="0" fontId="42" fillId="22" borderId="30" xfId="6" applyFont="1" applyFill="1" applyBorder="1" applyAlignment="1">
      <alignment vertical="center"/>
    </xf>
    <xf numFmtId="1" fontId="15" fillId="0" borderId="0" xfId="6" applyNumberFormat="1" applyFill="1"/>
    <xf numFmtId="0" fontId="15" fillId="18" borderId="30" xfId="6" applyFill="1" applyBorder="1" applyAlignment="1">
      <alignment horizontal="center"/>
    </xf>
    <xf numFmtId="0" fontId="15" fillId="0" borderId="43" xfId="6" applyFill="1" applyBorder="1"/>
    <xf numFmtId="0" fontId="15" fillId="18" borderId="36" xfId="6" applyFill="1" applyBorder="1" applyAlignment="1">
      <alignment horizontal="center"/>
    </xf>
    <xf numFmtId="2" fontId="51" fillId="0" borderId="30" xfId="6" applyNumberFormat="1" applyFont="1" applyFill="1" applyBorder="1"/>
    <xf numFmtId="174" fontId="51" fillId="0" borderId="30" xfId="7" applyNumberFormat="1" applyFont="1" applyFill="1" applyBorder="1"/>
    <xf numFmtId="3" fontId="51" fillId="0" borderId="30" xfId="6" applyNumberFormat="1" applyFont="1" applyFill="1" applyBorder="1"/>
    <xf numFmtId="0" fontId="51" fillId="0" borderId="37" xfId="6" applyFont="1" applyFill="1" applyBorder="1"/>
    <xf numFmtId="3" fontId="51" fillId="0" borderId="36" xfId="6" applyNumberFormat="1" applyFont="1" applyFill="1" applyBorder="1"/>
    <xf numFmtId="2" fontId="51" fillId="0" borderId="58" xfId="6" applyNumberFormat="1" applyFont="1" applyFill="1" applyBorder="1"/>
    <xf numFmtId="174" fontId="51" fillId="0" borderId="58" xfId="7" applyNumberFormat="1" applyFont="1" applyFill="1" applyBorder="1"/>
    <xf numFmtId="3" fontId="51" fillId="0" borderId="58" xfId="6" applyNumberFormat="1" applyFont="1" applyFill="1" applyBorder="1"/>
    <xf numFmtId="3" fontId="51" fillId="0" borderId="57" xfId="6" applyNumberFormat="1" applyFont="1" applyFill="1" applyBorder="1"/>
    <xf numFmtId="167" fontId="39" fillId="0" borderId="0" xfId="6" applyNumberFormat="1" applyFont="1" applyBorder="1"/>
    <xf numFmtId="2" fontId="51" fillId="0" borderId="0" xfId="6" applyNumberFormat="1" applyFont="1" applyFill="1" applyBorder="1"/>
    <xf numFmtId="174" fontId="51" fillId="0" borderId="0" xfId="7" applyNumberFormat="1" applyFont="1" applyFill="1" applyBorder="1"/>
    <xf numFmtId="3" fontId="51" fillId="0" borderId="0" xfId="6" applyNumberFormat="1" applyFont="1" applyFill="1" applyBorder="1"/>
    <xf numFmtId="0" fontId="83" fillId="32" borderId="63" xfId="6" applyFont="1" applyFill="1" applyBorder="1" applyAlignment="1">
      <alignment horizontal="center" vertical="center" wrapText="1"/>
    </xf>
    <xf numFmtId="0" fontId="83" fillId="32" borderId="62" xfId="6" applyFont="1" applyFill="1" applyBorder="1" applyAlignment="1">
      <alignment horizontal="center" wrapText="1"/>
    </xf>
    <xf numFmtId="0" fontId="83" fillId="32" borderId="62" xfId="6" applyFont="1" applyFill="1" applyBorder="1" applyAlignment="1">
      <alignment horizontal="center" vertical="center" wrapText="1"/>
    </xf>
    <xf numFmtId="0" fontId="83" fillId="32" borderId="61" xfId="6" applyFont="1" applyFill="1" applyBorder="1" applyAlignment="1">
      <alignment horizontal="center" vertical="center" wrapText="1"/>
    </xf>
    <xf numFmtId="0" fontId="84" fillId="19" borderId="92" xfId="6" applyFont="1" applyFill="1" applyBorder="1" applyAlignment="1">
      <alignment horizontal="right" vertical="center" wrapText="1"/>
    </xf>
    <xf numFmtId="0" fontId="86" fillId="19" borderId="42" xfId="6" applyFont="1" applyFill="1" applyBorder="1" applyAlignment="1">
      <alignment vertical="center" wrapText="1"/>
    </xf>
    <xf numFmtId="0" fontId="84" fillId="19" borderId="60" xfId="6" applyFont="1" applyFill="1" applyBorder="1" applyAlignment="1">
      <alignment horizontal="right" vertical="center" wrapText="1"/>
    </xf>
    <xf numFmtId="0" fontId="85" fillId="0" borderId="38" xfId="6" applyFont="1" applyBorder="1" applyAlignment="1">
      <alignment vertical="center" wrapText="1"/>
    </xf>
    <xf numFmtId="0" fontId="84" fillId="19" borderId="88" xfId="6" applyFont="1" applyFill="1" applyBorder="1" applyAlignment="1">
      <alignment horizontal="right" vertical="center" wrapText="1"/>
    </xf>
    <xf numFmtId="0" fontId="85" fillId="0" borderId="55" xfId="6" applyFont="1" applyBorder="1" applyAlignment="1">
      <alignment vertical="center" wrapText="1"/>
    </xf>
    <xf numFmtId="1" fontId="15" fillId="0" borderId="30" xfId="6" applyNumberFormat="1" applyBorder="1"/>
    <xf numFmtId="1" fontId="15" fillId="0" borderId="30" xfId="6" applyNumberFormat="1" applyFill="1" applyBorder="1"/>
    <xf numFmtId="169" fontId="0" fillId="25" borderId="30" xfId="8" applyNumberFormat="1" applyFont="1" applyFill="1" applyBorder="1"/>
    <xf numFmtId="0" fontId="36" fillId="0" borderId="36" xfId="6" applyFont="1" applyBorder="1" applyAlignment="1">
      <alignment horizontal="center"/>
    </xf>
    <xf numFmtId="1" fontId="15" fillId="0" borderId="36" xfId="6" applyNumberFormat="1" applyBorder="1"/>
    <xf numFmtId="169" fontId="0" fillId="25" borderId="58" xfId="8" applyNumberFormat="1" applyFont="1" applyFill="1" applyBorder="1"/>
    <xf numFmtId="169" fontId="0" fillId="25" borderId="57" xfId="8" applyNumberFormat="1" applyFont="1" applyFill="1" applyBorder="1"/>
    <xf numFmtId="0" fontId="50" fillId="0" borderId="37" xfId="6" applyFont="1" applyFill="1" applyBorder="1"/>
    <xf numFmtId="0" fontId="50" fillId="0" borderId="59" xfId="6" applyFont="1" applyFill="1" applyBorder="1"/>
    <xf numFmtId="0" fontId="0" fillId="0" borderId="0" xfId="24" applyFont="1" applyFill="1" applyBorder="1"/>
    <xf numFmtId="169" fontId="15" fillId="0" borderId="0" xfId="6" applyNumberFormat="1" applyFill="1"/>
    <xf numFmtId="0" fontId="15" fillId="0" borderId="0" xfId="24" applyFill="1" applyBorder="1"/>
    <xf numFmtId="169" fontId="0" fillId="0" borderId="0" xfId="8" applyNumberFormat="1" applyFont="1" applyFill="1" applyBorder="1"/>
    <xf numFmtId="0" fontId="11" fillId="0" borderId="0" xfId="6" applyFont="1" applyFill="1" applyBorder="1"/>
    <xf numFmtId="167" fontId="15" fillId="0" borderId="0" xfId="6" applyNumberFormat="1" applyFill="1" applyBorder="1"/>
    <xf numFmtId="169" fontId="15" fillId="0" borderId="0" xfId="6" applyNumberFormat="1" applyFill="1" applyBorder="1"/>
    <xf numFmtId="43" fontId="82" fillId="0" borderId="0" xfId="27" applyFont="1" applyFill="1" applyBorder="1" applyAlignment="1"/>
    <xf numFmtId="43" fontId="15" fillId="0" borderId="0" xfId="27" applyFont="1" applyFill="1" applyBorder="1"/>
    <xf numFmtId="9" fontId="0" fillId="0" borderId="0" xfId="7" applyFont="1" applyFill="1" applyBorder="1"/>
    <xf numFmtId="43" fontId="0" fillId="0" borderId="0" xfId="27" applyFont="1" applyFill="1" applyBorder="1" applyAlignment="1"/>
    <xf numFmtId="9" fontId="15" fillId="0" borderId="0" xfId="28" applyFont="1" applyFill="1" applyBorder="1"/>
    <xf numFmtId="9" fontId="15" fillId="0" borderId="0" xfId="6" applyNumberFormat="1" applyFill="1" applyBorder="1"/>
    <xf numFmtId="0" fontId="9" fillId="0" borderId="37" xfId="2" applyFont="1" applyFill="1" applyBorder="1"/>
    <xf numFmtId="0" fontId="36" fillId="0" borderId="30" xfId="2" applyFont="1" applyFill="1" applyBorder="1"/>
    <xf numFmtId="0" fontId="36" fillId="0" borderId="36" xfId="2" applyFont="1" applyFill="1" applyBorder="1"/>
    <xf numFmtId="1" fontId="9" fillId="0" borderId="30" xfId="2" applyNumberFormat="1" applyFont="1" applyFill="1" applyBorder="1"/>
    <xf numFmtId="1" fontId="9" fillId="0" borderId="58" xfId="2" applyNumberFormat="1" applyFont="1" applyFill="1" applyBorder="1"/>
    <xf numFmtId="1" fontId="9" fillId="0" borderId="57" xfId="2" applyNumberFormat="1" applyFont="1" applyFill="1" applyBorder="1"/>
    <xf numFmtId="0" fontId="42" fillId="0" borderId="80" xfId="3" applyFont="1" applyFill="1" applyBorder="1"/>
    <xf numFmtId="0" fontId="45" fillId="0" borderId="27" xfId="3" applyFont="1" applyFill="1" applyBorder="1"/>
    <xf numFmtId="0" fontId="45" fillId="0" borderId="79" xfId="3" applyFont="1" applyFill="1" applyBorder="1"/>
    <xf numFmtId="1" fontId="42" fillId="0" borderId="27" xfId="3" applyNumberFormat="1" applyFont="1" applyFill="1" applyBorder="1"/>
    <xf numFmtId="1" fontId="42" fillId="0" borderId="79" xfId="3" applyNumberFormat="1" applyFont="1" applyFill="1" applyBorder="1"/>
    <xf numFmtId="0" fontId="42" fillId="0" borderId="37" xfId="1" applyFont="1" applyFill="1" applyBorder="1"/>
    <xf numFmtId="0" fontId="45" fillId="0" borderId="30" xfId="1" applyFont="1" applyFill="1" applyBorder="1"/>
    <xf numFmtId="0" fontId="45" fillId="0" borderId="36" xfId="1" applyFont="1" applyFill="1" applyBorder="1"/>
    <xf numFmtId="3" fontId="42" fillId="0" borderId="30" xfId="1" applyNumberFormat="1" applyFont="1" applyFill="1" applyBorder="1"/>
    <xf numFmtId="3" fontId="42" fillId="0" borderId="36" xfId="1" applyNumberFormat="1" applyFont="1" applyFill="1" applyBorder="1"/>
    <xf numFmtId="169" fontId="42" fillId="0" borderId="58" xfId="1" applyNumberFormat="1" applyFont="1" applyFill="1" applyBorder="1"/>
    <xf numFmtId="169" fontId="42" fillId="0" borderId="57" xfId="1" applyNumberFormat="1" applyFont="1" applyFill="1" applyBorder="1"/>
    <xf numFmtId="0" fontId="42" fillId="0" borderId="37" xfId="4" applyFont="1" applyFill="1" applyBorder="1"/>
    <xf numFmtId="0" fontId="45" fillId="0" borderId="30" xfId="4" applyFont="1" applyFill="1" applyBorder="1"/>
    <xf numFmtId="0" fontId="45" fillId="0" borderId="36" xfId="4" applyFont="1" applyFill="1" applyBorder="1"/>
    <xf numFmtId="3" fontId="42" fillId="0" borderId="30" xfId="4" applyNumberFormat="1" applyFont="1" applyFill="1" applyBorder="1"/>
    <xf numFmtId="169" fontId="42" fillId="0" borderId="58" xfId="4" applyNumberFormat="1" applyFont="1" applyFill="1" applyBorder="1"/>
    <xf numFmtId="169" fontId="42" fillId="0" borderId="57" xfId="4" applyNumberFormat="1" applyFont="1" applyFill="1" applyBorder="1"/>
    <xf numFmtId="0" fontId="15" fillId="0" borderId="72" xfId="24" applyFill="1" applyBorder="1"/>
    <xf numFmtId="0" fontId="36" fillId="0" borderId="29" xfId="24" applyFont="1" applyFill="1" applyBorder="1"/>
    <xf numFmtId="0" fontId="36" fillId="0" borderId="71" xfId="24" applyFont="1" applyFill="1" applyBorder="1"/>
    <xf numFmtId="0" fontId="0" fillId="0" borderId="72" xfId="24" applyFont="1" applyFill="1" applyBorder="1"/>
    <xf numFmtId="3" fontId="15" fillId="0" borderId="29" xfId="24" applyNumberFormat="1" applyFill="1" applyBorder="1"/>
    <xf numFmtId="3" fontId="15" fillId="0" borderId="71" xfId="24" applyNumberFormat="1" applyFill="1" applyBorder="1"/>
    <xf numFmtId="167" fontId="0" fillId="0" borderId="70" xfId="24" applyNumberFormat="1" applyFont="1" applyFill="1" applyBorder="1"/>
    <xf numFmtId="167" fontId="0" fillId="0" borderId="69" xfId="24" applyNumberFormat="1" applyFont="1" applyFill="1" applyBorder="1"/>
    <xf numFmtId="0" fontId="45" fillId="0" borderId="78" xfId="3" applyFont="1" applyFill="1" applyBorder="1"/>
    <xf numFmtId="1" fontId="45" fillId="0" borderId="77" xfId="3" applyNumberFormat="1" applyFont="1" applyFill="1" applyBorder="1"/>
    <xf numFmtId="1" fontId="45" fillId="0" borderId="76" xfId="3" applyNumberFormat="1" applyFont="1" applyFill="1" applyBorder="1"/>
    <xf numFmtId="0" fontId="88" fillId="0" borderId="78" xfId="0" applyFont="1" applyBorder="1" applyAlignment="1"/>
    <xf numFmtId="0" fontId="36" fillId="0" borderId="59" xfId="2" applyFont="1" applyFill="1" applyBorder="1"/>
    <xf numFmtId="169" fontId="15" fillId="18" borderId="44" xfId="6" applyNumberFormat="1" applyFill="1" applyBorder="1"/>
    <xf numFmtId="0" fontId="50" fillId="18" borderId="35" xfId="6" applyFont="1" applyFill="1" applyBorder="1"/>
    <xf numFmtId="0" fontId="51" fillId="18" borderId="43" xfId="6" applyFont="1" applyFill="1" applyBorder="1"/>
    <xf numFmtId="173" fontId="50" fillId="18" borderId="44" xfId="23" applyNumberFormat="1" applyFont="1" applyFill="1" applyBorder="1"/>
    <xf numFmtId="0" fontId="45" fillId="18" borderId="35" xfId="6" applyFont="1" applyFill="1" applyBorder="1" applyAlignment="1">
      <alignment wrapText="1"/>
    </xf>
    <xf numFmtId="0" fontId="50" fillId="18" borderId="66" xfId="6" applyFont="1" applyFill="1" applyBorder="1"/>
    <xf numFmtId="164" fontId="89" fillId="18" borderId="65" xfId="6" applyNumberFormat="1" applyFont="1" applyFill="1" applyBorder="1" applyAlignment="1">
      <alignment horizontal="right"/>
    </xf>
    <xf numFmtId="0" fontId="51" fillId="0" borderId="40" xfId="6" applyFont="1" applyBorder="1" applyAlignment="1">
      <alignment horizontal="center"/>
    </xf>
    <xf numFmtId="0" fontId="40" fillId="0" borderId="30" xfId="6" applyFont="1" applyBorder="1" applyAlignment="1">
      <alignment horizontal="center"/>
    </xf>
    <xf numFmtId="0" fontId="15" fillId="24" borderId="35" xfId="6" applyFill="1" applyBorder="1" applyAlignment="1">
      <alignment horizontal="center" vertical="center"/>
    </xf>
    <xf numFmtId="169" fontId="90" fillId="24" borderId="44" xfId="6" applyNumberFormat="1" applyFont="1" applyFill="1" applyBorder="1"/>
    <xf numFmtId="179" fontId="39" fillId="0" borderId="30" xfId="6" applyNumberFormat="1" applyFont="1" applyBorder="1"/>
    <xf numFmtId="167" fontId="40" fillId="0" borderId="30" xfId="8" applyFont="1" applyBorder="1" applyAlignment="1">
      <alignment horizontal="center"/>
    </xf>
    <xf numFmtId="169" fontId="90" fillId="18" borderId="44" xfId="6" applyNumberFormat="1" applyFont="1" applyFill="1" applyBorder="1"/>
    <xf numFmtId="1" fontId="39" fillId="0" borderId="30" xfId="6" applyNumberFormat="1" applyFont="1" applyBorder="1"/>
    <xf numFmtId="170" fontId="51" fillId="0" borderId="30" xfId="6" applyNumberFormat="1" applyFont="1" applyBorder="1" applyAlignment="1">
      <alignment horizontal="right"/>
    </xf>
    <xf numFmtId="0" fontId="15" fillId="0" borderId="51" xfId="6" applyBorder="1"/>
    <xf numFmtId="0" fontId="15" fillId="0" borderId="87" xfId="6" applyBorder="1"/>
    <xf numFmtId="173" fontId="50" fillId="18" borderId="43" xfId="23" applyNumberFormat="1" applyFont="1" applyFill="1" applyBorder="1"/>
    <xf numFmtId="9" fontId="39" fillId="18" borderId="44" xfId="28" applyFont="1" applyFill="1" applyBorder="1"/>
    <xf numFmtId="164" fontId="90" fillId="18" borderId="44" xfId="6" applyNumberFormat="1" applyFont="1" applyFill="1" applyBorder="1"/>
    <xf numFmtId="0" fontId="39" fillId="33" borderId="35" xfId="6" applyFont="1" applyFill="1" applyBorder="1"/>
    <xf numFmtId="0" fontId="55" fillId="0" borderId="106" xfId="25" applyFont="1" applyBorder="1" applyAlignment="1">
      <alignment horizontal="center" vertical="center"/>
    </xf>
    <xf numFmtId="0" fontId="61" fillId="0" borderId="107" xfId="25" applyFont="1" applyBorder="1" applyAlignment="1">
      <alignment horizontal="center" vertical="center"/>
    </xf>
    <xf numFmtId="0" fontId="61" fillId="0" borderId="106" xfId="25" applyFont="1" applyBorder="1" applyAlignment="1">
      <alignment horizontal="center" vertical="center"/>
    </xf>
    <xf numFmtId="0" fontId="59" fillId="20" borderId="44" xfId="25" quotePrefix="1" applyFont="1" applyFill="1" applyBorder="1" applyAlignment="1">
      <alignment horizontal="center" vertical="center" wrapText="1"/>
    </xf>
    <xf numFmtId="0" fontId="55" fillId="0" borderId="40" xfId="25" applyFont="1" applyBorder="1" applyAlignment="1">
      <alignment horizontal="center" vertical="center"/>
    </xf>
    <xf numFmtId="43" fontId="57" fillId="20" borderId="39" xfId="27" applyFont="1" applyFill="1" applyBorder="1"/>
    <xf numFmtId="43" fontId="54" fillId="20" borderId="89" xfId="27" applyFont="1" applyFill="1" applyBorder="1" applyAlignment="1">
      <alignment horizontal="center"/>
    </xf>
    <xf numFmtId="43" fontId="57" fillId="20" borderId="56" xfId="27" applyFont="1" applyFill="1" applyBorder="1" applyAlignment="1">
      <alignment horizontal="right" vertical="center"/>
    </xf>
    <xf numFmtId="43" fontId="92" fillId="34" borderId="89" xfId="0" applyNumberFormat="1" applyFont="1" applyFill="1" applyBorder="1" applyAlignment="1">
      <alignment horizontal="center"/>
    </xf>
    <xf numFmtId="43" fontId="92" fillId="34" borderId="99" xfId="0" applyNumberFormat="1" applyFont="1" applyFill="1" applyBorder="1" applyAlignment="1">
      <alignment horizontal="center"/>
    </xf>
    <xf numFmtId="0" fontId="64" fillId="0" borderId="30" xfId="25" applyFont="1" applyBorder="1" applyAlignment="1">
      <alignment horizontal="center" vertical="center"/>
    </xf>
    <xf numFmtId="0" fontId="64" fillId="18" borderId="30" xfId="25" applyFont="1" applyFill="1" applyBorder="1" applyAlignment="1">
      <alignment horizontal="center" vertical="center"/>
    </xf>
    <xf numFmtId="0" fontId="36" fillId="0" borderId="0" xfId="6" applyFont="1" applyFill="1" applyBorder="1" applyAlignment="1">
      <alignment horizontal="center" vertical="center" wrapText="1"/>
    </xf>
    <xf numFmtId="0" fontId="36" fillId="0" borderId="0" xfId="6" applyFont="1" applyFill="1" applyBorder="1" applyAlignment="1">
      <alignment horizontal="center" vertical="center"/>
    </xf>
    <xf numFmtId="0" fontId="36" fillId="0" borderId="0" xfId="6" applyFont="1" applyFill="1" applyBorder="1"/>
    <xf numFmtId="0" fontId="12" fillId="0" borderId="0" xfId="6" applyFont="1" applyFill="1" applyBorder="1"/>
    <xf numFmtId="169" fontId="0" fillId="0" borderId="0" xfId="0" applyNumberFormat="1" applyFont="1" applyFill="1" applyBorder="1" applyAlignment="1"/>
    <xf numFmtId="169" fontId="76" fillId="0" borderId="0" xfId="0" applyNumberFormat="1" applyFont="1" applyFill="1" applyBorder="1" applyAlignment="1"/>
    <xf numFmtId="169" fontId="36" fillId="0" borderId="0" xfId="6" applyNumberFormat="1" applyFont="1" applyFill="1" applyBorder="1"/>
    <xf numFmtId="0" fontId="36" fillId="0" borderId="0" xfId="6" applyFont="1" applyFill="1" applyBorder="1" applyAlignment="1">
      <alignment horizontal="center"/>
    </xf>
    <xf numFmtId="181" fontId="36" fillId="0" borderId="0" xfId="23" applyNumberFormat="1" applyFont="1" applyFill="1" applyBorder="1"/>
    <xf numFmtId="0" fontId="14" fillId="0" borderId="0" xfId="6" applyFont="1" applyFill="1" applyBorder="1"/>
    <xf numFmtId="181" fontId="15" fillId="0" borderId="0" xfId="6" applyNumberFormat="1" applyFill="1" applyBorder="1"/>
    <xf numFmtId="0" fontId="36" fillId="0" borderId="0" xfId="6" applyFont="1" applyFill="1" applyBorder="1" applyAlignment="1">
      <alignment horizontal="center" wrapText="1"/>
    </xf>
    <xf numFmtId="0" fontId="77" fillId="0" borderId="0" xfId="0" applyFont="1" applyFill="1" applyBorder="1" applyAlignment="1">
      <alignment horizontal="center" wrapText="1"/>
    </xf>
    <xf numFmtId="0" fontId="68" fillId="0" borderId="0" xfId="6" applyFont="1" applyFill="1" applyBorder="1" applyAlignment="1">
      <alignment horizontal="center"/>
    </xf>
    <xf numFmtId="0" fontId="67" fillId="0" borderId="0" xfId="6" applyFont="1" applyFill="1" applyBorder="1"/>
    <xf numFmtId="0" fontId="49" fillId="0" borderId="0" xfId="6" applyFont="1" applyFill="1" applyBorder="1"/>
    <xf numFmtId="169" fontId="39" fillId="0" borderId="0" xfId="8" applyNumberFormat="1" applyFont="1" applyFill="1" applyBorder="1"/>
    <xf numFmtId="167" fontId="32" fillId="0" borderId="0" xfId="8" applyFont="1" applyFill="1" applyBorder="1"/>
    <xf numFmtId="3" fontId="39" fillId="0" borderId="0" xfId="6" applyNumberFormat="1" applyFont="1" applyFill="1" applyBorder="1"/>
    <xf numFmtId="169" fontId="39" fillId="0" borderId="0" xfId="6" applyNumberFormat="1" applyFont="1" applyFill="1" applyBorder="1"/>
    <xf numFmtId="0" fontId="9" fillId="0" borderId="0" xfId="6" applyFont="1" applyFill="1" applyBorder="1"/>
    <xf numFmtId="169" fontId="0" fillId="0" borderId="30" xfId="8" applyNumberFormat="1" applyFont="1" applyFill="1" applyBorder="1"/>
    <xf numFmtId="169" fontId="15" fillId="0" borderId="30" xfId="6" applyNumberFormat="1" applyFill="1" applyBorder="1"/>
    <xf numFmtId="169" fontId="0" fillId="0" borderId="30" xfId="0" applyNumberFormat="1" applyFont="1" applyFill="1" applyBorder="1" applyAlignment="1"/>
    <xf numFmtId="0" fontId="50" fillId="0" borderId="63" xfId="6" applyFont="1" applyFill="1" applyBorder="1"/>
    <xf numFmtId="167" fontId="70" fillId="0" borderId="62" xfId="8" applyFont="1" applyFill="1" applyBorder="1" applyAlignment="1"/>
    <xf numFmtId="167" fontId="70" fillId="0" borderId="62" xfId="0" applyNumberFormat="1" applyFont="1" applyBorder="1" applyAlignment="1"/>
    <xf numFmtId="169" fontId="0" fillId="0" borderId="62" xfId="8" applyNumberFormat="1" applyFont="1" applyFill="1" applyBorder="1"/>
    <xf numFmtId="169" fontId="0" fillId="0" borderId="36" xfId="8" applyNumberFormat="1" applyFont="1" applyFill="1" applyBorder="1"/>
    <xf numFmtId="169" fontId="0" fillId="0" borderId="58" xfId="0" applyNumberFormat="1" applyFont="1" applyFill="1" applyBorder="1" applyAlignment="1"/>
    <xf numFmtId="169" fontId="0" fillId="0" borderId="58" xfId="8" applyNumberFormat="1" applyFont="1" applyFill="1" applyBorder="1"/>
    <xf numFmtId="169" fontId="15" fillId="0" borderId="58" xfId="6" applyNumberFormat="1" applyFill="1" applyBorder="1"/>
    <xf numFmtId="169" fontId="0" fillId="0" borderId="57" xfId="8" applyNumberFormat="1" applyFont="1" applyFill="1" applyBorder="1"/>
    <xf numFmtId="9" fontId="79" fillId="0" borderId="61" xfId="28" applyFont="1" applyFill="1" applyBorder="1"/>
    <xf numFmtId="167" fontId="79" fillId="0" borderId="30" xfId="8" applyFont="1" applyFill="1" applyBorder="1"/>
    <xf numFmtId="169" fontId="79" fillId="0" borderId="30" xfId="8" applyNumberFormat="1" applyFont="1" applyFill="1" applyBorder="1"/>
    <xf numFmtId="167" fontId="79" fillId="0" borderId="30" xfId="8" applyNumberFormat="1" applyFont="1" applyFill="1" applyBorder="1"/>
    <xf numFmtId="169" fontId="79" fillId="0" borderId="36" xfId="8" applyNumberFormat="1" applyFont="1" applyFill="1" applyBorder="1"/>
    <xf numFmtId="0" fontId="51" fillId="22" borderId="37" xfId="6" applyFont="1" applyFill="1" applyBorder="1"/>
    <xf numFmtId="0" fontId="51" fillId="22" borderId="59" xfId="6" applyFont="1" applyFill="1" applyBorder="1"/>
    <xf numFmtId="169" fontId="79" fillId="0" borderId="30" xfId="8" applyNumberFormat="1" applyFont="1" applyFill="1" applyBorder="1" applyAlignment="1">
      <alignment horizontal="center"/>
    </xf>
    <xf numFmtId="0" fontId="15" fillId="0" borderId="30" xfId="6" applyFill="1" applyBorder="1"/>
    <xf numFmtId="169" fontId="0" fillId="0" borderId="63" xfId="8" applyNumberFormat="1" applyFont="1" applyFill="1" applyBorder="1"/>
    <xf numFmtId="169" fontId="0" fillId="0" borderId="37" xfId="8" applyNumberFormat="1" applyFont="1" applyFill="1" applyBorder="1"/>
    <xf numFmtId="169" fontId="79" fillId="0" borderId="36" xfId="8" applyNumberFormat="1" applyFont="1" applyFill="1" applyBorder="1" applyAlignment="1">
      <alignment horizontal="center"/>
    </xf>
    <xf numFmtId="0" fontId="15" fillId="0" borderId="37" xfId="6" applyFill="1" applyBorder="1"/>
    <xf numFmtId="0" fontId="15" fillId="0" borderId="36" xfId="6" applyFill="1" applyBorder="1"/>
    <xf numFmtId="43" fontId="15" fillId="0" borderId="37" xfId="27" applyFont="1" applyFill="1" applyBorder="1"/>
    <xf numFmtId="169" fontId="15" fillId="0" borderId="59" xfId="6" applyNumberFormat="1" applyFill="1" applyBorder="1"/>
    <xf numFmtId="0" fontId="15" fillId="0" borderId="58" xfId="6" applyFill="1" applyBorder="1"/>
    <xf numFmtId="0" fontId="15" fillId="0" borderId="57" xfId="6" applyFill="1" applyBorder="1"/>
    <xf numFmtId="169" fontId="0" fillId="0" borderId="108" xfId="8" applyNumberFormat="1" applyFont="1" applyFill="1" applyBorder="1" applyAlignment="1"/>
    <xf numFmtId="169" fontId="0" fillId="0" borderId="109" xfId="8" applyNumberFormat="1" applyFont="1" applyFill="1" applyBorder="1" applyAlignment="1"/>
    <xf numFmtId="169" fontId="79" fillId="0" borderId="103" xfId="8" applyNumberFormat="1" applyFont="1" applyFill="1" applyBorder="1" applyAlignment="1"/>
    <xf numFmtId="0" fontId="57" fillId="20" borderId="46" xfId="25" quotePrefix="1" applyFont="1" applyFill="1" applyBorder="1" applyAlignment="1">
      <alignment horizontal="center"/>
    </xf>
    <xf numFmtId="0" fontId="64" fillId="0" borderId="30" xfId="25" quotePrefix="1" applyFont="1" applyBorder="1" applyAlignment="1">
      <alignment horizontal="center" vertical="center" wrapText="1"/>
    </xf>
    <xf numFmtId="169" fontId="79" fillId="0" borderId="0" xfId="8" applyNumberFormat="1" applyFont="1" applyFill="1" applyBorder="1"/>
    <xf numFmtId="0" fontId="15" fillId="0" borderId="59" xfId="6" applyFill="1" applyBorder="1"/>
    <xf numFmtId="0" fontId="36" fillId="0" borderId="59" xfId="6" applyFont="1" applyFill="1" applyBorder="1"/>
    <xf numFmtId="181" fontId="76" fillId="0" borderId="0" xfId="0" applyNumberFormat="1" applyFont="1" applyFill="1" applyBorder="1" applyAlignment="1"/>
    <xf numFmtId="1" fontId="76" fillId="0" borderId="0" xfId="0" applyNumberFormat="1" applyFont="1" applyFill="1" applyBorder="1" applyAlignment="1"/>
    <xf numFmtId="169" fontId="36" fillId="0" borderId="0" xfId="8" applyNumberFormat="1" applyFont="1" applyFill="1" applyBorder="1"/>
    <xf numFmtId="0" fontId="36" fillId="20" borderId="30" xfId="6" applyFont="1" applyFill="1" applyBorder="1" applyAlignment="1">
      <alignment horizontal="center"/>
    </xf>
    <xf numFmtId="43" fontId="15" fillId="20" borderId="30" xfId="27" applyFont="1" applyFill="1" applyBorder="1"/>
    <xf numFmtId="0" fontId="36" fillId="20" borderId="37" xfId="6" applyFont="1" applyFill="1" applyBorder="1" applyAlignment="1">
      <alignment horizontal="center"/>
    </xf>
    <xf numFmtId="0" fontId="36" fillId="20" borderId="36" xfId="6" applyFont="1" applyFill="1" applyBorder="1" applyAlignment="1">
      <alignment horizontal="center"/>
    </xf>
    <xf numFmtId="43" fontId="15" fillId="20" borderId="37" xfId="27" applyFont="1" applyFill="1" applyBorder="1"/>
    <xf numFmtId="43" fontId="15" fillId="20" borderId="36" xfId="27" applyFont="1" applyFill="1" applyBorder="1"/>
    <xf numFmtId="43" fontId="34" fillId="20" borderId="59" xfId="6" applyNumberFormat="1" applyFont="1" applyFill="1" applyBorder="1"/>
    <xf numFmtId="43" fontId="34" fillId="20" borderId="58" xfId="6" applyNumberFormat="1" applyFont="1" applyFill="1" applyBorder="1"/>
    <xf numFmtId="43" fontId="34" fillId="20" borderId="57" xfId="6" applyNumberFormat="1" applyFont="1" applyFill="1" applyBorder="1"/>
    <xf numFmtId="169" fontId="0" fillId="18" borderId="30" xfId="8" applyNumberFormat="1" applyFont="1" applyFill="1" applyBorder="1"/>
    <xf numFmtId="0" fontId="36" fillId="18" borderId="40" xfId="6" applyFont="1" applyFill="1" applyBorder="1"/>
    <xf numFmtId="0" fontId="36" fillId="18" borderId="41" xfId="6" applyFont="1" applyFill="1" applyBorder="1"/>
    <xf numFmtId="0" fontId="36" fillId="18" borderId="39" xfId="6" applyFont="1" applyFill="1" applyBorder="1"/>
    <xf numFmtId="0" fontId="36" fillId="18" borderId="37" xfId="6" applyFont="1" applyFill="1" applyBorder="1"/>
    <xf numFmtId="0" fontId="15" fillId="18" borderId="36" xfId="6" applyFill="1" applyBorder="1"/>
    <xf numFmtId="0" fontId="15" fillId="18" borderId="37" xfId="6" applyFill="1" applyBorder="1"/>
    <xf numFmtId="169" fontId="0" fillId="18" borderId="36" xfId="8" applyNumberFormat="1" applyFont="1" applyFill="1" applyBorder="1"/>
    <xf numFmtId="0" fontId="36" fillId="17" borderId="59" xfId="6" applyFont="1" applyFill="1" applyBorder="1"/>
    <xf numFmtId="169" fontId="36" fillId="17" borderId="58" xfId="8" applyNumberFormat="1" applyFont="1" applyFill="1" applyBorder="1"/>
    <xf numFmtId="169" fontId="36" fillId="17" borderId="57" xfId="8" applyNumberFormat="1" applyFont="1" applyFill="1" applyBorder="1"/>
    <xf numFmtId="0" fontId="15" fillId="0" borderId="40" xfId="6" applyBorder="1"/>
    <xf numFmtId="43" fontId="36" fillId="20" borderId="37" xfId="27" applyFont="1" applyFill="1" applyBorder="1" applyAlignment="1">
      <alignment horizontal="center"/>
    </xf>
    <xf numFmtId="43" fontId="36" fillId="20" borderId="60" xfId="27" applyFont="1" applyFill="1" applyBorder="1" applyAlignment="1">
      <alignment horizontal="center"/>
    </xf>
    <xf numFmtId="43" fontId="34" fillId="0" borderId="0" xfId="6" applyNumberFormat="1" applyFont="1" applyFill="1" applyBorder="1"/>
    <xf numFmtId="0" fontId="77" fillId="34" borderId="37" xfId="0" applyFont="1" applyFill="1" applyBorder="1" applyAlignment="1">
      <alignment horizontal="center"/>
    </xf>
    <xf numFmtId="181" fontId="77" fillId="0" borderId="0" xfId="0" applyNumberFormat="1" applyFont="1" applyFill="1" applyBorder="1" applyAlignment="1"/>
    <xf numFmtId="3" fontId="76" fillId="0" borderId="0" xfId="0" applyNumberFormat="1" applyFont="1" applyFill="1" applyBorder="1" applyAlignment="1"/>
    <xf numFmtId="0" fontId="59" fillId="0" borderId="0" xfId="25" quotePrefix="1" applyFont="1" applyFill="1" applyBorder="1" applyAlignment="1">
      <alignment horizontal="center" vertical="center" wrapText="1"/>
    </xf>
    <xf numFmtId="3" fontId="57" fillId="0" borderId="0" xfId="25" quotePrefix="1" applyNumberFormat="1" applyFont="1" applyFill="1" applyBorder="1" applyAlignment="1">
      <alignment vertical="center" wrapText="1"/>
    </xf>
    <xf numFmtId="3" fontId="58" fillId="0" borderId="0" xfId="25" quotePrefix="1" applyNumberFormat="1" applyFont="1" applyFill="1" applyBorder="1" applyAlignment="1">
      <alignment vertical="center" wrapText="1"/>
    </xf>
    <xf numFmtId="3" fontId="58" fillId="0" borderId="0" xfId="25" applyNumberFormat="1" applyFont="1" applyFill="1" applyBorder="1" applyAlignment="1">
      <alignment horizontal="center" vertical="center" wrapText="1"/>
    </xf>
    <xf numFmtId="3" fontId="57" fillId="0" borderId="0" xfId="25" applyNumberFormat="1" applyFont="1" applyFill="1" applyBorder="1" applyAlignment="1">
      <alignment horizontal="center" vertical="center" wrapText="1"/>
    </xf>
    <xf numFmtId="0" fontId="54" fillId="0" borderId="0" xfId="25" applyFont="1" applyFill="1" applyBorder="1" applyAlignment="1">
      <alignment horizontal="center" vertical="center"/>
    </xf>
    <xf numFmtId="43" fontId="57" fillId="0" borderId="0" xfId="27" applyFont="1" applyFill="1" applyBorder="1" applyAlignment="1">
      <alignment horizontal="right" vertical="center"/>
    </xf>
    <xf numFmtId="0" fontId="55" fillId="0" borderId="106" xfId="25" applyFont="1" applyBorder="1" applyAlignment="1">
      <alignment horizontal="center" vertical="center" wrapText="1"/>
    </xf>
    <xf numFmtId="0" fontId="26" fillId="0" borderId="53" xfId="25" applyFont="1" applyBorder="1" applyAlignment="1">
      <alignment horizontal="center" vertical="center" wrapText="1"/>
    </xf>
    <xf numFmtId="0" fontId="55" fillId="0" borderId="60" xfId="25" applyFont="1" applyBorder="1" applyAlignment="1">
      <alignment horizontal="center" vertical="center" wrapText="1"/>
    </xf>
    <xf numFmtId="0" fontId="77" fillId="34" borderId="60" xfId="0" applyFont="1" applyFill="1" applyBorder="1" applyAlignment="1">
      <alignment horizontal="center"/>
    </xf>
    <xf numFmtId="0" fontId="77" fillId="34" borderId="99" xfId="0" applyFont="1" applyFill="1" applyBorder="1" applyAlignment="1">
      <alignment horizontal="center"/>
    </xf>
    <xf numFmtId="0" fontId="70" fillId="0" borderId="30" xfId="6" applyFont="1" applyFill="1" applyBorder="1" applyAlignment="1">
      <alignment horizontal="center" vertical="center" wrapText="1"/>
    </xf>
    <xf numFmtId="0" fontId="69" fillId="0" borderId="30" xfId="6" applyFont="1" applyFill="1" applyBorder="1" applyAlignment="1">
      <alignment horizontal="center" vertical="center" wrapText="1"/>
    </xf>
    <xf numFmtId="0" fontId="69" fillId="0" borderId="58" xfId="6" applyFont="1" applyFill="1" applyBorder="1" applyAlignment="1">
      <alignment horizontal="center" vertical="center" wrapText="1"/>
    </xf>
    <xf numFmtId="167" fontId="79" fillId="0" borderId="70" xfId="24" applyNumberFormat="1" applyFont="1" applyFill="1" applyBorder="1"/>
    <xf numFmtId="167" fontId="79" fillId="0" borderId="69" xfId="24" applyNumberFormat="1" applyFont="1" applyFill="1" applyBorder="1"/>
    <xf numFmtId="167" fontId="70" fillId="18" borderId="0" xfId="0" applyNumberFormat="1" applyFont="1" applyFill="1" applyBorder="1" applyAlignment="1"/>
    <xf numFmtId="0" fontId="88" fillId="0" borderId="30" xfId="0" applyFont="1" applyBorder="1" applyAlignment="1"/>
    <xf numFmtId="0" fontId="88" fillId="0" borderId="60" xfId="0" applyFont="1" applyBorder="1" applyAlignment="1"/>
    <xf numFmtId="0" fontId="88" fillId="0" borderId="99" xfId="0" applyFont="1" applyBorder="1" applyAlignment="1"/>
    <xf numFmtId="43" fontId="34" fillId="20" borderId="37" xfId="27" applyFont="1" applyFill="1" applyBorder="1"/>
    <xf numFmtId="43" fontId="9" fillId="0" borderId="30" xfId="27" applyFont="1" applyFill="1" applyBorder="1"/>
    <xf numFmtId="0" fontId="51" fillId="0" borderId="62" xfId="6" applyFont="1" applyBorder="1" applyAlignment="1">
      <alignment horizontal="left" vertical="center" wrapText="1"/>
    </xf>
    <xf numFmtId="0" fontId="51" fillId="0" borderId="30" xfId="6" applyFont="1" applyBorder="1" applyAlignment="1">
      <alignment vertical="center" wrapText="1"/>
    </xf>
    <xf numFmtId="0" fontId="70" fillId="0" borderId="30" xfId="6" applyFont="1" applyFill="1" applyBorder="1" applyAlignment="1">
      <alignment horizontal="left" vertical="center" wrapText="1"/>
    </xf>
    <xf numFmtId="0" fontId="70" fillId="0" borderId="58" xfId="6" applyFont="1" applyFill="1" applyBorder="1" applyAlignment="1">
      <alignment horizontal="left" vertical="center" wrapText="1"/>
    </xf>
    <xf numFmtId="169" fontId="0" fillId="18" borderId="53" xfId="8" applyNumberFormat="1" applyFont="1" applyFill="1" applyBorder="1"/>
    <xf numFmtId="169" fontId="0" fillId="18" borderId="55" xfId="8" applyNumberFormat="1" applyFont="1" applyFill="1" applyBorder="1"/>
    <xf numFmtId="169" fontId="0" fillId="18" borderId="86" xfId="8" applyNumberFormat="1" applyFont="1" applyFill="1" applyBorder="1"/>
    <xf numFmtId="0" fontId="8" fillId="18" borderId="54" xfId="6" applyFont="1" applyFill="1" applyBorder="1"/>
    <xf numFmtId="0" fontId="8" fillId="18" borderId="37" xfId="6" applyFont="1" applyFill="1" applyBorder="1"/>
    <xf numFmtId="0" fontId="64" fillId="0" borderId="38" xfId="25" quotePrefix="1" applyFont="1" applyBorder="1" applyAlignment="1">
      <alignment horizontal="center" vertical="center" wrapText="1"/>
    </xf>
    <xf numFmtId="3" fontId="72" fillId="2" borderId="12" xfId="0" applyNumberFormat="1" applyFont="1" applyFill="1" applyBorder="1" applyAlignment="1">
      <alignment horizontal="left"/>
    </xf>
    <xf numFmtId="182" fontId="9" fillId="0" borderId="30" xfId="27" applyNumberFormat="1" applyFont="1" applyFill="1" applyBorder="1"/>
    <xf numFmtId="0" fontId="94" fillId="0" borderId="0" xfId="29" applyAlignment="1"/>
    <xf numFmtId="0" fontId="79" fillId="0" borderId="0" xfId="0" applyFont="1"/>
    <xf numFmtId="0" fontId="79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43" fontId="26" fillId="36" borderId="0" xfId="27" applyFont="1" applyFill="1" applyBorder="1" applyAlignment="1">
      <alignment horizontal="center"/>
    </xf>
    <xf numFmtId="43" fontId="0" fillId="17" borderId="0" xfId="27" applyFont="1" applyFill="1" applyBorder="1"/>
    <xf numFmtId="43" fontId="0" fillId="17" borderId="0" xfId="27" applyFont="1" applyFill="1"/>
    <xf numFmtId="43" fontId="0" fillId="17" borderId="0" xfId="27" applyFont="1" applyFill="1" applyAlignment="1"/>
    <xf numFmtId="43" fontId="26" fillId="38" borderId="0" xfId="27" applyFont="1" applyFill="1" applyBorder="1" applyAlignment="1">
      <alignment horizontal="center"/>
    </xf>
    <xf numFmtId="43" fontId="26" fillId="36" borderId="0" xfId="27" applyFont="1" applyFill="1" applyBorder="1"/>
    <xf numFmtId="43" fontId="26" fillId="38" borderId="0" xfId="27" applyFont="1" applyFill="1" applyBorder="1"/>
    <xf numFmtId="43" fontId="26" fillId="37" borderId="0" xfId="27" applyFont="1" applyFill="1" applyBorder="1"/>
    <xf numFmtId="43" fontId="0" fillId="39" borderId="0" xfId="27" applyFont="1" applyFill="1" applyBorder="1"/>
    <xf numFmtId="43" fontId="16" fillId="36" borderId="0" xfId="27" applyFont="1" applyFill="1" applyBorder="1"/>
    <xf numFmtId="43" fontId="16" fillId="38" borderId="0" xfId="27" applyFont="1" applyFill="1" applyBorder="1"/>
    <xf numFmtId="43" fontId="16" fillId="37" borderId="0" xfId="27" applyFont="1" applyFill="1" applyBorder="1"/>
    <xf numFmtId="43" fontId="0" fillId="39" borderId="0" xfId="27" applyFont="1" applyFill="1"/>
    <xf numFmtId="43" fontId="0" fillId="20" borderId="0" xfId="27" applyFont="1" applyFill="1" applyAlignment="1"/>
    <xf numFmtId="43" fontId="0" fillId="39" borderId="0" xfId="27" applyFont="1" applyFill="1" applyAlignment="1"/>
    <xf numFmtId="43" fontId="0" fillId="20" borderId="0" xfId="27" applyFont="1" applyFill="1"/>
    <xf numFmtId="0" fontId="93" fillId="0" borderId="0" xfId="0" applyFont="1" applyFill="1" applyBorder="1"/>
    <xf numFmtId="43" fontId="0" fillId="0" borderId="0" xfId="0" applyNumberFormat="1" applyFont="1" applyAlignment="1"/>
    <xf numFmtId="0" fontId="15" fillId="17" borderId="110" xfId="6" applyFill="1" applyBorder="1"/>
    <xf numFmtId="169" fontId="0" fillId="18" borderId="40" xfId="8" applyNumberFormat="1" applyFont="1" applyFill="1" applyBorder="1"/>
    <xf numFmtId="169" fontId="0" fillId="18" borderId="39" xfId="8" applyNumberFormat="1" applyFont="1" applyFill="1" applyBorder="1"/>
    <xf numFmtId="0" fontId="36" fillId="18" borderId="96" xfId="6" applyFont="1" applyFill="1" applyBorder="1"/>
    <xf numFmtId="0" fontId="36" fillId="18" borderId="66" xfId="6" applyFont="1" applyFill="1" applyBorder="1"/>
    <xf numFmtId="0" fontId="36" fillId="18" borderId="65" xfId="6" applyFont="1" applyFill="1" applyBorder="1"/>
    <xf numFmtId="0" fontId="0" fillId="0" borderId="30" xfId="0" applyFont="1" applyBorder="1"/>
    <xf numFmtId="0" fontId="95" fillId="0" borderId="30" xfId="0" applyFont="1" applyFill="1" applyBorder="1" applyAlignment="1"/>
    <xf numFmtId="43" fontId="70" fillId="23" borderId="30" xfId="27" applyFont="1" applyFill="1" applyBorder="1" applyAlignment="1"/>
    <xf numFmtId="43" fontId="0" fillId="39" borderId="30" xfId="27" applyFont="1" applyFill="1" applyBorder="1"/>
    <xf numFmtId="43" fontId="16" fillId="36" borderId="30" xfId="27" applyFont="1" applyFill="1" applyBorder="1"/>
    <xf numFmtId="43" fontId="16" fillId="38" borderId="30" xfId="27" applyFont="1" applyFill="1" applyBorder="1"/>
    <xf numFmtId="43" fontId="16" fillId="37" borderId="30" xfId="27" applyFont="1" applyFill="1" applyBorder="1"/>
    <xf numFmtId="0" fontId="0" fillId="0" borderId="30" xfId="0" applyFont="1" applyBorder="1" applyAlignment="1"/>
    <xf numFmtId="0" fontId="16" fillId="0" borderId="30" xfId="0" applyFont="1" applyBorder="1"/>
    <xf numFmtId="43" fontId="0" fillId="17" borderId="30" xfId="27" applyFont="1" applyFill="1" applyBorder="1"/>
    <xf numFmtId="0" fontId="16" fillId="0" borderId="30" xfId="0" applyFont="1" applyBorder="1" applyAlignment="1"/>
    <xf numFmtId="0" fontId="93" fillId="0" borderId="30" xfId="0" applyFont="1" applyFill="1" applyBorder="1"/>
    <xf numFmtId="43" fontId="16" fillId="36" borderId="30" xfId="0" applyNumberFormat="1" applyFont="1" applyFill="1" applyBorder="1" applyAlignment="1"/>
    <xf numFmtId="0" fontId="79" fillId="0" borderId="30" xfId="0" applyFont="1" applyBorder="1"/>
    <xf numFmtId="0" fontId="70" fillId="0" borderId="30" xfId="0" applyFont="1" applyBorder="1"/>
    <xf numFmtId="0" fontId="96" fillId="0" borderId="30" xfId="0" applyFont="1" applyFill="1" applyBorder="1" applyAlignment="1"/>
    <xf numFmtId="2" fontId="95" fillId="0" borderId="30" xfId="0" applyNumberFormat="1" applyFont="1" applyFill="1" applyBorder="1" applyAlignment="1"/>
    <xf numFmtId="0" fontId="0" fillId="40" borderId="30" xfId="0" applyFont="1" applyFill="1" applyBorder="1" applyAlignment="1"/>
    <xf numFmtId="0" fontId="40" fillId="0" borderId="30" xfId="0" applyFont="1" applyBorder="1" applyAlignment="1">
      <alignment horizontal="left" vertical="center" wrapText="1"/>
    </xf>
    <xf numFmtId="43" fontId="16" fillId="38" borderId="60" xfId="27" applyFont="1" applyFill="1" applyBorder="1"/>
    <xf numFmtId="167" fontId="70" fillId="17" borderId="30" xfId="0" applyNumberFormat="1" applyFont="1" applyFill="1" applyBorder="1" applyAlignment="1">
      <alignment horizontal="right" vertical="center" wrapText="1"/>
    </xf>
    <xf numFmtId="0" fontId="40" fillId="0" borderId="30" xfId="0" applyFont="1" applyBorder="1" applyAlignment="1">
      <alignment horizontal="left" vertical="center"/>
    </xf>
    <xf numFmtId="0" fontId="40" fillId="0" borderId="40" xfId="0" applyFont="1" applyBorder="1" applyAlignment="1">
      <alignment horizontal="left" vertical="center"/>
    </xf>
    <xf numFmtId="43" fontId="16" fillId="36" borderId="30" xfId="27" applyFont="1" applyFill="1" applyBorder="1" applyAlignment="1"/>
    <xf numFmtId="0" fontId="40" fillId="0" borderId="40" xfId="0" applyFont="1" applyBorder="1" applyAlignment="1">
      <alignment vertical="center"/>
    </xf>
    <xf numFmtId="0" fontId="40" fillId="0" borderId="53" xfId="0" applyFont="1" applyBorder="1" applyAlignment="1">
      <alignment vertical="center"/>
    </xf>
    <xf numFmtId="0" fontId="40" fillId="0" borderId="30" xfId="0" applyFont="1" applyBorder="1" applyAlignment="1">
      <alignment vertical="center"/>
    </xf>
    <xf numFmtId="167" fontId="70" fillId="17" borderId="30" xfId="0" applyNumberFormat="1" applyFont="1" applyFill="1" applyBorder="1" applyAlignment="1">
      <alignment vertical="center"/>
    </xf>
    <xf numFmtId="167" fontId="70" fillId="17" borderId="30" xfId="0" applyNumberFormat="1" applyFont="1" applyFill="1" applyBorder="1" applyAlignment="1">
      <alignment horizontal="right" vertical="center"/>
    </xf>
    <xf numFmtId="43" fontId="0" fillId="0" borderId="30" xfId="0" applyNumberFormat="1" applyFont="1" applyBorder="1" applyAlignment="1"/>
    <xf numFmtId="43" fontId="15" fillId="18" borderId="0" xfId="27" applyFont="1" applyFill="1"/>
    <xf numFmtId="1" fontId="36" fillId="0" borderId="30" xfId="6" applyNumberFormat="1" applyFont="1" applyBorder="1"/>
    <xf numFmtId="1" fontId="36" fillId="0" borderId="36" xfId="6" applyNumberFormat="1" applyFont="1" applyBorder="1"/>
    <xf numFmtId="0" fontId="7" fillId="25" borderId="37" xfId="6" applyFont="1" applyFill="1" applyBorder="1"/>
    <xf numFmtId="0" fontId="36" fillId="25" borderId="59" xfId="6" applyFont="1" applyFill="1" applyBorder="1"/>
    <xf numFmtId="1" fontId="76" fillId="0" borderId="30" xfId="0" applyNumberFormat="1" applyFont="1" applyBorder="1" applyAlignment="1"/>
    <xf numFmtId="1" fontId="76" fillId="0" borderId="60" xfId="0" applyNumberFormat="1" applyFont="1" applyBorder="1" applyAlignment="1"/>
    <xf numFmtId="169" fontId="79" fillId="25" borderId="58" xfId="8" applyNumberFormat="1" applyFont="1" applyFill="1" applyBorder="1"/>
    <xf numFmtId="0" fontId="36" fillId="0" borderId="37" xfId="6" applyFont="1" applyBorder="1"/>
    <xf numFmtId="43" fontId="70" fillId="0" borderId="0" xfId="0" applyNumberFormat="1" applyFont="1" applyFill="1" applyBorder="1" applyAlignment="1"/>
    <xf numFmtId="43" fontId="92" fillId="0" borderId="0" xfId="0" applyNumberFormat="1" applyFont="1" applyFill="1" applyBorder="1" applyAlignment="1">
      <alignment horizontal="center"/>
    </xf>
    <xf numFmtId="43" fontId="15" fillId="0" borderId="30" xfId="27" applyFont="1" applyBorder="1"/>
    <xf numFmtId="43" fontId="15" fillId="0" borderId="36" xfId="27" applyFont="1" applyBorder="1"/>
    <xf numFmtId="43" fontId="76" fillId="0" borderId="30" xfId="27" applyFont="1" applyBorder="1" applyAlignment="1"/>
    <xf numFmtId="43" fontId="76" fillId="0" borderId="60" xfId="27" applyFont="1" applyBorder="1" applyAlignment="1"/>
    <xf numFmtId="1" fontId="77" fillId="0" borderId="30" xfId="0" applyNumberFormat="1" applyFont="1" applyBorder="1" applyAlignment="1"/>
    <xf numFmtId="1" fontId="77" fillId="0" borderId="60" xfId="0" applyNumberFormat="1" applyFont="1" applyBorder="1" applyAlignment="1"/>
    <xf numFmtId="1" fontId="77" fillId="0" borderId="99" xfId="0" applyNumberFormat="1" applyFont="1" applyBorder="1" applyAlignment="1"/>
    <xf numFmtId="169" fontId="79" fillId="41" borderId="58" xfId="0" applyNumberFormat="1" applyFont="1" applyFill="1" applyBorder="1" applyAlignment="1"/>
    <xf numFmtId="169" fontId="79" fillId="41" borderId="112" xfId="0" applyNumberFormat="1" applyFont="1" applyFill="1" applyBorder="1" applyAlignment="1"/>
    <xf numFmtId="169" fontId="70" fillId="41" borderId="30" xfId="0" applyNumberFormat="1" applyFont="1" applyFill="1" applyBorder="1" applyAlignment="1"/>
    <xf numFmtId="169" fontId="70" fillId="41" borderId="60" xfId="0" applyNumberFormat="1" applyFont="1" applyFill="1" applyBorder="1" applyAlignment="1"/>
    <xf numFmtId="1" fontId="76" fillId="0" borderId="99" xfId="0" applyNumberFormat="1" applyFont="1" applyBorder="1" applyAlignment="1"/>
    <xf numFmtId="0" fontId="51" fillId="0" borderId="0" xfId="6" applyFont="1" applyFill="1" applyBorder="1" applyAlignment="1">
      <alignment horizontal="center"/>
    </xf>
    <xf numFmtId="0" fontId="43" fillId="0" borderId="0" xfId="6" applyFont="1" applyFill="1" applyBorder="1" applyAlignment="1">
      <alignment horizontal="center"/>
    </xf>
    <xf numFmtId="170" fontId="51" fillId="0" borderId="0" xfId="6" applyNumberFormat="1" applyFont="1" applyFill="1" applyBorder="1" applyAlignment="1">
      <alignment horizontal="right"/>
    </xf>
    <xf numFmtId="164" fontId="15" fillId="0" borderId="0" xfId="6" applyNumberFormat="1" applyFill="1"/>
    <xf numFmtId="167" fontId="51" fillId="0" borderId="36" xfId="8" applyFont="1" applyBorder="1" applyAlignment="1">
      <alignment horizontal="right" vertical="center" wrapText="1"/>
    </xf>
    <xf numFmtId="0" fontId="51" fillId="0" borderId="30" xfId="6" applyFont="1" applyBorder="1" applyAlignment="1">
      <alignment horizontal="left" vertical="center" wrapText="1"/>
    </xf>
    <xf numFmtId="0" fontId="51" fillId="0" borderId="30" xfId="6" applyFont="1" applyBorder="1" applyAlignment="1">
      <alignment horizontal="left" wrapText="1"/>
    </xf>
    <xf numFmtId="0" fontId="15" fillId="0" borderId="40" xfId="6" applyBorder="1" applyAlignment="1">
      <alignment horizontal="left"/>
    </xf>
    <xf numFmtId="167" fontId="0" fillId="0" borderId="39" xfId="8" applyFont="1" applyBorder="1"/>
    <xf numFmtId="43" fontId="51" fillId="0" borderId="61" xfId="27" applyFont="1" applyBorder="1" applyAlignment="1">
      <alignment horizontal="right" vertical="center" wrapText="1"/>
    </xf>
    <xf numFmtId="0" fontId="72" fillId="17" borderId="58" xfId="6" applyFont="1" applyFill="1" applyBorder="1" applyAlignment="1">
      <alignment horizontal="left" vertical="center" wrapText="1" indent="5"/>
    </xf>
    <xf numFmtId="0" fontId="76" fillId="0" borderId="37" xfId="0" applyFont="1" applyBorder="1" applyAlignment="1"/>
    <xf numFmtId="0" fontId="77" fillId="0" borderId="60" xfId="0" applyFont="1" applyBorder="1" applyAlignment="1">
      <alignment horizontal="center"/>
    </xf>
    <xf numFmtId="0" fontId="77" fillId="0" borderId="41" xfId="0" applyFont="1" applyBorder="1" applyAlignment="1"/>
    <xf numFmtId="43" fontId="76" fillId="0" borderId="92" xfId="0" applyNumberFormat="1" applyFont="1" applyBorder="1" applyAlignment="1"/>
    <xf numFmtId="0" fontId="77" fillId="0" borderId="37" xfId="0" applyFont="1" applyBorder="1" applyAlignment="1"/>
    <xf numFmtId="43" fontId="76" fillId="0" borderId="60" xfId="0" applyNumberFormat="1" applyFont="1" applyBorder="1" applyAlignment="1"/>
    <xf numFmtId="0" fontId="0" fillId="0" borderId="0" xfId="0" applyFont="1" applyFill="1"/>
    <xf numFmtId="43" fontId="0" fillId="0" borderId="0" xfId="27" applyFont="1" applyFill="1"/>
    <xf numFmtId="43" fontId="0" fillId="0" borderId="0" xfId="27" applyFont="1" applyFill="1" applyAlignment="1"/>
    <xf numFmtId="0" fontId="0" fillId="0" borderId="0" xfId="0" applyFont="1" applyFill="1" applyAlignment="1"/>
    <xf numFmtId="43" fontId="26" fillId="36" borderId="30" xfId="27" applyFont="1" applyFill="1" applyBorder="1"/>
    <xf numFmtId="43" fontId="26" fillId="37" borderId="30" xfId="27" applyFont="1" applyFill="1" applyBorder="1"/>
    <xf numFmtId="0" fontId="6" fillId="18" borderId="46" xfId="6" applyFont="1" applyFill="1" applyBorder="1"/>
    <xf numFmtId="0" fontId="6" fillId="18" borderId="0" xfId="6" applyFont="1" applyFill="1" applyBorder="1"/>
    <xf numFmtId="2" fontId="15" fillId="0" borderId="54" xfId="6" applyNumberFormat="1" applyFill="1" applyBorder="1" applyAlignment="1">
      <alignment wrapText="1"/>
    </xf>
    <xf numFmtId="2" fontId="5" fillId="0" borderId="37" xfId="6" applyNumberFormat="1" applyFont="1" applyBorder="1" applyAlignment="1">
      <alignment wrapText="1"/>
    </xf>
    <xf numFmtId="2" fontId="39" fillId="0" borderId="99" xfId="6" applyNumberFormat="1" applyFont="1" applyFill="1" applyBorder="1"/>
    <xf numFmtId="43" fontId="0" fillId="17" borderId="57" xfId="8" applyNumberFormat="1" applyFont="1" applyFill="1" applyBorder="1"/>
    <xf numFmtId="0" fontId="51" fillId="0" borderId="30" xfId="6" applyFont="1" applyBorder="1" applyAlignment="1">
      <alignment wrapText="1"/>
    </xf>
    <xf numFmtId="0" fontId="4" fillId="18" borderId="37" xfId="6" applyFont="1" applyFill="1" applyBorder="1"/>
    <xf numFmtId="0" fontId="3" fillId="0" borderId="0" xfId="6" applyFont="1"/>
    <xf numFmtId="2" fontId="2" fillId="0" borderId="54" xfId="6" applyNumberFormat="1" applyFont="1" applyFill="1" applyBorder="1" applyAlignment="1">
      <alignment wrapText="1"/>
    </xf>
    <xf numFmtId="0" fontId="50" fillId="0" borderId="35" xfId="6" applyFont="1" applyBorder="1" applyAlignment="1">
      <alignment horizontal="center"/>
    </xf>
    <xf numFmtId="0" fontId="50" fillId="0" borderId="43" xfId="6" applyFont="1" applyBorder="1" applyAlignment="1">
      <alignment horizontal="center"/>
    </xf>
    <xf numFmtId="0" fontId="50" fillId="0" borderId="44" xfId="6" applyFont="1" applyBorder="1" applyAlignment="1">
      <alignment horizontal="center"/>
    </xf>
    <xf numFmtId="0" fontId="47" fillId="17" borderId="0" xfId="6" applyFont="1" applyFill="1" applyAlignment="1">
      <alignment horizontal="center" vertical="center" wrapText="1"/>
    </xf>
    <xf numFmtId="0" fontId="46" fillId="17" borderId="0" xfId="6" applyFont="1" applyFill="1" applyAlignment="1">
      <alignment horizontal="center" vertical="center" wrapText="1"/>
    </xf>
    <xf numFmtId="0" fontId="36" fillId="18" borderId="43" xfId="6" applyFont="1" applyFill="1" applyBorder="1" applyAlignment="1">
      <alignment horizontal="center" vertical="center" wrapText="1"/>
    </xf>
    <xf numFmtId="0" fontId="36" fillId="18" borderId="44" xfId="6" applyFont="1" applyFill="1" applyBorder="1" applyAlignment="1">
      <alignment horizontal="center" vertical="center" wrapText="1"/>
    </xf>
    <xf numFmtId="0" fontId="15" fillId="22" borderId="48" xfId="6" applyFill="1" applyBorder="1" applyAlignment="1">
      <alignment horizontal="center" vertical="center"/>
    </xf>
    <xf numFmtId="0" fontId="15" fillId="22" borderId="52" xfId="6" applyFill="1" applyBorder="1" applyAlignment="1">
      <alignment horizontal="center" vertical="center"/>
    </xf>
    <xf numFmtId="0" fontId="15" fillId="22" borderId="31" xfId="6" applyFill="1" applyBorder="1" applyAlignment="1">
      <alignment horizontal="center" vertical="center"/>
    </xf>
    <xf numFmtId="1" fontId="15" fillId="22" borderId="54" xfId="6" applyNumberFormat="1" applyFill="1" applyBorder="1" applyAlignment="1">
      <alignment horizontal="center" vertical="center"/>
    </xf>
    <xf numFmtId="1" fontId="15" fillId="22" borderId="51" xfId="6" applyNumberFormat="1" applyFill="1" applyBorder="1" applyAlignment="1">
      <alignment horizontal="center" vertical="center"/>
    </xf>
    <xf numFmtId="1" fontId="15" fillId="22" borderId="104" xfId="6" applyNumberFormat="1" applyFill="1" applyBorder="1" applyAlignment="1">
      <alignment horizontal="center" vertical="center"/>
    </xf>
    <xf numFmtId="0" fontId="15" fillId="22" borderId="53" xfId="6" applyFill="1" applyBorder="1" applyAlignment="1">
      <alignment horizontal="center" vertical="center"/>
    </xf>
    <xf numFmtId="0" fontId="15" fillId="22" borderId="50" xfId="6" applyFill="1" applyBorder="1" applyAlignment="1">
      <alignment horizontal="center" vertical="center"/>
    </xf>
    <xf numFmtId="0" fontId="15" fillId="22" borderId="64" xfId="6" applyFill="1" applyBorder="1" applyAlignment="1">
      <alignment horizontal="center" vertical="center"/>
    </xf>
    <xf numFmtId="0" fontId="43" fillId="17" borderId="47" xfId="6" applyFont="1" applyFill="1" applyBorder="1" applyAlignment="1">
      <alignment horizontal="center" vertical="center"/>
    </xf>
    <xf numFmtId="0" fontId="43" fillId="17" borderId="46" xfId="6" applyFont="1" applyFill="1" applyBorder="1" applyAlignment="1">
      <alignment horizontal="center" vertical="center"/>
    </xf>
    <xf numFmtId="0" fontId="43" fillId="17" borderId="49" xfId="6" applyFont="1" applyFill="1" applyBorder="1" applyAlignment="1">
      <alignment horizontal="center" vertical="center"/>
    </xf>
    <xf numFmtId="0" fontId="15" fillId="18" borderId="37" xfId="6" applyFill="1" applyBorder="1" applyAlignment="1">
      <alignment horizontal="center" vertical="center"/>
    </xf>
    <xf numFmtId="0" fontId="9" fillId="18" borderId="53" xfId="6" applyFont="1" applyFill="1" applyBorder="1" applyAlignment="1">
      <alignment horizontal="center" vertical="center" wrapText="1"/>
    </xf>
    <xf numFmtId="0" fontId="15" fillId="18" borderId="40" xfId="6" applyFill="1" applyBorder="1" applyAlignment="1">
      <alignment horizontal="center" vertical="center" wrapText="1"/>
    </xf>
    <xf numFmtId="4" fontId="15" fillId="18" borderId="30" xfId="6" applyNumberFormat="1" applyFill="1" applyBorder="1" applyAlignment="1">
      <alignment horizontal="center" vertical="center" wrapText="1"/>
    </xf>
    <xf numFmtId="0" fontId="15" fillId="19" borderId="35" xfId="6" applyFill="1" applyBorder="1" applyAlignment="1">
      <alignment horizontal="center"/>
    </xf>
    <xf numFmtId="0" fontId="15" fillId="19" borderId="43" xfId="6" applyFill="1" applyBorder="1" applyAlignment="1">
      <alignment horizontal="center"/>
    </xf>
    <xf numFmtId="0" fontId="15" fillId="19" borderId="44" xfId="6" applyFill="1" applyBorder="1" applyAlignment="1">
      <alignment horizontal="center"/>
    </xf>
    <xf numFmtId="0" fontId="36" fillId="18" borderId="47" xfId="6" applyFont="1" applyFill="1" applyBorder="1" applyAlignment="1">
      <alignment horizontal="center" vertical="center" wrapText="1"/>
    </xf>
    <xf numFmtId="0" fontId="36" fillId="18" borderId="46" xfId="6" applyFont="1" applyFill="1" applyBorder="1" applyAlignment="1">
      <alignment horizontal="center" vertical="center" wrapText="1"/>
    </xf>
    <xf numFmtId="0" fontId="36" fillId="18" borderId="49" xfId="6" applyFont="1" applyFill="1" applyBorder="1" applyAlignment="1">
      <alignment horizontal="center" vertical="center" wrapText="1"/>
    </xf>
    <xf numFmtId="0" fontId="45" fillId="17" borderId="63" xfId="4" applyFont="1" applyFill="1" applyBorder="1" applyAlignment="1">
      <alignment horizontal="center"/>
    </xf>
    <xf numFmtId="0" fontId="45" fillId="17" borderId="62" xfId="4" applyFont="1" applyFill="1" applyBorder="1" applyAlignment="1">
      <alignment horizontal="center"/>
    </xf>
    <xf numFmtId="0" fontId="45" fillId="17" borderId="61" xfId="4" applyFont="1" applyFill="1" applyBorder="1" applyAlignment="1">
      <alignment horizontal="center"/>
    </xf>
    <xf numFmtId="0" fontId="52" fillId="17" borderId="75" xfId="24" applyFont="1" applyFill="1" applyBorder="1" applyAlignment="1">
      <alignment horizontal="center"/>
    </xf>
    <xf numFmtId="0" fontId="52" fillId="17" borderId="74" xfId="24" applyFont="1" applyFill="1" applyBorder="1" applyAlignment="1">
      <alignment horizontal="center"/>
    </xf>
    <xf numFmtId="0" fontId="52" fillId="17" borderId="73" xfId="24" applyFont="1" applyFill="1" applyBorder="1" applyAlignment="1">
      <alignment horizontal="center"/>
    </xf>
    <xf numFmtId="0" fontId="50" fillId="20" borderId="35" xfId="6" applyFont="1" applyFill="1" applyBorder="1" applyAlignment="1">
      <alignment horizontal="center"/>
    </xf>
    <xf numFmtId="0" fontId="50" fillId="20" borderId="43" xfId="6" applyFont="1" applyFill="1" applyBorder="1" applyAlignment="1">
      <alignment horizontal="center"/>
    </xf>
    <xf numFmtId="0" fontId="50" fillId="20" borderId="44" xfId="6" applyFont="1" applyFill="1" applyBorder="1" applyAlignment="1">
      <alignment horizontal="center"/>
    </xf>
    <xf numFmtId="0" fontId="45" fillId="17" borderId="63" xfId="2" applyFont="1" applyFill="1" applyBorder="1" applyAlignment="1">
      <alignment horizontal="center"/>
    </xf>
    <xf numFmtId="0" fontId="45" fillId="17" borderId="62" xfId="2" applyFont="1" applyFill="1" applyBorder="1" applyAlignment="1">
      <alignment horizontal="center"/>
    </xf>
    <xf numFmtId="0" fontId="45" fillId="17" borderId="61" xfId="2" applyFont="1" applyFill="1" applyBorder="1" applyAlignment="1">
      <alignment horizontal="center"/>
    </xf>
    <xf numFmtId="0" fontId="45" fillId="17" borderId="83" xfId="3" applyFont="1" applyFill="1" applyBorder="1" applyAlignment="1">
      <alignment horizontal="center"/>
    </xf>
    <xf numFmtId="0" fontId="45" fillId="17" borderId="82" xfId="3" applyFont="1" applyFill="1" applyBorder="1" applyAlignment="1">
      <alignment horizontal="center"/>
    </xf>
    <xf numFmtId="0" fontId="45" fillId="17" borderId="81" xfId="3" applyFont="1" applyFill="1" applyBorder="1" applyAlignment="1">
      <alignment horizontal="center"/>
    </xf>
    <xf numFmtId="0" fontId="45" fillId="17" borderId="63" xfId="1" applyFont="1" applyFill="1" applyBorder="1" applyAlignment="1">
      <alignment horizontal="center"/>
    </xf>
    <xf numFmtId="0" fontId="45" fillId="17" borderId="62" xfId="1" applyFont="1" applyFill="1" applyBorder="1" applyAlignment="1">
      <alignment horizontal="center"/>
    </xf>
    <xf numFmtId="0" fontId="45" fillId="17" borderId="61" xfId="1" applyFont="1" applyFill="1" applyBorder="1" applyAlignment="1">
      <alignment horizontal="center"/>
    </xf>
    <xf numFmtId="0" fontId="36" fillId="17" borderId="0" xfId="6" applyFont="1" applyFill="1" applyAlignment="1">
      <alignment horizontal="center" vertical="center" wrapText="1"/>
    </xf>
    <xf numFmtId="0" fontId="36" fillId="0" borderId="35" xfId="6" applyFont="1" applyBorder="1" applyAlignment="1">
      <alignment horizontal="center" vertical="center"/>
    </xf>
    <xf numFmtId="0" fontId="36" fillId="0" borderId="43" xfId="6" applyFont="1" applyBorder="1" applyAlignment="1">
      <alignment horizontal="center" vertical="center"/>
    </xf>
    <xf numFmtId="0" fontId="36" fillId="0" borderId="84" xfId="6" applyFont="1" applyBorder="1" applyAlignment="1">
      <alignment horizontal="center" vertical="center"/>
    </xf>
    <xf numFmtId="0" fontId="57" fillId="20" borderId="35" xfId="25" quotePrefix="1" applyFont="1" applyFill="1" applyBorder="1" applyAlignment="1">
      <alignment horizontal="center"/>
    </xf>
    <xf numFmtId="0" fontId="57" fillId="20" borderId="43" xfId="25" quotePrefix="1" applyFont="1" applyFill="1" applyBorder="1" applyAlignment="1">
      <alignment horizontal="center"/>
    </xf>
    <xf numFmtId="0" fontId="57" fillId="20" borderId="44" xfId="25" quotePrefix="1" applyFont="1" applyFill="1" applyBorder="1" applyAlignment="1">
      <alignment horizontal="center"/>
    </xf>
    <xf numFmtId="0" fontId="57" fillId="20" borderId="47" xfId="25" quotePrefix="1" applyFont="1" applyFill="1" applyBorder="1" applyAlignment="1">
      <alignment horizontal="center"/>
    </xf>
    <xf numFmtId="0" fontId="57" fillId="20" borderId="46" xfId="25" quotePrefix="1" applyFont="1" applyFill="1" applyBorder="1" applyAlignment="1">
      <alignment horizontal="center"/>
    </xf>
    <xf numFmtId="0" fontId="64" fillId="0" borderId="30" xfId="25" quotePrefix="1" applyFont="1" applyBorder="1" applyAlignment="1">
      <alignment horizontal="center" vertical="center" wrapText="1"/>
    </xf>
    <xf numFmtId="0" fontId="54" fillId="18" borderId="0" xfId="25" applyFont="1" applyFill="1" applyBorder="1" applyAlignment="1">
      <alignment horizontal="center" vertical="center" wrapText="1"/>
    </xf>
    <xf numFmtId="0" fontId="59" fillId="20" borderId="35" xfId="25" quotePrefix="1" applyFont="1" applyFill="1" applyBorder="1" applyAlignment="1">
      <alignment horizontal="center" vertical="center" wrapText="1"/>
    </xf>
    <xf numFmtId="0" fontId="59" fillId="20" borderId="43" xfId="25" quotePrefix="1" applyFont="1" applyFill="1" applyBorder="1" applyAlignment="1">
      <alignment horizontal="center" vertical="center" wrapText="1"/>
    </xf>
    <xf numFmtId="0" fontId="59" fillId="20" borderId="44" xfId="25" quotePrefix="1" applyFont="1" applyFill="1" applyBorder="1" applyAlignment="1">
      <alignment horizontal="center" vertical="center" wrapText="1"/>
    </xf>
    <xf numFmtId="0" fontId="55" fillId="0" borderId="106" xfId="25" applyFont="1" applyBorder="1" applyAlignment="1">
      <alignment horizontal="center" vertical="center"/>
    </xf>
    <xf numFmtId="0" fontId="26" fillId="0" borderId="53" xfId="25" applyFont="1" applyBorder="1" applyAlignment="1">
      <alignment horizontal="center" vertical="center"/>
    </xf>
    <xf numFmtId="0" fontId="55" fillId="0" borderId="40" xfId="25" applyFont="1" applyBorder="1" applyAlignment="1">
      <alignment horizontal="center" vertical="center"/>
    </xf>
    <xf numFmtId="0" fontId="57" fillId="20" borderId="96" xfId="25" quotePrefix="1" applyFont="1" applyFill="1" applyBorder="1" applyAlignment="1">
      <alignment horizontal="center" vertical="center"/>
    </xf>
    <xf numFmtId="0" fontId="57" fillId="20" borderId="66" xfId="25" quotePrefix="1" applyFont="1" applyFill="1" applyBorder="1" applyAlignment="1">
      <alignment horizontal="center" vertical="center"/>
    </xf>
    <xf numFmtId="0" fontId="57" fillId="20" borderId="95" xfId="25" quotePrefix="1" applyFont="1" applyFill="1" applyBorder="1" applyAlignment="1">
      <alignment horizontal="center" vertical="center"/>
    </xf>
    <xf numFmtId="0" fontId="91" fillId="20" borderId="48" xfId="25" applyFont="1" applyFill="1" applyBorder="1" applyAlignment="1">
      <alignment horizontal="center" vertical="center" wrapText="1"/>
    </xf>
    <xf numFmtId="0" fontId="91" fillId="20" borderId="52" xfId="25" applyFont="1" applyFill="1" applyBorder="1" applyAlignment="1">
      <alignment horizontal="center" vertical="center" wrapText="1"/>
    </xf>
    <xf numFmtId="0" fontId="91" fillId="20" borderId="31" xfId="25" applyFont="1" applyFill="1" applyBorder="1" applyAlignment="1">
      <alignment horizontal="center" vertical="center" wrapText="1"/>
    </xf>
    <xf numFmtId="0" fontId="64" fillId="0" borderId="30" xfId="25" applyFont="1" applyBorder="1" applyAlignment="1">
      <alignment horizontal="center" vertical="center" wrapText="1"/>
    </xf>
    <xf numFmtId="0" fontId="58" fillId="20" borderId="38" xfId="25" quotePrefix="1" applyFont="1" applyFill="1" applyBorder="1" applyAlignment="1">
      <alignment horizontal="center" vertical="center" wrapText="1"/>
    </xf>
    <xf numFmtId="0" fontId="63" fillId="20" borderId="38" xfId="25" applyFont="1" applyFill="1" applyBorder="1" applyAlignment="1">
      <alignment horizontal="center" vertical="center" wrapText="1"/>
    </xf>
    <xf numFmtId="0" fontId="63" fillId="20" borderId="94" xfId="25" applyFont="1" applyFill="1" applyBorder="1" applyAlignment="1">
      <alignment horizontal="center" vertical="center" wrapText="1"/>
    </xf>
    <xf numFmtId="0" fontId="63" fillId="20" borderId="89" xfId="25" applyFont="1" applyFill="1" applyBorder="1" applyAlignment="1">
      <alignment horizontal="center" vertical="center" wrapText="1"/>
    </xf>
    <xf numFmtId="0" fontId="54" fillId="20" borderId="48" xfId="25" applyFont="1" applyFill="1" applyBorder="1" applyAlignment="1">
      <alignment horizontal="center" vertical="center" wrapText="1"/>
    </xf>
    <xf numFmtId="0" fontId="54" fillId="20" borderId="52" xfId="25" applyFont="1" applyFill="1" applyBorder="1" applyAlignment="1">
      <alignment horizontal="center" vertical="center" wrapText="1"/>
    </xf>
    <xf numFmtId="0" fontId="54" fillId="20" borderId="31" xfId="25" applyFont="1" applyFill="1" applyBorder="1" applyAlignment="1">
      <alignment horizontal="center" vertical="center" wrapText="1"/>
    </xf>
    <xf numFmtId="0" fontId="54" fillId="20" borderId="49" xfId="25" applyFont="1" applyFill="1" applyBorder="1" applyAlignment="1">
      <alignment horizontal="center" vertical="center" wrapText="1"/>
    </xf>
    <xf numFmtId="0" fontId="54" fillId="20" borderId="45" xfId="25" applyFont="1" applyFill="1" applyBorder="1" applyAlignment="1">
      <alignment horizontal="center" vertical="center" wrapText="1"/>
    </xf>
    <xf numFmtId="0" fontId="54" fillId="20" borderId="34" xfId="25" applyFont="1" applyFill="1" applyBorder="1" applyAlignment="1">
      <alignment horizontal="center" vertical="center" wrapText="1"/>
    </xf>
    <xf numFmtId="0" fontId="97" fillId="20" borderId="0" xfId="6" applyFont="1" applyFill="1" applyAlignment="1">
      <alignment horizontal="center" vertical="center"/>
    </xf>
    <xf numFmtId="0" fontId="45" fillId="33" borderId="35" xfId="6" applyFont="1" applyFill="1" applyBorder="1" applyAlignment="1">
      <alignment horizontal="center" vertical="center" wrapText="1"/>
    </xf>
    <xf numFmtId="0" fontId="45" fillId="33" borderId="43" xfId="6" applyFont="1" applyFill="1" applyBorder="1" applyAlignment="1">
      <alignment horizontal="center" vertical="center" wrapText="1"/>
    </xf>
    <xf numFmtId="0" fontId="45" fillId="33" borderId="44" xfId="6" applyFont="1" applyFill="1" applyBorder="1" applyAlignment="1">
      <alignment horizontal="center" vertical="center" wrapText="1"/>
    </xf>
    <xf numFmtId="0" fontId="52" fillId="17" borderId="113" xfId="24" applyFont="1" applyFill="1" applyBorder="1" applyAlignment="1">
      <alignment horizontal="center"/>
    </xf>
    <xf numFmtId="0" fontId="52" fillId="17" borderId="114" xfId="24" applyFont="1" applyFill="1" applyBorder="1" applyAlignment="1">
      <alignment horizontal="center"/>
    </xf>
    <xf numFmtId="0" fontId="52" fillId="17" borderId="115" xfId="24" applyFont="1" applyFill="1" applyBorder="1" applyAlignment="1">
      <alignment horizontal="center"/>
    </xf>
    <xf numFmtId="0" fontId="80" fillId="17" borderId="0" xfId="6" applyFont="1" applyFill="1" applyAlignment="1">
      <alignment horizontal="center" vertical="center" wrapText="1"/>
    </xf>
    <xf numFmtId="0" fontId="45" fillId="24" borderId="35" xfId="6" applyFont="1" applyFill="1" applyBorder="1" applyAlignment="1">
      <alignment horizontal="center" vertical="center" wrapText="1"/>
    </xf>
    <xf numFmtId="0" fontId="45" fillId="24" borderId="43" xfId="6" applyFont="1" applyFill="1" applyBorder="1" applyAlignment="1">
      <alignment horizontal="center" vertical="center" wrapText="1"/>
    </xf>
    <xf numFmtId="0" fontId="45" fillId="24" borderId="44" xfId="6" applyFont="1" applyFill="1" applyBorder="1" applyAlignment="1">
      <alignment horizontal="center" vertical="center" wrapText="1"/>
    </xf>
    <xf numFmtId="0" fontId="81" fillId="17" borderId="0" xfId="6" applyFont="1" applyFill="1" applyAlignment="1">
      <alignment horizontal="center" vertical="center"/>
    </xf>
    <xf numFmtId="0" fontId="80" fillId="17" borderId="0" xfId="6" applyFont="1" applyFill="1" applyAlignment="1">
      <alignment horizontal="center" vertical="center"/>
    </xf>
    <xf numFmtId="0" fontId="97" fillId="17" borderId="0" xfId="6" applyFont="1" applyFill="1" applyAlignment="1">
      <alignment horizontal="center" vertical="center"/>
    </xf>
    <xf numFmtId="0" fontId="93" fillId="0" borderId="0" xfId="6" applyFont="1" applyFill="1" applyBorder="1" applyAlignment="1">
      <alignment horizontal="center"/>
    </xf>
    <xf numFmtId="0" fontId="36" fillId="0" borderId="35" xfId="6" applyFont="1" applyFill="1" applyBorder="1" applyAlignment="1">
      <alignment horizontal="center"/>
    </xf>
    <xf numFmtId="0" fontId="36" fillId="0" borderId="43" xfId="6" applyFont="1" applyFill="1" applyBorder="1" applyAlignment="1">
      <alignment horizontal="center"/>
    </xf>
    <xf numFmtId="0" fontId="36" fillId="0" borderId="44" xfId="6" applyFont="1" applyFill="1" applyBorder="1" applyAlignment="1">
      <alignment horizontal="center"/>
    </xf>
    <xf numFmtId="0" fontId="26" fillId="0" borderId="106" xfId="25" applyFont="1" applyBorder="1" applyAlignment="1">
      <alignment horizontal="center" vertical="center"/>
    </xf>
    <xf numFmtId="0" fontId="98" fillId="23" borderId="0" xfId="0" applyFont="1" applyFill="1" applyAlignment="1">
      <alignment horizontal="center" vertical="center"/>
    </xf>
    <xf numFmtId="0" fontId="36" fillId="17" borderId="111" xfId="6" applyFont="1" applyFill="1" applyBorder="1" applyAlignment="1">
      <alignment horizontal="center"/>
    </xf>
    <xf numFmtId="0" fontId="36" fillId="17" borderId="0" xfId="6" applyFont="1" applyFill="1" applyBorder="1" applyAlignment="1">
      <alignment horizontal="center"/>
    </xf>
    <xf numFmtId="0" fontId="36" fillId="18" borderId="63" xfId="6" applyFont="1" applyFill="1" applyBorder="1" applyAlignment="1">
      <alignment horizontal="center"/>
    </xf>
    <xf numFmtId="0" fontId="36" fillId="18" borderId="62" xfId="6" applyFont="1" applyFill="1" applyBorder="1" applyAlignment="1">
      <alignment horizontal="center"/>
    </xf>
    <xf numFmtId="0" fontId="36" fillId="18" borderId="61" xfId="6" applyFont="1" applyFill="1" applyBorder="1" applyAlignment="1">
      <alignment horizontal="center"/>
    </xf>
    <xf numFmtId="0" fontId="91" fillId="20" borderId="48" xfId="25" applyFont="1" applyFill="1" applyBorder="1" applyAlignment="1">
      <alignment horizontal="center" vertical="center"/>
    </xf>
    <xf numFmtId="0" fontId="91" fillId="20" borderId="52" xfId="25" applyFont="1" applyFill="1" applyBorder="1" applyAlignment="1">
      <alignment horizontal="center" vertical="center"/>
    </xf>
    <xf numFmtId="0" fontId="91" fillId="20" borderId="31" xfId="25" applyFont="1" applyFill="1" applyBorder="1" applyAlignment="1">
      <alignment horizontal="center" vertical="center"/>
    </xf>
    <xf numFmtId="0" fontId="15" fillId="0" borderId="35" xfId="6" applyBorder="1" applyAlignment="1">
      <alignment horizontal="center" vertical="center"/>
    </xf>
    <xf numFmtId="0" fontId="15" fillId="0" borderId="44" xfId="6" applyBorder="1" applyAlignment="1">
      <alignment horizontal="center" vertical="center"/>
    </xf>
    <xf numFmtId="0" fontId="49" fillId="35" borderId="0" xfId="6" applyFont="1" applyFill="1" applyAlignment="1">
      <alignment horizontal="center"/>
    </xf>
    <xf numFmtId="0" fontId="39" fillId="0" borderId="35" xfId="6" applyFont="1" applyBorder="1" applyAlignment="1">
      <alignment horizontal="center" vertical="center"/>
    </xf>
    <xf numFmtId="0" fontId="39" fillId="0" borderId="97" xfId="6" applyFont="1" applyBorder="1" applyAlignment="1">
      <alignment horizontal="center" vertical="center"/>
    </xf>
    <xf numFmtId="0" fontId="36" fillId="25" borderId="37" xfId="6" applyFont="1" applyFill="1" applyBorder="1" applyAlignment="1">
      <alignment horizontal="center" vertical="center"/>
    </xf>
    <xf numFmtId="0" fontId="36" fillId="17" borderId="37" xfId="6" applyFont="1" applyFill="1" applyBorder="1" applyAlignment="1">
      <alignment horizontal="center" vertical="center"/>
    </xf>
    <xf numFmtId="0" fontId="36" fillId="17" borderId="59" xfId="6" applyFont="1" applyFill="1" applyBorder="1" applyAlignment="1">
      <alignment horizontal="center" vertical="center"/>
    </xf>
    <xf numFmtId="0" fontId="51" fillId="0" borderId="30" xfId="6" applyFont="1" applyBorder="1" applyAlignment="1">
      <alignment horizontal="left" vertical="center" wrapText="1"/>
    </xf>
    <xf numFmtId="167" fontId="51" fillId="0" borderId="36" xfId="8" applyFont="1" applyBorder="1" applyAlignment="1">
      <alignment horizontal="right" vertical="center" wrapText="1"/>
    </xf>
    <xf numFmtId="0" fontId="49" fillId="23" borderId="0" xfId="6" applyFont="1" applyFill="1" applyAlignment="1">
      <alignment horizontal="center"/>
    </xf>
    <xf numFmtId="0" fontId="39" fillId="0" borderId="35" xfId="6" applyFont="1" applyBorder="1" applyAlignment="1">
      <alignment horizontal="center" vertical="center" wrapText="1"/>
    </xf>
    <xf numFmtId="0" fontId="39" fillId="0" borderId="97" xfId="6" applyFont="1" applyBorder="1" applyAlignment="1">
      <alignment horizontal="center" vertical="center" wrapText="1"/>
    </xf>
    <xf numFmtId="0" fontId="51" fillId="0" borderId="38" xfId="6" applyFont="1" applyBorder="1" applyAlignment="1">
      <alignment horizontal="center" vertical="center" wrapText="1"/>
    </xf>
    <xf numFmtId="0" fontId="51" fillId="0" borderId="99" xfId="6" applyFont="1" applyBorder="1" applyAlignment="1">
      <alignment horizontal="center" vertical="center" wrapText="1"/>
    </xf>
    <xf numFmtId="0" fontId="51" fillId="0" borderId="105" xfId="6" applyFont="1" applyBorder="1" applyAlignment="1">
      <alignment horizontal="center" vertical="center" wrapText="1"/>
    </xf>
    <xf numFmtId="0" fontId="51" fillId="0" borderId="98" xfId="6" applyFont="1" applyBorder="1" applyAlignment="1">
      <alignment horizontal="center" vertical="center" wrapText="1"/>
    </xf>
    <xf numFmtId="0" fontId="36" fillId="19" borderId="35" xfId="6" applyFont="1" applyFill="1" applyBorder="1" applyAlignment="1">
      <alignment horizontal="center"/>
    </xf>
    <xf numFmtId="0" fontId="36" fillId="19" borderId="43" xfId="6" applyFont="1" applyFill="1" applyBorder="1" applyAlignment="1">
      <alignment horizontal="center"/>
    </xf>
    <xf numFmtId="0" fontId="36" fillId="19" borderId="44" xfId="6" applyFont="1" applyFill="1" applyBorder="1" applyAlignment="1">
      <alignment horizontal="center"/>
    </xf>
    <xf numFmtId="0" fontId="36" fillId="17" borderId="63" xfId="6" applyFont="1" applyFill="1" applyBorder="1" applyAlignment="1">
      <alignment horizontal="center" vertical="center"/>
    </xf>
    <xf numFmtId="0" fontId="36" fillId="25" borderId="41" xfId="6" applyFont="1" applyFill="1" applyBorder="1" applyAlignment="1">
      <alignment horizontal="center" vertical="center"/>
    </xf>
    <xf numFmtId="169" fontId="79" fillId="17" borderId="110" xfId="8" applyNumberFormat="1" applyFont="1" applyFill="1" applyBorder="1" applyAlignment="1">
      <alignment horizontal="center"/>
    </xf>
    <xf numFmtId="169" fontId="79" fillId="17" borderId="108" xfId="8" applyNumberFormat="1" applyFont="1" applyFill="1" applyBorder="1" applyAlignment="1">
      <alignment horizontal="center"/>
    </xf>
    <xf numFmtId="169" fontId="79" fillId="17" borderId="109" xfId="8" applyNumberFormat="1" applyFont="1" applyFill="1" applyBorder="1" applyAlignment="1">
      <alignment horizontal="center"/>
    </xf>
    <xf numFmtId="43" fontId="16" fillId="36" borderId="0" xfId="27" applyFont="1" applyFill="1" applyBorder="1"/>
    <xf numFmtId="43" fontId="16" fillId="17" borderId="0" xfId="27" applyFont="1" applyFill="1" applyBorder="1"/>
    <xf numFmtId="43" fontId="16" fillId="37" borderId="0" xfId="27" applyFont="1" applyFill="1" applyBorder="1"/>
    <xf numFmtId="43" fontId="16" fillId="20" borderId="0" xfId="27" applyFont="1" applyFill="1" applyBorder="1"/>
    <xf numFmtId="43" fontId="26" fillId="3" borderId="0" xfId="27" applyFont="1" applyFill="1" applyBorder="1" applyAlignment="1">
      <alignment horizontal="center"/>
    </xf>
    <xf numFmtId="43" fontId="16" fillId="0" borderId="0" xfId="27" applyFont="1" applyBorder="1"/>
    <xf numFmtId="0" fontId="36" fillId="18" borderId="0" xfId="0" applyFont="1" applyFill="1" applyAlignment="1">
      <alignment horizontal="center"/>
    </xf>
    <xf numFmtId="0" fontId="0" fillId="18" borderId="0" xfId="0" applyFill="1"/>
    <xf numFmtId="0" fontId="99" fillId="0" borderId="0" xfId="0" applyFont="1" applyFill="1" applyBorder="1" applyAlignment="1">
      <alignment horizontal="center" vertical="center"/>
    </xf>
    <xf numFmtId="0" fontId="99" fillId="0" borderId="0" xfId="0" applyFont="1" applyFill="1" applyBorder="1" applyAlignment="1">
      <alignment horizontal="center" vertical="center" wrapText="1"/>
    </xf>
    <xf numFmtId="0" fontId="100" fillId="0" borderId="0" xfId="0" applyFont="1" applyFill="1" applyBorder="1"/>
    <xf numFmtId="0" fontId="100" fillId="0" borderId="0" xfId="0" applyFont="1" applyFill="1" applyBorder="1" applyAlignment="1">
      <alignment wrapText="1"/>
    </xf>
    <xf numFmtId="185" fontId="100" fillId="0" borderId="0" xfId="0" applyNumberFormat="1" applyFont="1" applyFill="1" applyBorder="1"/>
    <xf numFmtId="0" fontId="100" fillId="0" borderId="0" xfId="0" applyFont="1" applyFill="1"/>
    <xf numFmtId="0" fontId="36" fillId="18" borderId="110" xfId="6" applyFont="1" applyFill="1" applyBorder="1" applyAlignment="1">
      <alignment horizontal="center"/>
    </xf>
    <xf numFmtId="0" fontId="36" fillId="18" borderId="108" xfId="6" applyFont="1" applyFill="1" applyBorder="1" applyAlignment="1">
      <alignment horizontal="center"/>
    </xf>
    <xf numFmtId="0" fontId="36" fillId="18" borderId="109" xfId="6" applyFont="1" applyFill="1" applyBorder="1" applyAlignment="1">
      <alignment horizontal="center"/>
    </xf>
    <xf numFmtId="183" fontId="99" fillId="0" borderId="0" xfId="0" applyNumberFormat="1" applyFont="1" applyFill="1" applyBorder="1" applyAlignment="1">
      <alignment horizontal="center" vertical="center" wrapText="1"/>
    </xf>
    <xf numFmtId="184" fontId="99" fillId="0" borderId="0" xfId="0" applyNumberFormat="1" applyFont="1" applyFill="1" applyBorder="1" applyAlignment="1">
      <alignment horizontal="center" vertical="center" wrapText="1"/>
    </xf>
    <xf numFmtId="185" fontId="100" fillId="18" borderId="0" xfId="0" applyNumberFormat="1" applyFont="1" applyFill="1" applyBorder="1"/>
    <xf numFmtId="185" fontId="100" fillId="0" borderId="0" xfId="0" applyNumberFormat="1" applyFont="1" applyFill="1"/>
    <xf numFmtId="0" fontId="100" fillId="0" borderId="0" xfId="0" applyFont="1" applyFill="1" applyAlignment="1">
      <alignment wrapText="1"/>
    </xf>
    <xf numFmtId="2" fontId="1" fillId="0" borderId="37" xfId="6" applyNumberFormat="1" applyFont="1" applyFill="1" applyBorder="1" applyAlignment="1">
      <alignment wrapText="1"/>
    </xf>
  </cellXfs>
  <cellStyles count="30">
    <cellStyle name="20% - Énfasis3" xfId="5" builtinId="38"/>
    <cellStyle name="Buena" xfId="1" builtinId="26"/>
    <cellStyle name="Cálculo" xfId="3" builtinId="22"/>
    <cellStyle name="Celda de comprobación" xfId="4" builtinId="23"/>
    <cellStyle name="Hipervínculo" xfId="29" builtinId="8"/>
    <cellStyle name="Millares" xfId="27" builtinId="3"/>
    <cellStyle name="Millares 10" xfId="9"/>
    <cellStyle name="Millares 11" xfId="10"/>
    <cellStyle name="Millares 12" xfId="11"/>
    <cellStyle name="Millares 2" xfId="8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iers [0] 2" xfId="20"/>
    <cellStyle name="Moneda [0] 2" xfId="21"/>
    <cellStyle name="Moneda 2" xfId="23"/>
    <cellStyle name="Neutral" xfId="2" builtinId="28"/>
    <cellStyle name="Normal" xfId="0" builtinId="0"/>
    <cellStyle name="Normal 2" xfId="6"/>
    <cellStyle name="Normal 2 2" xfId="25"/>
    <cellStyle name="Normal 3" xfId="22"/>
    <cellStyle name="Notas 2" xfId="24"/>
    <cellStyle name="Porcentaje" xfId="28" builtinId="5"/>
    <cellStyle name="Porcentaje 2" xfId="7"/>
    <cellStyle name="Porcentaje 2 2" xfId="26"/>
  </cellStyles>
  <dxfs count="27"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numFmt numFmtId="185" formatCode="&quot;$&quot;#,##0;[Red]\-&quot;$&quot;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numFmt numFmtId="185" formatCode="&quot;$&quot;#,##0;[Red]\-&quot;$&quot;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numFmt numFmtId="185" formatCode="&quot;$&quot;#,##0;[Red]\-&quot;$&quot;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Futura-Light Obliq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utura-Light Oblique"/>
        <scheme val="none"/>
      </font>
      <fill>
        <patternFill patternType="solid">
          <fgColor indexed="64"/>
          <bgColor rgb="FF00B05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Futura-Light Oblique"/>
        <scheme val="none"/>
      </font>
    </dxf>
    <dxf>
      <border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%20GRUPO%20PUBL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DE PERSONAL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 refreshError="1">
        <row r="5">
          <cell r="B5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>
        <row r="4">
          <cell r="B4">
            <v>1.04</v>
          </cell>
        </row>
        <row r="7">
          <cell r="B7">
            <v>1512</v>
          </cell>
        </row>
        <row r="8">
          <cell r="B8">
            <v>6.9999999999999999E-4</v>
          </cell>
        </row>
        <row r="14">
          <cell r="B14">
            <v>124101720</v>
          </cell>
        </row>
      </sheetData>
      <sheetData sheetId="1"/>
      <sheetData sheetId="2"/>
      <sheetData sheetId="3"/>
      <sheetData sheetId="4">
        <row r="27">
          <cell r="B27">
            <v>1.04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a26" displayName="Tabla26" ref="B41:C45" totalsRowShown="0" headerRowDxfId="26" dataDxfId="24" headerRowBorderDxfId="25" tableBorderDxfId="23" totalsRowBorderDxfId="22">
  <tableColumns count="2">
    <tableColumn id="1" name="Item" dataDxfId="21"/>
    <tableColumn id="2" name="Columna1" dataDxfId="20"/>
  </tableColumns>
  <tableStyleInfo name="TableStyleMedium13" showFirstColumn="1" showLastColumn="0" showRowStripes="1" showColumnStripes="0"/>
</table>
</file>

<file path=xl/tables/table2.xml><?xml version="1.0" encoding="utf-8"?>
<table xmlns="http://schemas.openxmlformats.org/spreadsheetml/2006/main" id="7" name="PUBLICIDAD" displayName="PUBLICIDAD" ref="D104:K111" totalsRowCount="1" headerRowDxfId="19" dataDxfId="18">
  <tableColumns count="8">
    <tableColumn id="1" name="Promoción" totalsRowLabel="Total" dataDxfId="17" totalsRowDxfId="9"/>
    <tableColumn id="2" name="Tiempo aproximado de duración" dataDxfId="16" totalsRowDxfId="8"/>
    <tableColumn id="3" name="Objetivo " dataDxfId="15" totalsRowDxfId="7"/>
    <tableColumn id="4" name="Cantidad" dataDxfId="14" totalsRowDxfId="6"/>
    <tableColumn id="5" name="Se requieren" dataDxfId="13" totalsRowDxfId="5"/>
    <tableColumn id="6" name="Costo Unitario" dataDxfId="12" totalsRowDxfId="4"/>
    <tableColumn id="7" name="Costo total" totalsRowFunction="sum" dataDxfId="11" totalsRowDxfId="3">
      <calculatedColumnFormula>I105*H105</calculatedColumnFormula>
    </tableColumn>
    <tableColumn id="8" name="Proveedor" dataDxfId="10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2" topLeftCell="D17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baseColWidth="10" defaultColWidth="17.28515625" defaultRowHeight="15" customHeight="1"/>
  <cols>
    <col min="1" max="2" width="4.140625" customWidth="1"/>
    <col min="3" max="3" width="47.42578125" customWidth="1"/>
    <col min="4" max="4" width="13.42578125" customWidth="1"/>
    <col min="5" max="10" width="15.140625" customWidth="1"/>
    <col min="11" max="12" width="4.140625" customWidth="1"/>
    <col min="13" max="20" width="0" hidden="1" customWidth="1"/>
  </cols>
  <sheetData>
    <row r="1" spans="1:20" ht="12.75" hidden="1" customHeight="1">
      <c r="A1" s="1"/>
      <c r="B1" s="1"/>
      <c r="C1" s="2"/>
      <c r="D1" s="3"/>
      <c r="E1" s="4">
        <v>0</v>
      </c>
      <c r="F1" s="4">
        <v>1</v>
      </c>
      <c r="G1" s="4">
        <v>2</v>
      </c>
      <c r="H1" s="4">
        <v>3</v>
      </c>
      <c r="I1" s="4">
        <v>4</v>
      </c>
      <c r="J1" s="5">
        <v>5</v>
      </c>
      <c r="K1" s="1"/>
      <c r="L1" s="1"/>
      <c r="M1" s="1"/>
      <c r="N1" s="6"/>
      <c r="O1" s="6"/>
      <c r="P1" s="6"/>
      <c r="Q1" s="6"/>
      <c r="R1" s="6"/>
      <c r="S1" s="6"/>
      <c r="T1" s="6"/>
    </row>
    <row r="2" spans="1:20" ht="27.75" customHeight="1">
      <c r="A2" s="7" t="s">
        <v>0</v>
      </c>
      <c r="B2" s="8"/>
      <c r="C2" s="9"/>
      <c r="D2" s="10"/>
      <c r="E2" s="11"/>
      <c r="F2" s="11"/>
      <c r="G2" s="11"/>
      <c r="H2" s="11"/>
      <c r="I2" s="11"/>
      <c r="J2" s="12"/>
      <c r="K2" s="1"/>
      <c r="L2" s="1"/>
      <c r="M2" s="1"/>
      <c r="N2" s="6"/>
      <c r="O2" s="6"/>
      <c r="P2" s="6"/>
      <c r="Q2" s="6"/>
      <c r="R2" s="6"/>
      <c r="S2" s="6"/>
      <c r="T2" s="6"/>
    </row>
    <row r="3" spans="1:20" ht="12.75" customHeight="1">
      <c r="A3" s="13"/>
      <c r="B3" s="14"/>
      <c r="C3" s="15"/>
      <c r="D3" s="16" t="s">
        <v>1</v>
      </c>
      <c r="E3" s="17">
        <f>Bases!D4</f>
        <v>0</v>
      </c>
      <c r="F3" s="17">
        <f t="shared" ref="F3:J3" si="0">E3+1</f>
        <v>1</v>
      </c>
      <c r="G3" s="17">
        <f t="shared" si="0"/>
        <v>2</v>
      </c>
      <c r="H3" s="17">
        <f t="shared" si="0"/>
        <v>3</v>
      </c>
      <c r="I3" s="17">
        <f t="shared" si="0"/>
        <v>4</v>
      </c>
      <c r="J3" s="17">
        <f t="shared" si="0"/>
        <v>5</v>
      </c>
      <c r="K3" s="18"/>
      <c r="L3" s="13"/>
      <c r="M3" s="1"/>
      <c r="N3" s="6"/>
      <c r="O3" s="6"/>
      <c r="P3" s="6"/>
      <c r="Q3" s="6"/>
      <c r="R3" s="6"/>
      <c r="S3" s="6"/>
      <c r="T3" s="6"/>
    </row>
    <row r="4" spans="1:20" ht="12.75" customHeight="1">
      <c r="A4" s="13"/>
      <c r="B4" s="19"/>
      <c r="C4" s="20" t="s">
        <v>2</v>
      </c>
      <c r="D4" s="21"/>
      <c r="E4" s="1"/>
      <c r="F4" s="22"/>
      <c r="G4" s="22"/>
      <c r="H4" s="22"/>
      <c r="I4" s="22"/>
      <c r="J4" s="23"/>
      <c r="K4" s="24"/>
      <c r="L4" s="13"/>
      <c r="M4" s="1"/>
      <c r="N4" s="6"/>
      <c r="O4" s="6"/>
      <c r="P4" s="6"/>
      <c r="Q4" s="6"/>
      <c r="R4" s="6"/>
      <c r="S4" s="6"/>
      <c r="T4" s="6"/>
    </row>
    <row r="5" spans="1:20" ht="12.75" customHeight="1">
      <c r="A5" s="25"/>
      <c r="B5" s="26"/>
      <c r="C5" s="27" t="s">
        <v>3</v>
      </c>
      <c r="D5" s="28" t="s">
        <v>4</v>
      </c>
      <c r="E5" s="22"/>
      <c r="F5" s="458">
        <v>4.3999999999999997E-2</v>
      </c>
      <c r="G5" s="458">
        <v>3.8300000000000001E-2</v>
      </c>
      <c r="H5" s="458">
        <v>3.8300000000000001E-2</v>
      </c>
      <c r="I5" s="458">
        <v>3.8300000000000001E-2</v>
      </c>
      <c r="J5" s="458">
        <v>3.8300000000000001E-2</v>
      </c>
      <c r="K5" s="30"/>
      <c r="L5" s="25"/>
      <c r="M5" s="31"/>
      <c r="N5" s="6"/>
      <c r="O5" s="6"/>
      <c r="P5" s="6"/>
      <c r="Q5" s="6"/>
      <c r="R5" s="6"/>
      <c r="S5" s="6"/>
      <c r="T5" s="6"/>
    </row>
    <row r="6" spans="1:20" ht="12.75" customHeight="1">
      <c r="A6" s="25"/>
      <c r="B6" s="26"/>
      <c r="C6" s="27" t="s">
        <v>5</v>
      </c>
      <c r="D6" s="28" t="s">
        <v>4</v>
      </c>
      <c r="E6" s="22"/>
      <c r="F6" s="458">
        <v>4.3999999999999997E-2</v>
      </c>
      <c r="G6" s="458">
        <v>4.58E-2</v>
      </c>
      <c r="H6" s="458">
        <v>4.4999999999999998E-2</v>
      </c>
      <c r="I6" s="458">
        <v>4.3400000000000001E-2</v>
      </c>
      <c r="J6" s="458">
        <v>4.4699999999999997E-2</v>
      </c>
      <c r="K6" s="30"/>
      <c r="L6" s="25"/>
      <c r="M6" s="31"/>
      <c r="N6" s="6"/>
      <c r="O6" s="6"/>
      <c r="P6" s="6"/>
      <c r="Q6" s="6"/>
      <c r="R6" s="6"/>
      <c r="S6" s="6"/>
      <c r="T6" s="6"/>
    </row>
    <row r="7" spans="1:20" ht="12.75" hidden="1" customHeight="1">
      <c r="A7" s="25"/>
      <c r="B7" s="26"/>
      <c r="C7" s="27" t="s">
        <v>6</v>
      </c>
      <c r="D7" s="28" t="s">
        <v>4</v>
      </c>
      <c r="E7" s="22"/>
      <c r="F7" s="459"/>
      <c r="G7" s="459"/>
      <c r="H7" s="459"/>
      <c r="I7" s="459"/>
      <c r="J7" s="459"/>
      <c r="K7" s="30"/>
      <c r="L7" s="25"/>
      <c r="M7" s="31"/>
      <c r="N7" s="6"/>
      <c r="O7" s="6"/>
      <c r="P7" s="6"/>
      <c r="Q7" s="6"/>
      <c r="R7" s="6"/>
      <c r="S7" s="6"/>
      <c r="T7" s="6"/>
    </row>
    <row r="8" spans="1:20" ht="12.75" customHeight="1">
      <c r="A8" s="25"/>
      <c r="B8" s="26"/>
      <c r="C8" s="27" t="s">
        <v>7</v>
      </c>
      <c r="D8" s="28" t="s">
        <v>4</v>
      </c>
      <c r="E8" s="22"/>
      <c r="F8" s="458">
        <v>2.7099999999999999E-2</v>
      </c>
      <c r="G8" s="458">
        <v>3.5099999999999999E-2</v>
      </c>
      <c r="H8" s="458">
        <v>3.7199999999999997E-2</v>
      </c>
      <c r="I8" s="458">
        <v>3.7999999999999999E-2</v>
      </c>
      <c r="J8" s="458">
        <v>3.5000000000000003E-2</v>
      </c>
      <c r="K8" s="30"/>
      <c r="L8" s="25"/>
      <c r="M8" s="31"/>
      <c r="N8" s="6"/>
      <c r="O8" s="6"/>
      <c r="P8" s="6"/>
      <c r="Q8" s="6"/>
      <c r="R8" s="6"/>
      <c r="S8" s="6"/>
      <c r="T8" s="6"/>
    </row>
    <row r="9" spans="1:20" ht="12.75" customHeight="1">
      <c r="A9" s="33"/>
      <c r="B9" s="34"/>
      <c r="C9" s="27" t="s">
        <v>8</v>
      </c>
      <c r="D9" s="28" t="s">
        <v>4</v>
      </c>
      <c r="E9" s="22"/>
      <c r="F9" s="458">
        <v>2.5999999999999999E-2</v>
      </c>
      <c r="G9" s="458">
        <v>0.03</v>
      </c>
      <c r="H9" s="458">
        <v>0.03</v>
      </c>
      <c r="I9" s="458">
        <v>0.03</v>
      </c>
      <c r="J9" s="458">
        <v>0.03</v>
      </c>
      <c r="K9" s="35"/>
      <c r="L9" s="33"/>
      <c r="M9" s="36"/>
      <c r="N9" s="6"/>
      <c r="O9" s="6"/>
      <c r="P9" s="6"/>
      <c r="Q9" s="6"/>
      <c r="R9" s="6"/>
      <c r="S9" s="6"/>
      <c r="T9" s="6"/>
    </row>
    <row r="10" spans="1:20" ht="12.75" customHeight="1">
      <c r="A10" s="37"/>
      <c r="B10" s="38"/>
      <c r="C10" s="27" t="s">
        <v>9</v>
      </c>
      <c r="D10" s="28" t="s">
        <v>4</v>
      </c>
      <c r="E10" s="22"/>
      <c r="F10" s="460">
        <v>6.54E-2</v>
      </c>
      <c r="G10" s="460">
        <v>4.6199999999999998E-2</v>
      </c>
      <c r="H10" s="460">
        <v>4.65E-2</v>
      </c>
      <c r="I10" s="460">
        <v>4.7E-2</v>
      </c>
      <c r="J10" s="460">
        <v>4.4999999999999998E-2</v>
      </c>
      <c r="K10" s="39"/>
      <c r="L10" s="37"/>
      <c r="M10" s="40"/>
      <c r="N10" s="6"/>
      <c r="O10" s="6"/>
      <c r="P10" s="6"/>
      <c r="Q10" s="6"/>
      <c r="R10" s="6"/>
      <c r="S10" s="6"/>
      <c r="T10" s="6"/>
    </row>
    <row r="11" spans="1:20" ht="12.75" customHeight="1">
      <c r="A11" s="13"/>
      <c r="B11" s="19"/>
      <c r="C11" s="20" t="s">
        <v>10</v>
      </c>
      <c r="D11" s="21"/>
      <c r="E11" s="1"/>
      <c r="F11" s="1"/>
      <c r="G11" s="1"/>
      <c r="H11" s="1"/>
      <c r="I11" s="1"/>
      <c r="J11" s="1"/>
      <c r="K11" s="24"/>
      <c r="L11" s="13"/>
      <c r="M11" s="1"/>
      <c r="N11" s="6"/>
      <c r="O11" s="6"/>
      <c r="P11" s="6"/>
      <c r="Q11" s="6"/>
      <c r="R11" s="6"/>
      <c r="S11" s="6"/>
      <c r="T11" s="6"/>
    </row>
    <row r="12" spans="1:20" ht="12.75" customHeight="1">
      <c r="A12" s="13"/>
      <c r="B12" s="19"/>
      <c r="C12" s="41" t="s">
        <v>11</v>
      </c>
      <c r="D12" s="42"/>
      <c r="E12" s="1"/>
      <c r="F12" s="1"/>
      <c r="G12" s="1"/>
      <c r="H12" s="1"/>
      <c r="I12" s="1"/>
      <c r="J12" s="1"/>
      <c r="K12" s="24"/>
      <c r="L12" s="13"/>
      <c r="M12" s="1"/>
      <c r="N12" s="6"/>
      <c r="O12" s="6"/>
      <c r="P12" s="6"/>
      <c r="Q12" s="6"/>
      <c r="R12" s="6"/>
      <c r="S12" s="6"/>
      <c r="T12" s="6"/>
    </row>
    <row r="13" spans="1:20" ht="12.75" customHeight="1">
      <c r="A13" s="13"/>
      <c r="B13" s="43"/>
      <c r="C13" s="27" t="str">
        <f>'PLAN DE PRODUCCCION'!B4</f>
        <v>producto 1</v>
      </c>
      <c r="D13" s="28" t="s">
        <v>12</v>
      </c>
      <c r="E13" s="22"/>
      <c r="F13" s="44">
        <f>'PLAN DE VENTAS'!C8</f>
        <v>173033.02412271968</v>
      </c>
      <c r="G13" s="51">
        <f>'PLAN DE VENTAS'!D8</f>
        <v>141337.23514540034</v>
      </c>
      <c r="H13" s="51">
        <f>'PLAN DE VENTAS'!E8</f>
        <v>125470.85324862835</v>
      </c>
      <c r="I13" s="51">
        <f>'PLAN DE VENTAS'!F8</f>
        <v>105410.15805685481</v>
      </c>
      <c r="J13" s="51">
        <f>'PLAN DE VENTAS'!G8</f>
        <v>100046.16006615273</v>
      </c>
      <c r="K13" s="24"/>
      <c r="L13" s="45"/>
      <c r="M13" s="46"/>
      <c r="N13" s="6"/>
      <c r="O13" s="6"/>
      <c r="P13" s="6"/>
      <c r="Q13" s="6"/>
      <c r="R13" s="6"/>
      <c r="S13" s="6"/>
      <c r="T13" s="6"/>
    </row>
    <row r="14" spans="1:20" ht="12.75" customHeight="1">
      <c r="A14" s="13"/>
      <c r="B14" s="43"/>
      <c r="C14" s="27" t="str">
        <f>'PLAN DE PRODUCCCION'!B5</f>
        <v>producto 2</v>
      </c>
      <c r="D14" s="28" t="s">
        <v>12</v>
      </c>
      <c r="E14" s="22"/>
      <c r="F14" s="51">
        <f>'PLAN DE VENTAS'!C9</f>
        <v>174022.26909983411</v>
      </c>
      <c r="G14" s="51">
        <f>'PLAN DE VENTAS'!D9</f>
        <v>140022.92750379696</v>
      </c>
      <c r="H14" s="51">
        <f>'PLAN DE VENTAS'!E9</f>
        <v>125820.40863979372</v>
      </c>
      <c r="I14" s="51">
        <f>'PLAN DE VENTAS'!F9</f>
        <v>104943.06059669485</v>
      </c>
      <c r="J14" s="51">
        <f>'PLAN DE VENTAS'!G9</f>
        <v>99255.820855134909</v>
      </c>
      <c r="K14" s="24"/>
      <c r="L14" s="45"/>
      <c r="M14" s="46"/>
      <c r="N14" s="6"/>
      <c r="O14" s="6"/>
      <c r="P14" s="6"/>
      <c r="Q14" s="6"/>
      <c r="R14" s="6"/>
      <c r="S14" s="6"/>
      <c r="T14" s="6"/>
    </row>
    <row r="15" spans="1:20" ht="12.75" customHeight="1">
      <c r="A15" s="13"/>
      <c r="B15" s="43"/>
      <c r="C15" s="27" t="str">
        <f>'PLAN DE PRODUCCCION'!B6</f>
        <v>producto 3</v>
      </c>
      <c r="D15" s="28" t="s">
        <v>12</v>
      </c>
      <c r="E15" s="22"/>
      <c r="F15" s="51">
        <f>'PLAN DE VENTAS'!C10</f>
        <v>70312.702750829179</v>
      </c>
      <c r="G15" s="51">
        <f>'PLAN DE VENTAS'!D10</f>
        <v>60274.362377627178</v>
      </c>
      <c r="H15" s="51">
        <f>'PLAN DE VENTAS'!E10</f>
        <v>54935.539859293749</v>
      </c>
      <c r="I15" s="51">
        <f>'PLAN DE VENTAS'!F10</f>
        <v>46457.106335084594</v>
      </c>
      <c r="J15" s="51">
        <f>'PLAN DE VENTAS'!G10</f>
        <v>44232.096462541507</v>
      </c>
      <c r="K15" s="24"/>
      <c r="L15" s="45"/>
      <c r="M15" s="46"/>
      <c r="N15" s="6"/>
      <c r="O15" s="6"/>
      <c r="P15" s="6"/>
      <c r="Q15" s="6"/>
      <c r="R15" s="6"/>
      <c r="S15" s="6"/>
      <c r="T15" s="6"/>
    </row>
    <row r="16" spans="1:20" ht="12.75" customHeight="1">
      <c r="A16" s="13"/>
      <c r="B16" s="43"/>
      <c r="C16" s="27"/>
      <c r="D16" s="28" t="s">
        <v>12</v>
      </c>
      <c r="E16" s="22"/>
      <c r="F16" s="51">
        <f>'COSTOS MANO DE OBRA'!J99</f>
        <v>0</v>
      </c>
      <c r="G16" s="51">
        <f>'COSTOS MANO DE OBRA'!J110</f>
        <v>0</v>
      </c>
      <c r="H16" s="51">
        <f>'COSTOS MANO DE OBRA'!J120</f>
        <v>0</v>
      </c>
      <c r="I16" s="51">
        <f>'COSTOS MANO DE OBRA'!J130</f>
        <v>0</v>
      </c>
      <c r="J16" s="51">
        <f>'COSTOS MANO DE OBRA'!J140</f>
        <v>0</v>
      </c>
      <c r="K16" s="24"/>
      <c r="L16" s="45"/>
      <c r="M16" s="46"/>
      <c r="N16" s="6"/>
      <c r="O16" s="6"/>
      <c r="P16" s="6"/>
      <c r="Q16" s="6"/>
      <c r="R16" s="6"/>
      <c r="S16" s="6"/>
      <c r="T16" s="6"/>
    </row>
    <row r="17" spans="1:20" ht="12.75" customHeight="1">
      <c r="A17" s="13"/>
      <c r="B17" s="43"/>
      <c r="C17" s="27"/>
      <c r="D17" s="28" t="s">
        <v>12</v>
      </c>
      <c r="E17" s="22"/>
      <c r="F17" s="51">
        <f>'COSTOS MANO DE OBRA'!J100</f>
        <v>0</v>
      </c>
      <c r="G17" s="51">
        <f>'COSTOS MANO DE OBRA'!J111</f>
        <v>0</v>
      </c>
      <c r="H17" s="51">
        <f>'COSTOS MANO DE OBRA'!J121</f>
        <v>0</v>
      </c>
      <c r="I17" s="51">
        <f>'COSTOS MANO DE OBRA'!J131</f>
        <v>0</v>
      </c>
      <c r="J17" s="51">
        <f>'COSTOS MANO DE OBRA'!J141</f>
        <v>0</v>
      </c>
      <c r="K17" s="24"/>
      <c r="L17" s="45"/>
      <c r="M17" s="46"/>
      <c r="N17" s="6"/>
      <c r="O17" s="6"/>
      <c r="P17" s="6"/>
      <c r="Q17" s="6"/>
      <c r="R17" s="6"/>
      <c r="S17" s="6"/>
      <c r="T17" s="6"/>
    </row>
    <row r="18" spans="1:20" ht="12.75" customHeight="1">
      <c r="A18" s="13"/>
      <c r="B18" s="19"/>
      <c r="C18" s="41" t="s">
        <v>13</v>
      </c>
      <c r="D18" s="42"/>
      <c r="E18" s="1"/>
      <c r="F18" s="1"/>
      <c r="G18" s="1"/>
      <c r="H18" s="1"/>
      <c r="I18" s="1"/>
      <c r="J18" s="1"/>
      <c r="K18" s="24"/>
      <c r="L18" s="13"/>
      <c r="M18" s="1"/>
      <c r="N18" s="6"/>
      <c r="O18" s="6"/>
      <c r="P18" s="6"/>
      <c r="Q18" s="6"/>
      <c r="R18" s="6"/>
      <c r="S18" s="6"/>
      <c r="T18" s="6"/>
    </row>
    <row r="19" spans="1:20" ht="12.75" customHeight="1">
      <c r="A19" s="37"/>
      <c r="B19" s="38"/>
      <c r="C19" s="27" t="str">
        <f>C13</f>
        <v>producto 1</v>
      </c>
      <c r="D19" s="28" t="s">
        <v>14</v>
      </c>
      <c r="E19" s="22"/>
      <c r="F19" s="44">
        <f>'PLAN DE VENTAS'!C15</f>
        <v>289.44</v>
      </c>
      <c r="G19" s="51">
        <f>'PLAN DE VENTAS'!D15</f>
        <v>424.51200000000006</v>
      </c>
      <c r="H19" s="51">
        <f>'PLAN DE VENTAS'!E15</f>
        <v>488.18880000000001</v>
      </c>
      <c r="I19" s="51">
        <f>'PLAN DE VENTAS'!F15</f>
        <v>610.23599999999999</v>
      </c>
      <c r="J19" s="51">
        <f>'PLAN DE VENTAS'!G15</f>
        <v>671.25960000000009</v>
      </c>
      <c r="K19" s="39"/>
      <c r="L19" s="37"/>
      <c r="M19" s="40"/>
      <c r="N19" s="6"/>
      <c r="O19" s="6"/>
      <c r="P19" s="6"/>
      <c r="Q19" s="6"/>
      <c r="R19" s="6"/>
      <c r="S19" s="6"/>
      <c r="T19" s="6"/>
    </row>
    <row r="20" spans="1:20" ht="12.75" customHeight="1">
      <c r="A20" s="37"/>
      <c r="B20" s="38"/>
      <c r="C20" s="27" t="str">
        <f t="shared" ref="C20:C21" si="1">C14</f>
        <v>producto 2</v>
      </c>
      <c r="D20" s="28" t="s">
        <v>14</v>
      </c>
      <c r="E20" s="22"/>
      <c r="F20" s="51">
        <f>'PLAN DE VENTAS'!C16</f>
        <v>289.44</v>
      </c>
      <c r="G20" s="51">
        <f>'PLAN DE VENTAS'!D16</f>
        <v>424.51200000000006</v>
      </c>
      <c r="H20" s="51">
        <f>'PLAN DE VENTAS'!E16</f>
        <v>488.18880000000001</v>
      </c>
      <c r="I20" s="51">
        <f>'PLAN DE VENTAS'!F16</f>
        <v>610.23599999999999</v>
      </c>
      <c r="J20" s="51">
        <f>'PLAN DE VENTAS'!G16</f>
        <v>671.25960000000009</v>
      </c>
      <c r="K20" s="39"/>
      <c r="L20" s="37"/>
      <c r="M20" s="40"/>
      <c r="N20" s="6"/>
      <c r="O20" s="6"/>
      <c r="P20" s="6"/>
      <c r="Q20" s="6"/>
      <c r="R20" s="6"/>
      <c r="S20" s="6"/>
      <c r="T20" s="6"/>
    </row>
    <row r="21" spans="1:20" ht="12.75" customHeight="1">
      <c r="A21" s="37"/>
      <c r="B21" s="38"/>
      <c r="C21" s="27" t="str">
        <f t="shared" si="1"/>
        <v>producto 3</v>
      </c>
      <c r="D21" s="28" t="s">
        <v>14</v>
      </c>
      <c r="E21" s="22"/>
      <c r="F21" s="51">
        <f>'PLAN DE VENTAS'!C17</f>
        <v>0</v>
      </c>
      <c r="G21" s="51">
        <f>'PLAN DE VENTAS'!D17</f>
        <v>0</v>
      </c>
      <c r="H21" s="51">
        <f>'PLAN DE VENTAS'!E17</f>
        <v>0</v>
      </c>
      <c r="I21" s="51">
        <f>'PLAN DE VENTAS'!F17</f>
        <v>0</v>
      </c>
      <c r="J21" s="51">
        <f>'PLAN DE VENTAS'!G17</f>
        <v>0</v>
      </c>
      <c r="K21" s="39"/>
      <c r="L21" s="37"/>
      <c r="M21" s="40"/>
      <c r="N21" s="6"/>
      <c r="O21" s="6"/>
      <c r="P21" s="6"/>
      <c r="Q21" s="6"/>
      <c r="R21" s="6"/>
      <c r="S21" s="6"/>
      <c r="T21" s="6"/>
    </row>
    <row r="22" spans="1:20" ht="12.75" customHeight="1">
      <c r="A22" s="37"/>
      <c r="B22" s="38"/>
      <c r="C22" s="27"/>
      <c r="D22" s="28" t="s">
        <v>14</v>
      </c>
      <c r="E22" s="22"/>
      <c r="F22" s="51">
        <f>'PLAN DE PRODUCCCION'!K30</f>
        <v>0</v>
      </c>
      <c r="G22" s="51">
        <f>'PLAN DE PRODUCCCION'!L30</f>
        <v>0</v>
      </c>
      <c r="H22" s="51">
        <f>'PLAN DE PRODUCCCION'!M30</f>
        <v>0</v>
      </c>
      <c r="I22" s="51">
        <f>'PLAN DE PRODUCCCION'!N30</f>
        <v>0</v>
      </c>
      <c r="J22" s="51">
        <f>'PLAN DE PRODUCCCION'!O30</f>
        <v>0</v>
      </c>
      <c r="K22" s="39"/>
      <c r="L22" s="37"/>
      <c r="M22" s="40"/>
      <c r="N22" s="6"/>
      <c r="O22" s="6"/>
      <c r="P22" s="6"/>
      <c r="Q22" s="6"/>
      <c r="R22" s="6"/>
      <c r="S22" s="6"/>
      <c r="T22" s="6"/>
    </row>
    <row r="23" spans="1:20" ht="12.75" customHeight="1">
      <c r="A23" s="37"/>
      <c r="B23" s="38"/>
      <c r="C23" s="27"/>
      <c r="D23" s="28" t="s">
        <v>14</v>
      </c>
      <c r="E23" s="22"/>
      <c r="F23" s="51">
        <f>'PLAN DE PRODUCCCION'!K31</f>
        <v>0</v>
      </c>
      <c r="G23" s="51">
        <f>'PLAN DE PRODUCCCION'!L31</f>
        <v>0</v>
      </c>
      <c r="H23" s="51">
        <f>'PLAN DE PRODUCCCION'!M31</f>
        <v>0</v>
      </c>
      <c r="I23" s="51">
        <f>'PLAN DE PRODUCCCION'!N31</f>
        <v>0</v>
      </c>
      <c r="J23" s="51">
        <f>'PLAN DE PRODUCCCION'!O31</f>
        <v>0</v>
      </c>
      <c r="K23" s="39"/>
      <c r="L23" s="37"/>
      <c r="M23" s="40"/>
      <c r="N23" s="6"/>
      <c r="O23" s="6"/>
      <c r="P23" s="6"/>
      <c r="Q23" s="6"/>
      <c r="R23" s="6"/>
      <c r="S23" s="6"/>
      <c r="T23" s="6"/>
    </row>
    <row r="24" spans="1:20" ht="12.75" customHeight="1">
      <c r="A24" s="13"/>
      <c r="B24" s="19"/>
      <c r="C24" s="41" t="s">
        <v>15</v>
      </c>
      <c r="D24" s="42"/>
      <c r="E24" s="1"/>
      <c r="F24" s="1"/>
      <c r="G24" s="1"/>
      <c r="H24" s="1"/>
      <c r="I24" s="1"/>
      <c r="J24" s="1"/>
      <c r="K24" s="24"/>
      <c r="L24" s="13"/>
      <c r="M24" s="1"/>
      <c r="N24" s="6"/>
      <c r="O24" s="6"/>
      <c r="P24" s="6"/>
      <c r="Q24" s="6"/>
      <c r="R24" s="6"/>
      <c r="S24" s="6"/>
      <c r="T24" s="6"/>
    </row>
    <row r="25" spans="1:20" ht="12.75" customHeight="1">
      <c r="A25" s="13"/>
      <c r="B25" s="43"/>
      <c r="C25" s="27" t="s">
        <v>16</v>
      </c>
      <c r="D25" s="28" t="s">
        <v>17</v>
      </c>
      <c r="E25" s="22"/>
      <c r="F25" s="47">
        <f t="shared" ref="F25:J25" si="2">IF(SUM(F19:F23)=0,0,SUMPRODUCT(F13:F17,F19:F23)/SUM(F19:F23))</f>
        <v>173527.6466112769</v>
      </c>
      <c r="G25" s="47">
        <f t="shared" si="2"/>
        <v>140680.08132459864</v>
      </c>
      <c r="H25" s="47">
        <f t="shared" si="2"/>
        <v>125645.63094421105</v>
      </c>
      <c r="I25" s="47">
        <f t="shared" si="2"/>
        <v>105176.60932677484</v>
      </c>
      <c r="J25" s="47">
        <f t="shared" si="2"/>
        <v>99650.990460643821</v>
      </c>
      <c r="K25" s="24"/>
      <c r="L25" s="45"/>
      <c r="M25" s="46"/>
      <c r="N25" s="6"/>
      <c r="O25" s="6"/>
      <c r="P25" s="6"/>
      <c r="Q25" s="6"/>
      <c r="R25" s="6"/>
      <c r="S25" s="6"/>
      <c r="T25" s="6"/>
    </row>
    <row r="26" spans="1:20" ht="12.75" customHeight="1">
      <c r="A26" s="37"/>
      <c r="B26" s="38"/>
      <c r="C26" s="27" t="s">
        <v>18</v>
      </c>
      <c r="D26" s="28" t="s">
        <v>14</v>
      </c>
      <c r="E26" s="22"/>
      <c r="F26" s="48">
        <f t="shared" ref="F26:J26" si="3">SUM(F19:F23)</f>
        <v>578.88</v>
      </c>
      <c r="G26" s="48">
        <f t="shared" si="3"/>
        <v>849.02400000000011</v>
      </c>
      <c r="H26" s="48">
        <f t="shared" si="3"/>
        <v>976.37760000000003</v>
      </c>
      <c r="I26" s="48">
        <f t="shared" si="3"/>
        <v>1220.472</v>
      </c>
      <c r="J26" s="48">
        <f t="shared" si="3"/>
        <v>1342.5192000000002</v>
      </c>
      <c r="K26" s="39"/>
      <c r="L26" s="37"/>
      <c r="M26" s="40"/>
      <c r="N26" s="6"/>
      <c r="O26" s="6"/>
      <c r="P26" s="6"/>
      <c r="Q26" s="6"/>
      <c r="R26" s="6"/>
      <c r="S26" s="6"/>
      <c r="T26" s="6"/>
    </row>
    <row r="27" spans="1:20" ht="13.5" customHeight="1">
      <c r="A27" s="13"/>
      <c r="B27" s="19"/>
      <c r="C27" s="27" t="s">
        <v>18</v>
      </c>
      <c r="D27" s="28" t="s">
        <v>17</v>
      </c>
      <c r="E27" s="1"/>
      <c r="F27" s="48">
        <f t="shared" ref="F27:J27" si="4">F26*F25</f>
        <v>100451684.07033597</v>
      </c>
      <c r="G27" s="48">
        <f t="shared" si="4"/>
        <v>119440765.36653605</v>
      </c>
      <c r="H27" s="48">
        <f t="shared" si="4"/>
        <v>122677579.59179452</v>
      </c>
      <c r="I27" s="48">
        <f t="shared" si="4"/>
        <v>128365106.73826754</v>
      </c>
      <c r="J27" s="48">
        <f t="shared" si="4"/>
        <v>133783367.99243119</v>
      </c>
      <c r="K27" s="24"/>
      <c r="L27" s="13"/>
      <c r="M27" s="1"/>
      <c r="N27" s="6"/>
      <c r="O27" s="6"/>
      <c r="P27" s="6"/>
      <c r="Q27" s="6"/>
      <c r="R27" s="6"/>
      <c r="S27" s="6"/>
      <c r="T27" s="6"/>
    </row>
    <row r="28" spans="1:20" ht="12.75" customHeight="1">
      <c r="A28" s="13"/>
      <c r="B28" s="19"/>
      <c r="C28" s="41" t="s">
        <v>19</v>
      </c>
      <c r="D28" s="21"/>
      <c r="E28" s="1"/>
      <c r="F28" s="22"/>
      <c r="G28" s="22"/>
      <c r="H28" s="22"/>
      <c r="I28" s="22"/>
      <c r="J28" s="22"/>
      <c r="K28" s="24"/>
      <c r="L28" s="13"/>
      <c r="M28" s="1"/>
      <c r="N28" s="6"/>
      <c r="O28" s="6"/>
      <c r="P28" s="6"/>
      <c r="Q28" s="6"/>
      <c r="R28" s="6"/>
      <c r="S28" s="6"/>
      <c r="T28" s="6"/>
    </row>
    <row r="29" spans="1:20" ht="12.75" customHeight="1">
      <c r="A29" s="13"/>
      <c r="B29" s="19"/>
      <c r="C29" s="27" t="s">
        <v>20</v>
      </c>
      <c r="D29" s="28" t="s">
        <v>21</v>
      </c>
      <c r="E29" s="1"/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24"/>
      <c r="L29" s="13"/>
      <c r="M29" s="1"/>
      <c r="N29" s="6"/>
      <c r="O29" s="6"/>
      <c r="P29" s="6"/>
      <c r="Q29" s="6"/>
      <c r="R29" s="6"/>
      <c r="S29" s="6"/>
      <c r="T29" s="6"/>
    </row>
    <row r="30" spans="1:20" ht="12.75" customHeight="1">
      <c r="A30" s="13"/>
      <c r="B30" s="38"/>
      <c r="C30" s="27" t="s">
        <v>22</v>
      </c>
      <c r="D30" s="28" t="s">
        <v>17</v>
      </c>
      <c r="E30" s="22"/>
      <c r="F30" s="48">
        <f t="shared" ref="F30:J30" si="5">F27*F29</f>
        <v>0</v>
      </c>
      <c r="G30" s="48">
        <f t="shared" si="5"/>
        <v>0</v>
      </c>
      <c r="H30" s="48">
        <f t="shared" si="5"/>
        <v>0</v>
      </c>
      <c r="I30" s="48">
        <f t="shared" si="5"/>
        <v>0</v>
      </c>
      <c r="J30" s="48">
        <f t="shared" si="5"/>
        <v>0</v>
      </c>
      <c r="K30" s="24"/>
      <c r="L30" s="37"/>
      <c r="M30" s="40"/>
      <c r="N30" s="6"/>
      <c r="O30" s="6"/>
      <c r="P30" s="6"/>
      <c r="Q30" s="6"/>
      <c r="R30" s="6"/>
      <c r="S30" s="6"/>
      <c r="T30" s="6"/>
    </row>
    <row r="31" spans="1:20" ht="12.75" customHeight="1">
      <c r="A31" s="13"/>
      <c r="B31" s="19"/>
      <c r="C31" s="41" t="s">
        <v>23</v>
      </c>
      <c r="D31" s="21"/>
      <c r="E31" s="1"/>
      <c r="F31" s="22"/>
      <c r="G31" s="22"/>
      <c r="H31" s="22"/>
      <c r="I31" s="22"/>
      <c r="J31" s="22"/>
      <c r="K31" s="24"/>
      <c r="L31" s="13"/>
      <c r="M31" s="1"/>
      <c r="N31" s="6"/>
      <c r="O31" s="6"/>
      <c r="P31" s="6"/>
      <c r="Q31" s="6"/>
      <c r="R31" s="6"/>
      <c r="S31" s="6"/>
      <c r="T31" s="6"/>
    </row>
    <row r="32" spans="1:20" ht="12.75" customHeight="1">
      <c r="A32" s="13"/>
      <c r="B32" s="43"/>
      <c r="C32" s="27" t="str">
        <f>C13</f>
        <v>producto 1</v>
      </c>
      <c r="D32" s="28" t="s">
        <v>12</v>
      </c>
      <c r="E32" s="22"/>
      <c r="F32" s="44">
        <f>'PLAN DE VENTAS'!C30</f>
        <v>4603</v>
      </c>
      <c r="G32" s="51">
        <f>'PLAN DE VENTAS'!D30</f>
        <v>4764.1049999999996</v>
      </c>
      <c r="H32" s="51">
        <f>'PLAN DE VENTAS'!E30</f>
        <v>4930.8486749999993</v>
      </c>
      <c r="I32" s="51">
        <f>'PLAN DE VENTAS'!F30</f>
        <v>5103.4283786249989</v>
      </c>
      <c r="J32" s="51">
        <f>'PLAN DE VENTAS'!G30</f>
        <v>5282.0483718768737</v>
      </c>
      <c r="K32" s="24"/>
      <c r="L32" s="45"/>
      <c r="M32" s="46"/>
      <c r="N32" s="6"/>
      <c r="O32" s="6"/>
      <c r="P32" s="6"/>
      <c r="Q32" s="6"/>
      <c r="R32" s="6"/>
      <c r="S32" s="6"/>
      <c r="T32" s="6"/>
    </row>
    <row r="33" spans="1:20" ht="12.75" customHeight="1">
      <c r="A33" s="13"/>
      <c r="B33" s="43"/>
      <c r="C33" s="27" t="str">
        <f t="shared" ref="C33:C34" si="6">C14</f>
        <v>producto 2</v>
      </c>
      <c r="D33" s="28" t="s">
        <v>12</v>
      </c>
      <c r="E33" s="22"/>
      <c r="F33" s="51">
        <f>'PLAN DE VENTAS'!C31</f>
        <v>1616</v>
      </c>
      <c r="G33" s="51">
        <f>'PLAN DE VENTAS'!D31</f>
        <v>1672.56</v>
      </c>
      <c r="H33" s="51">
        <f>'PLAN DE VENTAS'!E31</f>
        <v>1731.0995999999998</v>
      </c>
      <c r="I33" s="51">
        <f>'PLAN DE VENTAS'!F31</f>
        <v>1791.6880859999997</v>
      </c>
      <c r="J33" s="51">
        <f>'PLAN DE VENTAS'!G31</f>
        <v>1854.3971690099995</v>
      </c>
      <c r="K33" s="24"/>
      <c r="L33" s="45"/>
      <c r="M33" s="46"/>
      <c r="N33" s="6"/>
      <c r="O33" s="6"/>
      <c r="P33" s="6"/>
      <c r="Q33" s="6"/>
      <c r="R33" s="6"/>
      <c r="S33" s="6"/>
      <c r="T33" s="6"/>
    </row>
    <row r="34" spans="1:20" ht="12.75" customHeight="1">
      <c r="A34" s="13"/>
      <c r="B34" s="43"/>
      <c r="C34" s="27" t="str">
        <f t="shared" si="6"/>
        <v>producto 3</v>
      </c>
      <c r="D34" s="28" t="s">
        <v>12</v>
      </c>
      <c r="E34" s="22"/>
      <c r="F34" s="51">
        <f>'PLAN DE VENTAS'!C32</f>
        <v>2969</v>
      </c>
      <c r="G34" s="51">
        <f>'PLAN DE VENTAS'!D32</f>
        <v>3072.915</v>
      </c>
      <c r="H34" s="51">
        <f>'PLAN DE VENTAS'!E32</f>
        <v>3180.4670249999999</v>
      </c>
      <c r="I34" s="51">
        <f>'PLAN DE VENTAS'!F32</f>
        <v>3291.7833708749995</v>
      </c>
      <c r="J34" s="51">
        <f>'PLAN DE VENTAS'!G32</f>
        <v>3406.9957888556241</v>
      </c>
      <c r="K34" s="24"/>
      <c r="L34" s="45"/>
      <c r="M34" s="46"/>
      <c r="N34" s="6"/>
      <c r="O34" s="6"/>
      <c r="P34" s="6"/>
      <c r="Q34" s="6"/>
      <c r="R34" s="6"/>
      <c r="S34" s="6"/>
      <c r="T34" s="6"/>
    </row>
    <row r="35" spans="1:20" ht="12.75" customHeight="1">
      <c r="A35" s="13"/>
      <c r="B35" s="43"/>
      <c r="C35" s="27"/>
      <c r="D35" s="28" t="s">
        <v>12</v>
      </c>
      <c r="E35" s="22"/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24"/>
      <c r="L35" s="45"/>
      <c r="M35" s="46"/>
      <c r="N35" s="6"/>
      <c r="O35" s="6"/>
      <c r="P35" s="6"/>
      <c r="Q35" s="6"/>
      <c r="R35" s="6"/>
      <c r="S35" s="6"/>
      <c r="T35" s="6"/>
    </row>
    <row r="36" spans="1:20" ht="12.75" customHeight="1">
      <c r="A36" s="13"/>
      <c r="B36" s="43"/>
      <c r="C36" s="27"/>
      <c r="D36" s="28" t="s">
        <v>12</v>
      </c>
      <c r="E36" s="22"/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24"/>
      <c r="L36" s="45"/>
      <c r="M36" s="46"/>
      <c r="N36" s="6"/>
      <c r="O36" s="6"/>
      <c r="P36" s="6"/>
      <c r="Q36" s="6"/>
      <c r="R36" s="6"/>
      <c r="S36" s="6"/>
      <c r="T36" s="6"/>
    </row>
    <row r="37" spans="1:20" ht="12.75" customHeight="1">
      <c r="A37" s="13"/>
      <c r="B37" s="19"/>
      <c r="C37" s="41" t="s">
        <v>24</v>
      </c>
      <c r="D37" s="21"/>
      <c r="E37" s="1"/>
      <c r="F37" s="22"/>
      <c r="G37" s="22"/>
      <c r="H37" s="22"/>
      <c r="I37" s="22"/>
      <c r="J37" s="22"/>
      <c r="K37" s="24"/>
      <c r="L37" s="13"/>
      <c r="M37" s="1"/>
      <c r="N37" s="6"/>
      <c r="O37" s="6"/>
      <c r="P37" s="6"/>
      <c r="Q37" s="6"/>
      <c r="R37" s="6"/>
      <c r="S37" s="6"/>
      <c r="T37" s="6"/>
    </row>
    <row r="38" spans="1:20" ht="12.75" customHeight="1">
      <c r="A38" s="13"/>
      <c r="B38" s="43"/>
      <c r="C38" s="27" t="str">
        <f>C13</f>
        <v>producto 1</v>
      </c>
      <c r="D38" s="28" t="s">
        <v>12</v>
      </c>
      <c r="E38" s="50"/>
      <c r="F38" s="44">
        <f>'COSTOS MANO DE OBRA'!K49</f>
        <v>92579.337036484227</v>
      </c>
      <c r="G38" s="51">
        <f>'COSTOS MANO DE OBRA'!L49</f>
        <v>70626.000063431449</v>
      </c>
      <c r="H38" s="51">
        <f>'COSTOS MANO DE OBRA'!M49</f>
        <v>61324.519318765117</v>
      </c>
      <c r="I38" s="51">
        <f>'COSTOS MANO DE OBRA'!N49</f>
        <v>50938.598724270414</v>
      </c>
      <c r="J38" s="51">
        <f>'COSTOS MANO DE OBRA'!O49</f>
        <v>48081.406417522601</v>
      </c>
      <c r="K38" s="24"/>
      <c r="L38" s="45"/>
      <c r="M38" s="46"/>
      <c r="N38" s="6"/>
      <c r="O38" s="6"/>
      <c r="P38" s="6"/>
      <c r="Q38" s="6"/>
      <c r="R38" s="6"/>
      <c r="S38" s="6"/>
      <c r="T38" s="6"/>
    </row>
    <row r="39" spans="1:20" ht="12.75" customHeight="1">
      <c r="A39" s="13"/>
      <c r="B39" s="43"/>
      <c r="C39" s="27" t="str">
        <f t="shared" ref="C39:C40" si="7">C14</f>
        <v>producto 2</v>
      </c>
      <c r="D39" s="28" t="s">
        <v>12</v>
      </c>
      <c r="E39" s="22"/>
      <c r="F39" s="51">
        <f>'COSTOS MANO DE OBRA'!K50</f>
        <v>92579.337036484227</v>
      </c>
      <c r="G39" s="51">
        <f>'COSTOS MANO DE OBRA'!L50</f>
        <v>70626.000063431449</v>
      </c>
      <c r="H39" s="51">
        <f>'COSTOS MANO DE OBRA'!M50</f>
        <v>61324.519318765117</v>
      </c>
      <c r="I39" s="51">
        <f>'COSTOS MANO DE OBRA'!N50</f>
        <v>50938.598724270414</v>
      </c>
      <c r="J39" s="51">
        <f>'COSTOS MANO DE OBRA'!O50</f>
        <v>48081.406417522601</v>
      </c>
      <c r="K39" s="24"/>
      <c r="L39" s="45"/>
      <c r="M39" s="46"/>
      <c r="N39" s="6"/>
      <c r="O39" s="6"/>
      <c r="P39" s="6"/>
      <c r="Q39" s="6"/>
      <c r="R39" s="6"/>
      <c r="S39" s="6"/>
      <c r="T39" s="6"/>
    </row>
    <row r="40" spans="1:20" ht="12.75" customHeight="1">
      <c r="A40" s="13"/>
      <c r="B40" s="43"/>
      <c r="C40" s="27" t="str">
        <f t="shared" si="7"/>
        <v>producto 3</v>
      </c>
      <c r="D40" s="28" t="s">
        <v>12</v>
      </c>
      <c r="E40" s="22"/>
      <c r="F40" s="51">
        <f>'COSTOS MANO DE OBRA'!K51</f>
        <v>0</v>
      </c>
      <c r="G40" s="51">
        <f>'COSTOS MANO DE OBRA'!L51</f>
        <v>0</v>
      </c>
      <c r="H40" s="51">
        <f>'COSTOS MANO DE OBRA'!M51</f>
        <v>0</v>
      </c>
      <c r="I40" s="51">
        <f>'COSTOS MANO DE OBRA'!N51</f>
        <v>0</v>
      </c>
      <c r="J40" s="51">
        <f>'COSTOS MANO DE OBRA'!O51</f>
        <v>0</v>
      </c>
      <c r="K40" s="24"/>
      <c r="L40" s="45"/>
      <c r="M40" s="46"/>
      <c r="N40" s="6"/>
      <c r="O40" s="6"/>
      <c r="P40" s="6"/>
      <c r="Q40" s="6"/>
      <c r="R40" s="6"/>
      <c r="S40" s="6"/>
      <c r="T40" s="6"/>
    </row>
    <row r="41" spans="1:20" ht="12.75" customHeight="1">
      <c r="A41" s="13"/>
      <c r="B41" s="43"/>
      <c r="C41" s="27"/>
      <c r="D41" s="28" t="s">
        <v>12</v>
      </c>
      <c r="E41" s="22"/>
      <c r="F41" s="51">
        <f>'COSTOS MANO DE OBRA'!E78</f>
        <v>0</v>
      </c>
      <c r="G41" s="51">
        <f>'COSTOS MANO DE OBRA'!G78</f>
        <v>0</v>
      </c>
      <c r="H41" s="51">
        <f>'COSTOS MANO DE OBRA'!H78</f>
        <v>0</v>
      </c>
      <c r="I41" s="51">
        <f>'COSTOS MANO DE OBRA'!I78</f>
        <v>0</v>
      </c>
      <c r="J41" s="51">
        <f>'COSTOS MANO DE OBRA'!J78</f>
        <v>0</v>
      </c>
      <c r="K41" s="24"/>
      <c r="L41" s="45"/>
      <c r="M41" s="46"/>
      <c r="N41" s="6"/>
      <c r="O41" s="6"/>
      <c r="P41" s="6"/>
      <c r="Q41" s="6"/>
      <c r="R41" s="6"/>
      <c r="S41" s="6"/>
      <c r="T41" s="6"/>
    </row>
    <row r="42" spans="1:20" ht="12.75" customHeight="1">
      <c r="A42" s="13"/>
      <c r="B42" s="43"/>
      <c r="C42" s="27"/>
      <c r="D42" s="28" t="s">
        <v>12</v>
      </c>
      <c r="E42" s="22"/>
      <c r="F42" s="51">
        <f>'COSTOS MANO DE OBRA'!F79</f>
        <v>0</v>
      </c>
      <c r="G42" s="51">
        <f>'COSTOS MANO DE OBRA'!G79</f>
        <v>0</v>
      </c>
      <c r="H42" s="51">
        <f>'COSTOS MANO DE OBRA'!H79</f>
        <v>0</v>
      </c>
      <c r="I42" s="51">
        <f>'COSTOS MANO DE OBRA'!I79</f>
        <v>0</v>
      </c>
      <c r="J42" s="51">
        <f>'COSTOS MANO DE OBRA'!J79</f>
        <v>0</v>
      </c>
      <c r="K42" s="24"/>
      <c r="L42" s="45"/>
      <c r="M42" s="46"/>
      <c r="N42" s="6"/>
      <c r="O42" s="6"/>
      <c r="P42" s="6"/>
      <c r="Q42" s="6"/>
      <c r="R42" s="6"/>
      <c r="S42" s="6"/>
      <c r="T42" s="6"/>
    </row>
    <row r="43" spans="1:20" ht="12.75" customHeight="1">
      <c r="A43" s="13"/>
      <c r="B43" s="19"/>
      <c r="C43" s="41" t="s">
        <v>25</v>
      </c>
      <c r="D43" s="21"/>
      <c r="E43" s="1"/>
      <c r="F43" s="22"/>
      <c r="G43" s="22"/>
      <c r="H43" s="22"/>
      <c r="I43" s="22"/>
      <c r="J43" s="22"/>
      <c r="K43" s="24"/>
      <c r="L43" s="13"/>
      <c r="M43" s="1"/>
      <c r="N43" s="6"/>
      <c r="O43" s="6"/>
      <c r="P43" s="6"/>
      <c r="Q43" s="6"/>
      <c r="R43" s="6"/>
      <c r="S43" s="6"/>
      <c r="T43" s="6"/>
    </row>
    <row r="44" spans="1:20" ht="12.75" customHeight="1">
      <c r="A44" s="13"/>
      <c r="B44" s="52"/>
      <c r="C44" s="27" t="s">
        <v>26</v>
      </c>
      <c r="D44" s="28" t="s">
        <v>12</v>
      </c>
      <c r="E44" s="22"/>
      <c r="F44" s="47">
        <f t="shared" ref="F44:J44" si="8">IF(F26=0,0,SUMPRODUCT(F19:F23,F32:F36)/F26)</f>
        <v>3109.5</v>
      </c>
      <c r="G44" s="47">
        <f t="shared" si="8"/>
        <v>3218.3324999999995</v>
      </c>
      <c r="H44" s="47">
        <f t="shared" si="8"/>
        <v>3330.974137499999</v>
      </c>
      <c r="I44" s="47">
        <f t="shared" si="8"/>
        <v>3447.5582323124991</v>
      </c>
      <c r="J44" s="47">
        <f t="shared" si="8"/>
        <v>3568.2227704434363</v>
      </c>
      <c r="K44" s="24"/>
      <c r="L44" s="53"/>
      <c r="M44" s="54"/>
      <c r="N44" s="6"/>
      <c r="O44" s="6"/>
      <c r="P44" s="6"/>
      <c r="Q44" s="6"/>
      <c r="R44" s="6"/>
      <c r="S44" s="6"/>
      <c r="T44" s="6"/>
    </row>
    <row r="45" spans="1:20" ht="12.75" customHeight="1">
      <c r="A45" s="13"/>
      <c r="B45" s="52"/>
      <c r="C45" s="27" t="s">
        <v>27</v>
      </c>
      <c r="D45" s="28" t="s">
        <v>12</v>
      </c>
      <c r="E45" s="22"/>
      <c r="F45" s="47">
        <f t="shared" ref="F45:J45" si="9">IF(F26=0,0,SUMPRODUCT(F19:F23,F38:F42)/F26)</f>
        <v>92579.337036484227</v>
      </c>
      <c r="G45" s="47">
        <f t="shared" si="9"/>
        <v>70626.000063431449</v>
      </c>
      <c r="H45" s="47">
        <f t="shared" si="9"/>
        <v>61324.519318765117</v>
      </c>
      <c r="I45" s="47">
        <f t="shared" si="9"/>
        <v>50938.598724270414</v>
      </c>
      <c r="J45" s="47">
        <f t="shared" si="9"/>
        <v>48081.406417522601</v>
      </c>
      <c r="K45" s="24"/>
      <c r="L45" s="53"/>
      <c r="M45" s="54"/>
      <c r="N45" s="6"/>
      <c r="O45" s="6"/>
      <c r="P45" s="6"/>
      <c r="Q45" s="6"/>
      <c r="R45" s="6"/>
      <c r="S45" s="6"/>
      <c r="T45" s="6"/>
    </row>
    <row r="46" spans="1:20" ht="12.75" customHeight="1">
      <c r="A46" s="13"/>
      <c r="B46" s="52"/>
      <c r="C46" s="27" t="s">
        <v>28</v>
      </c>
      <c r="D46" s="28" t="s">
        <v>12</v>
      </c>
      <c r="E46" s="22"/>
      <c r="F46" s="47">
        <f t="shared" ref="F46:J46" si="10">F44+F45</f>
        <v>95688.837036484227</v>
      </c>
      <c r="G46" s="47">
        <f t="shared" si="10"/>
        <v>73844.332563431453</v>
      </c>
      <c r="H46" s="47">
        <f t="shared" si="10"/>
        <v>64655.493456265118</v>
      </c>
      <c r="I46" s="47">
        <f t="shared" si="10"/>
        <v>54386.156956582912</v>
      </c>
      <c r="J46" s="47">
        <f t="shared" si="10"/>
        <v>51649.629187966035</v>
      </c>
      <c r="K46" s="24"/>
      <c r="L46" s="53"/>
      <c r="M46" s="54"/>
      <c r="N46" s="6"/>
      <c r="O46" s="6"/>
      <c r="P46" s="6"/>
      <c r="Q46" s="6"/>
      <c r="R46" s="6"/>
      <c r="S46" s="6"/>
      <c r="T46" s="6"/>
    </row>
    <row r="47" spans="1:20" ht="12.75" customHeight="1">
      <c r="A47" s="13"/>
      <c r="B47" s="19"/>
      <c r="C47" s="41" t="s">
        <v>29</v>
      </c>
      <c r="D47" s="21"/>
      <c r="E47" s="1"/>
      <c r="F47" s="22"/>
      <c r="G47" s="22"/>
      <c r="H47" s="22"/>
      <c r="I47" s="22"/>
      <c r="J47" s="22"/>
      <c r="K47" s="24"/>
      <c r="L47" s="13"/>
      <c r="M47" s="1"/>
      <c r="N47" s="6"/>
      <c r="O47" s="6"/>
      <c r="P47" s="6"/>
      <c r="Q47" s="6"/>
      <c r="R47" s="6"/>
      <c r="S47" s="6"/>
      <c r="T47" s="6"/>
    </row>
    <row r="48" spans="1:20" ht="12.75" customHeight="1">
      <c r="A48" s="13"/>
      <c r="B48" s="52"/>
      <c r="C48" s="27" t="s">
        <v>29</v>
      </c>
      <c r="D48" s="28" t="s">
        <v>17</v>
      </c>
      <c r="E48" s="22"/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24"/>
      <c r="L48" s="53"/>
      <c r="M48" s="54"/>
      <c r="N48" s="6"/>
      <c r="O48" s="6"/>
      <c r="P48" s="6"/>
      <c r="Q48" s="6"/>
      <c r="R48" s="6"/>
      <c r="S48" s="6"/>
      <c r="T48" s="6"/>
    </row>
    <row r="49" spans="1:20" ht="12.75" customHeight="1">
      <c r="A49" s="13"/>
      <c r="B49" s="19"/>
      <c r="C49" s="41" t="s">
        <v>30</v>
      </c>
      <c r="D49" s="21"/>
      <c r="E49" s="1"/>
      <c r="F49" s="22"/>
      <c r="G49" s="22"/>
      <c r="H49" s="22"/>
      <c r="I49" s="22"/>
      <c r="J49" s="22"/>
      <c r="K49" s="24"/>
      <c r="L49" s="13"/>
      <c r="M49" s="1"/>
      <c r="N49" s="6"/>
      <c r="O49" s="6"/>
      <c r="P49" s="6"/>
      <c r="Q49" s="6"/>
      <c r="R49" s="6"/>
      <c r="S49" s="6"/>
      <c r="T49" s="6"/>
    </row>
    <row r="50" spans="1:20" ht="12.75" customHeight="1">
      <c r="A50" s="13"/>
      <c r="B50" s="52"/>
      <c r="C50" s="27" t="s">
        <v>31</v>
      </c>
      <c r="D50" s="28" t="s">
        <v>17</v>
      </c>
      <c r="E50" s="22"/>
      <c r="F50" s="48">
        <f>F44*F26</f>
        <v>1800027.3599999999</v>
      </c>
      <c r="G50" s="48">
        <f>G44*G26</f>
        <v>2732441.5324800001</v>
      </c>
      <c r="H50" s="48">
        <f t="shared" ref="H50:J50" si="11">H44*H26</f>
        <v>3252288.5340343192</v>
      </c>
      <c r="I50" s="48">
        <f t="shared" si="11"/>
        <v>4207648.2909069005</v>
      </c>
      <c r="J50" s="48">
        <f t="shared" si="11"/>
        <v>4790407.5791975064</v>
      </c>
      <c r="K50" s="24"/>
      <c r="L50" s="53"/>
      <c r="M50" s="54"/>
      <c r="N50" s="6"/>
      <c r="O50" s="6"/>
      <c r="P50" s="6"/>
      <c r="Q50" s="6"/>
      <c r="R50" s="6"/>
      <c r="S50" s="6"/>
      <c r="T50" s="6"/>
    </row>
    <row r="51" spans="1:20" ht="12.75" customHeight="1">
      <c r="A51" s="13"/>
      <c r="B51" s="52"/>
      <c r="C51" s="27" t="s">
        <v>32</v>
      </c>
      <c r="D51" s="28" t="s">
        <v>17</v>
      </c>
      <c r="E51" s="22"/>
      <c r="F51" s="48">
        <f>F45*F26</f>
        <v>53592326.623679988</v>
      </c>
      <c r="G51" s="48">
        <f t="shared" ref="G51:J51" si="12">G45*G26</f>
        <v>59963169.077854834</v>
      </c>
      <c r="H51" s="48">
        <f t="shared" si="12"/>
        <v>59875886.993609518</v>
      </c>
      <c r="I51" s="48">
        <f t="shared" si="12"/>
        <v>62169133.462207757</v>
      </c>
      <c r="J51" s="48">
        <f t="shared" si="12"/>
        <v>64550211.278527319</v>
      </c>
      <c r="K51" s="24"/>
      <c r="L51" s="53"/>
      <c r="M51" s="54"/>
      <c r="N51" s="6"/>
      <c r="O51" s="6"/>
      <c r="P51" s="6"/>
      <c r="Q51" s="6"/>
      <c r="R51" s="6"/>
      <c r="S51" s="6"/>
      <c r="T51" s="6"/>
    </row>
    <row r="52" spans="1:20" ht="13.5" customHeight="1">
      <c r="A52" s="13"/>
      <c r="B52" s="52"/>
      <c r="C52" s="27" t="s">
        <v>28</v>
      </c>
      <c r="D52" s="28" t="s">
        <v>17</v>
      </c>
      <c r="E52" s="22"/>
      <c r="F52" s="48">
        <f>F50+F51</f>
        <v>55392353.983679987</v>
      </c>
      <c r="G52" s="48">
        <f t="shared" ref="G52:J52" si="13">G50+G51</f>
        <v>62695610.610334836</v>
      </c>
      <c r="H52" s="48">
        <f t="shared" si="13"/>
        <v>63128175.527643837</v>
      </c>
      <c r="I52" s="48">
        <f t="shared" si="13"/>
        <v>66376781.753114656</v>
      </c>
      <c r="J52" s="48">
        <f t="shared" si="13"/>
        <v>69340618.857724831</v>
      </c>
      <c r="K52" s="24"/>
      <c r="L52" s="53"/>
      <c r="M52" s="54"/>
      <c r="N52" s="6"/>
      <c r="O52" s="6"/>
      <c r="P52" s="6"/>
      <c r="Q52" s="6"/>
      <c r="R52" s="6"/>
      <c r="S52" s="6"/>
      <c r="T52" s="6"/>
    </row>
    <row r="53" spans="1:20" ht="12.75" customHeight="1">
      <c r="A53" s="13"/>
      <c r="B53" s="38"/>
      <c r="C53" s="27" t="s">
        <v>33</v>
      </c>
      <c r="D53" s="28" t="s">
        <v>17</v>
      </c>
      <c r="E53" s="22"/>
      <c r="F53" s="48">
        <f>F101+F108+F115+F122+F129+Construcciones!C24+Maquinaria!C24+Muebles!C24+Transporte!C24+Oficina!C24</f>
        <v>1478666.6666666667</v>
      </c>
      <c r="G53" s="48">
        <f>G101+G108+G115+G122+G129+Construcciones!D24+Maquinaria!D24+Muebles!D24+Transporte!D24+Oficina!D24</f>
        <v>1478666.6666666667</v>
      </c>
      <c r="H53" s="48">
        <f>H101+H108+H115+H122+H129+Construcciones!E24+Maquinaria!E24+Muebles!E24+Transporte!E24+Oficina!E24</f>
        <v>1478666.6666666667</v>
      </c>
      <c r="I53" s="48">
        <f>I101+I108+I115+I122+I129+Construcciones!F24+Maquinaria!F24+Muebles!F24+Transporte!F24+Oficina!F24</f>
        <v>312000</v>
      </c>
      <c r="J53" s="48">
        <f>J101+J108+J115+J122+J129+Construcciones!G24+Maquinaria!G24+Muebles!G24+Transporte!G24+Oficina!G24</f>
        <v>312000</v>
      </c>
      <c r="K53" s="24"/>
      <c r="L53" s="37"/>
      <c r="M53" s="40"/>
      <c r="N53" s="6"/>
      <c r="O53" s="6"/>
      <c r="P53" s="6"/>
      <c r="Q53" s="6"/>
      <c r="R53" s="6"/>
      <c r="S53" s="6"/>
      <c r="T53" s="6"/>
    </row>
    <row r="54" spans="1:20" ht="12.75" customHeight="1">
      <c r="A54" s="13"/>
      <c r="B54" s="38"/>
      <c r="C54" s="27" t="s">
        <v>34</v>
      </c>
      <c r="D54" s="28" t="s">
        <v>17</v>
      </c>
      <c r="E54" s="22"/>
      <c r="F54" s="48">
        <f>Proyecciones!F136+Proyecciones!F143+Semovientes!C24+Permanentes!C24</f>
        <v>0</v>
      </c>
      <c r="G54" s="48">
        <f>Proyecciones!G136+Proyecciones!G143+Semovientes!D24+Permanentes!D24</f>
        <v>0</v>
      </c>
      <c r="H54" s="48">
        <f>Proyecciones!H136+Proyecciones!H143+Semovientes!E24+Permanentes!E24</f>
        <v>0</v>
      </c>
      <c r="I54" s="48">
        <f>Proyecciones!I136+Proyecciones!I143+Semovientes!F24+Permanentes!F24</f>
        <v>0</v>
      </c>
      <c r="J54" s="48">
        <f>Proyecciones!J136+Proyecciones!J143+Semovientes!G24+Permanentes!G24</f>
        <v>0</v>
      </c>
      <c r="K54" s="24"/>
      <c r="L54" s="37"/>
      <c r="M54" s="40"/>
      <c r="N54" s="6"/>
      <c r="O54" s="6"/>
      <c r="P54" s="6"/>
      <c r="Q54" s="6"/>
      <c r="R54" s="6"/>
      <c r="S54" s="6"/>
      <c r="T54" s="6"/>
    </row>
    <row r="55" spans="1:20" ht="12.75" customHeight="1">
      <c r="A55" s="13"/>
      <c r="B55" s="52"/>
      <c r="C55" s="27" t="s">
        <v>35</v>
      </c>
      <c r="D55" s="28" t="s">
        <v>17</v>
      </c>
      <c r="E55" s="22"/>
      <c r="F55" s="48">
        <f>SUM(F52:F54)</f>
        <v>56871020.650346652</v>
      </c>
      <c r="G55" s="48">
        <f t="shared" ref="G55:J55" si="14">SUM(G52:G54)</f>
        <v>64174277.2770015</v>
      </c>
      <c r="H55" s="48">
        <f t="shared" si="14"/>
        <v>64606842.194310501</v>
      </c>
      <c r="I55" s="48">
        <f t="shared" si="14"/>
        <v>66688781.753114656</v>
      </c>
      <c r="J55" s="48">
        <f t="shared" si="14"/>
        <v>69652618.857724831</v>
      </c>
      <c r="K55" s="24"/>
      <c r="L55" s="53"/>
      <c r="M55" s="54"/>
      <c r="N55" s="6"/>
      <c r="O55" s="6"/>
      <c r="P55" s="6"/>
      <c r="Q55" s="6"/>
      <c r="R55" s="6"/>
      <c r="S55" s="6"/>
      <c r="T55" s="6"/>
    </row>
    <row r="56" spans="1:20" ht="12.75" customHeight="1">
      <c r="A56" s="13"/>
      <c r="B56" s="52"/>
      <c r="C56" s="27" t="s">
        <v>36</v>
      </c>
      <c r="D56" s="28" t="s">
        <v>17</v>
      </c>
      <c r="E56" s="22"/>
      <c r="F56" s="32">
        <f t="shared" ref="F56:J56" si="15">IF(ISERROR(F55/F27),"N.A.",1-F55/F27)</f>
        <v>0.43384701633746892</v>
      </c>
      <c r="G56" s="32">
        <f t="shared" si="15"/>
        <v>0.46271043156776914</v>
      </c>
      <c r="H56" s="32">
        <f t="shared" si="15"/>
        <v>0.47336063843705123</v>
      </c>
      <c r="I56" s="32">
        <f t="shared" si="15"/>
        <v>0.48047578156039705</v>
      </c>
      <c r="J56" s="32">
        <f t="shared" si="15"/>
        <v>0.47936264497642611</v>
      </c>
      <c r="K56" s="24"/>
      <c r="L56" s="53"/>
      <c r="M56" s="54"/>
      <c r="N56" s="6"/>
      <c r="O56" s="6"/>
      <c r="P56" s="6"/>
      <c r="Q56" s="6"/>
      <c r="R56" s="6"/>
      <c r="S56" s="6"/>
      <c r="T56" s="6"/>
    </row>
    <row r="57" spans="1:20" ht="12.75" customHeight="1">
      <c r="A57" s="13"/>
      <c r="B57" s="19"/>
      <c r="C57" s="41" t="s">
        <v>37</v>
      </c>
      <c r="D57" s="21"/>
      <c r="E57" s="1"/>
      <c r="F57" s="22"/>
      <c r="G57" s="22"/>
      <c r="H57" s="22"/>
      <c r="I57" s="22"/>
      <c r="J57" s="22"/>
      <c r="K57" s="24"/>
      <c r="L57" s="13"/>
      <c r="M57" s="1"/>
      <c r="N57" s="6"/>
      <c r="O57" s="6"/>
      <c r="P57" s="6"/>
      <c r="Q57" s="6"/>
      <c r="R57" s="6"/>
      <c r="S57" s="6"/>
      <c r="T57" s="6"/>
    </row>
    <row r="58" spans="1:20" ht="12.75" customHeight="1">
      <c r="A58" s="13"/>
      <c r="B58" s="19"/>
      <c r="C58" s="27" t="s">
        <v>38</v>
      </c>
      <c r="D58" s="28" t="s">
        <v>17</v>
      </c>
      <c r="E58" s="1"/>
      <c r="F58" s="44">
        <f>'GASTOS VENTAS'!B35</f>
        <v>14502999.174719999</v>
      </c>
      <c r="G58" s="51">
        <f>'GASTOS VENTAS'!C35</f>
        <v>22414077.288191613</v>
      </c>
      <c r="H58" s="51">
        <f>'GASTOS VENTAS'!D35</f>
        <v>23272536.448329352</v>
      </c>
      <c r="I58" s="51">
        <f>'GASTOS VENTAS'!E35</f>
        <v>24163874.594300367</v>
      </c>
      <c r="J58" s="51">
        <f>'GASTOS VENTAS'!F35</f>
        <v>25089350.991262071</v>
      </c>
      <c r="K58" s="24"/>
      <c r="L58" s="13"/>
      <c r="M58" s="1"/>
      <c r="N58" s="6"/>
      <c r="O58" s="6"/>
      <c r="P58" s="6"/>
      <c r="Q58" s="6"/>
      <c r="R58" s="6"/>
      <c r="S58" s="6"/>
      <c r="T58" s="6"/>
    </row>
    <row r="59" spans="1:20" ht="12.75" customHeight="1">
      <c r="A59" s="13"/>
      <c r="B59" s="38"/>
      <c r="C59" s="27" t="s">
        <v>39</v>
      </c>
      <c r="D59" s="28" t="s">
        <v>17</v>
      </c>
      <c r="E59" s="22"/>
      <c r="F59" s="44">
        <f>'GASTOS ADMINISTRATIVOS'!A33</f>
        <v>16340400</v>
      </c>
      <c r="G59" s="51">
        <f>'GASTOS ADMINISTRATIVOS'!B33</f>
        <v>15271731.720000001</v>
      </c>
      <c r="H59" s="51">
        <f>'GASTOS ADMINISTRATIVOS'!C33</f>
        <v>15856639.044876</v>
      </c>
      <c r="I59" s="51">
        <f>'GASTOS ADMINISTRATIVOS'!D33</f>
        <v>16463948.320294753</v>
      </c>
      <c r="J59" s="51">
        <f>'GASTOS ADMINISTRATIVOS'!E33</f>
        <v>17094517.54096204</v>
      </c>
      <c r="K59" s="24"/>
      <c r="L59" s="37"/>
      <c r="M59" s="40"/>
      <c r="N59" s="6"/>
      <c r="O59" s="6"/>
      <c r="P59" s="6"/>
      <c r="Q59" s="6"/>
      <c r="R59" s="6"/>
      <c r="S59" s="6"/>
      <c r="T59" s="6"/>
    </row>
    <row r="60" spans="1:20" ht="12.75" customHeight="1">
      <c r="A60" s="13"/>
      <c r="B60" s="38"/>
      <c r="C60" s="27" t="s">
        <v>40</v>
      </c>
      <c r="D60" s="28" t="s">
        <v>17</v>
      </c>
      <c r="E60" s="22"/>
      <c r="F60" s="48">
        <f>SUM(F58:F59)</f>
        <v>30843399.174719997</v>
      </c>
      <c r="G60" s="48">
        <f t="shared" ref="G60:J60" si="16">SUM(G58:G59)</f>
        <v>37685809.008191615</v>
      </c>
      <c r="H60" s="48">
        <f t="shared" si="16"/>
        <v>39129175.493205354</v>
      </c>
      <c r="I60" s="48">
        <f t="shared" si="16"/>
        <v>40627822.91459512</v>
      </c>
      <c r="J60" s="48">
        <f t="shared" si="16"/>
        <v>42183868.532224111</v>
      </c>
      <c r="K60" s="24"/>
      <c r="L60" s="37"/>
      <c r="M60" s="40"/>
      <c r="N60" s="6"/>
      <c r="O60" s="6"/>
      <c r="P60" s="6"/>
      <c r="Q60" s="6"/>
      <c r="R60" s="6"/>
      <c r="S60" s="6"/>
      <c r="T60" s="6"/>
    </row>
    <row r="61" spans="1:20" ht="12.75" customHeight="1">
      <c r="A61" s="13"/>
      <c r="B61" s="19"/>
      <c r="C61" s="20" t="s">
        <v>41</v>
      </c>
      <c r="D61" s="21"/>
      <c r="E61" s="1"/>
      <c r="F61" s="42"/>
      <c r="G61" s="42"/>
      <c r="H61" s="42"/>
      <c r="I61" s="42"/>
      <c r="J61" s="42"/>
      <c r="K61" s="24"/>
      <c r="L61" s="13"/>
      <c r="M61" s="1"/>
      <c r="N61" s="6"/>
      <c r="O61" s="6"/>
      <c r="P61" s="6"/>
      <c r="Q61" s="6"/>
      <c r="R61" s="6"/>
      <c r="S61" s="6"/>
      <c r="T61" s="6"/>
    </row>
    <row r="62" spans="1:20" ht="12.75" customHeight="1">
      <c r="A62" s="13"/>
      <c r="B62" s="19"/>
      <c r="C62" s="41" t="s">
        <v>42</v>
      </c>
      <c r="D62" s="21"/>
      <c r="E62" s="1"/>
      <c r="F62" s="42"/>
      <c r="G62" s="42"/>
      <c r="H62" s="42"/>
      <c r="I62" s="42"/>
      <c r="J62" s="42"/>
      <c r="K62" s="24"/>
      <c r="L62" s="13"/>
      <c r="M62" s="1"/>
      <c r="N62" s="6"/>
      <c r="O62" s="6"/>
      <c r="P62" s="6"/>
      <c r="Q62" s="6"/>
      <c r="R62" s="6"/>
      <c r="S62" s="6"/>
      <c r="T62" s="6"/>
    </row>
    <row r="63" spans="1:20" ht="12.75" customHeight="1">
      <c r="A63" s="13"/>
      <c r="B63" s="19"/>
      <c r="C63" s="27" t="s">
        <v>43</v>
      </c>
      <c r="D63" s="28" t="s">
        <v>44</v>
      </c>
      <c r="E63" s="1"/>
      <c r="F63" s="51">
        <v>8</v>
      </c>
      <c r="G63" s="51">
        <v>30</v>
      </c>
      <c r="H63" s="51">
        <v>30</v>
      </c>
      <c r="I63" s="51">
        <v>30</v>
      </c>
      <c r="J63" s="51">
        <v>30</v>
      </c>
      <c r="K63" s="24"/>
      <c r="L63" s="13"/>
      <c r="M63" s="1"/>
      <c r="N63" s="6"/>
      <c r="O63" s="6"/>
      <c r="P63" s="6"/>
      <c r="Q63" s="6"/>
      <c r="R63" s="6"/>
      <c r="S63" s="6"/>
      <c r="T63" s="6"/>
    </row>
    <row r="64" spans="1:20" ht="12.75" customHeight="1">
      <c r="A64" s="13"/>
      <c r="B64" s="19"/>
      <c r="C64" s="27" t="s">
        <v>45</v>
      </c>
      <c r="D64" s="28" t="s">
        <v>17</v>
      </c>
      <c r="E64" s="55"/>
      <c r="F64" s="48">
        <f t="shared" ref="F64:J64" si="17">F27*F63/360</f>
        <v>2232259.6460074661</v>
      </c>
      <c r="G64" s="48">
        <f t="shared" si="17"/>
        <v>9953397.1138780043</v>
      </c>
      <c r="H64" s="48">
        <f t="shared" si="17"/>
        <v>10223131.632649543</v>
      </c>
      <c r="I64" s="48">
        <f t="shared" si="17"/>
        <v>10697092.228188962</v>
      </c>
      <c r="J64" s="48">
        <f t="shared" si="17"/>
        <v>11148613.999369266</v>
      </c>
      <c r="K64" s="24"/>
      <c r="L64" s="13"/>
      <c r="M64" s="1"/>
      <c r="N64" s="6"/>
      <c r="O64" s="6"/>
      <c r="P64" s="6"/>
      <c r="Q64" s="6"/>
      <c r="R64" s="6"/>
      <c r="S64" s="6"/>
      <c r="T64" s="6"/>
    </row>
    <row r="65" spans="1:20" ht="12.75" hidden="1" customHeight="1">
      <c r="A65" s="13"/>
      <c r="B65" s="19"/>
      <c r="C65" s="27" t="s">
        <v>46</v>
      </c>
      <c r="D65" s="28" t="s">
        <v>17</v>
      </c>
      <c r="E65" s="1"/>
      <c r="F65" s="48">
        <f t="shared" ref="F65:J65" si="18">E64-F64</f>
        <v>-2232259.6460074661</v>
      </c>
      <c r="G65" s="48">
        <f t="shared" si="18"/>
        <v>-7721137.4678705381</v>
      </c>
      <c r="H65" s="48">
        <f t="shared" si="18"/>
        <v>-269734.51877153851</v>
      </c>
      <c r="I65" s="48">
        <f t="shared" si="18"/>
        <v>-473960.59553941898</v>
      </c>
      <c r="J65" s="48">
        <f t="shared" si="18"/>
        <v>-451521.77118030377</v>
      </c>
      <c r="K65" s="24"/>
      <c r="L65" s="13"/>
      <c r="M65" s="1"/>
      <c r="N65" s="6"/>
      <c r="O65" s="6"/>
      <c r="P65" s="6"/>
      <c r="Q65" s="6"/>
      <c r="R65" s="6"/>
      <c r="S65" s="6"/>
      <c r="T65" s="6"/>
    </row>
    <row r="66" spans="1:20" ht="12.75" customHeight="1">
      <c r="A66" s="13"/>
      <c r="B66" s="19"/>
      <c r="C66" s="27" t="s">
        <v>47</v>
      </c>
      <c r="D66" s="28" t="s">
        <v>4</v>
      </c>
      <c r="E66" s="46"/>
      <c r="F66" s="56"/>
      <c r="G66" s="56"/>
      <c r="H66" s="56"/>
      <c r="I66" s="56"/>
      <c r="J66" s="56"/>
      <c r="K66" s="24"/>
      <c r="L66" s="13"/>
      <c r="M66" s="1"/>
      <c r="N66" s="6"/>
      <c r="O66" s="6"/>
      <c r="P66" s="6"/>
      <c r="Q66" s="6"/>
      <c r="R66" s="6"/>
      <c r="S66" s="6"/>
      <c r="T66" s="6"/>
    </row>
    <row r="67" spans="1:20" ht="12.75" hidden="1" customHeight="1">
      <c r="A67" s="13"/>
      <c r="B67" s="19"/>
      <c r="C67" s="27" t="s">
        <v>47</v>
      </c>
      <c r="D67" s="48" t="s">
        <v>17</v>
      </c>
      <c r="E67" s="46"/>
      <c r="F67" s="48">
        <f t="shared" ref="F67:J67" si="19">F66*F64</f>
        <v>0</v>
      </c>
      <c r="G67" s="48">
        <f t="shared" si="19"/>
        <v>0</v>
      </c>
      <c r="H67" s="48">
        <f t="shared" si="19"/>
        <v>0</v>
      </c>
      <c r="I67" s="48">
        <f t="shared" si="19"/>
        <v>0</v>
      </c>
      <c r="J67" s="48">
        <f t="shared" si="19"/>
        <v>0</v>
      </c>
      <c r="K67" s="24"/>
      <c r="L67" s="13"/>
      <c r="M67" s="1"/>
      <c r="N67" s="6"/>
      <c r="O67" s="6"/>
      <c r="P67" s="6"/>
      <c r="Q67" s="6"/>
      <c r="R67" s="6"/>
      <c r="S67" s="6"/>
      <c r="T67" s="6"/>
    </row>
    <row r="68" spans="1:20" ht="12.75" hidden="1" customHeight="1">
      <c r="A68" s="13"/>
      <c r="B68" s="19"/>
      <c r="C68" s="27" t="s">
        <v>48</v>
      </c>
      <c r="D68" s="48" t="s">
        <v>17</v>
      </c>
      <c r="E68" s="46"/>
      <c r="F68" s="48">
        <f t="shared" ref="F68:J68" si="20">F67-E67</f>
        <v>0</v>
      </c>
      <c r="G68" s="48">
        <f t="shared" si="20"/>
        <v>0</v>
      </c>
      <c r="H68" s="48">
        <f t="shared" si="20"/>
        <v>0</v>
      </c>
      <c r="I68" s="48">
        <f t="shared" si="20"/>
        <v>0</v>
      </c>
      <c r="J68" s="48">
        <f t="shared" si="20"/>
        <v>0</v>
      </c>
      <c r="K68" s="24"/>
      <c r="L68" s="13"/>
      <c r="M68" s="1"/>
      <c r="N68" s="6"/>
      <c r="O68" s="6"/>
      <c r="P68" s="6"/>
      <c r="Q68" s="6"/>
      <c r="R68" s="6"/>
      <c r="S68" s="6"/>
      <c r="T68" s="6"/>
    </row>
    <row r="69" spans="1:20" ht="12.75" customHeight="1">
      <c r="A69" s="13"/>
      <c r="B69" s="19"/>
      <c r="C69" s="41" t="s">
        <v>49</v>
      </c>
      <c r="D69" s="21"/>
      <c r="E69" s="1"/>
      <c r="F69" s="22"/>
      <c r="G69" s="22"/>
      <c r="H69" s="22"/>
      <c r="I69" s="22"/>
      <c r="J69" s="23"/>
      <c r="K69" s="24"/>
      <c r="L69" s="13"/>
      <c r="M69" s="1"/>
      <c r="N69" s="6"/>
      <c r="O69" s="6"/>
      <c r="P69" s="6"/>
      <c r="Q69" s="6"/>
      <c r="R69" s="6"/>
      <c r="S69" s="6"/>
      <c r="T69" s="6"/>
    </row>
    <row r="70" spans="1:20" ht="12.75" customHeight="1">
      <c r="A70" s="13"/>
      <c r="B70" s="19"/>
      <c r="C70" s="27" t="s">
        <v>50</v>
      </c>
      <c r="D70" s="28" t="s">
        <v>51</v>
      </c>
      <c r="E70" s="1"/>
      <c r="F70" s="44"/>
      <c r="G70" s="44"/>
      <c r="H70" s="44"/>
      <c r="I70" s="44"/>
      <c r="J70" s="44"/>
      <c r="K70" s="24"/>
      <c r="L70" s="13"/>
      <c r="M70" s="1"/>
      <c r="N70" s="6"/>
      <c r="O70" s="6"/>
      <c r="P70" s="6"/>
      <c r="Q70" s="6"/>
      <c r="R70" s="6"/>
      <c r="S70" s="6"/>
      <c r="T70" s="6"/>
    </row>
    <row r="71" spans="1:20" ht="12.75" customHeight="1">
      <c r="A71" s="37"/>
      <c r="B71" s="38"/>
      <c r="C71" s="27" t="s">
        <v>52</v>
      </c>
      <c r="D71" s="28" t="s">
        <v>17</v>
      </c>
      <c r="E71" s="57"/>
      <c r="F71" s="48">
        <f t="shared" ref="F71:J71" si="21">F70*F55/360</f>
        <v>0</v>
      </c>
      <c r="G71" s="48">
        <f t="shared" si="21"/>
        <v>0</v>
      </c>
      <c r="H71" s="48">
        <f t="shared" si="21"/>
        <v>0</v>
      </c>
      <c r="I71" s="48">
        <f t="shared" si="21"/>
        <v>0</v>
      </c>
      <c r="J71" s="48">
        <f t="shared" si="21"/>
        <v>0</v>
      </c>
      <c r="K71" s="39"/>
      <c r="L71" s="37"/>
      <c r="M71" s="40"/>
      <c r="N71" s="6"/>
      <c r="O71" s="6"/>
      <c r="P71" s="6"/>
      <c r="Q71" s="6"/>
      <c r="R71" s="6"/>
      <c r="S71" s="6"/>
      <c r="T71" s="6"/>
    </row>
    <row r="72" spans="1:20" ht="12.75" hidden="1" customHeight="1">
      <c r="A72" s="37"/>
      <c r="B72" s="38"/>
      <c r="C72" s="27" t="s">
        <v>53</v>
      </c>
      <c r="D72" s="28" t="s">
        <v>17</v>
      </c>
      <c r="E72" s="22"/>
      <c r="F72" s="48">
        <f t="shared" ref="F72:J72" si="22">E71-F71</f>
        <v>0</v>
      </c>
      <c r="G72" s="48">
        <f t="shared" si="22"/>
        <v>0</v>
      </c>
      <c r="H72" s="48">
        <f t="shared" si="22"/>
        <v>0</v>
      </c>
      <c r="I72" s="48">
        <f t="shared" si="22"/>
        <v>0</v>
      </c>
      <c r="J72" s="48">
        <f t="shared" si="22"/>
        <v>0</v>
      </c>
      <c r="K72" s="39"/>
      <c r="L72" s="37"/>
      <c r="M72" s="40"/>
      <c r="N72" s="6"/>
      <c r="O72" s="6"/>
      <c r="P72" s="6"/>
      <c r="Q72" s="6"/>
      <c r="R72" s="6"/>
      <c r="S72" s="6"/>
      <c r="T72" s="6"/>
    </row>
    <row r="73" spans="1:20" ht="12.75" customHeight="1">
      <c r="A73" s="13"/>
      <c r="B73" s="19"/>
      <c r="C73" s="27" t="s">
        <v>54</v>
      </c>
      <c r="D73" s="28" t="s">
        <v>44</v>
      </c>
      <c r="E73" s="1"/>
      <c r="F73" s="44"/>
      <c r="G73" s="44"/>
      <c r="H73" s="44"/>
      <c r="I73" s="44"/>
      <c r="J73" s="44"/>
      <c r="K73" s="24"/>
      <c r="L73" s="13"/>
      <c r="M73" s="1"/>
      <c r="N73" s="6"/>
      <c r="O73" s="6"/>
      <c r="P73" s="6"/>
      <c r="Q73" s="6"/>
      <c r="R73" s="6"/>
      <c r="S73" s="6"/>
      <c r="T73" s="6"/>
    </row>
    <row r="74" spans="1:20" ht="12.75" customHeight="1">
      <c r="A74" s="37"/>
      <c r="B74" s="38"/>
      <c r="C74" s="27" t="s">
        <v>55</v>
      </c>
      <c r="D74" s="28" t="s">
        <v>17</v>
      </c>
      <c r="E74" s="58"/>
      <c r="F74" s="48">
        <f t="shared" ref="F74:J74" si="23">F73*F55/360</f>
        <v>0</v>
      </c>
      <c r="G74" s="48">
        <f t="shared" si="23"/>
        <v>0</v>
      </c>
      <c r="H74" s="48">
        <f t="shared" si="23"/>
        <v>0</v>
      </c>
      <c r="I74" s="48">
        <f t="shared" si="23"/>
        <v>0</v>
      </c>
      <c r="J74" s="48">
        <f t="shared" si="23"/>
        <v>0</v>
      </c>
      <c r="K74" s="39"/>
      <c r="L74" s="37"/>
      <c r="M74" s="40"/>
      <c r="N74" s="6"/>
      <c r="O74" s="6"/>
      <c r="P74" s="6"/>
      <c r="Q74" s="6"/>
      <c r="R74" s="6"/>
      <c r="S74" s="6"/>
      <c r="T74" s="6"/>
    </row>
    <row r="75" spans="1:20" ht="12.75" hidden="1" customHeight="1">
      <c r="A75" s="37"/>
      <c r="B75" s="38"/>
      <c r="C75" s="27" t="s">
        <v>56</v>
      </c>
      <c r="D75" s="28" t="s">
        <v>17</v>
      </c>
      <c r="E75" s="22"/>
      <c r="F75" s="48">
        <f t="shared" ref="F75:J75" si="24">E74-F74</f>
        <v>0</v>
      </c>
      <c r="G75" s="48">
        <f t="shared" si="24"/>
        <v>0</v>
      </c>
      <c r="H75" s="48">
        <f t="shared" si="24"/>
        <v>0</v>
      </c>
      <c r="I75" s="48">
        <f t="shared" si="24"/>
        <v>0</v>
      </c>
      <c r="J75" s="48">
        <f t="shared" si="24"/>
        <v>0</v>
      </c>
      <c r="K75" s="39"/>
      <c r="L75" s="37"/>
      <c r="M75" s="40"/>
      <c r="N75" s="6"/>
      <c r="O75" s="6"/>
      <c r="P75" s="6"/>
      <c r="Q75" s="6"/>
      <c r="R75" s="6"/>
      <c r="S75" s="6"/>
      <c r="T75" s="6"/>
    </row>
    <row r="76" spans="1:20" ht="12.75" customHeight="1">
      <c r="A76" s="13"/>
      <c r="B76" s="19"/>
      <c r="C76" s="27" t="s">
        <v>57</v>
      </c>
      <c r="D76" s="28" t="s">
        <v>58</v>
      </c>
      <c r="E76" s="1"/>
      <c r="F76" s="44">
        <v>15</v>
      </c>
      <c r="G76" s="44">
        <v>15</v>
      </c>
      <c r="H76" s="44">
        <v>15</v>
      </c>
      <c r="I76" s="44">
        <v>15</v>
      </c>
      <c r="J76" s="44">
        <v>15</v>
      </c>
      <c r="K76" s="24"/>
      <c r="L76" s="13"/>
      <c r="M76" s="1"/>
      <c r="N76" s="6"/>
      <c r="O76" s="6"/>
      <c r="P76" s="6"/>
      <c r="Q76" s="6"/>
      <c r="R76" s="6"/>
      <c r="S76" s="6"/>
      <c r="T76" s="6"/>
    </row>
    <row r="77" spans="1:20" ht="12.75" customHeight="1">
      <c r="A77" s="37"/>
      <c r="B77" s="38"/>
      <c r="C77" s="27" t="s">
        <v>59</v>
      </c>
      <c r="D77" s="28" t="s">
        <v>17</v>
      </c>
      <c r="E77" s="58">
        <v>0</v>
      </c>
      <c r="F77" s="48">
        <f t="shared" ref="F77:J77" si="25">F50*F76/360</f>
        <v>75001.14</v>
      </c>
      <c r="G77" s="48">
        <f t="shared" si="25"/>
        <v>113851.73052</v>
      </c>
      <c r="H77" s="48">
        <f t="shared" si="25"/>
        <v>135512.02225142997</v>
      </c>
      <c r="I77" s="48">
        <f t="shared" si="25"/>
        <v>175318.67878778753</v>
      </c>
      <c r="J77" s="48">
        <f t="shared" si="25"/>
        <v>199600.31579989608</v>
      </c>
      <c r="K77" s="39"/>
      <c r="L77" s="37"/>
      <c r="M77" s="40"/>
      <c r="N77" s="6"/>
      <c r="O77" s="6"/>
      <c r="P77" s="6"/>
      <c r="Q77" s="6"/>
      <c r="R77" s="6"/>
      <c r="S77" s="6"/>
      <c r="T77" s="6"/>
    </row>
    <row r="78" spans="1:20" ht="12.75" hidden="1" customHeight="1">
      <c r="A78" s="13"/>
      <c r="B78" s="19"/>
      <c r="C78" s="27" t="s">
        <v>60</v>
      </c>
      <c r="D78" s="28" t="s">
        <v>17</v>
      </c>
      <c r="E78" s="1"/>
      <c r="F78" s="48">
        <f t="shared" ref="F78:J78" si="26">E77-F77</f>
        <v>-75001.14</v>
      </c>
      <c r="G78" s="48">
        <f t="shared" si="26"/>
        <v>-38850.590519999998</v>
      </c>
      <c r="H78" s="48">
        <f t="shared" si="26"/>
        <v>-21660.29173142997</v>
      </c>
      <c r="I78" s="48">
        <f t="shared" si="26"/>
        <v>-39806.656536357565</v>
      </c>
      <c r="J78" s="48">
        <f t="shared" si="26"/>
        <v>-24281.637012108549</v>
      </c>
      <c r="K78" s="24"/>
      <c r="L78" s="13"/>
      <c r="M78" s="1"/>
      <c r="N78" s="6"/>
      <c r="O78" s="6"/>
      <c r="P78" s="6"/>
      <c r="Q78" s="6"/>
      <c r="R78" s="6"/>
      <c r="S78" s="6"/>
      <c r="T78" s="6"/>
    </row>
    <row r="79" spans="1:20" ht="12.75" customHeight="1">
      <c r="A79" s="13"/>
      <c r="B79" s="19"/>
      <c r="C79" s="27" t="s">
        <v>61</v>
      </c>
      <c r="D79" s="28" t="s">
        <v>17</v>
      </c>
      <c r="E79" s="1"/>
      <c r="F79" s="48">
        <f t="shared" ref="F79:J79" si="27">F71+F74+F77</f>
        <v>75001.14</v>
      </c>
      <c r="G79" s="48">
        <f t="shared" si="27"/>
        <v>113851.73052</v>
      </c>
      <c r="H79" s="48">
        <f t="shared" si="27"/>
        <v>135512.02225142997</v>
      </c>
      <c r="I79" s="48">
        <f t="shared" si="27"/>
        <v>175318.67878778753</v>
      </c>
      <c r="J79" s="48">
        <f t="shared" si="27"/>
        <v>199600.31579989608</v>
      </c>
      <c r="K79" s="24"/>
      <c r="L79" s="13"/>
      <c r="M79" s="1"/>
      <c r="N79" s="6"/>
      <c r="O79" s="6"/>
      <c r="P79" s="6"/>
      <c r="Q79" s="6"/>
      <c r="R79" s="6"/>
      <c r="S79" s="6"/>
      <c r="T79" s="6"/>
    </row>
    <row r="80" spans="1:20" ht="12.75" customHeight="1">
      <c r="A80" s="13"/>
      <c r="B80" s="19"/>
      <c r="C80" s="41" t="s">
        <v>62</v>
      </c>
      <c r="D80" s="21"/>
      <c r="E80" s="1"/>
      <c r="F80" s="22"/>
      <c r="G80" s="22"/>
      <c r="H80" s="22"/>
      <c r="I80" s="22"/>
      <c r="J80" s="22"/>
      <c r="K80" s="24"/>
      <c r="L80" s="13"/>
      <c r="M80" s="1"/>
      <c r="N80" s="6"/>
      <c r="O80" s="6"/>
      <c r="P80" s="6"/>
      <c r="Q80" s="6"/>
      <c r="R80" s="6"/>
      <c r="S80" s="6"/>
      <c r="T80" s="6"/>
    </row>
    <row r="81" spans="1:20" ht="12.75" customHeight="1">
      <c r="A81" s="13"/>
      <c r="B81" s="19"/>
      <c r="C81" s="27" t="s">
        <v>62</v>
      </c>
      <c r="D81" s="28" t="s">
        <v>17</v>
      </c>
      <c r="E81" s="44"/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24"/>
      <c r="L81" s="13"/>
      <c r="M81" s="1"/>
      <c r="N81" s="6"/>
      <c r="O81" s="6"/>
      <c r="P81" s="6"/>
      <c r="Q81" s="6"/>
      <c r="R81" s="6"/>
      <c r="S81" s="6"/>
      <c r="T81" s="6"/>
    </row>
    <row r="82" spans="1:20" ht="12.75" hidden="1" customHeight="1">
      <c r="A82" s="37"/>
      <c r="B82" s="38"/>
      <c r="C82" s="27" t="s">
        <v>63</v>
      </c>
      <c r="D82" s="28" t="s">
        <v>17</v>
      </c>
      <c r="E82" s="22"/>
      <c r="F82" s="48">
        <f t="shared" ref="F82:J82" si="28">F81-E81</f>
        <v>0</v>
      </c>
      <c r="G82" s="48">
        <f t="shared" si="28"/>
        <v>0</v>
      </c>
      <c r="H82" s="48">
        <f t="shared" si="28"/>
        <v>0</v>
      </c>
      <c r="I82" s="48">
        <f t="shared" si="28"/>
        <v>0</v>
      </c>
      <c r="J82" s="48">
        <f t="shared" si="28"/>
        <v>0</v>
      </c>
      <c r="K82" s="39"/>
      <c r="L82" s="37"/>
      <c r="M82" s="40"/>
      <c r="N82" s="6"/>
      <c r="O82" s="6"/>
      <c r="P82" s="6"/>
      <c r="Q82" s="6"/>
      <c r="R82" s="6"/>
      <c r="S82" s="6"/>
      <c r="T82" s="6"/>
    </row>
    <row r="83" spans="1:20" ht="12.75" customHeight="1">
      <c r="A83" s="13"/>
      <c r="B83" s="19"/>
      <c r="C83" s="41" t="s">
        <v>64</v>
      </c>
      <c r="D83" s="21"/>
      <c r="E83" s="1"/>
      <c r="F83" s="22"/>
      <c r="G83" s="22"/>
      <c r="H83" s="22"/>
      <c r="I83" s="22"/>
      <c r="J83" s="22"/>
      <c r="K83" s="24"/>
      <c r="L83" s="13"/>
      <c r="M83" s="1"/>
      <c r="N83" s="6"/>
      <c r="O83" s="6"/>
      <c r="P83" s="6"/>
      <c r="Q83" s="6"/>
      <c r="R83" s="6"/>
      <c r="S83" s="6"/>
      <c r="T83" s="6"/>
    </row>
    <row r="84" spans="1:20" ht="12.75" customHeight="1">
      <c r="A84" s="13"/>
      <c r="B84" s="19"/>
      <c r="C84" s="27" t="s">
        <v>64</v>
      </c>
      <c r="D84" s="28" t="s">
        <v>17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24"/>
      <c r="L84" s="13"/>
      <c r="M84" s="1"/>
      <c r="N84" s="6"/>
      <c r="O84" s="6"/>
      <c r="P84" s="6"/>
      <c r="Q84" s="6"/>
      <c r="R84" s="6"/>
      <c r="S84" s="6"/>
      <c r="T84" s="6"/>
    </row>
    <row r="85" spans="1:20" ht="12.75" hidden="1" customHeight="1">
      <c r="A85" s="13"/>
      <c r="B85" s="19"/>
      <c r="C85" s="27" t="s">
        <v>65</v>
      </c>
      <c r="D85" s="28" t="s">
        <v>17</v>
      </c>
      <c r="E85" s="1"/>
      <c r="F85" s="48">
        <f t="shared" ref="F85:J85" si="29">E84-F84</f>
        <v>0</v>
      </c>
      <c r="G85" s="48">
        <f t="shared" si="29"/>
        <v>0</v>
      </c>
      <c r="H85" s="48">
        <f t="shared" si="29"/>
        <v>0</v>
      </c>
      <c r="I85" s="48">
        <f t="shared" si="29"/>
        <v>0</v>
      </c>
      <c r="J85" s="48">
        <f t="shared" si="29"/>
        <v>0</v>
      </c>
      <c r="K85" s="24"/>
      <c r="L85" s="13"/>
      <c r="M85" s="1"/>
      <c r="N85" s="6"/>
      <c r="O85" s="6"/>
      <c r="P85" s="6"/>
      <c r="Q85" s="6"/>
      <c r="R85" s="6"/>
      <c r="S85" s="6"/>
      <c r="T85" s="6"/>
    </row>
    <row r="86" spans="1:20" ht="12.75" customHeight="1">
      <c r="A86" s="13"/>
      <c r="B86" s="19"/>
      <c r="C86" s="41" t="s">
        <v>66</v>
      </c>
      <c r="D86" s="21"/>
      <c r="E86" s="1"/>
      <c r="F86" s="22"/>
      <c r="G86" s="22"/>
      <c r="H86" s="22"/>
      <c r="I86" s="22"/>
      <c r="J86" s="23"/>
      <c r="K86" s="24"/>
      <c r="L86" s="13"/>
      <c r="M86" s="1"/>
      <c r="N86" s="6"/>
      <c r="O86" s="6"/>
      <c r="P86" s="6"/>
      <c r="Q86" s="6"/>
      <c r="R86" s="6"/>
      <c r="S86" s="6"/>
      <c r="T86" s="6"/>
    </row>
    <row r="87" spans="1:20" ht="12.75" customHeight="1">
      <c r="A87" s="53"/>
      <c r="B87" s="52"/>
      <c r="C87" s="27" t="s">
        <v>67</v>
      </c>
      <c r="D87" s="28" t="s">
        <v>44</v>
      </c>
      <c r="E87" s="22"/>
      <c r="F87" s="44">
        <v>0</v>
      </c>
      <c r="G87" s="44">
        <v>30</v>
      </c>
      <c r="H87" s="44">
        <v>30</v>
      </c>
      <c r="I87" s="44">
        <v>30</v>
      </c>
      <c r="J87" s="44">
        <v>30</v>
      </c>
      <c r="K87" s="59"/>
      <c r="L87" s="53"/>
      <c r="M87" s="54"/>
      <c r="N87" s="6"/>
      <c r="O87" s="6"/>
      <c r="P87" s="6"/>
      <c r="Q87" s="6"/>
      <c r="R87" s="6"/>
      <c r="S87" s="6"/>
      <c r="T87" s="6"/>
    </row>
    <row r="88" spans="1:20" ht="12.75" customHeight="1">
      <c r="A88" s="37"/>
      <c r="B88" s="38"/>
      <c r="C88" s="27" t="s">
        <v>67</v>
      </c>
      <c r="D88" s="28" t="s">
        <v>17</v>
      </c>
      <c r="E88" s="57">
        <f>+F88</f>
        <v>0</v>
      </c>
      <c r="F88" s="48">
        <f t="shared" ref="F88:J88" si="30">F52*F87/360</f>
        <v>0</v>
      </c>
      <c r="G88" s="48">
        <f t="shared" si="30"/>
        <v>5224634.2175279027</v>
      </c>
      <c r="H88" s="48">
        <f t="shared" si="30"/>
        <v>5260681.2939703204</v>
      </c>
      <c r="I88" s="48">
        <f t="shared" si="30"/>
        <v>5531398.479426221</v>
      </c>
      <c r="J88" s="48">
        <f t="shared" si="30"/>
        <v>5778384.9048104025</v>
      </c>
      <c r="K88" s="39"/>
      <c r="L88" s="37"/>
      <c r="M88" s="40"/>
      <c r="N88" s="6"/>
      <c r="O88" s="6"/>
      <c r="P88" s="6"/>
      <c r="Q88" s="6"/>
      <c r="R88" s="6"/>
      <c r="S88" s="6"/>
      <c r="T88" s="6"/>
    </row>
    <row r="89" spans="1:20" ht="12.75" hidden="1" customHeight="1">
      <c r="A89" s="37"/>
      <c r="B89" s="38"/>
      <c r="C89" s="27" t="s">
        <v>68</v>
      </c>
      <c r="D89" s="28" t="s">
        <v>17</v>
      </c>
      <c r="E89" s="22"/>
      <c r="F89" s="48">
        <f t="shared" ref="F89:J89" si="31">F88-E88</f>
        <v>0</v>
      </c>
      <c r="G89" s="48">
        <f t="shared" si="31"/>
        <v>5224634.2175279027</v>
      </c>
      <c r="H89" s="48">
        <f t="shared" si="31"/>
        <v>36047.076442417689</v>
      </c>
      <c r="I89" s="48">
        <f t="shared" si="31"/>
        <v>270717.18545590062</v>
      </c>
      <c r="J89" s="48">
        <f t="shared" si="31"/>
        <v>246986.42538418155</v>
      </c>
      <c r="K89" s="39"/>
      <c r="L89" s="37"/>
      <c r="M89" s="40"/>
      <c r="N89" s="6"/>
      <c r="O89" s="6"/>
      <c r="P89" s="6"/>
      <c r="Q89" s="6"/>
      <c r="R89" s="6"/>
      <c r="S89" s="6"/>
      <c r="T89" s="6"/>
    </row>
    <row r="90" spans="1:20" ht="12.75" customHeight="1">
      <c r="A90" s="37"/>
      <c r="B90" s="38"/>
      <c r="C90" s="27" t="s">
        <v>69</v>
      </c>
      <c r="D90" s="28" t="s">
        <v>17</v>
      </c>
      <c r="E90" s="22"/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39"/>
      <c r="L90" s="37"/>
      <c r="M90" s="40"/>
      <c r="N90" s="6"/>
      <c r="O90" s="6"/>
      <c r="P90" s="6"/>
      <c r="Q90" s="6"/>
      <c r="R90" s="6"/>
      <c r="S90" s="6"/>
      <c r="T90" s="6"/>
    </row>
    <row r="91" spans="1:20" ht="12.75" customHeight="1">
      <c r="A91" s="37"/>
      <c r="B91" s="38"/>
      <c r="C91" s="27" t="s">
        <v>70</v>
      </c>
      <c r="D91" s="28" t="s">
        <v>17</v>
      </c>
      <c r="E91" s="22"/>
      <c r="F91" s="48">
        <f t="shared" ref="F91:J91" si="32">F90-E90</f>
        <v>0</v>
      </c>
      <c r="G91" s="48">
        <f t="shared" si="32"/>
        <v>0</v>
      </c>
      <c r="H91" s="48">
        <f t="shared" si="32"/>
        <v>0</v>
      </c>
      <c r="I91" s="48">
        <f t="shared" si="32"/>
        <v>0</v>
      </c>
      <c r="J91" s="48">
        <f t="shared" si="32"/>
        <v>0</v>
      </c>
      <c r="K91" s="39"/>
      <c r="L91" s="37"/>
      <c r="M91" s="40"/>
      <c r="N91" s="6"/>
      <c r="O91" s="6"/>
      <c r="P91" s="6"/>
      <c r="Q91" s="6"/>
      <c r="R91" s="6"/>
      <c r="S91" s="6"/>
      <c r="T91" s="6"/>
    </row>
    <row r="92" spans="1:20" ht="12.75" customHeight="1">
      <c r="A92" s="37"/>
      <c r="B92" s="38"/>
      <c r="C92" s="27" t="s">
        <v>71</v>
      </c>
      <c r="D92" s="28" t="s">
        <v>17</v>
      </c>
      <c r="E92" s="22"/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39"/>
      <c r="L92" s="37"/>
      <c r="M92" s="40"/>
      <c r="N92" s="6"/>
      <c r="O92" s="6"/>
      <c r="P92" s="6"/>
      <c r="Q92" s="6"/>
      <c r="R92" s="6"/>
      <c r="S92" s="6"/>
      <c r="T92" s="6"/>
    </row>
    <row r="93" spans="1:20" ht="12.75" hidden="1" customHeight="1">
      <c r="A93" s="37"/>
      <c r="B93" s="38"/>
      <c r="C93" s="27" t="s">
        <v>72</v>
      </c>
      <c r="D93" s="28" t="s">
        <v>17</v>
      </c>
      <c r="E93" s="22"/>
      <c r="F93" s="48">
        <f t="shared" ref="F93:J93" si="33">F92-E92</f>
        <v>0</v>
      </c>
      <c r="G93" s="48">
        <f t="shared" si="33"/>
        <v>0</v>
      </c>
      <c r="H93" s="48">
        <f t="shared" si="33"/>
        <v>0</v>
      </c>
      <c r="I93" s="48">
        <f t="shared" si="33"/>
        <v>0</v>
      </c>
      <c r="J93" s="48">
        <f t="shared" si="33"/>
        <v>0</v>
      </c>
      <c r="K93" s="39"/>
      <c r="L93" s="37"/>
      <c r="M93" s="40"/>
      <c r="N93" s="6"/>
      <c r="O93" s="6"/>
      <c r="P93" s="6"/>
      <c r="Q93" s="6"/>
      <c r="R93" s="6"/>
      <c r="S93" s="6"/>
      <c r="T93" s="6"/>
    </row>
    <row r="94" spans="1:20" ht="12.75" hidden="1" customHeight="1">
      <c r="A94" s="13"/>
      <c r="B94" s="19"/>
      <c r="C94" s="20" t="s">
        <v>73</v>
      </c>
      <c r="D94" s="21"/>
      <c r="E94" s="21"/>
      <c r="F94" s="21"/>
      <c r="G94" s="21"/>
      <c r="H94" s="21"/>
      <c r="I94" s="21"/>
      <c r="J94" s="21"/>
      <c r="K94" s="24"/>
      <c r="L94" s="13"/>
      <c r="M94" s="1"/>
      <c r="N94" s="6"/>
      <c r="O94" s="6"/>
      <c r="P94" s="6"/>
      <c r="Q94" s="6"/>
      <c r="R94" s="6"/>
      <c r="S94" s="6"/>
      <c r="T94" s="6"/>
    </row>
    <row r="95" spans="1:20" ht="12.75" hidden="1" customHeight="1">
      <c r="A95" s="13"/>
      <c r="B95" s="19"/>
      <c r="C95" s="41" t="s">
        <v>74</v>
      </c>
      <c r="D95" s="21"/>
      <c r="E95" s="21"/>
      <c r="F95" s="21"/>
      <c r="G95" s="21"/>
      <c r="H95" s="21"/>
      <c r="I95" s="21"/>
      <c r="J95" s="21"/>
      <c r="K95" s="24"/>
      <c r="L95" s="13"/>
      <c r="M95" s="1"/>
      <c r="N95" s="6"/>
      <c r="O95" s="6"/>
      <c r="P95" s="6"/>
      <c r="Q95" s="6"/>
      <c r="R95" s="6"/>
      <c r="S95" s="6"/>
      <c r="T95" s="6"/>
    </row>
    <row r="96" spans="1:20" ht="12.75" hidden="1" customHeight="1">
      <c r="A96" s="53"/>
      <c r="B96" s="52"/>
      <c r="C96" s="27" t="s">
        <v>75</v>
      </c>
      <c r="D96" s="28" t="s">
        <v>17</v>
      </c>
      <c r="E96" s="48">
        <f>E148</f>
        <v>0</v>
      </c>
      <c r="F96" s="48">
        <f t="shared" ref="F96:J96" si="34">E96+F97</f>
        <v>0</v>
      </c>
      <c r="G96" s="48">
        <f t="shared" si="34"/>
        <v>0</v>
      </c>
      <c r="H96" s="48">
        <f t="shared" si="34"/>
        <v>0</v>
      </c>
      <c r="I96" s="48">
        <f t="shared" si="34"/>
        <v>0</v>
      </c>
      <c r="J96" s="48">
        <f t="shared" si="34"/>
        <v>0</v>
      </c>
      <c r="K96" s="59"/>
      <c r="L96" s="53"/>
      <c r="M96" s="54"/>
      <c r="N96" s="6"/>
      <c r="O96" s="6"/>
      <c r="P96" s="6"/>
      <c r="Q96" s="6"/>
      <c r="R96" s="6"/>
      <c r="S96" s="6"/>
      <c r="T96" s="6"/>
    </row>
    <row r="97" spans="1:20" ht="12.75" hidden="1" customHeight="1">
      <c r="A97" s="53"/>
      <c r="B97" s="52"/>
      <c r="C97" s="27" t="s">
        <v>76</v>
      </c>
      <c r="D97" s="28" t="s">
        <v>17</v>
      </c>
      <c r="E97" s="50"/>
      <c r="F97" s="48">
        <f t="shared" ref="F97:J97" si="35">E96*F$7</f>
        <v>0</v>
      </c>
      <c r="G97" s="48">
        <f t="shared" si="35"/>
        <v>0</v>
      </c>
      <c r="H97" s="48">
        <f t="shared" si="35"/>
        <v>0</v>
      </c>
      <c r="I97" s="48">
        <f t="shared" si="35"/>
        <v>0</v>
      </c>
      <c r="J97" s="48">
        <f t="shared" si="35"/>
        <v>0</v>
      </c>
      <c r="K97" s="59"/>
      <c r="L97" s="53"/>
      <c r="M97" s="54"/>
      <c r="N97" s="6"/>
      <c r="O97" s="6"/>
      <c r="P97" s="6"/>
      <c r="Q97" s="6"/>
      <c r="R97" s="6"/>
      <c r="S97" s="6"/>
      <c r="T97" s="6"/>
    </row>
    <row r="98" spans="1:20" ht="12.75" hidden="1" customHeight="1">
      <c r="A98" s="60"/>
      <c r="B98" s="19"/>
      <c r="C98" s="41" t="s">
        <v>77</v>
      </c>
      <c r="D98" s="21"/>
      <c r="E98" s="1"/>
      <c r="F98" s="1"/>
      <c r="G98" s="1"/>
      <c r="H98" s="1"/>
      <c r="I98" s="1"/>
      <c r="J98" s="1"/>
      <c r="K98" s="61"/>
      <c r="L98" s="13"/>
      <c r="M98" s="1"/>
      <c r="N98" s="6"/>
      <c r="O98" s="6"/>
      <c r="P98" s="6"/>
      <c r="Q98" s="6"/>
      <c r="R98" s="6"/>
      <c r="S98" s="6"/>
      <c r="T98" s="6"/>
    </row>
    <row r="99" spans="1:20" ht="12.75" hidden="1" customHeight="1">
      <c r="A99" s="53"/>
      <c r="B99" s="52"/>
      <c r="C99" s="27" t="s">
        <v>75</v>
      </c>
      <c r="D99" s="28" t="s">
        <v>17</v>
      </c>
      <c r="E99" s="62">
        <f>E149</f>
        <v>0</v>
      </c>
      <c r="F99" s="48">
        <f t="shared" ref="F99:J99" si="36">E99+F100</f>
        <v>0</v>
      </c>
      <c r="G99" s="48">
        <f t="shared" si="36"/>
        <v>0</v>
      </c>
      <c r="H99" s="48">
        <f t="shared" si="36"/>
        <v>0</v>
      </c>
      <c r="I99" s="48">
        <f t="shared" si="36"/>
        <v>0</v>
      </c>
      <c r="J99" s="48">
        <f t="shared" si="36"/>
        <v>0</v>
      </c>
      <c r="K99" s="59"/>
      <c r="L99" s="53"/>
      <c r="M99" s="54"/>
      <c r="N99" s="6"/>
      <c r="O99" s="6"/>
      <c r="P99" s="6"/>
      <c r="Q99" s="6"/>
      <c r="R99" s="6"/>
      <c r="S99" s="6"/>
      <c r="T99" s="6"/>
    </row>
    <row r="100" spans="1:20" ht="12.75" hidden="1" customHeight="1">
      <c r="A100" s="53"/>
      <c r="B100" s="52"/>
      <c r="C100" s="27" t="s">
        <v>76</v>
      </c>
      <c r="D100" s="28" t="s">
        <v>17</v>
      </c>
      <c r="E100" s="22"/>
      <c r="F100" s="48">
        <f t="shared" ref="F100:J100" si="37">E99*F$7</f>
        <v>0</v>
      </c>
      <c r="G100" s="48">
        <f t="shared" si="37"/>
        <v>0</v>
      </c>
      <c r="H100" s="48">
        <f t="shared" si="37"/>
        <v>0</v>
      </c>
      <c r="I100" s="48">
        <f t="shared" si="37"/>
        <v>0</v>
      </c>
      <c r="J100" s="48">
        <f t="shared" si="37"/>
        <v>0</v>
      </c>
      <c r="K100" s="59"/>
      <c r="L100" s="53"/>
      <c r="M100" s="54"/>
      <c r="N100" s="6"/>
      <c r="O100" s="6"/>
      <c r="P100" s="6"/>
      <c r="Q100" s="6"/>
      <c r="R100" s="6"/>
      <c r="S100" s="6"/>
      <c r="T100" s="6"/>
    </row>
    <row r="101" spans="1:20" ht="12.75" hidden="1" customHeight="1">
      <c r="A101" s="37"/>
      <c r="B101" s="38"/>
      <c r="C101" s="27" t="s">
        <v>78</v>
      </c>
      <c r="D101" s="28" t="s">
        <v>17</v>
      </c>
      <c r="E101" s="22"/>
      <c r="F101" s="48">
        <f>IF(F$1&gt;Bases!$D$22,0,F99/Bases!$D$22)</f>
        <v>0</v>
      </c>
      <c r="G101" s="48">
        <f>IF(G$1&gt;Bases!$D$22,0,G99/Bases!$D$22)</f>
        <v>0</v>
      </c>
      <c r="H101" s="48">
        <f>IF(H$1&gt;Bases!$D$22,0,H99/Bases!$D$22)</f>
        <v>0</v>
      </c>
      <c r="I101" s="48">
        <f>IF(I$1&gt;Bases!$D$22,0,I99/Bases!$D$22)</f>
        <v>0</v>
      </c>
      <c r="J101" s="48">
        <f>IF(J$1&gt;Bases!$D$22,0,J99/Bases!$D$22)</f>
        <v>0</v>
      </c>
      <c r="K101" s="39"/>
      <c r="L101" s="37"/>
      <c r="M101" s="40"/>
      <c r="N101" s="6"/>
      <c r="O101" s="6"/>
      <c r="P101" s="6"/>
      <c r="Q101" s="6"/>
      <c r="R101" s="6"/>
      <c r="S101" s="6"/>
      <c r="T101" s="6"/>
    </row>
    <row r="102" spans="1:20" ht="12.75" hidden="1" customHeight="1">
      <c r="A102" s="53"/>
      <c r="B102" s="52"/>
      <c r="C102" s="27" t="s">
        <v>79</v>
      </c>
      <c r="D102" s="28" t="s">
        <v>17</v>
      </c>
      <c r="E102" s="22"/>
      <c r="F102" s="48">
        <f t="shared" ref="F102:J102" si="38">E103*F$7</f>
        <v>0</v>
      </c>
      <c r="G102" s="48">
        <f t="shared" si="38"/>
        <v>0</v>
      </c>
      <c r="H102" s="48">
        <f t="shared" si="38"/>
        <v>0</v>
      </c>
      <c r="I102" s="48">
        <f t="shared" si="38"/>
        <v>0</v>
      </c>
      <c r="J102" s="48">
        <f t="shared" si="38"/>
        <v>0</v>
      </c>
      <c r="K102" s="59"/>
      <c r="L102" s="53"/>
      <c r="M102" s="54"/>
      <c r="N102" s="6"/>
      <c r="O102" s="6"/>
      <c r="P102" s="6"/>
      <c r="Q102" s="6"/>
      <c r="R102" s="6"/>
      <c r="S102" s="6"/>
      <c r="T102" s="6"/>
    </row>
    <row r="103" spans="1:20" ht="12.75" hidden="1" customHeight="1">
      <c r="A103" s="53"/>
      <c r="B103" s="52"/>
      <c r="C103" s="27" t="s">
        <v>80</v>
      </c>
      <c r="D103" s="28" t="s">
        <v>17</v>
      </c>
      <c r="E103" s="22"/>
      <c r="F103" s="48">
        <f t="shared" ref="F103:J103" si="39">E103+F101+F102</f>
        <v>0</v>
      </c>
      <c r="G103" s="48">
        <f t="shared" si="39"/>
        <v>0</v>
      </c>
      <c r="H103" s="48">
        <f t="shared" si="39"/>
        <v>0</v>
      </c>
      <c r="I103" s="48">
        <f t="shared" si="39"/>
        <v>0</v>
      </c>
      <c r="J103" s="48">
        <f t="shared" si="39"/>
        <v>0</v>
      </c>
      <c r="K103" s="59"/>
      <c r="L103" s="53"/>
      <c r="M103" s="54"/>
      <c r="N103" s="6"/>
      <c r="O103" s="6"/>
      <c r="P103" s="6"/>
      <c r="Q103" s="6"/>
      <c r="R103" s="6"/>
      <c r="S103" s="6"/>
      <c r="T103" s="6"/>
    </row>
    <row r="104" spans="1:20" ht="12.75" hidden="1" customHeight="1">
      <c r="A104" s="53"/>
      <c r="B104" s="52"/>
      <c r="C104" s="27" t="s">
        <v>81</v>
      </c>
      <c r="D104" s="28" t="s">
        <v>17</v>
      </c>
      <c r="E104" s="22"/>
      <c r="F104" s="48">
        <f t="shared" ref="F104:J104" si="40">F99-F103</f>
        <v>0</v>
      </c>
      <c r="G104" s="48">
        <f t="shared" si="40"/>
        <v>0</v>
      </c>
      <c r="H104" s="48">
        <f t="shared" si="40"/>
        <v>0</v>
      </c>
      <c r="I104" s="48">
        <f t="shared" si="40"/>
        <v>0</v>
      </c>
      <c r="J104" s="48">
        <f t="shared" si="40"/>
        <v>0</v>
      </c>
      <c r="K104" s="59"/>
      <c r="L104" s="53"/>
      <c r="M104" s="54"/>
      <c r="N104" s="6"/>
      <c r="O104" s="6"/>
      <c r="P104" s="6"/>
      <c r="Q104" s="6"/>
      <c r="R104" s="6"/>
      <c r="S104" s="6"/>
      <c r="T104" s="6"/>
    </row>
    <row r="105" spans="1:20" ht="12.75" hidden="1" customHeight="1">
      <c r="A105" s="60"/>
      <c r="B105" s="19"/>
      <c r="C105" s="41" t="s">
        <v>82</v>
      </c>
      <c r="D105" s="21"/>
      <c r="E105" s="1"/>
      <c r="F105" s="1"/>
      <c r="G105" s="1"/>
      <c r="H105" s="1"/>
      <c r="I105" s="1"/>
      <c r="J105" s="1"/>
      <c r="K105" s="61"/>
      <c r="L105" s="13"/>
      <c r="M105" s="1"/>
      <c r="N105" s="6"/>
      <c r="O105" s="6"/>
      <c r="P105" s="6"/>
      <c r="Q105" s="6"/>
      <c r="R105" s="6"/>
      <c r="S105" s="6"/>
      <c r="T105" s="6"/>
    </row>
    <row r="106" spans="1:20" ht="12.75" hidden="1" customHeight="1">
      <c r="A106" s="53"/>
      <c r="B106" s="52"/>
      <c r="C106" s="27" t="s">
        <v>75</v>
      </c>
      <c r="D106" s="28" t="s">
        <v>17</v>
      </c>
      <c r="E106" s="63">
        <f>E150</f>
        <v>0</v>
      </c>
      <c r="F106" s="48">
        <f t="shared" ref="F106:J106" si="41">E106+F107</f>
        <v>0</v>
      </c>
      <c r="G106" s="48">
        <f t="shared" si="41"/>
        <v>0</v>
      </c>
      <c r="H106" s="48">
        <f t="shared" si="41"/>
        <v>0</v>
      </c>
      <c r="I106" s="48">
        <f t="shared" si="41"/>
        <v>0</v>
      </c>
      <c r="J106" s="48">
        <f t="shared" si="41"/>
        <v>0</v>
      </c>
      <c r="K106" s="59"/>
      <c r="L106" s="53"/>
      <c r="M106" s="54"/>
      <c r="N106" s="6"/>
      <c r="O106" s="6"/>
      <c r="P106" s="6"/>
      <c r="Q106" s="6"/>
      <c r="R106" s="6"/>
      <c r="S106" s="6"/>
      <c r="T106" s="6"/>
    </row>
    <row r="107" spans="1:20" ht="12.75" hidden="1" customHeight="1">
      <c r="A107" s="53"/>
      <c r="B107" s="52"/>
      <c r="C107" s="27" t="s">
        <v>76</v>
      </c>
      <c r="D107" s="28" t="s">
        <v>17</v>
      </c>
      <c r="E107" s="22"/>
      <c r="F107" s="48">
        <f t="shared" ref="F107:J107" si="42">E106*F$7</f>
        <v>0</v>
      </c>
      <c r="G107" s="48">
        <f t="shared" si="42"/>
        <v>0</v>
      </c>
      <c r="H107" s="48">
        <f t="shared" si="42"/>
        <v>0</v>
      </c>
      <c r="I107" s="48">
        <f t="shared" si="42"/>
        <v>0</v>
      </c>
      <c r="J107" s="48">
        <f t="shared" si="42"/>
        <v>0</v>
      </c>
      <c r="K107" s="59"/>
      <c r="L107" s="53"/>
      <c r="M107" s="54"/>
      <c r="N107" s="6"/>
      <c r="O107" s="6"/>
      <c r="P107" s="6"/>
      <c r="Q107" s="6"/>
      <c r="R107" s="6"/>
      <c r="S107" s="6"/>
      <c r="T107" s="6"/>
    </row>
    <row r="108" spans="1:20" ht="12.75" hidden="1" customHeight="1">
      <c r="A108" s="37"/>
      <c r="B108" s="38"/>
      <c r="C108" s="27" t="s">
        <v>78</v>
      </c>
      <c r="D108" s="28" t="s">
        <v>17</v>
      </c>
      <c r="E108" s="22"/>
      <c r="F108" s="48">
        <f>IF(F$1&gt;Bases!$D$23,0,F106/Bases!$D$23)</f>
        <v>0</v>
      </c>
      <c r="G108" s="48">
        <f>IF(G$1&gt;Bases!$D$23,0,G106/Bases!$D$23)</f>
        <v>0</v>
      </c>
      <c r="H108" s="48">
        <f>IF(H$1&gt;Bases!$D$23,0,H106/Bases!$D$23)</f>
        <v>0</v>
      </c>
      <c r="I108" s="48">
        <f>IF(I$1&gt;Bases!$D$23,0,I106/Bases!$D$23)</f>
        <v>0</v>
      </c>
      <c r="J108" s="48">
        <f>IF(J$1&gt;Bases!$D$23,0,J106/Bases!$D$23)</f>
        <v>0</v>
      </c>
      <c r="K108" s="39"/>
      <c r="L108" s="37"/>
      <c r="M108" s="40"/>
      <c r="N108" s="6"/>
      <c r="O108" s="6"/>
      <c r="P108" s="6"/>
      <c r="Q108" s="6"/>
      <c r="R108" s="6"/>
      <c r="S108" s="6"/>
      <c r="T108" s="6"/>
    </row>
    <row r="109" spans="1:20" ht="12.75" hidden="1" customHeight="1">
      <c r="A109" s="53"/>
      <c r="B109" s="52"/>
      <c r="C109" s="27" t="s">
        <v>79</v>
      </c>
      <c r="D109" s="28" t="s">
        <v>17</v>
      </c>
      <c r="E109" s="22"/>
      <c r="F109" s="48">
        <f t="shared" ref="F109:J109" si="43">E110*F$7</f>
        <v>0</v>
      </c>
      <c r="G109" s="48">
        <f t="shared" si="43"/>
        <v>0</v>
      </c>
      <c r="H109" s="48">
        <f t="shared" si="43"/>
        <v>0</v>
      </c>
      <c r="I109" s="48">
        <f t="shared" si="43"/>
        <v>0</v>
      </c>
      <c r="J109" s="48">
        <f t="shared" si="43"/>
        <v>0</v>
      </c>
      <c r="K109" s="59"/>
      <c r="L109" s="53"/>
      <c r="M109" s="54"/>
      <c r="N109" s="6"/>
      <c r="O109" s="6"/>
      <c r="P109" s="6"/>
      <c r="Q109" s="6"/>
      <c r="R109" s="6"/>
      <c r="S109" s="6"/>
      <c r="T109" s="6"/>
    </row>
    <row r="110" spans="1:20" ht="12.75" hidden="1" customHeight="1">
      <c r="A110" s="53"/>
      <c r="B110" s="52"/>
      <c r="C110" s="27" t="s">
        <v>83</v>
      </c>
      <c r="D110" s="28" t="s">
        <v>17</v>
      </c>
      <c r="E110" s="22"/>
      <c r="F110" s="48">
        <f t="shared" ref="F110:J110" si="44">E110+F108+F109</f>
        <v>0</v>
      </c>
      <c r="G110" s="48">
        <f t="shared" si="44"/>
        <v>0</v>
      </c>
      <c r="H110" s="48">
        <f t="shared" si="44"/>
        <v>0</v>
      </c>
      <c r="I110" s="48">
        <f t="shared" si="44"/>
        <v>0</v>
      </c>
      <c r="J110" s="48">
        <f t="shared" si="44"/>
        <v>0</v>
      </c>
      <c r="K110" s="59"/>
      <c r="L110" s="53"/>
      <c r="M110" s="54"/>
      <c r="N110" s="6"/>
      <c r="O110" s="6"/>
      <c r="P110" s="6"/>
      <c r="Q110" s="6"/>
      <c r="R110" s="6"/>
      <c r="S110" s="6"/>
      <c r="T110" s="6"/>
    </row>
    <row r="111" spans="1:20" ht="12.75" hidden="1" customHeight="1">
      <c r="A111" s="53"/>
      <c r="B111" s="52"/>
      <c r="C111" s="27" t="s">
        <v>81</v>
      </c>
      <c r="D111" s="28" t="s">
        <v>17</v>
      </c>
      <c r="E111" s="22"/>
      <c r="F111" s="48">
        <f t="shared" ref="F111:J111" si="45">F106-F110</f>
        <v>0</v>
      </c>
      <c r="G111" s="48">
        <f t="shared" si="45"/>
        <v>0</v>
      </c>
      <c r="H111" s="48">
        <f t="shared" si="45"/>
        <v>0</v>
      </c>
      <c r="I111" s="48">
        <f t="shared" si="45"/>
        <v>0</v>
      </c>
      <c r="J111" s="48">
        <f t="shared" si="45"/>
        <v>0</v>
      </c>
      <c r="K111" s="59"/>
      <c r="L111" s="53"/>
      <c r="M111" s="54"/>
      <c r="N111" s="6"/>
      <c r="O111" s="6"/>
      <c r="P111" s="6"/>
      <c r="Q111" s="6"/>
      <c r="R111" s="6"/>
      <c r="S111" s="6"/>
      <c r="T111" s="6"/>
    </row>
    <row r="112" spans="1:20" ht="12.75" hidden="1" customHeight="1">
      <c r="A112" s="60"/>
      <c r="B112" s="19"/>
      <c r="C112" s="41" t="s">
        <v>84</v>
      </c>
      <c r="D112" s="21"/>
      <c r="E112" s="1"/>
      <c r="F112" s="1"/>
      <c r="G112" s="1"/>
      <c r="H112" s="1"/>
      <c r="I112" s="1"/>
      <c r="J112" s="1"/>
      <c r="K112" s="61"/>
      <c r="L112" s="13"/>
      <c r="M112" s="1"/>
      <c r="N112" s="6"/>
      <c r="O112" s="6"/>
      <c r="P112" s="6"/>
      <c r="Q112" s="6"/>
      <c r="R112" s="6"/>
      <c r="S112" s="6"/>
      <c r="T112" s="6"/>
    </row>
    <row r="113" spans="1:20" ht="12.75" hidden="1" customHeight="1">
      <c r="A113" s="53"/>
      <c r="B113" s="52"/>
      <c r="C113" s="27" t="s">
        <v>75</v>
      </c>
      <c r="D113" s="28" t="s">
        <v>17</v>
      </c>
      <c r="E113" s="62">
        <f>E151</f>
        <v>1560000</v>
      </c>
      <c r="F113" s="48">
        <f t="shared" ref="F113:J113" si="46">E113+F114</f>
        <v>1560000</v>
      </c>
      <c r="G113" s="48">
        <f t="shared" si="46"/>
        <v>1560000</v>
      </c>
      <c r="H113" s="48">
        <f t="shared" si="46"/>
        <v>1560000</v>
      </c>
      <c r="I113" s="48">
        <f t="shared" si="46"/>
        <v>1560000</v>
      </c>
      <c r="J113" s="48">
        <f t="shared" si="46"/>
        <v>1560000</v>
      </c>
      <c r="K113" s="59"/>
      <c r="L113" s="53"/>
      <c r="M113" s="54"/>
      <c r="N113" s="6"/>
      <c r="O113" s="6"/>
      <c r="P113" s="6"/>
      <c r="Q113" s="6"/>
      <c r="R113" s="6"/>
      <c r="S113" s="6"/>
      <c r="T113" s="6"/>
    </row>
    <row r="114" spans="1:20" ht="12.75" hidden="1" customHeight="1">
      <c r="A114" s="53"/>
      <c r="B114" s="52"/>
      <c r="C114" s="27" t="s">
        <v>76</v>
      </c>
      <c r="D114" s="28" t="s">
        <v>17</v>
      </c>
      <c r="E114" s="22"/>
      <c r="F114" s="48">
        <f t="shared" ref="F114:J114" si="47">E113*F$7</f>
        <v>0</v>
      </c>
      <c r="G114" s="48">
        <f t="shared" si="47"/>
        <v>0</v>
      </c>
      <c r="H114" s="48">
        <f t="shared" si="47"/>
        <v>0</v>
      </c>
      <c r="I114" s="48">
        <f t="shared" si="47"/>
        <v>0</v>
      </c>
      <c r="J114" s="48">
        <f t="shared" si="47"/>
        <v>0</v>
      </c>
      <c r="K114" s="59"/>
      <c r="L114" s="53"/>
      <c r="M114" s="54"/>
      <c r="N114" s="6"/>
      <c r="O114" s="6"/>
      <c r="P114" s="6"/>
      <c r="Q114" s="6"/>
      <c r="R114" s="6"/>
      <c r="S114" s="6"/>
      <c r="T114" s="6"/>
    </row>
    <row r="115" spans="1:20" ht="12.75" hidden="1" customHeight="1">
      <c r="A115" s="37"/>
      <c r="B115" s="38"/>
      <c r="C115" s="27" t="s">
        <v>78</v>
      </c>
      <c r="D115" s="28" t="s">
        <v>17</v>
      </c>
      <c r="E115" s="22"/>
      <c r="F115" s="48">
        <f>IF(F$1&gt;Bases!$D$24,0,F113/Bases!$D$24)</f>
        <v>312000</v>
      </c>
      <c r="G115" s="48">
        <f>IF(G$1&gt;Bases!$D$24,0,G113/Bases!$D$24)</f>
        <v>312000</v>
      </c>
      <c r="H115" s="48">
        <f>IF(H$1&gt;Bases!$D$24,0,H113/Bases!$D$24)</f>
        <v>312000</v>
      </c>
      <c r="I115" s="48">
        <f>IF(I$1&gt;Bases!$D$24,0,I113/Bases!$D$24)</f>
        <v>312000</v>
      </c>
      <c r="J115" s="48">
        <f>IF(J$1&gt;Bases!$D$24,0,J113/Bases!$D$24)</f>
        <v>312000</v>
      </c>
      <c r="K115" s="39"/>
      <c r="L115" s="37"/>
      <c r="M115" s="40"/>
      <c r="N115" s="6"/>
      <c r="O115" s="6"/>
      <c r="P115" s="6"/>
      <c r="Q115" s="6"/>
      <c r="R115" s="6"/>
      <c r="S115" s="6"/>
      <c r="T115" s="6"/>
    </row>
    <row r="116" spans="1:20" ht="12.75" hidden="1" customHeight="1">
      <c r="A116" s="53"/>
      <c r="B116" s="52"/>
      <c r="C116" s="27" t="s">
        <v>79</v>
      </c>
      <c r="D116" s="28" t="s">
        <v>17</v>
      </c>
      <c r="E116" s="22"/>
      <c r="F116" s="48">
        <f t="shared" ref="F116:J116" si="48">E117*F$7</f>
        <v>0</v>
      </c>
      <c r="G116" s="48">
        <f t="shared" si="48"/>
        <v>0</v>
      </c>
      <c r="H116" s="48">
        <f t="shared" si="48"/>
        <v>0</v>
      </c>
      <c r="I116" s="48">
        <f t="shared" si="48"/>
        <v>0</v>
      </c>
      <c r="J116" s="48">
        <f t="shared" si="48"/>
        <v>0</v>
      </c>
      <c r="K116" s="59"/>
      <c r="L116" s="53"/>
      <c r="M116" s="54"/>
      <c r="N116" s="6"/>
      <c r="O116" s="6"/>
      <c r="P116" s="6"/>
      <c r="Q116" s="6"/>
      <c r="R116" s="6"/>
      <c r="S116" s="6"/>
      <c r="T116" s="6"/>
    </row>
    <row r="117" spans="1:20" ht="12.75" hidden="1" customHeight="1">
      <c r="A117" s="53"/>
      <c r="B117" s="52"/>
      <c r="C117" s="27" t="s">
        <v>83</v>
      </c>
      <c r="D117" s="28" t="s">
        <v>17</v>
      </c>
      <c r="E117" s="22"/>
      <c r="F117" s="48">
        <f t="shared" ref="F117:J117" si="49">E117+F115+F116</f>
        <v>312000</v>
      </c>
      <c r="G117" s="48">
        <f t="shared" si="49"/>
        <v>624000</v>
      </c>
      <c r="H117" s="48">
        <f t="shared" si="49"/>
        <v>936000</v>
      </c>
      <c r="I117" s="48">
        <f t="shared" si="49"/>
        <v>1248000</v>
      </c>
      <c r="J117" s="48">
        <f t="shared" si="49"/>
        <v>1560000</v>
      </c>
      <c r="K117" s="59"/>
      <c r="L117" s="53"/>
      <c r="M117" s="54"/>
      <c r="N117" s="6"/>
      <c r="O117" s="6"/>
      <c r="P117" s="6"/>
      <c r="Q117" s="6"/>
      <c r="R117" s="6"/>
      <c r="S117" s="6"/>
      <c r="T117" s="6"/>
    </row>
    <row r="118" spans="1:20" ht="12.75" hidden="1" customHeight="1">
      <c r="A118" s="53"/>
      <c r="B118" s="52"/>
      <c r="C118" s="27" t="s">
        <v>81</v>
      </c>
      <c r="D118" s="28" t="s">
        <v>17</v>
      </c>
      <c r="E118" s="22"/>
      <c r="F118" s="48">
        <f t="shared" ref="F118:J118" si="50">F113-F117</f>
        <v>1248000</v>
      </c>
      <c r="G118" s="48">
        <f t="shared" si="50"/>
        <v>936000</v>
      </c>
      <c r="H118" s="48">
        <f t="shared" si="50"/>
        <v>624000</v>
      </c>
      <c r="I118" s="48">
        <f t="shared" si="50"/>
        <v>312000</v>
      </c>
      <c r="J118" s="48">
        <f t="shared" si="50"/>
        <v>0</v>
      </c>
      <c r="K118" s="59"/>
      <c r="L118" s="53"/>
      <c r="M118" s="54"/>
      <c r="N118" s="6"/>
      <c r="O118" s="6"/>
      <c r="P118" s="6"/>
      <c r="Q118" s="6"/>
      <c r="R118" s="6"/>
      <c r="S118" s="6"/>
      <c r="T118" s="6"/>
    </row>
    <row r="119" spans="1:20" ht="12.75" hidden="1" customHeight="1">
      <c r="A119" s="60"/>
      <c r="B119" s="19"/>
      <c r="C119" s="41" t="s">
        <v>85</v>
      </c>
      <c r="D119" s="21"/>
      <c r="E119" s="1"/>
      <c r="F119" s="1"/>
      <c r="G119" s="1"/>
      <c r="H119" s="1"/>
      <c r="I119" s="1"/>
      <c r="J119" s="1"/>
      <c r="K119" s="61"/>
      <c r="L119" s="13"/>
      <c r="M119" s="1"/>
      <c r="N119" s="6"/>
      <c r="O119" s="6"/>
      <c r="P119" s="6"/>
      <c r="Q119" s="6"/>
      <c r="R119" s="6"/>
      <c r="S119" s="6"/>
      <c r="T119" s="6"/>
    </row>
    <row r="120" spans="1:20" ht="12.75" hidden="1" customHeight="1">
      <c r="A120" s="53"/>
      <c r="B120" s="52"/>
      <c r="C120" s="27" t="s">
        <v>75</v>
      </c>
      <c r="D120" s="28" t="s">
        <v>17</v>
      </c>
      <c r="E120" s="62">
        <f>E152</f>
        <v>0</v>
      </c>
      <c r="F120" s="48">
        <f t="shared" ref="F120:J120" si="51">E120+F121</f>
        <v>0</v>
      </c>
      <c r="G120" s="48">
        <f t="shared" si="51"/>
        <v>0</v>
      </c>
      <c r="H120" s="48">
        <f t="shared" si="51"/>
        <v>0</v>
      </c>
      <c r="I120" s="48">
        <f t="shared" si="51"/>
        <v>0</v>
      </c>
      <c r="J120" s="48">
        <f t="shared" si="51"/>
        <v>0</v>
      </c>
      <c r="K120" s="59"/>
      <c r="L120" s="53"/>
      <c r="M120" s="54"/>
      <c r="N120" s="6"/>
      <c r="O120" s="6"/>
      <c r="P120" s="6"/>
      <c r="Q120" s="6"/>
      <c r="R120" s="6"/>
      <c r="S120" s="6"/>
      <c r="T120" s="6"/>
    </row>
    <row r="121" spans="1:20" ht="12.75" hidden="1" customHeight="1">
      <c r="A121" s="53"/>
      <c r="B121" s="52"/>
      <c r="C121" s="27" t="s">
        <v>76</v>
      </c>
      <c r="D121" s="28" t="s">
        <v>17</v>
      </c>
      <c r="E121" s="22"/>
      <c r="F121" s="48">
        <f t="shared" ref="F121:J121" si="52">E120*F$7</f>
        <v>0</v>
      </c>
      <c r="G121" s="48">
        <f t="shared" si="52"/>
        <v>0</v>
      </c>
      <c r="H121" s="48">
        <f t="shared" si="52"/>
        <v>0</v>
      </c>
      <c r="I121" s="48">
        <f t="shared" si="52"/>
        <v>0</v>
      </c>
      <c r="J121" s="48">
        <f t="shared" si="52"/>
        <v>0</v>
      </c>
      <c r="K121" s="59"/>
      <c r="L121" s="53"/>
      <c r="M121" s="54"/>
      <c r="N121" s="6"/>
      <c r="O121" s="6"/>
      <c r="P121" s="6"/>
      <c r="Q121" s="6"/>
      <c r="R121" s="6"/>
      <c r="S121" s="6"/>
      <c r="T121" s="6"/>
    </row>
    <row r="122" spans="1:20" ht="12.75" hidden="1" customHeight="1">
      <c r="A122" s="37"/>
      <c r="B122" s="38"/>
      <c r="C122" s="27" t="s">
        <v>78</v>
      </c>
      <c r="D122" s="28" t="s">
        <v>17</v>
      </c>
      <c r="E122" s="22"/>
      <c r="F122" s="48">
        <f>IF(F$1&gt;Bases!$D$25,0,F120/Bases!$D$25)</f>
        <v>0</v>
      </c>
      <c r="G122" s="48">
        <f>IF(G$1&gt;Bases!$D$25,0,G120/Bases!$D$25)</f>
        <v>0</v>
      </c>
      <c r="H122" s="48">
        <f>IF(H$1&gt;Bases!$D$25,0,H120/Bases!$D$25)</f>
        <v>0</v>
      </c>
      <c r="I122" s="48">
        <f>IF(I$1&gt;Bases!$D$25,0,I120/Bases!$D$25)</f>
        <v>0</v>
      </c>
      <c r="J122" s="48">
        <f>IF(J$1&gt;Bases!$D$25,0,J120/Bases!$D$25)</f>
        <v>0</v>
      </c>
      <c r="K122" s="39"/>
      <c r="L122" s="37"/>
      <c r="M122" s="40"/>
      <c r="N122" s="6"/>
      <c r="O122" s="6"/>
      <c r="P122" s="6"/>
      <c r="Q122" s="6"/>
      <c r="R122" s="6"/>
      <c r="S122" s="6"/>
      <c r="T122" s="6"/>
    </row>
    <row r="123" spans="1:20" ht="12.75" hidden="1" customHeight="1">
      <c r="A123" s="53"/>
      <c r="B123" s="52"/>
      <c r="C123" s="27" t="s">
        <v>79</v>
      </c>
      <c r="D123" s="28" t="s">
        <v>17</v>
      </c>
      <c r="E123" s="22"/>
      <c r="F123" s="48">
        <f t="shared" ref="F123:J123" si="53">E124*F$7</f>
        <v>0</v>
      </c>
      <c r="G123" s="48">
        <f t="shared" si="53"/>
        <v>0</v>
      </c>
      <c r="H123" s="48">
        <f t="shared" si="53"/>
        <v>0</v>
      </c>
      <c r="I123" s="48">
        <f t="shared" si="53"/>
        <v>0</v>
      </c>
      <c r="J123" s="48">
        <f t="shared" si="53"/>
        <v>0</v>
      </c>
      <c r="K123" s="59"/>
      <c r="L123" s="53"/>
      <c r="M123" s="54"/>
      <c r="N123" s="6"/>
      <c r="O123" s="6"/>
      <c r="P123" s="6"/>
      <c r="Q123" s="6"/>
      <c r="R123" s="6"/>
      <c r="S123" s="6"/>
      <c r="T123" s="6"/>
    </row>
    <row r="124" spans="1:20" ht="12.75" hidden="1" customHeight="1">
      <c r="A124" s="53"/>
      <c r="B124" s="52"/>
      <c r="C124" s="27" t="s">
        <v>83</v>
      </c>
      <c r="D124" s="28" t="s">
        <v>17</v>
      </c>
      <c r="E124" s="22"/>
      <c r="F124" s="48">
        <f t="shared" ref="F124:J124" si="54">E124+F122+F123</f>
        <v>0</v>
      </c>
      <c r="G124" s="48">
        <f t="shared" si="54"/>
        <v>0</v>
      </c>
      <c r="H124" s="48">
        <f t="shared" si="54"/>
        <v>0</v>
      </c>
      <c r="I124" s="48">
        <f t="shared" si="54"/>
        <v>0</v>
      </c>
      <c r="J124" s="48">
        <f t="shared" si="54"/>
        <v>0</v>
      </c>
      <c r="K124" s="59"/>
      <c r="L124" s="53"/>
      <c r="M124" s="54"/>
      <c r="N124" s="6"/>
      <c r="O124" s="6"/>
      <c r="P124" s="6"/>
      <c r="Q124" s="6"/>
      <c r="R124" s="6"/>
      <c r="S124" s="6"/>
      <c r="T124" s="6"/>
    </row>
    <row r="125" spans="1:20" ht="12.75" hidden="1" customHeight="1">
      <c r="A125" s="53"/>
      <c r="B125" s="52"/>
      <c r="C125" s="27" t="s">
        <v>81</v>
      </c>
      <c r="D125" s="28" t="s">
        <v>17</v>
      </c>
      <c r="E125" s="22"/>
      <c r="F125" s="48">
        <f t="shared" ref="F125:J125" si="55">F120-F124</f>
        <v>0</v>
      </c>
      <c r="G125" s="48">
        <f t="shared" si="55"/>
        <v>0</v>
      </c>
      <c r="H125" s="48">
        <f t="shared" si="55"/>
        <v>0</v>
      </c>
      <c r="I125" s="48">
        <f t="shared" si="55"/>
        <v>0</v>
      </c>
      <c r="J125" s="48">
        <f t="shared" si="55"/>
        <v>0</v>
      </c>
      <c r="K125" s="59"/>
      <c r="L125" s="53"/>
      <c r="M125" s="54"/>
      <c r="N125" s="6"/>
      <c r="O125" s="6"/>
      <c r="P125" s="6"/>
      <c r="Q125" s="6"/>
      <c r="R125" s="6"/>
      <c r="S125" s="6"/>
      <c r="T125" s="6"/>
    </row>
    <row r="126" spans="1:20" ht="12.75" hidden="1" customHeight="1">
      <c r="A126" s="60"/>
      <c r="B126" s="19"/>
      <c r="C126" s="41" t="s">
        <v>86</v>
      </c>
      <c r="D126" s="21"/>
      <c r="E126" s="1"/>
      <c r="F126" s="1"/>
      <c r="G126" s="1"/>
      <c r="H126" s="1"/>
      <c r="I126" s="1"/>
      <c r="J126" s="1"/>
      <c r="K126" s="61"/>
      <c r="L126" s="13"/>
      <c r="M126" s="1"/>
      <c r="N126" s="6"/>
      <c r="O126" s="6"/>
      <c r="P126" s="6"/>
      <c r="Q126" s="6"/>
      <c r="R126" s="6"/>
      <c r="S126" s="6"/>
      <c r="T126" s="6"/>
    </row>
    <row r="127" spans="1:20" ht="12.75" hidden="1" customHeight="1">
      <c r="A127" s="53"/>
      <c r="B127" s="52"/>
      <c r="C127" s="27" t="s">
        <v>75</v>
      </c>
      <c r="D127" s="28" t="s">
        <v>17</v>
      </c>
      <c r="E127" s="62">
        <f>E153</f>
        <v>3500000</v>
      </c>
      <c r="F127" s="48">
        <f t="shared" ref="F127:J127" si="56">E127+F128</f>
        <v>3500000</v>
      </c>
      <c r="G127" s="48">
        <f t="shared" si="56"/>
        <v>3500000</v>
      </c>
      <c r="H127" s="48">
        <f t="shared" si="56"/>
        <v>3500000</v>
      </c>
      <c r="I127" s="48">
        <f t="shared" si="56"/>
        <v>3500000</v>
      </c>
      <c r="J127" s="48">
        <f t="shared" si="56"/>
        <v>3500000</v>
      </c>
      <c r="K127" s="59"/>
      <c r="L127" s="53"/>
      <c r="M127" s="54"/>
      <c r="N127" s="6"/>
      <c r="O127" s="6"/>
      <c r="P127" s="6"/>
      <c r="Q127" s="6"/>
      <c r="R127" s="6"/>
      <c r="S127" s="6"/>
      <c r="T127" s="6"/>
    </row>
    <row r="128" spans="1:20" ht="12.75" hidden="1" customHeight="1">
      <c r="A128" s="53"/>
      <c r="B128" s="52"/>
      <c r="C128" s="27" t="s">
        <v>76</v>
      </c>
      <c r="D128" s="28" t="s">
        <v>17</v>
      </c>
      <c r="E128" s="22"/>
      <c r="F128" s="48">
        <f t="shared" ref="F128:J128" si="57">E127*F$7</f>
        <v>0</v>
      </c>
      <c r="G128" s="48">
        <f t="shared" si="57"/>
        <v>0</v>
      </c>
      <c r="H128" s="48">
        <f t="shared" si="57"/>
        <v>0</v>
      </c>
      <c r="I128" s="48">
        <f t="shared" si="57"/>
        <v>0</v>
      </c>
      <c r="J128" s="48">
        <f t="shared" si="57"/>
        <v>0</v>
      </c>
      <c r="K128" s="59"/>
      <c r="L128" s="53"/>
      <c r="M128" s="54"/>
      <c r="N128" s="6"/>
      <c r="O128" s="6"/>
      <c r="P128" s="6"/>
      <c r="Q128" s="6"/>
      <c r="R128" s="6"/>
      <c r="S128" s="6"/>
      <c r="T128" s="6"/>
    </row>
    <row r="129" spans="1:20" ht="12.75" hidden="1" customHeight="1">
      <c r="A129" s="37"/>
      <c r="B129" s="38"/>
      <c r="C129" s="27" t="s">
        <v>78</v>
      </c>
      <c r="D129" s="28" t="s">
        <v>17</v>
      </c>
      <c r="E129" s="22"/>
      <c r="F129" s="48">
        <f>IF(F$1&gt;Bases!$D$26,0,F127/Bases!$D$26)</f>
        <v>1166666.6666666667</v>
      </c>
      <c r="G129" s="48">
        <f>IF(G$1&gt;Bases!$D$26,0,G127/Bases!$D$26)</f>
        <v>1166666.6666666667</v>
      </c>
      <c r="H129" s="48">
        <f>IF(H$1&gt;Bases!$D$26,0,H127/Bases!$D$26)</f>
        <v>1166666.6666666667</v>
      </c>
      <c r="I129" s="48">
        <f>IF(I$1&gt;Bases!$D$26,0,I127/Bases!$D$26)</f>
        <v>0</v>
      </c>
      <c r="J129" s="48">
        <f>IF(J$1&gt;Bases!$D$26,0,J127/Bases!$D$26)</f>
        <v>0</v>
      </c>
      <c r="K129" s="39"/>
      <c r="L129" s="37"/>
      <c r="M129" s="40"/>
      <c r="N129" s="6"/>
      <c r="O129" s="6"/>
      <c r="P129" s="6"/>
      <c r="Q129" s="6"/>
      <c r="R129" s="6"/>
      <c r="S129" s="6"/>
      <c r="T129" s="6"/>
    </row>
    <row r="130" spans="1:20" ht="12.75" hidden="1" customHeight="1">
      <c r="A130" s="53"/>
      <c r="B130" s="52"/>
      <c r="C130" s="27" t="s">
        <v>79</v>
      </c>
      <c r="D130" s="28" t="s">
        <v>17</v>
      </c>
      <c r="E130" s="22"/>
      <c r="F130" s="48">
        <f t="shared" ref="F130:J130" si="58">E131*F$7</f>
        <v>0</v>
      </c>
      <c r="G130" s="48">
        <f t="shared" si="58"/>
        <v>0</v>
      </c>
      <c r="H130" s="48">
        <f t="shared" si="58"/>
        <v>0</v>
      </c>
      <c r="I130" s="48">
        <f t="shared" si="58"/>
        <v>0</v>
      </c>
      <c r="J130" s="48">
        <f t="shared" si="58"/>
        <v>0</v>
      </c>
      <c r="K130" s="59"/>
      <c r="L130" s="53"/>
      <c r="M130" s="54"/>
      <c r="N130" s="6"/>
      <c r="O130" s="6"/>
      <c r="P130" s="6"/>
      <c r="Q130" s="6"/>
      <c r="R130" s="6"/>
      <c r="S130" s="6"/>
      <c r="T130" s="6"/>
    </row>
    <row r="131" spans="1:20" ht="12.75" hidden="1" customHeight="1">
      <c r="A131" s="53"/>
      <c r="B131" s="52"/>
      <c r="C131" s="27" t="s">
        <v>83</v>
      </c>
      <c r="D131" s="28" t="s">
        <v>17</v>
      </c>
      <c r="E131" s="22"/>
      <c r="F131" s="48">
        <f t="shared" ref="F131:J131" si="59">E131+F129+F130</f>
        <v>1166666.6666666667</v>
      </c>
      <c r="G131" s="48">
        <f t="shared" si="59"/>
        <v>2333333.3333333335</v>
      </c>
      <c r="H131" s="48">
        <f t="shared" si="59"/>
        <v>3500000</v>
      </c>
      <c r="I131" s="48">
        <f t="shared" si="59"/>
        <v>3500000</v>
      </c>
      <c r="J131" s="48">
        <f t="shared" si="59"/>
        <v>3500000</v>
      </c>
      <c r="K131" s="59"/>
      <c r="L131" s="53"/>
      <c r="M131" s="54"/>
      <c r="N131" s="6"/>
      <c r="O131" s="6"/>
      <c r="P131" s="6"/>
      <c r="Q131" s="6"/>
      <c r="R131" s="6"/>
      <c r="S131" s="6"/>
      <c r="T131" s="6"/>
    </row>
    <row r="132" spans="1:20" ht="12.75" hidden="1" customHeight="1">
      <c r="A132" s="53"/>
      <c r="B132" s="52"/>
      <c r="C132" s="27" t="s">
        <v>81</v>
      </c>
      <c r="D132" s="28" t="s">
        <v>17</v>
      </c>
      <c r="E132" s="22"/>
      <c r="F132" s="48">
        <f t="shared" ref="F132:J132" si="60">F127-F131</f>
        <v>2333333.333333333</v>
      </c>
      <c r="G132" s="48">
        <f t="shared" si="60"/>
        <v>1166666.6666666665</v>
      </c>
      <c r="H132" s="48">
        <f t="shared" si="60"/>
        <v>0</v>
      </c>
      <c r="I132" s="48">
        <f t="shared" si="60"/>
        <v>0</v>
      </c>
      <c r="J132" s="48">
        <f t="shared" si="60"/>
        <v>0</v>
      </c>
      <c r="K132" s="59"/>
      <c r="L132" s="53"/>
      <c r="M132" s="54"/>
      <c r="N132" s="6"/>
      <c r="O132" s="6"/>
      <c r="P132" s="6"/>
      <c r="Q132" s="6"/>
      <c r="R132" s="6"/>
      <c r="S132" s="6"/>
      <c r="T132" s="6"/>
    </row>
    <row r="133" spans="1:20" ht="12.75" hidden="1" customHeight="1">
      <c r="A133" s="60"/>
      <c r="B133" s="19"/>
      <c r="C133" s="41" t="s">
        <v>87</v>
      </c>
      <c r="D133" s="21"/>
      <c r="E133" s="1"/>
      <c r="F133" s="1"/>
      <c r="G133" s="1"/>
      <c r="H133" s="1"/>
      <c r="I133" s="1"/>
      <c r="J133" s="1"/>
      <c r="K133" s="61"/>
      <c r="L133" s="13"/>
      <c r="M133" s="1"/>
      <c r="N133" s="6"/>
      <c r="O133" s="6"/>
      <c r="P133" s="6"/>
      <c r="Q133" s="6"/>
      <c r="R133" s="6"/>
      <c r="S133" s="6"/>
      <c r="T133" s="6"/>
    </row>
    <row r="134" spans="1:20" ht="12.75" hidden="1" customHeight="1">
      <c r="A134" s="53"/>
      <c r="B134" s="52"/>
      <c r="C134" s="27" t="s">
        <v>75</v>
      </c>
      <c r="D134" s="28" t="s">
        <v>17</v>
      </c>
      <c r="E134" s="62">
        <f>E154</f>
        <v>0</v>
      </c>
      <c r="F134" s="48">
        <f t="shared" ref="F134:J134" si="61">E134+F135</f>
        <v>0</v>
      </c>
      <c r="G134" s="48">
        <f t="shared" si="61"/>
        <v>0</v>
      </c>
      <c r="H134" s="48">
        <f t="shared" si="61"/>
        <v>0</v>
      </c>
      <c r="I134" s="48">
        <f t="shared" si="61"/>
        <v>0</v>
      </c>
      <c r="J134" s="48">
        <f t="shared" si="61"/>
        <v>0</v>
      </c>
      <c r="K134" s="59"/>
      <c r="L134" s="53"/>
      <c r="M134" s="54"/>
      <c r="N134" s="6"/>
      <c r="O134" s="6"/>
      <c r="P134" s="6"/>
      <c r="Q134" s="6"/>
      <c r="R134" s="6"/>
      <c r="S134" s="6"/>
      <c r="T134" s="6"/>
    </row>
    <row r="135" spans="1:20" ht="12.75" hidden="1" customHeight="1">
      <c r="A135" s="53"/>
      <c r="B135" s="52"/>
      <c r="C135" s="27" t="s">
        <v>76</v>
      </c>
      <c r="D135" s="28" t="s">
        <v>17</v>
      </c>
      <c r="E135" s="22"/>
      <c r="F135" s="48">
        <f t="shared" ref="F135:J135" si="62">E134*F$7</f>
        <v>0</v>
      </c>
      <c r="G135" s="48">
        <f t="shared" si="62"/>
        <v>0</v>
      </c>
      <c r="H135" s="48">
        <f t="shared" si="62"/>
        <v>0</v>
      </c>
      <c r="I135" s="48">
        <f t="shared" si="62"/>
        <v>0</v>
      </c>
      <c r="J135" s="48">
        <f t="shared" si="62"/>
        <v>0</v>
      </c>
      <c r="K135" s="59"/>
      <c r="L135" s="53"/>
      <c r="M135" s="54"/>
      <c r="N135" s="6"/>
      <c r="O135" s="6"/>
      <c r="P135" s="6"/>
      <c r="Q135" s="6"/>
      <c r="R135" s="6"/>
      <c r="S135" s="6"/>
      <c r="T135" s="6"/>
    </row>
    <row r="136" spans="1:20" ht="12.75" hidden="1" customHeight="1">
      <c r="A136" s="37"/>
      <c r="B136" s="38"/>
      <c r="C136" s="27" t="s">
        <v>88</v>
      </c>
      <c r="D136" s="28" t="s">
        <v>17</v>
      </c>
      <c r="E136" s="22"/>
      <c r="F136" s="48">
        <f>IF(F$1&gt;Bases!$D$27,0,F134/Bases!$D$27)</f>
        <v>0</v>
      </c>
      <c r="G136" s="48">
        <f>IF(G$1&gt;Bases!$D$27,0,G134/Bases!$D$27)</f>
        <v>0</v>
      </c>
      <c r="H136" s="48">
        <f>IF(H$1&gt;Bases!$D$27,0,H134/Bases!$D$27)</f>
        <v>0</v>
      </c>
      <c r="I136" s="48">
        <f>IF(I$1&gt;Bases!$D$27,0,I134/Bases!$D$27)</f>
        <v>0</v>
      </c>
      <c r="J136" s="48">
        <f>IF(J$1&gt;Bases!$D$27,0,J134/Bases!$D$27)</f>
        <v>0</v>
      </c>
      <c r="K136" s="39"/>
      <c r="L136" s="37"/>
      <c r="M136" s="40"/>
      <c r="N136" s="6"/>
      <c r="O136" s="6"/>
      <c r="P136" s="6"/>
      <c r="Q136" s="6"/>
      <c r="R136" s="6"/>
      <c r="S136" s="6"/>
      <c r="T136" s="6"/>
    </row>
    <row r="137" spans="1:20" ht="12.75" hidden="1" customHeight="1">
      <c r="A137" s="53"/>
      <c r="B137" s="52"/>
      <c r="C137" s="27" t="s">
        <v>89</v>
      </c>
      <c r="D137" s="28" t="s">
        <v>17</v>
      </c>
      <c r="E137" s="22"/>
      <c r="F137" s="48">
        <f t="shared" ref="F137:J137" si="63">E138*F$7</f>
        <v>0</v>
      </c>
      <c r="G137" s="48">
        <f t="shared" si="63"/>
        <v>0</v>
      </c>
      <c r="H137" s="48">
        <f t="shared" si="63"/>
        <v>0</v>
      </c>
      <c r="I137" s="48">
        <f t="shared" si="63"/>
        <v>0</v>
      </c>
      <c r="J137" s="48">
        <f t="shared" si="63"/>
        <v>0</v>
      </c>
      <c r="K137" s="59"/>
      <c r="L137" s="53"/>
      <c r="M137" s="54"/>
      <c r="N137" s="6"/>
      <c r="O137" s="6"/>
      <c r="P137" s="6"/>
      <c r="Q137" s="6"/>
      <c r="R137" s="6"/>
      <c r="S137" s="6"/>
      <c r="T137" s="6"/>
    </row>
    <row r="138" spans="1:20" ht="12.75" hidden="1" customHeight="1">
      <c r="A138" s="53"/>
      <c r="B138" s="52"/>
      <c r="C138" s="27" t="s">
        <v>90</v>
      </c>
      <c r="D138" s="28" t="s">
        <v>17</v>
      </c>
      <c r="E138" s="22"/>
      <c r="F138" s="48">
        <f t="shared" ref="F138:J138" si="64">E138+F136+F137</f>
        <v>0</v>
      </c>
      <c r="G138" s="48">
        <f t="shared" si="64"/>
        <v>0</v>
      </c>
      <c r="H138" s="48">
        <f t="shared" si="64"/>
        <v>0</v>
      </c>
      <c r="I138" s="48">
        <f t="shared" si="64"/>
        <v>0</v>
      </c>
      <c r="J138" s="48">
        <f t="shared" si="64"/>
        <v>0</v>
      </c>
      <c r="K138" s="59"/>
      <c r="L138" s="53"/>
      <c r="M138" s="54"/>
      <c r="N138" s="6"/>
      <c r="O138" s="6"/>
      <c r="P138" s="6"/>
      <c r="Q138" s="6"/>
      <c r="R138" s="6"/>
      <c r="S138" s="6"/>
      <c r="T138" s="6"/>
    </row>
    <row r="139" spans="1:20" ht="12.75" hidden="1" customHeight="1">
      <c r="A139" s="53"/>
      <c r="B139" s="52"/>
      <c r="C139" s="27" t="s">
        <v>81</v>
      </c>
      <c r="D139" s="28" t="s">
        <v>17</v>
      </c>
      <c r="E139" s="22"/>
      <c r="F139" s="48">
        <f t="shared" ref="F139:J139" si="65">F134-F138</f>
        <v>0</v>
      </c>
      <c r="G139" s="48">
        <f t="shared" si="65"/>
        <v>0</v>
      </c>
      <c r="H139" s="48">
        <f t="shared" si="65"/>
        <v>0</v>
      </c>
      <c r="I139" s="48">
        <f t="shared" si="65"/>
        <v>0</v>
      </c>
      <c r="J139" s="48">
        <f t="shared" si="65"/>
        <v>0</v>
      </c>
      <c r="K139" s="59"/>
      <c r="L139" s="53"/>
      <c r="M139" s="54"/>
      <c r="N139" s="6"/>
      <c r="O139" s="6"/>
      <c r="P139" s="6"/>
      <c r="Q139" s="6"/>
      <c r="R139" s="6"/>
      <c r="S139" s="6"/>
      <c r="T139" s="6"/>
    </row>
    <row r="140" spans="1:20" ht="12.75" hidden="1" customHeight="1">
      <c r="A140" s="60"/>
      <c r="B140" s="19"/>
      <c r="C140" s="41" t="s">
        <v>91</v>
      </c>
      <c r="D140" s="21"/>
      <c r="E140" s="1"/>
      <c r="F140" s="1"/>
      <c r="G140" s="1"/>
      <c r="H140" s="1"/>
      <c r="I140" s="1"/>
      <c r="J140" s="1"/>
      <c r="K140" s="61"/>
      <c r="L140" s="13"/>
      <c r="M140" s="1"/>
      <c r="N140" s="6"/>
      <c r="O140" s="6"/>
      <c r="P140" s="6"/>
      <c r="Q140" s="6"/>
      <c r="R140" s="6"/>
      <c r="S140" s="6"/>
      <c r="T140" s="6"/>
    </row>
    <row r="141" spans="1:20" ht="12.75" hidden="1" customHeight="1">
      <c r="A141" s="53"/>
      <c r="B141" s="52"/>
      <c r="C141" s="27" t="s">
        <v>75</v>
      </c>
      <c r="D141" s="28" t="s">
        <v>17</v>
      </c>
      <c r="E141" s="63">
        <f>E155</f>
        <v>0</v>
      </c>
      <c r="F141" s="48">
        <f t="shared" ref="F141:J141" si="66">E141+F142</f>
        <v>0</v>
      </c>
      <c r="G141" s="48">
        <f t="shared" si="66"/>
        <v>0</v>
      </c>
      <c r="H141" s="48">
        <f t="shared" si="66"/>
        <v>0</v>
      </c>
      <c r="I141" s="48">
        <f t="shared" si="66"/>
        <v>0</v>
      </c>
      <c r="J141" s="48">
        <f t="shared" si="66"/>
        <v>0</v>
      </c>
      <c r="K141" s="59"/>
      <c r="L141" s="53"/>
      <c r="M141" s="54"/>
      <c r="N141" s="6"/>
      <c r="O141" s="6"/>
      <c r="P141" s="6"/>
      <c r="Q141" s="6"/>
      <c r="R141" s="6"/>
      <c r="S141" s="6"/>
      <c r="T141" s="6"/>
    </row>
    <row r="142" spans="1:20" ht="12.75" hidden="1" customHeight="1">
      <c r="A142" s="53"/>
      <c r="B142" s="52"/>
      <c r="C142" s="27" t="s">
        <v>76</v>
      </c>
      <c r="D142" s="28" t="s">
        <v>17</v>
      </c>
      <c r="E142" s="22"/>
      <c r="F142" s="48">
        <f t="shared" ref="F142:J142" si="67">E141*F$7</f>
        <v>0</v>
      </c>
      <c r="G142" s="48">
        <f t="shared" si="67"/>
        <v>0</v>
      </c>
      <c r="H142" s="48">
        <f t="shared" si="67"/>
        <v>0</v>
      </c>
      <c r="I142" s="48">
        <f t="shared" si="67"/>
        <v>0</v>
      </c>
      <c r="J142" s="48">
        <f t="shared" si="67"/>
        <v>0</v>
      </c>
      <c r="K142" s="59"/>
      <c r="L142" s="53"/>
      <c r="M142" s="54"/>
      <c r="N142" s="6"/>
      <c r="O142" s="6"/>
      <c r="P142" s="6"/>
      <c r="Q142" s="6"/>
      <c r="R142" s="6"/>
      <c r="S142" s="6"/>
      <c r="T142" s="6"/>
    </row>
    <row r="143" spans="1:20" ht="12.75" hidden="1" customHeight="1">
      <c r="A143" s="37"/>
      <c r="B143" s="38"/>
      <c r="C143" s="27" t="s">
        <v>88</v>
      </c>
      <c r="D143" s="28" t="s">
        <v>17</v>
      </c>
      <c r="E143" s="22"/>
      <c r="F143" s="48">
        <f>IF(F$1&gt;Bases!$D$28,0,F141/Bases!$D$28)</f>
        <v>0</v>
      </c>
      <c r="G143" s="48">
        <f>IF(G$1&gt;Bases!$D$28,0,G141/Bases!$D$28)</f>
        <v>0</v>
      </c>
      <c r="H143" s="48">
        <f>IF(H$1&gt;Bases!$D$28,0,H141/Bases!$D$28)</f>
        <v>0</v>
      </c>
      <c r="I143" s="48">
        <f>IF(I$1&gt;Bases!$D$28,0,I141/Bases!$D$28)</f>
        <v>0</v>
      </c>
      <c r="J143" s="48">
        <f>IF(J$1&gt;Bases!$D$28,0,J141/Bases!$D$28)</f>
        <v>0</v>
      </c>
      <c r="K143" s="39"/>
      <c r="L143" s="37"/>
      <c r="M143" s="40"/>
      <c r="N143" s="6"/>
      <c r="O143" s="6"/>
      <c r="P143" s="6"/>
      <c r="Q143" s="6"/>
      <c r="R143" s="6"/>
      <c r="S143" s="6"/>
      <c r="T143" s="6"/>
    </row>
    <row r="144" spans="1:20" ht="12.75" hidden="1" customHeight="1">
      <c r="A144" s="53"/>
      <c r="B144" s="52"/>
      <c r="C144" s="27" t="s">
        <v>89</v>
      </c>
      <c r="D144" s="28" t="s">
        <v>17</v>
      </c>
      <c r="E144" s="22"/>
      <c r="F144" s="48">
        <f t="shared" ref="F144:J144" si="68">E145*F$7</f>
        <v>0</v>
      </c>
      <c r="G144" s="48">
        <f t="shared" si="68"/>
        <v>0</v>
      </c>
      <c r="H144" s="48">
        <f t="shared" si="68"/>
        <v>0</v>
      </c>
      <c r="I144" s="48">
        <f t="shared" si="68"/>
        <v>0</v>
      </c>
      <c r="J144" s="48">
        <f t="shared" si="68"/>
        <v>0</v>
      </c>
      <c r="K144" s="59"/>
      <c r="L144" s="53"/>
      <c r="M144" s="54"/>
      <c r="N144" s="6"/>
      <c r="O144" s="6"/>
      <c r="P144" s="6"/>
      <c r="Q144" s="6"/>
      <c r="R144" s="6"/>
      <c r="S144" s="6"/>
      <c r="T144" s="6"/>
    </row>
    <row r="145" spans="1:20" ht="12.75" hidden="1" customHeight="1">
      <c r="A145" s="53"/>
      <c r="B145" s="52"/>
      <c r="C145" s="27" t="s">
        <v>90</v>
      </c>
      <c r="D145" s="28" t="s">
        <v>17</v>
      </c>
      <c r="E145" s="22"/>
      <c r="F145" s="48">
        <f t="shared" ref="F145:J145" si="69">E145+F143+F144</f>
        <v>0</v>
      </c>
      <c r="G145" s="48">
        <f t="shared" si="69"/>
        <v>0</v>
      </c>
      <c r="H145" s="48">
        <f t="shared" si="69"/>
        <v>0</v>
      </c>
      <c r="I145" s="48">
        <f t="shared" si="69"/>
        <v>0</v>
      </c>
      <c r="J145" s="48">
        <f t="shared" si="69"/>
        <v>0</v>
      </c>
      <c r="K145" s="59"/>
      <c r="L145" s="53"/>
      <c r="M145" s="54"/>
      <c r="N145" s="6"/>
      <c r="O145" s="6"/>
      <c r="P145" s="6"/>
      <c r="Q145" s="6"/>
      <c r="R145" s="6"/>
      <c r="S145" s="6"/>
      <c r="T145" s="6"/>
    </row>
    <row r="146" spans="1:20" ht="12.75" hidden="1" customHeight="1">
      <c r="A146" s="53"/>
      <c r="B146" s="52"/>
      <c r="C146" s="27" t="s">
        <v>81</v>
      </c>
      <c r="D146" s="28" t="s">
        <v>17</v>
      </c>
      <c r="E146" s="22"/>
      <c r="F146" s="48">
        <f t="shared" ref="F146:J146" si="70">F141-F145</f>
        <v>0</v>
      </c>
      <c r="G146" s="48">
        <f t="shared" si="70"/>
        <v>0</v>
      </c>
      <c r="H146" s="48">
        <f t="shared" si="70"/>
        <v>0</v>
      </c>
      <c r="I146" s="48">
        <f t="shared" si="70"/>
        <v>0</v>
      </c>
      <c r="J146" s="48">
        <f t="shared" si="70"/>
        <v>0</v>
      </c>
      <c r="K146" s="59"/>
      <c r="L146" s="53"/>
      <c r="M146" s="54"/>
      <c r="N146" s="6"/>
      <c r="O146" s="6"/>
      <c r="P146" s="6"/>
      <c r="Q146" s="6"/>
      <c r="R146" s="6"/>
      <c r="S146" s="6"/>
      <c r="T146" s="6"/>
    </row>
    <row r="147" spans="1:20" ht="12.75" customHeight="1">
      <c r="A147" s="13"/>
      <c r="B147" s="19"/>
      <c r="C147" s="20" t="s">
        <v>92</v>
      </c>
      <c r="D147" s="21"/>
      <c r="E147" s="21"/>
      <c r="F147" s="21"/>
      <c r="G147" s="21"/>
      <c r="H147" s="21"/>
      <c r="I147" s="21"/>
      <c r="J147" s="21"/>
      <c r="K147" s="24"/>
      <c r="L147" s="13"/>
      <c r="M147" s="1"/>
      <c r="N147" s="6"/>
      <c r="O147" s="6"/>
      <c r="P147" s="6"/>
      <c r="Q147" s="6"/>
      <c r="R147" s="6"/>
      <c r="S147" s="6"/>
      <c r="T147" s="6"/>
    </row>
    <row r="148" spans="1:20" ht="12.75" customHeight="1">
      <c r="A148" s="37"/>
      <c r="B148" s="38"/>
      <c r="C148" s="64" t="s">
        <v>74</v>
      </c>
      <c r="D148" s="28" t="s">
        <v>17</v>
      </c>
      <c r="E148" s="44"/>
      <c r="F148" s="44"/>
      <c r="G148" s="44"/>
      <c r="H148" s="44"/>
      <c r="I148" s="44"/>
      <c r="J148" s="44"/>
      <c r="K148" s="39"/>
      <c r="L148" s="37"/>
      <c r="M148" s="40"/>
      <c r="N148" s="6"/>
      <c r="O148" s="6"/>
      <c r="P148" s="6"/>
      <c r="Q148" s="6"/>
      <c r="R148" s="6"/>
      <c r="S148" s="6"/>
      <c r="T148" s="6"/>
    </row>
    <row r="149" spans="1:20" ht="12.75" customHeight="1">
      <c r="A149" s="37"/>
      <c r="B149" s="38"/>
      <c r="C149" s="64" t="s">
        <v>77</v>
      </c>
      <c r="D149" s="28" t="s">
        <v>17</v>
      </c>
      <c r="E149" s="44">
        <f>'RESUMEN INVERSIONES FONDO'!D10</f>
        <v>0</v>
      </c>
      <c r="F149" s="44"/>
      <c r="G149" s="44"/>
      <c r="H149" s="44"/>
      <c r="I149" s="44"/>
      <c r="J149" s="44"/>
      <c r="K149" s="39"/>
      <c r="L149" s="37"/>
      <c r="M149" s="40"/>
      <c r="N149" s="6"/>
      <c r="O149" s="6"/>
      <c r="P149" s="6"/>
      <c r="Q149" s="6"/>
      <c r="R149" s="6"/>
      <c r="S149" s="6"/>
      <c r="T149" s="6"/>
    </row>
    <row r="150" spans="1:20" ht="12.75" customHeight="1">
      <c r="A150" s="37"/>
      <c r="B150" s="38"/>
      <c r="C150" s="64" t="s">
        <v>82</v>
      </c>
      <c r="D150" s="28" t="s">
        <v>17</v>
      </c>
      <c r="E150" s="44">
        <f>'RESUMEN INVERSIONES FONDO'!D7</f>
        <v>0</v>
      </c>
      <c r="F150" s="44"/>
      <c r="G150" s="44"/>
      <c r="H150" s="44"/>
      <c r="I150" s="44"/>
      <c r="J150" s="44"/>
      <c r="K150" s="39"/>
      <c r="L150" s="37"/>
      <c r="M150" s="40"/>
      <c r="N150" s="6"/>
      <c r="O150" s="6"/>
      <c r="P150" s="6"/>
      <c r="Q150" s="6"/>
      <c r="R150" s="6"/>
      <c r="S150" s="6"/>
      <c r="T150" s="6"/>
    </row>
    <row r="151" spans="1:20" ht="12.75" customHeight="1">
      <c r="A151" s="37"/>
      <c r="B151" s="38"/>
      <c r="C151" s="64" t="s">
        <v>84</v>
      </c>
      <c r="D151" s="28" t="s">
        <v>17</v>
      </c>
      <c r="E151" s="51">
        <v>1560000</v>
      </c>
      <c r="F151" s="44"/>
      <c r="G151" s="44"/>
      <c r="H151" s="44"/>
      <c r="I151" s="44"/>
      <c r="J151" s="44"/>
      <c r="K151" s="39"/>
      <c r="L151" s="37"/>
      <c r="M151" s="40"/>
      <c r="N151" s="6"/>
      <c r="O151" s="6"/>
      <c r="P151" s="6"/>
      <c r="Q151" s="6"/>
      <c r="R151" s="6"/>
      <c r="S151" s="6"/>
      <c r="T151" s="6"/>
    </row>
    <row r="152" spans="1:20" ht="12.75" customHeight="1">
      <c r="A152" s="37"/>
      <c r="B152" s="38"/>
      <c r="C152" s="64" t="s">
        <v>85</v>
      </c>
      <c r="D152" s="28" t="s">
        <v>17</v>
      </c>
      <c r="E152" s="44"/>
      <c r="F152" s="44"/>
      <c r="G152" s="44"/>
      <c r="H152" s="44"/>
      <c r="I152" s="44"/>
      <c r="J152" s="44"/>
      <c r="K152" s="39"/>
      <c r="L152" s="37"/>
      <c r="M152" s="40"/>
      <c r="N152" s="6"/>
      <c r="O152" s="6"/>
      <c r="P152" s="6"/>
      <c r="Q152" s="6"/>
      <c r="R152" s="6"/>
      <c r="S152" s="6"/>
      <c r="T152" s="6"/>
    </row>
    <row r="153" spans="1:20" ht="12.75" customHeight="1">
      <c r="A153" s="37"/>
      <c r="B153" s="38"/>
      <c r="C153" s="64" t="s">
        <v>93</v>
      </c>
      <c r="D153" s="28" t="s">
        <v>17</v>
      </c>
      <c r="E153" s="44">
        <f>'RESUMEN INVERSIONES FONDO'!D8</f>
        <v>3500000</v>
      </c>
      <c r="F153" s="44"/>
      <c r="G153" s="44"/>
      <c r="H153" s="44"/>
      <c r="I153" s="44"/>
      <c r="J153" s="44"/>
      <c r="K153" s="39"/>
      <c r="L153" s="37"/>
      <c r="M153" s="40"/>
      <c r="N153" s="6"/>
      <c r="O153" s="6"/>
      <c r="P153" s="6"/>
      <c r="Q153" s="6"/>
      <c r="R153" s="6"/>
      <c r="S153" s="6"/>
      <c r="T153" s="6"/>
    </row>
    <row r="154" spans="1:20" ht="12.75" customHeight="1">
      <c r="A154" s="37"/>
      <c r="B154" s="38"/>
      <c r="C154" s="64" t="s">
        <v>87</v>
      </c>
      <c r="D154" s="28" t="s">
        <v>17</v>
      </c>
      <c r="E154" s="44"/>
      <c r="F154" s="44"/>
      <c r="G154" s="44"/>
      <c r="H154" s="44"/>
      <c r="I154" s="44"/>
      <c r="J154" s="44"/>
      <c r="K154" s="39"/>
      <c r="L154" s="37"/>
      <c r="M154" s="40"/>
      <c r="N154" s="6"/>
      <c r="O154" s="6"/>
      <c r="P154" s="6"/>
      <c r="Q154" s="6"/>
      <c r="R154" s="6"/>
      <c r="S154" s="6"/>
      <c r="T154" s="6"/>
    </row>
    <row r="155" spans="1:20" ht="12.75" customHeight="1">
      <c r="A155" s="37"/>
      <c r="B155" s="38"/>
      <c r="C155" s="64" t="s">
        <v>91</v>
      </c>
      <c r="D155" s="28" t="s">
        <v>17</v>
      </c>
      <c r="E155" s="44"/>
      <c r="F155" s="44"/>
      <c r="G155" s="44"/>
      <c r="H155" s="44"/>
      <c r="I155" s="44"/>
      <c r="J155" s="44"/>
      <c r="K155" s="39"/>
      <c r="L155" s="37"/>
      <c r="M155" s="40"/>
      <c r="N155" s="6"/>
      <c r="O155" s="6"/>
      <c r="P155" s="6"/>
      <c r="Q155" s="6"/>
      <c r="R155" s="6"/>
      <c r="S155" s="6"/>
      <c r="T155" s="6"/>
    </row>
    <row r="156" spans="1:20" ht="12.75" customHeight="1">
      <c r="A156" s="37"/>
      <c r="B156" s="38"/>
      <c r="C156" s="27" t="s">
        <v>94</v>
      </c>
      <c r="D156" s="28" t="s">
        <v>17</v>
      </c>
      <c r="E156" s="22"/>
      <c r="F156" s="48">
        <f t="shared" ref="F156:J156" si="71">SUM(F148:F155)</f>
        <v>0</v>
      </c>
      <c r="G156" s="48">
        <f t="shared" si="71"/>
        <v>0</v>
      </c>
      <c r="H156" s="48">
        <f t="shared" si="71"/>
        <v>0</v>
      </c>
      <c r="I156" s="48">
        <f t="shared" si="71"/>
        <v>0</v>
      </c>
      <c r="J156" s="48">
        <f t="shared" si="71"/>
        <v>0</v>
      </c>
      <c r="K156" s="39"/>
      <c r="L156" s="37"/>
      <c r="M156" s="40"/>
      <c r="N156" s="6"/>
      <c r="O156" s="6"/>
      <c r="P156" s="6"/>
      <c r="Q156" s="6"/>
      <c r="R156" s="6"/>
      <c r="S156" s="6"/>
      <c r="T156" s="6"/>
    </row>
    <row r="157" spans="1:20" ht="12.75" customHeight="1">
      <c r="A157" s="60"/>
      <c r="B157" s="19"/>
      <c r="C157" s="41" t="s">
        <v>95</v>
      </c>
      <c r="D157" s="21"/>
      <c r="E157" s="1"/>
      <c r="F157" s="1"/>
      <c r="G157" s="1"/>
      <c r="H157" s="1"/>
      <c r="I157" s="1"/>
      <c r="J157" s="1"/>
      <c r="K157" s="61"/>
      <c r="L157" s="13"/>
      <c r="M157" s="1"/>
      <c r="N157" s="6"/>
      <c r="O157" s="6"/>
      <c r="P157" s="6"/>
      <c r="Q157" s="6"/>
      <c r="R157" s="6"/>
      <c r="S157" s="6"/>
      <c r="T157" s="6"/>
    </row>
    <row r="158" spans="1:20" ht="12.75" customHeight="1">
      <c r="A158" s="53"/>
      <c r="B158" s="52"/>
      <c r="C158" s="27" t="s">
        <v>75</v>
      </c>
      <c r="D158" s="28" t="s">
        <v>17</v>
      </c>
      <c r="E158" s="44"/>
      <c r="F158" s="44"/>
      <c r="G158" s="44"/>
      <c r="H158" s="44"/>
      <c r="I158" s="44"/>
      <c r="J158" s="44"/>
      <c r="K158" s="59"/>
      <c r="L158" s="53"/>
      <c r="M158" s="54"/>
      <c r="N158" s="6"/>
      <c r="O158" s="6"/>
      <c r="P158" s="6"/>
      <c r="Q158" s="6"/>
      <c r="R158" s="6"/>
      <c r="S158" s="6"/>
      <c r="T158" s="6"/>
    </row>
    <row r="159" spans="1:20" ht="12.75" customHeight="1">
      <c r="A159" s="53"/>
      <c r="B159" s="52"/>
      <c r="C159" s="65" t="s">
        <v>96</v>
      </c>
      <c r="D159" s="66"/>
      <c r="E159" s="22"/>
      <c r="F159" s="67">
        <f t="shared" ref="F159:J159" si="72">F158-E158</f>
        <v>0</v>
      </c>
      <c r="G159" s="67">
        <f t="shared" si="72"/>
        <v>0</v>
      </c>
      <c r="H159" s="67">
        <f t="shared" si="72"/>
        <v>0</v>
      </c>
      <c r="I159" s="67">
        <f t="shared" si="72"/>
        <v>0</v>
      </c>
      <c r="J159" s="67">
        <f t="shared" si="72"/>
        <v>0</v>
      </c>
      <c r="K159" s="59"/>
      <c r="L159" s="53"/>
      <c r="M159" s="54"/>
      <c r="N159" s="6"/>
      <c r="O159" s="6"/>
      <c r="P159" s="6"/>
      <c r="Q159" s="6"/>
      <c r="R159" s="6"/>
      <c r="S159" s="6"/>
      <c r="T159" s="6"/>
    </row>
    <row r="160" spans="1:20" ht="12.75" customHeight="1">
      <c r="A160" s="13"/>
      <c r="B160" s="19"/>
      <c r="C160" s="20" t="s">
        <v>97</v>
      </c>
      <c r="D160" s="21"/>
      <c r="E160" s="21"/>
      <c r="F160" s="21"/>
      <c r="G160" s="21"/>
      <c r="H160" s="21"/>
      <c r="I160" s="21"/>
      <c r="J160" s="21"/>
      <c r="K160" s="24"/>
      <c r="L160" s="13"/>
      <c r="M160" s="1"/>
      <c r="N160" s="6"/>
      <c r="O160" s="6"/>
      <c r="P160" s="6"/>
      <c r="Q160" s="6"/>
      <c r="R160" s="6"/>
      <c r="S160" s="6"/>
      <c r="T160" s="6"/>
    </row>
    <row r="161" spans="1:20" ht="12.75" customHeight="1">
      <c r="A161" s="13"/>
      <c r="B161" s="19"/>
      <c r="C161" s="41" t="s">
        <v>98</v>
      </c>
      <c r="D161" s="21"/>
      <c r="E161" s="1"/>
      <c r="F161" s="22"/>
      <c r="G161" s="22"/>
      <c r="H161" s="22"/>
      <c r="I161" s="22"/>
      <c r="J161" s="23"/>
      <c r="K161" s="24"/>
      <c r="L161" s="13"/>
      <c r="M161" s="1"/>
      <c r="N161" s="6"/>
      <c r="O161" s="6"/>
      <c r="P161" s="6"/>
      <c r="Q161" s="6"/>
      <c r="R161" s="6"/>
      <c r="S161" s="6"/>
      <c r="T161" s="6"/>
    </row>
    <row r="162" spans="1:20" ht="12.75" customHeight="1">
      <c r="A162" s="53"/>
      <c r="B162" s="52"/>
      <c r="C162" s="27" t="s">
        <v>99</v>
      </c>
      <c r="D162" s="28" t="s">
        <v>17</v>
      </c>
      <c r="E162" s="48">
        <v>2000000</v>
      </c>
      <c r="F162" s="48">
        <f>Balance!E55</f>
        <v>10279221.759425059</v>
      </c>
      <c r="G162" s="48">
        <f>Balance!F55</f>
        <v>21706663.162297968</v>
      </c>
      <c r="H162" s="48">
        <f>Balance!G55</f>
        <v>34018678.400079101</v>
      </c>
      <c r="I162" s="48">
        <f>Balance!H55</f>
        <v>47700204.745941654</v>
      </c>
      <c r="J162" s="48">
        <f>Balance!I55</f>
        <v>61965677.137555122</v>
      </c>
      <c r="K162" s="59"/>
      <c r="L162" s="53"/>
      <c r="M162" s="54"/>
      <c r="N162" s="6"/>
      <c r="O162" s="6"/>
      <c r="P162" s="6"/>
      <c r="Q162" s="6"/>
      <c r="R162" s="6"/>
      <c r="S162" s="6"/>
      <c r="T162" s="6"/>
    </row>
    <row r="163" spans="1:20" ht="12.75" customHeight="1">
      <c r="A163" s="53"/>
      <c r="B163" s="52"/>
      <c r="C163" s="27" t="s">
        <v>100</v>
      </c>
      <c r="D163" s="28" t="s">
        <v>4</v>
      </c>
      <c r="E163" s="22"/>
      <c r="F163" s="29">
        <v>0.03</v>
      </c>
      <c r="G163" s="29">
        <v>0.03</v>
      </c>
      <c r="H163" s="29">
        <v>0.03</v>
      </c>
      <c r="I163" s="29">
        <v>0.03</v>
      </c>
      <c r="J163" s="29">
        <v>0.03</v>
      </c>
      <c r="K163" s="59"/>
      <c r="L163" s="53"/>
      <c r="M163" s="54"/>
      <c r="N163" s="6"/>
      <c r="O163" s="6"/>
      <c r="P163" s="6"/>
      <c r="Q163" s="6"/>
      <c r="R163" s="6"/>
      <c r="S163" s="6"/>
      <c r="T163" s="6"/>
    </row>
    <row r="164" spans="1:20" ht="12.75" customHeight="1">
      <c r="A164" s="53"/>
      <c r="B164" s="52"/>
      <c r="C164" s="27" t="s">
        <v>101</v>
      </c>
      <c r="D164" s="28" t="s">
        <v>17</v>
      </c>
      <c r="E164" s="22"/>
      <c r="F164" s="48">
        <f t="shared" ref="F164:J164" si="73">E162*F163</f>
        <v>60000</v>
      </c>
      <c r="G164" s="48">
        <f t="shared" si="73"/>
        <v>308376.65278275177</v>
      </c>
      <c r="H164" s="48">
        <f t="shared" si="73"/>
        <v>651199.89486893907</v>
      </c>
      <c r="I164" s="48">
        <f t="shared" si="73"/>
        <v>1020560.352002373</v>
      </c>
      <c r="J164" s="48">
        <f t="shared" si="73"/>
        <v>1431006.1423782497</v>
      </c>
      <c r="K164" s="59"/>
      <c r="L164" s="53"/>
      <c r="M164" s="54"/>
      <c r="N164" s="6"/>
      <c r="O164" s="6"/>
      <c r="P164" s="6"/>
      <c r="Q164" s="6"/>
      <c r="R164" s="6"/>
      <c r="S164" s="6"/>
      <c r="T164" s="6"/>
    </row>
    <row r="165" spans="1:20" ht="12.75" customHeight="1">
      <c r="A165" s="53"/>
      <c r="B165" s="52"/>
      <c r="C165" s="27" t="s">
        <v>102</v>
      </c>
      <c r="D165" s="28" t="s">
        <v>17</v>
      </c>
      <c r="E165" s="22"/>
      <c r="F165" s="48">
        <f>'P&amp;G'!D24</f>
        <v>12737264.245269321</v>
      </c>
      <c r="G165" s="48">
        <f>'P&amp;G'!E24</f>
        <v>17580679.081342936</v>
      </c>
      <c r="H165" s="48">
        <f>'P&amp;G'!F24</f>
        <v>18941561.904278666</v>
      </c>
      <c r="I165" s="48">
        <f>'P&amp;G'!G24</f>
        <v>21048502.070557766</v>
      </c>
      <c r="J165" s="48">
        <f>'P&amp;G'!H24</f>
        <v>21946880.602482252</v>
      </c>
      <c r="K165" s="59"/>
      <c r="L165" s="53"/>
      <c r="M165" s="54"/>
      <c r="N165" s="6"/>
      <c r="O165" s="6"/>
      <c r="P165" s="6"/>
      <c r="Q165" s="6"/>
      <c r="R165" s="6"/>
      <c r="S165" s="6"/>
      <c r="T165" s="6"/>
    </row>
    <row r="166" spans="1:20" ht="12.75" customHeight="1">
      <c r="A166" s="53"/>
      <c r="B166" s="52"/>
      <c r="C166" s="27" t="s">
        <v>103</v>
      </c>
      <c r="D166" s="28" t="s">
        <v>4</v>
      </c>
      <c r="E166" s="22"/>
      <c r="F166" s="29">
        <v>0.35</v>
      </c>
      <c r="G166" s="29">
        <v>0.35</v>
      </c>
      <c r="H166" s="29">
        <v>0.35</v>
      </c>
      <c r="I166" s="29">
        <v>0.35</v>
      </c>
      <c r="J166" s="29">
        <v>0.35</v>
      </c>
      <c r="K166" s="59"/>
      <c r="L166" s="53"/>
      <c r="M166" s="54"/>
      <c r="N166" s="6"/>
      <c r="O166" s="6"/>
      <c r="P166" s="6"/>
      <c r="Q166" s="6"/>
      <c r="R166" s="6"/>
      <c r="S166" s="6"/>
      <c r="T166" s="6"/>
    </row>
    <row r="167" spans="1:20" ht="12.75" customHeight="1">
      <c r="A167" s="53"/>
      <c r="B167" s="52"/>
      <c r="C167" s="68" t="s">
        <v>104</v>
      </c>
      <c r="D167" s="28" t="s">
        <v>4</v>
      </c>
      <c r="E167" s="22"/>
      <c r="F167" s="29">
        <v>0</v>
      </c>
      <c r="G167" s="29">
        <v>0</v>
      </c>
      <c r="H167" s="29">
        <v>0.25</v>
      </c>
      <c r="I167" s="29">
        <v>0.5</v>
      </c>
      <c r="J167" s="29">
        <v>0.75</v>
      </c>
      <c r="K167" s="59"/>
      <c r="L167" s="53"/>
      <c r="M167" s="54"/>
      <c r="N167" s="6"/>
      <c r="O167" s="6"/>
      <c r="P167" s="6"/>
      <c r="Q167" s="6"/>
      <c r="R167" s="6"/>
      <c r="S167" s="6"/>
      <c r="T167" s="6"/>
    </row>
    <row r="168" spans="1:20" ht="18.75" customHeight="1">
      <c r="A168" s="53"/>
      <c r="B168" s="52"/>
      <c r="C168" s="41" t="s">
        <v>105</v>
      </c>
      <c r="D168" s="28"/>
      <c r="E168" s="22"/>
      <c r="F168" s="21"/>
      <c r="G168" s="21"/>
      <c r="H168" s="21"/>
      <c r="I168" s="21"/>
      <c r="J168" s="21"/>
      <c r="K168" s="59"/>
      <c r="L168" s="53"/>
      <c r="M168" s="54"/>
      <c r="N168" s="6"/>
      <c r="O168" s="6"/>
      <c r="P168" s="6"/>
      <c r="Q168" s="6"/>
      <c r="R168" s="6"/>
      <c r="S168" s="6"/>
      <c r="T168" s="6"/>
    </row>
    <row r="169" spans="1:20" ht="12.75" customHeight="1">
      <c r="A169" s="53"/>
      <c r="B169" s="52"/>
      <c r="C169" s="27" t="s">
        <v>106</v>
      </c>
      <c r="D169" s="28"/>
      <c r="E169" s="22"/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59"/>
      <c r="L169" s="53"/>
      <c r="M169" s="54"/>
      <c r="N169" s="6"/>
      <c r="O169" s="6"/>
      <c r="P169" s="6"/>
      <c r="Q169" s="6"/>
      <c r="R169" s="6"/>
      <c r="S169" s="6"/>
      <c r="T169" s="6"/>
    </row>
    <row r="170" spans="1:20" ht="12.75" customHeight="1">
      <c r="A170" s="53"/>
      <c r="B170" s="52"/>
      <c r="C170" s="27" t="s">
        <v>107</v>
      </c>
      <c r="D170" s="28" t="s">
        <v>17</v>
      </c>
      <c r="E170" s="22"/>
      <c r="F170" s="48">
        <f>IF(F$165&lt;0,0,IF(Bases!$D$32="no",IF(MAX(F164:F165)&lt;0,0,'P&amp;G'!D$24*F$166),('P&amp;G'!D$24*Proyecciones!F$166)*Proyecciones!F$167))</f>
        <v>4458042.4858442619</v>
      </c>
      <c r="G170" s="48">
        <f>IF(G$165&lt;0,0,IF(Bases!$D$32="no",IF(MAX(G164:G165)&lt;0,0,'P&amp;G'!E$24*G$166),('P&amp;G'!E$24*Proyecciones!G$166)*Proyecciones!G$167))</f>
        <v>6153237.6784700267</v>
      </c>
      <c r="H170" s="48">
        <f>IF(H$165&lt;0,0,IF(Bases!$D$32="no",IF(MAX(H164:H165)&lt;0,0,'P&amp;G'!F$24*H$166),('P&amp;G'!F$24*Proyecciones!H$166)*Proyecciones!H$167))</f>
        <v>6629546.6664975323</v>
      </c>
      <c r="I170" s="48">
        <f>IF(I$165&lt;0,0,IF(Bases!$D$32="no",IF(MAX(I164:I165)&lt;0,0,'P&amp;G'!G$24*I$166),('P&amp;G'!G$24*Proyecciones!I$166)*Proyecciones!I$167))</f>
        <v>7366975.7246952178</v>
      </c>
      <c r="J170" s="48">
        <f>IF(J$165&lt;0,0,IF(Bases!$D$32="no",IF(MAX(J164:J165)&lt;0,0,'P&amp;G'!H$24*J$166),('P&amp;G'!H$24*Proyecciones!J$166)*Proyecciones!J$167))</f>
        <v>7681408.210868788</v>
      </c>
      <c r="K170" s="59"/>
      <c r="L170" s="53"/>
      <c r="M170" s="54"/>
      <c r="N170" s="6"/>
      <c r="O170" s="6"/>
      <c r="P170" s="6"/>
      <c r="Q170" s="6"/>
      <c r="R170" s="6"/>
      <c r="S170" s="6"/>
      <c r="T170" s="6"/>
    </row>
    <row r="171" spans="1:20" ht="12.75" customHeight="1">
      <c r="A171" s="53"/>
      <c r="B171" s="52"/>
      <c r="C171" s="27" t="s">
        <v>108</v>
      </c>
      <c r="D171" s="28"/>
      <c r="E171" s="22"/>
      <c r="F171" s="48">
        <f t="shared" ref="F171:J171" si="74">IF(F165&lt;0,0,(IF(MAX(F164:F165)&lt;0,0,MAX(F164:F165)*F$169)))</f>
        <v>0</v>
      </c>
      <c r="G171" s="48">
        <f t="shared" si="74"/>
        <v>0</v>
      </c>
      <c r="H171" s="48">
        <f t="shared" si="74"/>
        <v>0</v>
      </c>
      <c r="I171" s="48">
        <f t="shared" si="74"/>
        <v>0</v>
      </c>
      <c r="J171" s="48">
        <f t="shared" si="74"/>
        <v>0</v>
      </c>
      <c r="K171" s="59"/>
      <c r="L171" s="53"/>
      <c r="M171" s="54"/>
      <c r="N171" s="6"/>
      <c r="O171" s="6"/>
      <c r="P171" s="6"/>
      <c r="Q171" s="6"/>
      <c r="R171" s="6"/>
      <c r="S171" s="6"/>
      <c r="T171" s="6"/>
    </row>
    <row r="172" spans="1:20" ht="12.75" customHeight="1">
      <c r="A172" s="53"/>
      <c r="B172" s="52"/>
      <c r="C172" s="27" t="s">
        <v>109</v>
      </c>
      <c r="D172" s="28" t="s">
        <v>17</v>
      </c>
      <c r="E172" s="22"/>
      <c r="F172" s="48">
        <f t="shared" ref="F172:J172" si="75">+F170+F171</f>
        <v>4458042.4858442619</v>
      </c>
      <c r="G172" s="48">
        <f t="shared" si="75"/>
        <v>6153237.6784700267</v>
      </c>
      <c r="H172" s="48">
        <f t="shared" si="75"/>
        <v>6629546.6664975323</v>
      </c>
      <c r="I172" s="48">
        <f t="shared" si="75"/>
        <v>7366975.7246952178</v>
      </c>
      <c r="J172" s="48">
        <f t="shared" si="75"/>
        <v>7681408.210868788</v>
      </c>
      <c r="K172" s="59"/>
      <c r="L172" s="53"/>
      <c r="M172" s="54"/>
      <c r="N172" s="6"/>
      <c r="O172" s="6"/>
      <c r="P172" s="6"/>
      <c r="Q172" s="6"/>
      <c r="R172" s="6"/>
      <c r="S172" s="6"/>
      <c r="T172" s="6"/>
    </row>
    <row r="173" spans="1:20" ht="12.75" customHeight="1">
      <c r="A173" s="53"/>
      <c r="B173" s="52"/>
      <c r="C173" s="27" t="s">
        <v>110</v>
      </c>
      <c r="D173" s="28" t="s">
        <v>17</v>
      </c>
      <c r="E173" s="22"/>
      <c r="F173" s="48">
        <v>0</v>
      </c>
      <c r="G173" s="48">
        <f t="shared" ref="G173:J173" si="76">+F172</f>
        <v>4458042.4858442619</v>
      </c>
      <c r="H173" s="48">
        <f t="shared" si="76"/>
        <v>6153237.6784700267</v>
      </c>
      <c r="I173" s="48">
        <f t="shared" si="76"/>
        <v>6629546.6664975323</v>
      </c>
      <c r="J173" s="48">
        <f t="shared" si="76"/>
        <v>7366975.7246952178</v>
      </c>
      <c r="K173" s="59"/>
      <c r="L173" s="53"/>
      <c r="M173" s="54"/>
      <c r="N173" s="6"/>
      <c r="O173" s="6"/>
      <c r="P173" s="6"/>
      <c r="Q173" s="6"/>
      <c r="R173" s="6"/>
      <c r="S173" s="6"/>
      <c r="T173" s="6"/>
    </row>
    <row r="174" spans="1:20" ht="12.75" customHeight="1">
      <c r="A174" s="13"/>
      <c r="B174" s="19"/>
      <c r="C174" s="20" t="s">
        <v>111</v>
      </c>
      <c r="D174" s="21"/>
      <c r="E174" s="21"/>
      <c r="F174" s="48"/>
      <c r="G174" s="48"/>
      <c r="H174" s="48"/>
      <c r="I174" s="48"/>
      <c r="J174" s="48"/>
      <c r="K174" s="24"/>
      <c r="L174" s="13"/>
      <c r="M174" s="1"/>
      <c r="N174" s="6"/>
      <c r="O174" s="6"/>
      <c r="P174" s="6"/>
      <c r="Q174" s="6"/>
      <c r="R174" s="6"/>
      <c r="S174" s="6"/>
      <c r="T174" s="6"/>
    </row>
    <row r="175" spans="1:20" ht="12.75" customHeight="1">
      <c r="A175" s="13"/>
      <c r="B175" s="19"/>
      <c r="C175" s="27" t="s">
        <v>112</v>
      </c>
      <c r="D175" s="28" t="s">
        <v>17</v>
      </c>
      <c r="E175" s="58">
        <v>2000000</v>
      </c>
      <c r="F175" s="48">
        <f t="shared" ref="F175:J175" si="77">E175+F176</f>
        <v>2000000</v>
      </c>
      <c r="G175" s="48">
        <f t="shared" si="77"/>
        <v>2000000</v>
      </c>
      <c r="H175" s="48">
        <f t="shared" si="77"/>
        <v>2000000</v>
      </c>
      <c r="I175" s="48">
        <f t="shared" si="77"/>
        <v>2000000</v>
      </c>
      <c r="J175" s="48">
        <f t="shared" si="77"/>
        <v>2000000</v>
      </c>
      <c r="K175" s="24"/>
      <c r="L175" s="13"/>
      <c r="M175" s="1"/>
      <c r="N175" s="6"/>
      <c r="O175" s="6"/>
      <c r="P175" s="6"/>
      <c r="Q175" s="6"/>
      <c r="R175" s="6"/>
      <c r="S175" s="6"/>
      <c r="T175" s="6"/>
    </row>
    <row r="176" spans="1:20" ht="12.75" customHeight="1">
      <c r="A176" s="13"/>
      <c r="B176" s="19"/>
      <c r="C176" s="27" t="s">
        <v>113</v>
      </c>
      <c r="D176" s="28" t="s">
        <v>17</v>
      </c>
      <c r="E176" s="1"/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24"/>
      <c r="L176" s="13"/>
      <c r="M176" s="1"/>
      <c r="N176" s="6"/>
      <c r="O176" s="6"/>
      <c r="P176" s="6"/>
      <c r="Q176" s="6"/>
      <c r="R176" s="6"/>
      <c r="S176" s="6"/>
      <c r="T176" s="6"/>
    </row>
    <row r="177" spans="1:20" ht="12.75" customHeight="1">
      <c r="A177" s="13"/>
      <c r="B177" s="19"/>
      <c r="C177" s="27" t="s">
        <v>114</v>
      </c>
      <c r="D177" s="28" t="s">
        <v>17</v>
      </c>
      <c r="E177" s="58">
        <f>'RESUMEN INVERSIONES FONDO'!F22</f>
        <v>64478581</v>
      </c>
      <c r="F177" s="48">
        <f t="shared" ref="F177:J177" si="78">E177</f>
        <v>64478581</v>
      </c>
      <c r="G177" s="48">
        <f t="shared" si="78"/>
        <v>64478581</v>
      </c>
      <c r="H177" s="48">
        <f t="shared" si="78"/>
        <v>64478581</v>
      </c>
      <c r="I177" s="48">
        <f t="shared" si="78"/>
        <v>64478581</v>
      </c>
      <c r="J177" s="48">
        <f t="shared" si="78"/>
        <v>64478581</v>
      </c>
      <c r="K177" s="24"/>
      <c r="L177" s="13"/>
      <c r="M177" s="1"/>
      <c r="N177" s="6"/>
      <c r="O177" s="6"/>
      <c r="P177" s="6"/>
      <c r="Q177" s="6"/>
      <c r="R177" s="6"/>
      <c r="S177" s="6"/>
      <c r="T177" s="6"/>
    </row>
    <row r="178" spans="1:20" ht="12.75" customHeight="1">
      <c r="A178" s="13"/>
      <c r="B178" s="19"/>
      <c r="C178" s="27" t="s">
        <v>115</v>
      </c>
      <c r="D178" s="28" t="s">
        <v>17</v>
      </c>
      <c r="E178" s="58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24"/>
      <c r="L178" s="13"/>
      <c r="M178" s="1"/>
      <c r="N178" s="6"/>
      <c r="O178" s="6"/>
      <c r="P178" s="6"/>
      <c r="Q178" s="6"/>
      <c r="R178" s="6"/>
      <c r="S178" s="6"/>
      <c r="T178" s="6"/>
    </row>
    <row r="179" spans="1:20" ht="12.75" customHeight="1">
      <c r="A179" s="13"/>
      <c r="B179" s="19"/>
      <c r="C179" s="41" t="s">
        <v>99</v>
      </c>
      <c r="D179" s="21"/>
      <c r="E179" s="1"/>
      <c r="F179" s="22"/>
      <c r="G179" s="22"/>
      <c r="H179" s="22"/>
      <c r="I179" s="22"/>
      <c r="J179" s="23"/>
      <c r="K179" s="24"/>
      <c r="L179" s="13"/>
      <c r="M179" s="1"/>
      <c r="N179" s="6"/>
      <c r="O179" s="6"/>
      <c r="P179" s="6"/>
      <c r="Q179" s="6"/>
      <c r="R179" s="6"/>
      <c r="S179" s="6"/>
      <c r="T179" s="6"/>
    </row>
    <row r="180" spans="1:20" ht="12.75" customHeight="1">
      <c r="A180" s="13"/>
      <c r="B180" s="19"/>
      <c r="C180" s="27" t="s">
        <v>116</v>
      </c>
      <c r="D180" s="28" t="s">
        <v>17</v>
      </c>
      <c r="E180" s="48">
        <f>Balance!D50</f>
        <v>2000000</v>
      </c>
      <c r="F180" s="48">
        <f t="shared" ref="F180:J180" si="79">F175</f>
        <v>2000000</v>
      </c>
      <c r="G180" s="48">
        <f t="shared" si="79"/>
        <v>2000000</v>
      </c>
      <c r="H180" s="48">
        <f t="shared" si="79"/>
        <v>2000000</v>
      </c>
      <c r="I180" s="48">
        <f t="shared" si="79"/>
        <v>2000000</v>
      </c>
      <c r="J180" s="48">
        <f t="shared" si="79"/>
        <v>2000000</v>
      </c>
      <c r="K180" s="24"/>
      <c r="L180" s="13"/>
      <c r="M180" s="1"/>
      <c r="N180" s="6"/>
      <c r="O180" s="6"/>
      <c r="P180" s="6"/>
      <c r="Q180" s="6"/>
      <c r="R180" s="6"/>
      <c r="S180" s="6"/>
      <c r="T180" s="6"/>
    </row>
    <row r="181" spans="1:20" ht="12.75" hidden="1" customHeight="1">
      <c r="A181" s="13"/>
      <c r="B181" s="19"/>
      <c r="C181" s="27" t="s">
        <v>117</v>
      </c>
      <c r="D181" s="28" t="s">
        <v>17</v>
      </c>
      <c r="E181" s="1"/>
      <c r="F181" s="48">
        <f t="shared" ref="F181:J181" si="80">IF(OR(E184&lt;0,E182&gt;=F180*50%),0,IF(E184*10%+E182&gt;F180*50%,F180*50%-E182,E184*10%))</f>
        <v>0</v>
      </c>
      <c r="G181" s="48">
        <f t="shared" si="80"/>
        <v>827922.17594250594</v>
      </c>
      <c r="H181" s="48">
        <f t="shared" si="80"/>
        <v>172077.82405749406</v>
      </c>
      <c r="I181" s="48">
        <f t="shared" si="80"/>
        <v>0</v>
      </c>
      <c r="J181" s="48">
        <f t="shared" si="80"/>
        <v>0</v>
      </c>
      <c r="K181" s="24"/>
      <c r="L181" s="13"/>
      <c r="M181" s="1"/>
      <c r="N181" s="6"/>
      <c r="O181" s="6"/>
      <c r="P181" s="6"/>
      <c r="Q181" s="6"/>
      <c r="R181" s="6"/>
      <c r="S181" s="6"/>
      <c r="T181" s="6"/>
    </row>
    <row r="182" spans="1:20" ht="12.75" hidden="1" customHeight="1">
      <c r="A182" s="13"/>
      <c r="B182" s="19"/>
      <c r="C182" s="27" t="s">
        <v>118</v>
      </c>
      <c r="D182" s="28" t="s">
        <v>17</v>
      </c>
      <c r="E182" s="1"/>
      <c r="F182" s="48">
        <f t="shared" ref="F182:J182" si="81">E182+F181</f>
        <v>0</v>
      </c>
      <c r="G182" s="48">
        <f t="shared" si="81"/>
        <v>827922.17594250594</v>
      </c>
      <c r="H182" s="48">
        <f t="shared" si="81"/>
        <v>1000000</v>
      </c>
      <c r="I182" s="48">
        <f t="shared" si="81"/>
        <v>1000000</v>
      </c>
      <c r="J182" s="48">
        <f t="shared" si="81"/>
        <v>1000000</v>
      </c>
      <c r="K182" s="24"/>
      <c r="L182" s="13"/>
      <c r="M182" s="1"/>
      <c r="N182" s="6"/>
      <c r="O182" s="6"/>
      <c r="P182" s="6"/>
      <c r="Q182" s="6"/>
      <c r="R182" s="6"/>
      <c r="S182" s="6"/>
      <c r="T182" s="6"/>
    </row>
    <row r="183" spans="1:20" ht="12.75" customHeight="1">
      <c r="A183" s="13"/>
      <c r="B183" s="19"/>
      <c r="C183" s="27" t="s">
        <v>119</v>
      </c>
      <c r="D183" s="28" t="s">
        <v>17</v>
      </c>
      <c r="E183" s="1"/>
      <c r="F183" s="48">
        <f t="shared" ref="F183:J183" si="82">E183+E184-F181-F192</f>
        <v>0</v>
      </c>
      <c r="G183" s="48">
        <f t="shared" si="82"/>
        <v>7451299.5834825533</v>
      </c>
      <c r="H183" s="48">
        <f t="shared" si="82"/>
        <v>18706663.162297968</v>
      </c>
      <c r="I183" s="48">
        <f t="shared" si="82"/>
        <v>31018678.400079101</v>
      </c>
      <c r="J183" s="48">
        <f t="shared" si="82"/>
        <v>44700204.745941654</v>
      </c>
      <c r="K183" s="24"/>
      <c r="L183" s="13"/>
      <c r="M183" s="1"/>
      <c r="N183" s="6"/>
      <c r="O183" s="6"/>
      <c r="P183" s="6"/>
      <c r="Q183" s="6"/>
      <c r="R183" s="6"/>
      <c r="S183" s="6"/>
      <c r="T183" s="6"/>
    </row>
    <row r="184" spans="1:20" ht="12.75" customHeight="1">
      <c r="A184" s="37"/>
      <c r="B184" s="38"/>
      <c r="C184" s="27" t="s">
        <v>120</v>
      </c>
      <c r="D184" s="28" t="s">
        <v>17</v>
      </c>
      <c r="E184" s="22"/>
      <c r="F184" s="48">
        <f>'P&amp;G'!D26</f>
        <v>8279221.759425059</v>
      </c>
      <c r="G184" s="48">
        <f>'P&amp;G'!E26</f>
        <v>11427441.402872909</v>
      </c>
      <c r="H184" s="48">
        <f>'P&amp;G'!F26</f>
        <v>12312015.237781134</v>
      </c>
      <c r="I184" s="48">
        <f>'P&amp;G'!G26</f>
        <v>13681526.345862549</v>
      </c>
      <c r="J184" s="48">
        <f>'P&amp;G'!H26</f>
        <v>14265472.391613465</v>
      </c>
      <c r="K184" s="39"/>
      <c r="L184" s="37"/>
      <c r="M184" s="40"/>
      <c r="N184" s="6"/>
      <c r="O184" s="6"/>
      <c r="P184" s="6"/>
      <c r="Q184" s="6"/>
      <c r="R184" s="6"/>
      <c r="S184" s="6"/>
      <c r="T184" s="6"/>
    </row>
    <row r="185" spans="1:20" ht="12.75" hidden="1" customHeight="1">
      <c r="A185" s="37"/>
      <c r="B185" s="38"/>
      <c r="C185" s="27" t="s">
        <v>121</v>
      </c>
      <c r="D185" s="28" t="s">
        <v>17</v>
      </c>
      <c r="E185" s="48">
        <f t="shared" ref="E185:J185" si="83">E180+E182+E183</f>
        <v>2000000</v>
      </c>
      <c r="F185" s="48">
        <f t="shared" si="83"/>
        <v>2000000</v>
      </c>
      <c r="G185" s="48">
        <f t="shared" si="83"/>
        <v>10279221.759425059</v>
      </c>
      <c r="H185" s="48">
        <f t="shared" si="83"/>
        <v>21706663.162297968</v>
      </c>
      <c r="I185" s="48">
        <f t="shared" si="83"/>
        <v>34018678.400079101</v>
      </c>
      <c r="J185" s="48">
        <f t="shared" si="83"/>
        <v>47700204.745941654</v>
      </c>
      <c r="K185" s="39"/>
      <c r="L185" s="37"/>
      <c r="M185" s="40"/>
      <c r="N185" s="6"/>
      <c r="O185" s="6"/>
      <c r="P185" s="6"/>
      <c r="Q185" s="6"/>
      <c r="R185" s="6"/>
      <c r="S185" s="6"/>
      <c r="T185" s="6"/>
    </row>
    <row r="186" spans="1:20" ht="12.75" hidden="1" customHeight="1">
      <c r="A186" s="13"/>
      <c r="B186" s="19"/>
      <c r="C186" s="27" t="s">
        <v>122</v>
      </c>
      <c r="D186" s="28" t="s">
        <v>17</v>
      </c>
      <c r="E186" s="1"/>
      <c r="F186" s="48">
        <f t="shared" ref="F186:J186" si="84">IF(E185&lt;0,0,E185*F7)</f>
        <v>0</v>
      </c>
      <c r="G186" s="48">
        <f t="shared" si="84"/>
        <v>0</v>
      </c>
      <c r="H186" s="48">
        <f t="shared" si="84"/>
        <v>0</v>
      </c>
      <c r="I186" s="48">
        <f t="shared" si="84"/>
        <v>0</v>
      </c>
      <c r="J186" s="48">
        <f t="shared" si="84"/>
        <v>0</v>
      </c>
      <c r="K186" s="24"/>
      <c r="L186" s="13"/>
      <c r="M186" s="1"/>
      <c r="N186" s="6"/>
      <c r="O186" s="6"/>
      <c r="P186" s="6"/>
      <c r="Q186" s="6"/>
      <c r="R186" s="6"/>
      <c r="S186" s="6"/>
      <c r="T186" s="6"/>
    </row>
    <row r="187" spans="1:20" ht="12.75" hidden="1" customHeight="1">
      <c r="A187" s="13"/>
      <c r="B187" s="19"/>
      <c r="C187" s="27" t="s">
        <v>123</v>
      </c>
      <c r="D187" s="28" t="s">
        <v>17</v>
      </c>
      <c r="E187" s="1"/>
      <c r="F187" s="48">
        <f t="shared" ref="F187:J187" si="85">E187+F186</f>
        <v>0</v>
      </c>
      <c r="G187" s="48">
        <f t="shared" si="85"/>
        <v>0</v>
      </c>
      <c r="H187" s="48">
        <f t="shared" si="85"/>
        <v>0</v>
      </c>
      <c r="I187" s="48">
        <f t="shared" si="85"/>
        <v>0</v>
      </c>
      <c r="J187" s="48">
        <f t="shared" si="85"/>
        <v>0</v>
      </c>
      <c r="K187" s="24"/>
      <c r="L187" s="13"/>
      <c r="M187" s="1"/>
      <c r="N187" s="6"/>
      <c r="O187" s="6"/>
      <c r="P187" s="6"/>
      <c r="Q187" s="6"/>
      <c r="R187" s="6"/>
      <c r="S187" s="6"/>
      <c r="T187" s="6"/>
    </row>
    <row r="188" spans="1:20" ht="12.75" hidden="1" customHeight="1">
      <c r="A188" s="37"/>
      <c r="B188" s="38"/>
      <c r="C188" s="27" t="s">
        <v>124</v>
      </c>
      <c r="D188" s="28" t="s">
        <v>17</v>
      </c>
      <c r="E188" s="69"/>
      <c r="F188" s="69"/>
      <c r="G188" s="69"/>
      <c r="H188" s="69"/>
      <c r="I188" s="69"/>
      <c r="J188" s="70"/>
      <c r="K188" s="39"/>
      <c r="L188" s="37"/>
      <c r="M188" s="40"/>
      <c r="N188" s="6"/>
      <c r="O188" s="6"/>
      <c r="P188" s="6"/>
      <c r="Q188" s="6"/>
      <c r="R188" s="6"/>
      <c r="S188" s="6"/>
      <c r="T188" s="6"/>
    </row>
    <row r="189" spans="1:20" ht="12.75" customHeight="1">
      <c r="A189" s="13"/>
      <c r="B189" s="19"/>
      <c r="C189" s="41" t="s">
        <v>125</v>
      </c>
      <c r="D189" s="21"/>
      <c r="E189" s="1"/>
      <c r="F189" s="22"/>
      <c r="G189" s="22"/>
      <c r="H189" s="22"/>
      <c r="I189" s="22"/>
      <c r="J189" s="23"/>
      <c r="K189" s="24"/>
      <c r="L189" s="13"/>
      <c r="M189" s="1"/>
      <c r="N189" s="6"/>
      <c r="O189" s="6"/>
      <c r="P189" s="6"/>
      <c r="Q189" s="6"/>
      <c r="R189" s="6"/>
      <c r="S189" s="6"/>
      <c r="T189" s="6"/>
    </row>
    <row r="190" spans="1:20" ht="12.75" customHeight="1">
      <c r="A190" s="13"/>
      <c r="B190" s="19"/>
      <c r="C190" s="27" t="s">
        <v>126</v>
      </c>
      <c r="D190" s="28" t="s">
        <v>17</v>
      </c>
      <c r="E190" s="1"/>
      <c r="F190" s="48">
        <f t="shared" ref="F190:J190" si="86">IF(E183+E184-F181&lt;0,0,E183+E184-F181)</f>
        <v>0</v>
      </c>
      <c r="G190" s="48">
        <f t="shared" si="86"/>
        <v>7451299.5834825533</v>
      </c>
      <c r="H190" s="48">
        <f t="shared" si="86"/>
        <v>18706663.162297968</v>
      </c>
      <c r="I190" s="48">
        <f t="shared" si="86"/>
        <v>31018678.400079101</v>
      </c>
      <c r="J190" s="48">
        <f t="shared" si="86"/>
        <v>44700204.745941654</v>
      </c>
      <c r="K190" s="24"/>
      <c r="L190" s="13"/>
      <c r="M190" s="1"/>
      <c r="N190" s="6"/>
      <c r="O190" s="6"/>
      <c r="P190" s="6"/>
      <c r="Q190" s="6"/>
      <c r="R190" s="6"/>
      <c r="S190" s="6"/>
      <c r="T190" s="6"/>
    </row>
    <row r="191" spans="1:20" ht="12.75" customHeight="1">
      <c r="A191" s="13"/>
      <c r="B191" s="19"/>
      <c r="C191" s="27" t="s">
        <v>125</v>
      </c>
      <c r="D191" s="28" t="s">
        <v>4</v>
      </c>
      <c r="E191" s="1"/>
      <c r="F191" s="56">
        <v>0</v>
      </c>
      <c r="G191" s="56">
        <v>0</v>
      </c>
      <c r="H191" s="56">
        <v>0</v>
      </c>
      <c r="I191" s="56">
        <v>0</v>
      </c>
      <c r="J191" s="56">
        <v>0</v>
      </c>
      <c r="K191" s="24"/>
      <c r="L191" s="13"/>
      <c r="M191" s="1"/>
      <c r="N191" s="6"/>
      <c r="O191" s="6"/>
      <c r="P191" s="6"/>
      <c r="Q191" s="6"/>
      <c r="R191" s="6"/>
      <c r="S191" s="6"/>
      <c r="T191" s="6"/>
    </row>
    <row r="192" spans="1:20" ht="12.75" customHeight="1">
      <c r="A192" s="13"/>
      <c r="B192" s="19"/>
      <c r="C192" s="27" t="s">
        <v>125</v>
      </c>
      <c r="D192" s="28" t="s">
        <v>17</v>
      </c>
      <c r="E192" s="1"/>
      <c r="F192" s="48">
        <f t="shared" ref="F192:J192" si="87">IF(F190&lt;0,0,E184*F191)</f>
        <v>0</v>
      </c>
      <c r="G192" s="48">
        <f t="shared" si="87"/>
        <v>0</v>
      </c>
      <c r="H192" s="48">
        <f t="shared" si="87"/>
        <v>0</v>
      </c>
      <c r="I192" s="48">
        <f t="shared" si="87"/>
        <v>0</v>
      </c>
      <c r="J192" s="48">
        <f t="shared" si="87"/>
        <v>0</v>
      </c>
      <c r="K192" s="24"/>
      <c r="L192" s="13"/>
      <c r="M192" s="1"/>
      <c r="N192" s="6"/>
      <c r="O192" s="6"/>
      <c r="P192" s="6"/>
      <c r="Q192" s="6"/>
      <c r="R192" s="6"/>
      <c r="S192" s="6"/>
      <c r="T192" s="6"/>
    </row>
    <row r="193" spans="1:20" ht="13.5" customHeight="1">
      <c r="A193" s="13"/>
      <c r="B193" s="71"/>
      <c r="C193" s="72"/>
      <c r="D193" s="73"/>
      <c r="E193" s="74"/>
      <c r="F193" s="74"/>
      <c r="G193" s="74"/>
      <c r="H193" s="74"/>
      <c r="I193" s="74"/>
      <c r="J193" s="74"/>
      <c r="K193" s="75"/>
      <c r="L193" s="13"/>
      <c r="M193" s="1"/>
      <c r="N193" s="6"/>
      <c r="O193" s="6"/>
      <c r="P193" s="6"/>
      <c r="Q193" s="6"/>
      <c r="R193" s="6"/>
      <c r="S193" s="6"/>
      <c r="T193" s="6"/>
    </row>
    <row r="194" spans="1:20" ht="12.75" customHeight="1">
      <c r="A194" s="13"/>
      <c r="B194" s="13"/>
      <c r="C194" s="76"/>
      <c r="D194" s="77"/>
      <c r="E194" s="60"/>
      <c r="F194" s="60"/>
      <c r="G194" s="60"/>
      <c r="H194" s="60"/>
      <c r="I194" s="60"/>
      <c r="J194" s="60"/>
      <c r="K194" s="13"/>
      <c r="L194" s="13"/>
      <c r="M194" s="1"/>
      <c r="N194" s="6"/>
      <c r="O194" s="6"/>
      <c r="P194" s="6"/>
      <c r="Q194" s="6"/>
      <c r="R194" s="6"/>
      <c r="S194" s="6"/>
      <c r="T194" s="6"/>
    </row>
    <row r="195" spans="1:20" ht="12.75" hidden="1" customHeight="1">
      <c r="A195" s="1"/>
      <c r="B195" s="1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</row>
    <row r="196" spans="1:20" ht="12.75" hidden="1" customHeight="1">
      <c r="A196" s="1"/>
      <c r="B196" s="1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</row>
    <row r="197" spans="1:20" ht="12.75" hidden="1" customHeight="1">
      <c r="A197" s="1"/>
      <c r="B197" s="1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</row>
    <row r="198" spans="1:20" ht="12.75" hidden="1" customHeight="1">
      <c r="A198" s="1"/>
      <c r="B198" s="1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</row>
    <row r="199" spans="1:20" ht="12.75" hidden="1" customHeight="1">
      <c r="A199" s="1"/>
      <c r="B199" s="1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</row>
    <row r="200" spans="1:20" ht="12.75" hidden="1" customHeight="1">
      <c r="A200" s="1"/>
      <c r="B200" s="1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</row>
    <row r="201" spans="1:20" ht="12.75" hidden="1" customHeight="1">
      <c r="A201" s="1"/>
      <c r="B201" s="1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</row>
    <row r="202" spans="1:20" ht="12.75" hidden="1" customHeight="1">
      <c r="A202" s="1"/>
      <c r="B202" s="1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</row>
    <row r="203" spans="1:20" ht="12.75" hidden="1" customHeight="1">
      <c r="A203" s="1"/>
      <c r="B203" s="1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</row>
    <row r="204" spans="1:20" ht="12.75" hidden="1" customHeight="1">
      <c r="A204" s="1"/>
      <c r="B204" s="1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</row>
    <row r="205" spans="1:20" ht="12.75" hidden="1" customHeight="1">
      <c r="A205" s="1"/>
      <c r="B205" s="1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</row>
    <row r="206" spans="1:20" ht="12.75" hidden="1" customHeight="1">
      <c r="A206" s="1"/>
      <c r="B206" s="1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</row>
    <row r="207" spans="1:20" ht="12.75" hidden="1" customHeight="1">
      <c r="A207" s="1"/>
      <c r="B207" s="1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</row>
    <row r="208" spans="1:20" ht="12.75" hidden="1" customHeight="1">
      <c r="A208" s="1"/>
      <c r="B208" s="1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</row>
    <row r="209" spans="1:20" ht="12.75" hidden="1" customHeight="1">
      <c r="A209" s="1"/>
      <c r="B209" s="1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</row>
    <row r="210" spans="1:20" ht="12.75" hidden="1" customHeight="1">
      <c r="A210" s="1"/>
      <c r="B210" s="1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</row>
    <row r="211" spans="1:20" ht="12.75" hidden="1" customHeight="1">
      <c r="A211" s="1"/>
      <c r="B211" s="1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</row>
    <row r="212" spans="1:20" ht="12.75" hidden="1" customHeight="1">
      <c r="A212" s="1"/>
      <c r="B212" s="1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</row>
    <row r="213" spans="1:20" ht="12.75" hidden="1" customHeight="1">
      <c r="A213" s="1"/>
      <c r="B213" s="1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</row>
    <row r="214" spans="1:20" ht="12.75" hidden="1" customHeight="1">
      <c r="A214" s="1"/>
      <c r="B214" s="1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</row>
    <row r="215" spans="1:20" ht="12.75" hidden="1" customHeight="1">
      <c r="A215" s="1"/>
      <c r="B215" s="1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</row>
    <row r="216" spans="1:20" ht="12.75" hidden="1" customHeight="1">
      <c r="A216" s="1"/>
      <c r="B216" s="1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</row>
    <row r="217" spans="1:20" ht="12.75" hidden="1" customHeight="1">
      <c r="A217" s="1"/>
      <c r="B217" s="1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</row>
    <row r="218" spans="1:20" ht="12.75" hidden="1" customHeight="1">
      <c r="A218" s="1"/>
      <c r="B218" s="1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</row>
    <row r="219" spans="1:20" ht="12.75" hidden="1" customHeight="1">
      <c r="A219" s="1"/>
      <c r="B219" s="1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</row>
    <row r="220" spans="1:20" ht="12.75" hidden="1" customHeight="1">
      <c r="A220" s="1"/>
      <c r="B220" s="1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</row>
    <row r="221" spans="1:20" ht="12.75" hidden="1" customHeight="1">
      <c r="A221" s="1"/>
      <c r="B221" s="1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</row>
    <row r="222" spans="1:20" ht="12.75" hidden="1" customHeight="1">
      <c r="A222" s="1"/>
      <c r="B222" s="1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</row>
    <row r="223" spans="1:20" ht="12.75" hidden="1" customHeight="1">
      <c r="A223" s="1"/>
      <c r="B223" s="1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</row>
    <row r="224" spans="1:20" ht="12.75" hidden="1" customHeight="1">
      <c r="A224" s="1"/>
      <c r="B224" s="1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</row>
    <row r="225" spans="1:20" ht="12.75" hidden="1" customHeight="1">
      <c r="A225" s="1"/>
      <c r="B225" s="1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</row>
    <row r="226" spans="1:20" ht="12.75" hidden="1" customHeight="1">
      <c r="A226" s="1"/>
      <c r="B226" s="1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</row>
    <row r="227" spans="1:20" ht="12.75" hidden="1" customHeight="1">
      <c r="A227" s="1"/>
      <c r="B227" s="1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</row>
    <row r="228" spans="1:20" ht="12.75" hidden="1" customHeight="1">
      <c r="A228" s="1"/>
      <c r="B228" s="1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</row>
    <row r="229" spans="1:20" ht="12.75" hidden="1" customHeight="1">
      <c r="A229" s="1"/>
      <c r="B229" s="1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</row>
    <row r="230" spans="1:20" ht="12.75" hidden="1" customHeight="1">
      <c r="A230" s="1"/>
      <c r="B230" s="1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</row>
    <row r="231" spans="1:20" ht="12.75" hidden="1" customHeight="1">
      <c r="A231" s="1"/>
      <c r="B231" s="1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</row>
    <row r="232" spans="1:20" ht="12.75" hidden="1" customHeight="1">
      <c r="A232" s="1"/>
      <c r="B232" s="1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</row>
    <row r="233" spans="1:20" ht="12.75" hidden="1" customHeight="1">
      <c r="A233" s="1"/>
      <c r="B233" s="1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</row>
    <row r="234" spans="1:20" ht="12.75" hidden="1" customHeight="1">
      <c r="A234" s="1"/>
      <c r="B234" s="1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</row>
    <row r="235" spans="1:20" ht="12.75" hidden="1" customHeight="1">
      <c r="A235" s="1"/>
      <c r="B235" s="1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</row>
    <row r="236" spans="1:20" ht="12.75" hidden="1" customHeight="1">
      <c r="A236" s="1"/>
      <c r="B236" s="1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</row>
    <row r="237" spans="1:20" ht="12.75" hidden="1" customHeight="1">
      <c r="A237" s="1"/>
      <c r="B237" s="1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</row>
    <row r="238" spans="1:20" ht="12.75" hidden="1" customHeight="1">
      <c r="A238" s="1"/>
      <c r="B238" s="1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</row>
    <row r="239" spans="1:20" ht="12.75" hidden="1" customHeight="1">
      <c r="A239" s="1"/>
      <c r="B239" s="1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</row>
    <row r="240" spans="1:20" ht="12.75" hidden="1" customHeight="1">
      <c r="A240" s="1"/>
      <c r="B240" s="1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</row>
    <row r="241" spans="1:20" ht="12.75" hidden="1" customHeight="1">
      <c r="A241" s="1"/>
      <c r="B241" s="1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</row>
    <row r="242" spans="1:20" ht="12.75" hidden="1" customHeight="1">
      <c r="A242" s="1"/>
      <c r="B242" s="1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</row>
    <row r="243" spans="1:20" ht="12.75" hidden="1" customHeight="1">
      <c r="A243" s="1"/>
      <c r="B243" s="1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</row>
    <row r="244" spans="1:20" ht="12.75" hidden="1" customHeight="1">
      <c r="A244" s="1"/>
      <c r="B244" s="1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</row>
    <row r="245" spans="1:20" ht="12.75" hidden="1" customHeight="1">
      <c r="A245" s="1"/>
      <c r="B245" s="1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</row>
    <row r="246" spans="1:20" ht="12.75" hidden="1" customHeight="1">
      <c r="A246" s="1"/>
      <c r="B246" s="1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</row>
    <row r="247" spans="1:20" ht="12.75" hidden="1" customHeight="1">
      <c r="A247" s="1"/>
      <c r="B247" s="1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</row>
    <row r="248" spans="1:20" ht="12.75" hidden="1" customHeight="1">
      <c r="A248" s="1"/>
      <c r="B248" s="1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</row>
    <row r="249" spans="1:20" ht="12.75" hidden="1" customHeight="1">
      <c r="A249" s="1"/>
      <c r="B249" s="1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</row>
    <row r="250" spans="1:20" ht="12.75" hidden="1" customHeight="1">
      <c r="A250" s="1"/>
      <c r="B250" s="1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</row>
    <row r="251" spans="1:20" ht="12.75" hidden="1" customHeight="1">
      <c r="A251" s="1"/>
      <c r="B251" s="1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</row>
    <row r="252" spans="1:20" ht="12.75" hidden="1" customHeight="1">
      <c r="A252" s="1"/>
      <c r="B252" s="1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</row>
    <row r="253" spans="1:20" ht="12.75" hidden="1" customHeight="1">
      <c r="A253" s="1"/>
      <c r="B253" s="1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</row>
    <row r="254" spans="1:20" ht="12.75" hidden="1" customHeight="1">
      <c r="A254" s="1"/>
      <c r="B254" s="1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</row>
    <row r="255" spans="1:20" ht="12.75" hidden="1" customHeight="1">
      <c r="A255" s="1"/>
      <c r="B255" s="1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</row>
    <row r="256" spans="1:20" ht="12.75" hidden="1" customHeight="1">
      <c r="A256" s="1"/>
      <c r="B256" s="1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</row>
    <row r="257" spans="1:20" ht="12.75" hidden="1" customHeight="1">
      <c r="A257" s="1"/>
      <c r="B257" s="1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</row>
    <row r="258" spans="1:20" ht="12.75" hidden="1" customHeight="1">
      <c r="A258" s="1"/>
      <c r="B258" s="1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</row>
    <row r="259" spans="1:20" ht="12.75" hidden="1" customHeight="1">
      <c r="A259" s="1"/>
      <c r="B259" s="1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</row>
    <row r="260" spans="1:20" ht="12.75" hidden="1" customHeight="1">
      <c r="A260" s="1"/>
      <c r="B260" s="1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</row>
    <row r="261" spans="1:20" ht="12.75" hidden="1" customHeight="1">
      <c r="A261" s="1"/>
      <c r="B261" s="1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</row>
    <row r="262" spans="1:20" ht="12.75" hidden="1" customHeight="1">
      <c r="A262" s="1"/>
      <c r="B262" s="1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</row>
    <row r="263" spans="1:20" ht="12.75" hidden="1" customHeight="1">
      <c r="A263" s="1"/>
      <c r="B263" s="1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</row>
    <row r="264" spans="1:20" ht="12.75" hidden="1" customHeight="1">
      <c r="A264" s="1"/>
      <c r="B264" s="1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</row>
    <row r="265" spans="1:20" ht="12.75" hidden="1" customHeight="1">
      <c r="A265" s="1"/>
      <c r="B265" s="1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</row>
    <row r="266" spans="1:20" ht="12.75" hidden="1" customHeight="1">
      <c r="A266" s="1"/>
      <c r="B266" s="1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</row>
    <row r="267" spans="1:20" ht="12.75" hidden="1" customHeight="1">
      <c r="A267" s="1"/>
      <c r="B267" s="1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</row>
    <row r="268" spans="1:20" ht="12.75" hidden="1" customHeight="1">
      <c r="A268" s="1"/>
      <c r="B268" s="1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</row>
    <row r="269" spans="1:20" ht="12.75" hidden="1" customHeight="1">
      <c r="A269" s="1"/>
      <c r="B269" s="1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</row>
    <row r="270" spans="1:20" ht="12.75" hidden="1" customHeight="1">
      <c r="A270" s="1"/>
      <c r="B270" s="1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</row>
    <row r="271" spans="1:20" ht="12.75" hidden="1" customHeight="1">
      <c r="A271" s="1"/>
      <c r="B271" s="1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</row>
    <row r="272" spans="1:20" ht="12.75" hidden="1" customHeight="1">
      <c r="A272" s="1"/>
      <c r="B272" s="1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</row>
    <row r="273" spans="1:20" ht="12.75" hidden="1" customHeight="1">
      <c r="A273" s="1"/>
      <c r="B273" s="1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</row>
    <row r="274" spans="1:20" ht="12.75" hidden="1" customHeight="1">
      <c r="A274" s="1"/>
      <c r="B274" s="1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</row>
    <row r="275" spans="1:20" ht="12.75" hidden="1" customHeight="1">
      <c r="A275" s="1"/>
      <c r="B275" s="1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</row>
    <row r="276" spans="1:20" ht="12.75" hidden="1" customHeight="1">
      <c r="A276" s="1"/>
      <c r="B276" s="1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</row>
    <row r="277" spans="1:20" ht="12.75" hidden="1" customHeight="1">
      <c r="A277" s="1"/>
      <c r="B277" s="1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</row>
    <row r="278" spans="1:20" ht="12.75" hidden="1" customHeight="1">
      <c r="A278" s="1"/>
      <c r="B278" s="1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</row>
    <row r="279" spans="1:20" ht="12.75" hidden="1" customHeight="1">
      <c r="A279" s="1"/>
      <c r="B279" s="1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</row>
    <row r="280" spans="1:20" ht="12.75" hidden="1" customHeight="1">
      <c r="A280" s="1"/>
      <c r="B280" s="1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</row>
    <row r="281" spans="1:20" ht="12.75" hidden="1" customHeight="1">
      <c r="A281" s="1"/>
      <c r="B281" s="1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</row>
    <row r="282" spans="1:20" ht="12.75" hidden="1" customHeight="1">
      <c r="A282" s="1"/>
      <c r="B282" s="1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</row>
    <row r="283" spans="1:20" ht="12.75" hidden="1" customHeight="1">
      <c r="A283" s="1"/>
      <c r="B283" s="1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</row>
    <row r="284" spans="1:20" ht="12.75" hidden="1" customHeight="1">
      <c r="A284" s="1"/>
      <c r="B284" s="1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</row>
    <row r="285" spans="1:20" ht="12.75" hidden="1" customHeight="1">
      <c r="A285" s="1"/>
      <c r="B285" s="1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</row>
    <row r="286" spans="1:20" ht="12.75" hidden="1" customHeight="1">
      <c r="A286" s="1"/>
      <c r="B286" s="1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</row>
    <row r="287" spans="1:20" ht="12.75" hidden="1" customHeight="1">
      <c r="A287" s="1"/>
      <c r="B287" s="1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</row>
    <row r="288" spans="1:20" ht="12.75" hidden="1" customHeight="1">
      <c r="A288" s="1"/>
      <c r="B288" s="1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</row>
    <row r="289" spans="1:20" ht="12.75" hidden="1" customHeight="1">
      <c r="A289" s="1"/>
      <c r="B289" s="1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</row>
    <row r="290" spans="1:20" ht="12.75" hidden="1" customHeight="1">
      <c r="A290" s="1"/>
      <c r="B290" s="1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</row>
    <row r="291" spans="1:20" ht="12.75" hidden="1" customHeight="1">
      <c r="A291" s="1"/>
      <c r="B291" s="1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</row>
    <row r="292" spans="1:20" ht="12.75" hidden="1" customHeight="1">
      <c r="A292" s="1"/>
      <c r="B292" s="1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</row>
    <row r="293" spans="1:20" ht="12.75" hidden="1" customHeight="1">
      <c r="A293" s="1"/>
      <c r="B293" s="1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</row>
    <row r="294" spans="1:20" ht="12.75" hidden="1" customHeight="1">
      <c r="A294" s="1"/>
      <c r="B294" s="1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</row>
    <row r="295" spans="1:20" ht="12.75" hidden="1" customHeight="1">
      <c r="A295" s="1"/>
      <c r="B295" s="1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</row>
    <row r="296" spans="1:20" ht="12.75" hidden="1" customHeight="1">
      <c r="A296" s="1"/>
      <c r="B296" s="1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</row>
    <row r="297" spans="1:20" ht="12.75" hidden="1" customHeight="1">
      <c r="A297" s="1"/>
      <c r="B297" s="1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</row>
    <row r="298" spans="1:20" ht="12.75" hidden="1" customHeight="1">
      <c r="A298" s="1"/>
      <c r="B298" s="1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</row>
    <row r="299" spans="1:20" ht="12.75" hidden="1" customHeight="1">
      <c r="A299" s="1"/>
      <c r="B299" s="1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</row>
    <row r="300" spans="1:20" ht="12.75" hidden="1" customHeight="1">
      <c r="A300" s="1"/>
      <c r="B300" s="1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</row>
    <row r="301" spans="1:20" ht="12.75" hidden="1" customHeight="1">
      <c r="A301" s="1"/>
      <c r="B301" s="1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</row>
    <row r="302" spans="1:20" ht="12.75" hidden="1" customHeight="1">
      <c r="A302" s="1"/>
      <c r="B302" s="1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</row>
    <row r="303" spans="1:20" ht="12.75" hidden="1" customHeight="1">
      <c r="A303" s="1"/>
      <c r="B303" s="1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</row>
    <row r="304" spans="1:20" ht="12.75" hidden="1" customHeight="1">
      <c r="A304" s="1"/>
      <c r="B304" s="1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</row>
    <row r="305" spans="1:20" ht="12.75" hidden="1" customHeight="1">
      <c r="A305" s="1"/>
      <c r="B305" s="1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</row>
    <row r="306" spans="1:20" ht="12.75" hidden="1" customHeight="1">
      <c r="A306" s="1"/>
      <c r="B306" s="1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</row>
    <row r="307" spans="1:20" ht="12.75" hidden="1" customHeight="1">
      <c r="A307" s="1"/>
      <c r="B307" s="1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</row>
    <row r="308" spans="1:20" ht="12.75" hidden="1" customHeight="1">
      <c r="A308" s="1"/>
      <c r="B308" s="1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</row>
    <row r="309" spans="1:20" ht="12.75" hidden="1" customHeight="1">
      <c r="A309" s="1"/>
      <c r="B309" s="1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</row>
    <row r="310" spans="1:20" ht="12.75" hidden="1" customHeight="1">
      <c r="A310" s="1"/>
      <c r="B310" s="1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</row>
    <row r="311" spans="1:20" ht="12.75" hidden="1" customHeight="1">
      <c r="A311" s="1"/>
      <c r="B311" s="1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</row>
    <row r="312" spans="1:20" ht="12.75" hidden="1" customHeight="1">
      <c r="A312" s="1"/>
      <c r="B312" s="1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</row>
    <row r="313" spans="1:20" ht="12.75" hidden="1" customHeight="1">
      <c r="A313" s="1"/>
      <c r="B313" s="1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</row>
    <row r="314" spans="1:20" ht="12.75" hidden="1" customHeight="1">
      <c r="A314" s="1"/>
      <c r="B314" s="1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</row>
    <row r="315" spans="1:20" ht="12.75" hidden="1" customHeight="1">
      <c r="A315" s="1"/>
      <c r="B315" s="1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</row>
    <row r="316" spans="1:20" ht="12.75" hidden="1" customHeight="1">
      <c r="A316" s="1"/>
      <c r="B316" s="1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</row>
    <row r="317" spans="1:20" ht="12.75" hidden="1" customHeight="1">
      <c r="A317" s="1"/>
      <c r="B317" s="1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</row>
    <row r="318" spans="1:20" ht="12.75" hidden="1" customHeight="1">
      <c r="A318" s="1"/>
      <c r="B318" s="1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</row>
    <row r="319" spans="1:20" ht="12.75" hidden="1" customHeight="1">
      <c r="A319" s="1"/>
      <c r="B319" s="1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</row>
    <row r="320" spans="1:20" ht="12.75" hidden="1" customHeight="1">
      <c r="A320" s="1"/>
      <c r="B320" s="1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</row>
    <row r="321" spans="1:20" ht="12.75" hidden="1" customHeight="1">
      <c r="A321" s="1"/>
      <c r="B321" s="1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</row>
    <row r="322" spans="1:20" ht="12.75" hidden="1" customHeight="1">
      <c r="A322" s="1"/>
      <c r="B322" s="1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</row>
    <row r="323" spans="1:20" ht="12.75" hidden="1" customHeight="1">
      <c r="A323" s="1"/>
      <c r="B323" s="1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</row>
    <row r="324" spans="1:20" ht="12.75" hidden="1" customHeight="1">
      <c r="A324" s="1"/>
      <c r="B324" s="1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</row>
    <row r="325" spans="1:20" ht="12.75" hidden="1" customHeight="1">
      <c r="A325" s="1"/>
      <c r="B325" s="1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</row>
    <row r="326" spans="1:20" ht="12.75" hidden="1" customHeight="1">
      <c r="A326" s="1"/>
      <c r="B326" s="1"/>
      <c r="C326" s="10"/>
      <c r="D326" s="78" t="s">
        <v>127</v>
      </c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ataValidations count="5">
    <dataValidation allowBlank="1" showInputMessage="1" showErrorMessage="1" promptTitle="Tasa DTF " prompt="Tasa Anual Trimestre Anticipado" sqref="F10:J10"/>
    <dataValidation allowBlank="1" showInputMessage="1" showErrorMessage="1" promptTitle="% Variación Prod Interno Bruto" prompt="% Variación Anual" sqref="F9:J9"/>
    <dataValidation allowBlank="1" showInputMessage="1" showErrorMessage="1" promptTitle="% Variación Precios Productos" prompt="% Variación Anual" sqref="F8:J8"/>
    <dataValidation allowBlank="1" showInputMessage="1" showErrorMessage="1" promptTitle="% Devaluación" prompt="% Variación Anual" sqref="F6:J6"/>
    <dataValidation allowBlank="1" showInputMessage="1" showErrorMessage="1" promptTitle="% inflación" prompt="Variación Anual IPC" sqref="F5:J5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000"/>
  <sheetViews>
    <sheetView showGridLines="0" workbookViewId="0">
      <pane ySplit="1" topLeftCell="A20" activePane="bottomLeft" state="frozen"/>
      <selection pane="bottomLeft" activeCell="E34" sqref="E34"/>
    </sheetView>
  </sheetViews>
  <sheetFormatPr baseColWidth="10" defaultColWidth="17.28515625" defaultRowHeight="15" customHeight="1"/>
  <cols>
    <col min="1" max="2" width="3.42578125" customWidth="1"/>
    <col min="3" max="3" width="75.42578125" customWidth="1"/>
    <col min="4" max="4" width="11.42578125" customWidth="1"/>
    <col min="5" max="5" width="39.7109375" customWidth="1"/>
    <col min="6" max="7" width="3.42578125" customWidth="1"/>
    <col min="8" max="15" width="0" hidden="1" customWidth="1"/>
  </cols>
  <sheetData>
    <row r="1" spans="1:15" ht="12.75" customHeight="1">
      <c r="A1" s="79"/>
      <c r="B1" s="80"/>
      <c r="C1" s="81" t="s">
        <v>128</v>
      </c>
      <c r="D1" s="81" t="s">
        <v>129</v>
      </c>
      <c r="E1" s="81" t="s">
        <v>130</v>
      </c>
      <c r="F1" s="82"/>
      <c r="G1" s="79"/>
      <c r="H1" s="83"/>
      <c r="I1" s="83"/>
      <c r="J1" s="83"/>
      <c r="K1" s="6"/>
      <c r="L1" s="6"/>
      <c r="M1" s="6"/>
      <c r="N1" s="6"/>
      <c r="O1" s="6"/>
    </row>
    <row r="2" spans="1:15" ht="5.25" customHeight="1">
      <c r="A2" s="84"/>
      <c r="B2" s="85"/>
      <c r="C2" s="1"/>
      <c r="D2" s="1"/>
      <c r="E2" s="1"/>
      <c r="F2" s="86"/>
      <c r="G2" s="84"/>
      <c r="H2" s="1"/>
      <c r="I2" s="1"/>
      <c r="J2" s="1"/>
      <c r="K2" s="6"/>
      <c r="L2" s="6"/>
      <c r="M2" s="6"/>
      <c r="N2" s="6"/>
      <c r="O2" s="6"/>
    </row>
    <row r="3" spans="1:15" ht="12.75" hidden="1" customHeight="1">
      <c r="A3" s="87"/>
      <c r="B3" s="88"/>
      <c r="C3" s="89" t="s">
        <v>131</v>
      </c>
      <c r="D3" s="90"/>
      <c r="E3" s="90"/>
      <c r="F3" s="91"/>
      <c r="G3" s="87"/>
      <c r="H3" s="90"/>
      <c r="I3" s="90"/>
      <c r="J3" s="1"/>
      <c r="K3" s="6"/>
      <c r="L3" s="6"/>
      <c r="M3" s="6"/>
      <c r="N3" s="6"/>
      <c r="O3" s="6"/>
    </row>
    <row r="4" spans="1:15" ht="12.75" hidden="1" customHeight="1">
      <c r="A4" s="84"/>
      <c r="B4" s="85"/>
      <c r="C4" s="92" t="s">
        <v>132</v>
      </c>
      <c r="D4" s="93">
        <v>0</v>
      </c>
      <c r="E4" s="94"/>
      <c r="F4" s="86"/>
      <c r="G4" s="84"/>
      <c r="H4" s="1"/>
      <c r="I4" s="1"/>
      <c r="J4" s="1"/>
      <c r="K4" s="6"/>
      <c r="L4" s="6"/>
      <c r="M4" s="6"/>
      <c r="N4" s="6"/>
      <c r="O4" s="6"/>
    </row>
    <row r="5" spans="1:15" ht="12.75" customHeight="1">
      <c r="A5" s="87"/>
      <c r="B5" s="88"/>
      <c r="C5" s="89" t="s">
        <v>133</v>
      </c>
      <c r="D5" s="90"/>
      <c r="E5" s="90"/>
      <c r="F5" s="91"/>
      <c r="G5" s="87"/>
      <c r="H5" s="90"/>
      <c r="I5" s="90"/>
      <c r="J5" s="1"/>
      <c r="K5" s="6"/>
      <c r="L5" s="6"/>
      <c r="M5" s="6"/>
      <c r="N5" s="6"/>
      <c r="O5" s="6"/>
    </row>
    <row r="6" spans="1:15" ht="12.75" customHeight="1">
      <c r="A6" s="84"/>
      <c r="B6" s="85"/>
      <c r="C6" s="757" t="str">
        <f>'PLAN DE PRODUCCCION'!B27</f>
        <v>producto 1</v>
      </c>
      <c r="D6" s="90"/>
      <c r="E6" s="90"/>
      <c r="F6" s="86"/>
      <c r="G6" s="84"/>
      <c r="H6" s="1"/>
      <c r="I6" s="1"/>
      <c r="J6" s="1"/>
      <c r="K6" s="6"/>
      <c r="L6" s="6"/>
      <c r="M6" s="6"/>
      <c r="N6" s="6"/>
      <c r="O6" s="6"/>
    </row>
    <row r="7" spans="1:15" ht="12.75" customHeight="1">
      <c r="A7" s="84"/>
      <c r="B7" s="85"/>
      <c r="C7" s="757" t="str">
        <f>'PLAN DE PRODUCCCION'!B28</f>
        <v>producto 2</v>
      </c>
      <c r="D7" s="90"/>
      <c r="E7" s="90"/>
      <c r="F7" s="86"/>
      <c r="G7" s="84"/>
      <c r="H7" s="1"/>
      <c r="I7" s="1"/>
      <c r="J7" s="1"/>
      <c r="K7" s="6"/>
      <c r="L7" s="6"/>
      <c r="M7" s="6"/>
      <c r="N7" s="6"/>
      <c r="O7" s="6"/>
    </row>
    <row r="8" spans="1:15" ht="12.75" customHeight="1">
      <c r="A8" s="84"/>
      <c r="B8" s="85"/>
      <c r="C8" s="757" t="str">
        <f>'PLAN DE PRODUCCCION'!B29</f>
        <v>producto 3</v>
      </c>
      <c r="D8" s="90"/>
      <c r="E8" s="90"/>
      <c r="F8" s="86"/>
      <c r="G8" s="84"/>
      <c r="H8" s="1"/>
      <c r="I8" s="1"/>
      <c r="J8" s="1"/>
      <c r="K8" s="6"/>
      <c r="L8" s="6"/>
      <c r="M8" s="6"/>
      <c r="N8" s="6"/>
      <c r="O8" s="6"/>
    </row>
    <row r="9" spans="1:15" ht="12.75" customHeight="1">
      <c r="A9" s="84"/>
      <c r="B9" s="85"/>
      <c r="C9" s="95"/>
      <c r="D9" s="90"/>
      <c r="E9" s="90"/>
      <c r="F9" s="86"/>
      <c r="G9" s="84"/>
      <c r="H9" s="1"/>
      <c r="I9" s="1"/>
      <c r="J9" s="1"/>
      <c r="K9" s="6"/>
      <c r="L9" s="6"/>
      <c r="M9" s="6"/>
      <c r="N9" s="6"/>
      <c r="O9" s="6"/>
    </row>
    <row r="10" spans="1:15" ht="12.75" customHeight="1">
      <c r="A10" s="84"/>
      <c r="B10" s="85"/>
      <c r="C10" s="96"/>
      <c r="D10" s="90"/>
      <c r="E10" s="90"/>
      <c r="F10" s="86"/>
      <c r="G10" s="84"/>
      <c r="H10" s="1"/>
      <c r="I10" s="1"/>
      <c r="J10" s="1"/>
      <c r="K10" s="6"/>
      <c r="L10" s="6"/>
      <c r="M10" s="6"/>
      <c r="N10" s="6"/>
      <c r="O10" s="6"/>
    </row>
    <row r="11" spans="1:15" ht="12.75" customHeight="1">
      <c r="A11" s="87"/>
      <c r="B11" s="88"/>
      <c r="C11" s="89" t="s">
        <v>134</v>
      </c>
      <c r="D11" s="90"/>
      <c r="E11" s="90"/>
      <c r="F11" s="91"/>
      <c r="G11" s="87"/>
      <c r="H11" s="90"/>
      <c r="I11" s="90"/>
      <c r="J11" s="1"/>
      <c r="K11" s="6"/>
      <c r="L11" s="6"/>
      <c r="M11" s="6"/>
      <c r="N11" s="6"/>
      <c r="O11" s="6"/>
    </row>
    <row r="12" spans="1:15" ht="12.75" customHeight="1">
      <c r="A12" s="84"/>
      <c r="B12" s="85"/>
      <c r="C12" s="92" t="s">
        <v>135</v>
      </c>
      <c r="D12" s="97">
        <v>0.12</v>
      </c>
      <c r="E12" s="94" t="s">
        <v>136</v>
      </c>
      <c r="F12" s="86"/>
      <c r="G12" s="84"/>
      <c r="H12" s="1"/>
      <c r="I12" s="1"/>
      <c r="J12" s="1"/>
      <c r="K12" s="6"/>
      <c r="L12" s="6"/>
      <c r="M12" s="6"/>
      <c r="N12" s="6"/>
      <c r="O12" s="6"/>
    </row>
    <row r="13" spans="1:15" ht="12.75" customHeight="1">
      <c r="A13" s="13"/>
      <c r="B13" s="19"/>
      <c r="C13" s="92" t="s">
        <v>137</v>
      </c>
      <c r="D13" s="98">
        <v>3</v>
      </c>
      <c r="E13" s="90"/>
      <c r="F13" s="24"/>
      <c r="G13" s="13"/>
      <c r="H13" s="42"/>
      <c r="I13" s="42"/>
      <c r="J13" s="42"/>
      <c r="K13" s="6"/>
      <c r="L13" s="6"/>
      <c r="M13" s="6"/>
      <c r="N13" s="6"/>
      <c r="O13" s="6"/>
    </row>
    <row r="14" spans="1:15" ht="12.75" customHeight="1">
      <c r="A14" s="84"/>
      <c r="B14" s="85"/>
      <c r="C14" s="92" t="s">
        <v>138</v>
      </c>
      <c r="D14" s="98">
        <v>24</v>
      </c>
      <c r="E14" s="90"/>
      <c r="F14" s="86"/>
      <c r="G14" s="84"/>
      <c r="H14" s="1"/>
      <c r="I14" s="1"/>
      <c r="J14" s="1"/>
      <c r="K14" s="6"/>
      <c r="L14" s="6"/>
      <c r="M14" s="6"/>
      <c r="N14" s="6"/>
      <c r="O14" s="6"/>
    </row>
    <row r="15" spans="1:15" ht="12.75" customHeight="1">
      <c r="A15" s="84"/>
      <c r="B15" s="85"/>
      <c r="C15" s="92" t="s">
        <v>139</v>
      </c>
      <c r="D15" s="98">
        <v>36</v>
      </c>
      <c r="E15" s="90"/>
      <c r="F15" s="86"/>
      <c r="G15" s="84"/>
      <c r="H15" s="1"/>
      <c r="I15" s="1"/>
      <c r="J15" s="1"/>
      <c r="K15" s="6"/>
      <c r="L15" s="6"/>
      <c r="M15" s="6"/>
      <c r="N15" s="6"/>
      <c r="O15" s="6"/>
    </row>
    <row r="16" spans="1:15" ht="12.75" customHeight="1">
      <c r="A16" s="87"/>
      <c r="B16" s="88"/>
      <c r="C16" s="89" t="s">
        <v>140</v>
      </c>
      <c r="D16" s="90"/>
      <c r="E16" s="90"/>
      <c r="F16" s="91"/>
      <c r="G16" s="87"/>
      <c r="H16" s="90"/>
      <c r="I16" s="90"/>
      <c r="J16" s="1"/>
      <c r="K16" s="6"/>
      <c r="L16" s="6"/>
      <c r="M16" s="6"/>
      <c r="N16" s="6"/>
      <c r="O16" s="6"/>
    </row>
    <row r="17" spans="1:15" ht="12.75" customHeight="1">
      <c r="A17" s="84"/>
      <c r="B17" s="85"/>
      <c r="C17" s="92" t="s">
        <v>141</v>
      </c>
      <c r="D17" s="93">
        <v>0</v>
      </c>
      <c r="E17" s="94" t="s">
        <v>142</v>
      </c>
      <c r="F17" s="86"/>
      <c r="G17" s="84"/>
      <c r="H17" s="1"/>
      <c r="I17" s="1"/>
      <c r="J17" s="1"/>
      <c r="K17" s="6"/>
      <c r="L17" s="6"/>
      <c r="M17" s="6"/>
      <c r="N17" s="6"/>
      <c r="O17" s="6"/>
    </row>
    <row r="18" spans="1:15" ht="12.75" customHeight="1">
      <c r="A18" s="84"/>
      <c r="B18" s="85"/>
      <c r="C18" s="92" t="s">
        <v>143</v>
      </c>
      <c r="D18" s="93">
        <v>5</v>
      </c>
      <c r="E18" s="94" t="s">
        <v>144</v>
      </c>
      <c r="F18" s="86"/>
      <c r="G18" s="84"/>
      <c r="H18" s="1"/>
      <c r="I18" s="1"/>
      <c r="J18" s="1"/>
      <c r="K18" s="6"/>
      <c r="L18" s="6"/>
      <c r="M18" s="6"/>
      <c r="N18" s="6"/>
      <c r="O18" s="6"/>
    </row>
    <row r="19" spans="1:15" ht="12.75" customHeight="1">
      <c r="A19" s="84"/>
      <c r="B19" s="85"/>
      <c r="C19" s="92" t="s">
        <v>145</v>
      </c>
      <c r="D19" s="97">
        <v>0.1</v>
      </c>
      <c r="E19" s="94" t="s">
        <v>146</v>
      </c>
      <c r="F19" s="86"/>
      <c r="G19" s="84"/>
      <c r="H19" s="1"/>
      <c r="I19" s="1"/>
      <c r="J19" s="1"/>
      <c r="K19" s="6"/>
      <c r="L19" s="6"/>
      <c r="M19" s="6"/>
      <c r="N19" s="6"/>
      <c r="O19" s="6"/>
    </row>
    <row r="20" spans="1:15" ht="12.75" customHeight="1">
      <c r="A20" s="87"/>
      <c r="B20" s="88"/>
      <c r="C20" s="89" t="s">
        <v>147</v>
      </c>
      <c r="D20" s="90"/>
      <c r="E20" s="90"/>
      <c r="F20" s="91"/>
      <c r="G20" s="87"/>
      <c r="H20" s="90"/>
      <c r="I20" s="90"/>
      <c r="J20" s="1"/>
      <c r="K20" s="6"/>
      <c r="L20" s="6"/>
      <c r="M20" s="6"/>
      <c r="N20" s="6"/>
      <c r="O20" s="6"/>
    </row>
    <row r="21" spans="1:15" ht="12.75" hidden="1" customHeight="1">
      <c r="A21" s="84"/>
      <c r="B21" s="85"/>
      <c r="C21" s="92" t="s">
        <v>148</v>
      </c>
      <c r="D21" s="99">
        <v>1</v>
      </c>
      <c r="E21" s="94" t="s">
        <v>149</v>
      </c>
      <c r="F21" s="86"/>
      <c r="G21" s="84"/>
      <c r="H21" s="1"/>
      <c r="I21" s="1"/>
      <c r="J21" s="1"/>
      <c r="K21" s="6"/>
      <c r="L21" s="6"/>
      <c r="M21" s="6"/>
      <c r="N21" s="6"/>
      <c r="O21" s="6"/>
    </row>
    <row r="22" spans="1:15" ht="12.75" customHeight="1">
      <c r="A22" s="84"/>
      <c r="B22" s="85"/>
      <c r="C22" s="92" t="s">
        <v>150</v>
      </c>
      <c r="D22" s="99">
        <v>20</v>
      </c>
      <c r="E22" s="94" t="s">
        <v>151</v>
      </c>
      <c r="F22" s="86"/>
      <c r="G22" s="84"/>
      <c r="H22" s="1"/>
      <c r="I22" s="1"/>
      <c r="J22" s="1"/>
      <c r="K22" s="6"/>
      <c r="L22" s="6"/>
      <c r="M22" s="6"/>
      <c r="N22" s="6"/>
      <c r="O22" s="6"/>
    </row>
    <row r="23" spans="1:15" ht="12.75" customHeight="1">
      <c r="A23" s="84"/>
      <c r="B23" s="85"/>
      <c r="C23" s="92" t="s">
        <v>152</v>
      </c>
      <c r="D23" s="99">
        <v>10</v>
      </c>
      <c r="E23" s="94" t="s">
        <v>151</v>
      </c>
      <c r="F23" s="86"/>
      <c r="G23" s="84"/>
      <c r="H23" s="1"/>
      <c r="I23" s="1"/>
      <c r="J23" s="1"/>
      <c r="K23" s="6"/>
      <c r="L23" s="6"/>
      <c r="M23" s="6"/>
      <c r="N23" s="6"/>
      <c r="O23" s="6"/>
    </row>
    <row r="24" spans="1:15" ht="12.75" customHeight="1">
      <c r="A24" s="84"/>
      <c r="B24" s="85"/>
      <c r="C24" s="92" t="s">
        <v>84</v>
      </c>
      <c r="D24" s="99">
        <v>5</v>
      </c>
      <c r="E24" s="94" t="s">
        <v>151</v>
      </c>
      <c r="F24" s="86"/>
      <c r="G24" s="84"/>
      <c r="H24" s="1"/>
      <c r="I24" s="1"/>
      <c r="J24" s="1"/>
      <c r="K24" s="6"/>
      <c r="L24" s="6"/>
      <c r="M24" s="6"/>
      <c r="N24" s="6"/>
      <c r="O24" s="6"/>
    </row>
    <row r="25" spans="1:15" ht="12.75" customHeight="1">
      <c r="A25" s="84"/>
      <c r="B25" s="85"/>
      <c r="C25" s="92" t="s">
        <v>85</v>
      </c>
      <c r="D25" s="99">
        <v>5</v>
      </c>
      <c r="E25" s="94" t="s">
        <v>151</v>
      </c>
      <c r="F25" s="86"/>
      <c r="G25" s="84"/>
      <c r="H25" s="1"/>
      <c r="I25" s="1"/>
      <c r="J25" s="1"/>
      <c r="K25" s="6"/>
      <c r="L25" s="6"/>
      <c r="M25" s="6"/>
      <c r="N25" s="6"/>
      <c r="O25" s="6"/>
    </row>
    <row r="26" spans="1:15" ht="12.75" customHeight="1">
      <c r="A26" s="84"/>
      <c r="B26" s="85"/>
      <c r="C26" s="92" t="s">
        <v>86</v>
      </c>
      <c r="D26" s="99">
        <v>3</v>
      </c>
      <c r="E26" s="94" t="s">
        <v>151</v>
      </c>
      <c r="F26" s="86"/>
      <c r="G26" s="84"/>
      <c r="H26" s="1"/>
      <c r="I26" s="1"/>
      <c r="J26" s="1"/>
      <c r="K26" s="6"/>
      <c r="L26" s="6"/>
      <c r="M26" s="6"/>
      <c r="N26" s="6"/>
      <c r="O26" s="6"/>
    </row>
    <row r="27" spans="1:15" ht="12.75" customHeight="1">
      <c r="A27" s="84"/>
      <c r="B27" s="85"/>
      <c r="C27" s="92" t="s">
        <v>153</v>
      </c>
      <c r="D27" s="99">
        <v>10</v>
      </c>
      <c r="E27" s="94" t="s">
        <v>154</v>
      </c>
      <c r="F27" s="86"/>
      <c r="G27" s="84"/>
      <c r="H27" s="1"/>
      <c r="I27" s="1"/>
      <c r="J27" s="1"/>
      <c r="K27" s="6"/>
      <c r="L27" s="6"/>
      <c r="M27" s="6"/>
      <c r="N27" s="6"/>
      <c r="O27" s="6"/>
    </row>
    <row r="28" spans="1:15" ht="12.75" customHeight="1">
      <c r="A28" s="84"/>
      <c r="B28" s="85"/>
      <c r="C28" s="92" t="s">
        <v>91</v>
      </c>
      <c r="D28" s="99">
        <v>10</v>
      </c>
      <c r="E28" s="94" t="s">
        <v>154</v>
      </c>
      <c r="F28" s="86"/>
      <c r="G28" s="84"/>
      <c r="H28" s="1"/>
      <c r="I28" s="1"/>
      <c r="J28" s="1"/>
      <c r="K28" s="6"/>
      <c r="L28" s="6"/>
      <c r="M28" s="6"/>
      <c r="N28" s="6"/>
      <c r="O28" s="6"/>
    </row>
    <row r="29" spans="1:15" ht="12.75" customHeight="1">
      <c r="A29" s="87"/>
      <c r="B29" s="88"/>
      <c r="C29" s="89" t="s">
        <v>155</v>
      </c>
      <c r="D29" s="90"/>
      <c r="E29" s="90"/>
      <c r="F29" s="91"/>
      <c r="G29" s="87"/>
      <c r="H29" s="90"/>
      <c r="I29" s="90"/>
      <c r="J29" s="1"/>
      <c r="K29" s="6"/>
      <c r="L29" s="6"/>
      <c r="M29" s="6"/>
      <c r="N29" s="6"/>
      <c r="O29" s="6"/>
    </row>
    <row r="30" spans="1:15" ht="12.75" customHeight="1">
      <c r="A30" s="84"/>
      <c r="B30" s="85"/>
      <c r="C30" s="92" t="s">
        <v>64</v>
      </c>
      <c r="D30" s="99">
        <v>5</v>
      </c>
      <c r="E30" s="94" t="s">
        <v>156</v>
      </c>
      <c r="F30" s="86"/>
      <c r="G30" s="84"/>
      <c r="H30" s="1"/>
      <c r="I30" s="1"/>
      <c r="J30" s="1"/>
      <c r="K30" s="6"/>
      <c r="L30" s="6"/>
      <c r="M30" s="6"/>
      <c r="N30" s="6"/>
      <c r="O30" s="6"/>
    </row>
    <row r="31" spans="1:15" ht="12.75" customHeight="1">
      <c r="A31" s="84"/>
      <c r="B31" s="85"/>
      <c r="C31" s="89" t="s">
        <v>97</v>
      </c>
      <c r="D31" s="1"/>
      <c r="E31" s="1"/>
      <c r="F31" s="86"/>
      <c r="G31" s="84"/>
      <c r="H31" s="1"/>
      <c r="I31" s="1"/>
      <c r="J31" s="1"/>
      <c r="K31" s="6"/>
      <c r="L31" s="6"/>
      <c r="M31" s="6"/>
      <c r="N31" s="6"/>
      <c r="O31" s="6"/>
    </row>
    <row r="32" spans="1:15" ht="12.75" customHeight="1">
      <c r="A32" s="84"/>
      <c r="B32" s="85"/>
      <c r="C32" s="92" t="s">
        <v>157</v>
      </c>
      <c r="D32" s="100" t="s">
        <v>680</v>
      </c>
      <c r="E32" s="94" t="s">
        <v>158</v>
      </c>
      <c r="F32" s="86"/>
      <c r="G32" s="84"/>
      <c r="H32" s="1"/>
      <c r="I32" s="1"/>
      <c r="J32" s="1"/>
      <c r="K32" s="6"/>
      <c r="L32" s="6"/>
      <c r="M32" s="6"/>
      <c r="N32" s="6"/>
      <c r="O32" s="6"/>
    </row>
    <row r="33" spans="1:15" ht="12.75" customHeight="1">
      <c r="A33" s="84"/>
      <c r="B33" s="85"/>
      <c r="C33" s="1"/>
      <c r="D33" s="1"/>
      <c r="E33" s="1"/>
      <c r="F33" s="86"/>
      <c r="G33" s="84"/>
      <c r="H33" s="1"/>
      <c r="I33" s="1"/>
      <c r="J33" s="1"/>
      <c r="K33" s="6"/>
      <c r="L33" s="6"/>
      <c r="M33" s="6"/>
      <c r="N33" s="6"/>
      <c r="O33" s="6"/>
    </row>
    <row r="34" spans="1:15" ht="13.5" customHeight="1">
      <c r="A34" s="84"/>
      <c r="B34" s="101"/>
      <c r="C34" s="102"/>
      <c r="D34" s="103"/>
      <c r="E34" s="103"/>
      <c r="F34" s="104"/>
      <c r="G34" s="84"/>
      <c r="H34" s="1"/>
      <c r="I34" s="1"/>
      <c r="J34" s="1"/>
      <c r="K34" s="6"/>
      <c r="L34" s="6"/>
      <c r="M34" s="6"/>
      <c r="N34" s="6"/>
      <c r="O34" s="6"/>
    </row>
    <row r="35" spans="1:15" ht="12.75" customHeight="1">
      <c r="A35" s="84"/>
      <c r="B35" s="84"/>
      <c r="C35" s="105"/>
      <c r="D35" s="84"/>
      <c r="E35" s="84"/>
      <c r="F35" s="84"/>
      <c r="G35" s="84"/>
      <c r="H35" s="1"/>
      <c r="I35" s="1"/>
      <c r="J35" s="1"/>
      <c r="K35" s="6"/>
      <c r="L35" s="6"/>
      <c r="M35" s="6"/>
      <c r="N35" s="6"/>
      <c r="O35" s="6"/>
    </row>
    <row r="36" spans="1:1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6"/>
      <c r="M36" s="6"/>
      <c r="N36" s="6"/>
      <c r="O36" s="6"/>
    </row>
    <row r="37" spans="1:1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ataValidations count="8">
    <dataValidation type="decimal" operator="greaterThan" allowBlank="1" showInputMessage="1" showErrorMessage="1" prompt="Período de Graciia - Años de gracia en las obligaciones financieras" sqref="D12:D15">
      <formula1>0</formula1>
    </dataValidation>
    <dataValidation type="decimal" allowBlank="1" showInputMessage="1" showErrorMessage="1" prompt="Período de Graciia - Años de gracia en las obligaciones financieras" sqref="D17">
      <formula1>0</formula1>
      <formula2>A2-1</formula2>
    </dataValidation>
    <dataValidation type="list" allowBlank="1" showInputMessage="1" showErrorMessage="1" prompt=" - " sqref="D32">
      <formula1>"Si,No"</formula1>
    </dataValidation>
    <dataValidation type="decimal" allowBlank="1" showInputMessage="1" showErrorMessage="1" prompt="Amort. Gastos Anticipados - Años de amortización de los gastos anticipados" sqref="D30:D31">
      <formula1>0</formula1>
      <formula2>10</formula2>
    </dataValidation>
    <dataValidation type="decimal" allowBlank="1" showInputMessage="1" showErrorMessage="1" prompt="Período de Graciia - Años de gracia en las obligaciones financieras" sqref="D4">
      <formula1>0</formula1>
      <formula2>A13-1</formula2>
    </dataValidation>
    <dataValidation type="decimal" allowBlank="1" showInputMessage="1" showErrorMessage="1" prompt="Plazo Obligaciones Financieras - Plazo total de las Obligaciones financieras (en años)" sqref="D18">
      <formula1>0</formula1>
      <formula2>10</formula2>
    </dataValidation>
    <dataValidation type="list" allowBlank="1" showInputMessage="1" showErrorMessage="1" prompt="Ajustes por Inflación - 0: Tener en cuenta 1: No Tener en cuenta" sqref="D21">
      <formula1>"0.0,1.0"</formula1>
    </dataValidation>
    <dataValidation type="decimal" allowBlank="1" showInputMessage="1" showErrorMessage="1" prompt="Vida Util - Vida util proyectada del tipo de activo" sqref="D22:D28">
      <formula1>0</formula1>
      <formula2>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00"/>
  <sheetViews>
    <sheetView showGridLines="0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D32" sqref="D32"/>
    </sheetView>
  </sheetViews>
  <sheetFormatPr baseColWidth="10" defaultColWidth="17.28515625" defaultRowHeight="15" customHeight="1"/>
  <cols>
    <col min="1" max="2" width="4" customWidth="1"/>
    <col min="3" max="3" width="38.85546875" customWidth="1"/>
    <col min="4" max="6" width="17.42578125" customWidth="1"/>
    <col min="7" max="8" width="19.42578125" customWidth="1"/>
    <col min="9" max="10" width="5.7109375" customWidth="1"/>
    <col min="11" max="18" width="0" hidden="1" customWidth="1"/>
  </cols>
  <sheetData>
    <row r="1" spans="1:18" ht="12.75" customHeight="1">
      <c r="A1" s="84"/>
      <c r="B1" s="106"/>
      <c r="C1" s="107"/>
      <c r="D1" s="108">
        <f>Proyecciones!F3</f>
        <v>1</v>
      </c>
      <c r="E1" s="108">
        <f>Proyecciones!G3</f>
        <v>2</v>
      </c>
      <c r="F1" s="108">
        <f>Proyecciones!H3</f>
        <v>3</v>
      </c>
      <c r="G1" s="108">
        <f>Proyecciones!I3</f>
        <v>4</v>
      </c>
      <c r="H1" s="108">
        <f>Proyecciones!J3</f>
        <v>5</v>
      </c>
      <c r="I1" s="109"/>
      <c r="J1" s="84"/>
      <c r="K1" s="1"/>
      <c r="L1" s="6"/>
      <c r="M1" s="6"/>
      <c r="N1" s="6"/>
      <c r="O1" s="6"/>
      <c r="P1" s="6"/>
      <c r="Q1" s="6"/>
      <c r="R1" s="6"/>
    </row>
    <row r="2" spans="1:18" ht="15.75" customHeight="1">
      <c r="A2" s="84"/>
      <c r="B2" s="85"/>
      <c r="C2" s="110" t="s">
        <v>159</v>
      </c>
      <c r="D2" s="111"/>
      <c r="E2" s="1"/>
      <c r="F2" s="1"/>
      <c r="G2" s="1"/>
      <c r="H2" s="1"/>
      <c r="I2" s="86"/>
      <c r="J2" s="84"/>
      <c r="K2" s="1"/>
      <c r="L2" s="6"/>
      <c r="M2" s="6"/>
      <c r="N2" s="6"/>
      <c r="O2" s="6"/>
      <c r="P2" s="6"/>
      <c r="Q2" s="6"/>
      <c r="R2" s="6"/>
    </row>
    <row r="3" spans="1:18" ht="12.75" customHeight="1">
      <c r="A3" s="84"/>
      <c r="B3" s="85"/>
      <c r="C3" s="112" t="s">
        <v>18</v>
      </c>
      <c r="D3" s="113">
        <f>Proyecciones!F27</f>
        <v>100451684.07033597</v>
      </c>
      <c r="E3" s="113">
        <f>Proyecciones!G27</f>
        <v>119440765.36653605</v>
      </c>
      <c r="F3" s="113">
        <f>Proyecciones!H27</f>
        <v>122677579.59179452</v>
      </c>
      <c r="G3" s="113">
        <f>Proyecciones!I27</f>
        <v>128365106.73826754</v>
      </c>
      <c r="H3" s="113">
        <f>Proyecciones!J27</f>
        <v>133783367.99243119</v>
      </c>
      <c r="I3" s="86"/>
      <c r="J3" s="84"/>
      <c r="K3" s="1"/>
      <c r="L3" s="6"/>
      <c r="M3" s="6"/>
      <c r="N3" s="6"/>
      <c r="O3" s="6"/>
      <c r="P3" s="6"/>
      <c r="Q3" s="6"/>
      <c r="R3" s="6"/>
    </row>
    <row r="4" spans="1:18" ht="12.75" customHeight="1">
      <c r="A4" s="84"/>
      <c r="B4" s="85"/>
      <c r="C4" s="112" t="s">
        <v>160</v>
      </c>
      <c r="D4" s="113">
        <f>Proyecciones!F30</f>
        <v>0</v>
      </c>
      <c r="E4" s="113">
        <f>Proyecciones!G30</f>
        <v>0</v>
      </c>
      <c r="F4" s="113">
        <f>Proyecciones!H30</f>
        <v>0</v>
      </c>
      <c r="G4" s="113">
        <f>Proyecciones!I30</f>
        <v>0</v>
      </c>
      <c r="H4" s="113">
        <f>Proyecciones!J30</f>
        <v>0</v>
      </c>
      <c r="I4" s="86"/>
      <c r="J4" s="84"/>
      <c r="K4" s="1"/>
      <c r="L4" s="6"/>
      <c r="M4" s="6"/>
      <c r="N4" s="6"/>
      <c r="O4" s="6"/>
      <c r="P4" s="6"/>
      <c r="Q4" s="6"/>
      <c r="R4" s="6"/>
    </row>
    <row r="5" spans="1:18" ht="12.75" customHeight="1">
      <c r="A5" s="84"/>
      <c r="B5" s="85"/>
      <c r="C5" s="112" t="s">
        <v>161</v>
      </c>
      <c r="D5" s="113">
        <f>Proyecciones!F52</f>
        <v>55392353.983679987</v>
      </c>
      <c r="E5" s="113">
        <f>Proyecciones!G52</f>
        <v>62695610.610334836</v>
      </c>
      <c r="F5" s="113">
        <f>Proyecciones!H52</f>
        <v>63128175.527643837</v>
      </c>
      <c r="G5" s="113">
        <f>Proyecciones!I52</f>
        <v>66376781.753114656</v>
      </c>
      <c r="H5" s="113">
        <f>Proyecciones!J52</f>
        <v>69340618.857724831</v>
      </c>
      <c r="I5" s="86"/>
      <c r="J5" s="84"/>
      <c r="K5" s="1"/>
      <c r="L5" s="6"/>
      <c r="M5" s="6"/>
      <c r="N5" s="6"/>
      <c r="O5" s="6"/>
      <c r="P5" s="6"/>
      <c r="Q5" s="6"/>
      <c r="R5" s="6"/>
    </row>
    <row r="6" spans="1:18" ht="12.75" customHeight="1">
      <c r="A6" s="84"/>
      <c r="B6" s="85"/>
      <c r="C6" s="112" t="s">
        <v>33</v>
      </c>
      <c r="D6" s="113">
        <f>Proyecciones!F53</f>
        <v>1478666.6666666667</v>
      </c>
      <c r="E6" s="113">
        <f>Proyecciones!G53</f>
        <v>1478666.6666666667</v>
      </c>
      <c r="F6" s="113">
        <f>Proyecciones!H53</f>
        <v>1478666.6666666667</v>
      </c>
      <c r="G6" s="113">
        <f>Proyecciones!I53</f>
        <v>312000</v>
      </c>
      <c r="H6" s="113">
        <f>Proyecciones!J53</f>
        <v>312000</v>
      </c>
      <c r="I6" s="86"/>
      <c r="J6" s="84"/>
      <c r="K6" s="1"/>
      <c r="L6" s="6"/>
      <c r="M6" s="6"/>
      <c r="N6" s="6"/>
      <c r="O6" s="6"/>
      <c r="P6" s="6"/>
      <c r="Q6" s="6"/>
      <c r="R6" s="6"/>
    </row>
    <row r="7" spans="1:18" ht="12.75" customHeight="1">
      <c r="A7" s="84"/>
      <c r="B7" s="85"/>
      <c r="C7" s="112" t="s">
        <v>34</v>
      </c>
      <c r="D7" s="113">
        <f>Proyecciones!F136+Proyecciones!F143+Semovientes!C24+Permanentes!C24</f>
        <v>0</v>
      </c>
      <c r="E7" s="113">
        <f>Proyecciones!G136+Proyecciones!G143+Semovientes!D24+Permanentes!D24</f>
        <v>0</v>
      </c>
      <c r="F7" s="113">
        <f>Proyecciones!H136+Proyecciones!H143+Semovientes!E24+Permanentes!E24</f>
        <v>0</v>
      </c>
      <c r="G7" s="113">
        <f>Proyecciones!I136+Proyecciones!I143+Semovientes!F24+Permanentes!F24</f>
        <v>0</v>
      </c>
      <c r="H7" s="113">
        <f>Proyecciones!J136+Proyecciones!J143+Semovientes!G24+Permanentes!G24</f>
        <v>0</v>
      </c>
      <c r="I7" s="86"/>
      <c r="J7" s="84"/>
      <c r="K7" s="1"/>
      <c r="L7" s="6"/>
      <c r="M7" s="6"/>
      <c r="N7" s="6"/>
      <c r="O7" s="6"/>
      <c r="P7" s="6"/>
      <c r="Q7" s="6"/>
      <c r="R7" s="6"/>
    </row>
    <row r="8" spans="1:18" ht="12.75" customHeight="1">
      <c r="A8" s="84"/>
      <c r="B8" s="85"/>
      <c r="C8" s="112" t="s">
        <v>162</v>
      </c>
      <c r="D8" s="113">
        <f>Proyecciones!F48</f>
        <v>0</v>
      </c>
      <c r="E8" s="113">
        <f>Proyecciones!G48</f>
        <v>0</v>
      </c>
      <c r="F8" s="113">
        <f>Proyecciones!H48</f>
        <v>0</v>
      </c>
      <c r="G8" s="113">
        <f>Proyecciones!I48</f>
        <v>0</v>
      </c>
      <c r="H8" s="113">
        <f>Proyecciones!J48</f>
        <v>0</v>
      </c>
      <c r="I8" s="86"/>
      <c r="J8" s="84"/>
      <c r="K8" s="1"/>
      <c r="L8" s="6"/>
      <c r="M8" s="6"/>
      <c r="N8" s="6"/>
      <c r="O8" s="6"/>
      <c r="P8" s="6"/>
      <c r="Q8" s="6"/>
      <c r="R8" s="6"/>
    </row>
    <row r="9" spans="1:18" ht="12.75" customHeight="1">
      <c r="A9" s="114"/>
      <c r="B9" s="115"/>
      <c r="C9" s="116" t="s">
        <v>163</v>
      </c>
      <c r="D9" s="117">
        <f t="shared" ref="D9:H9" si="0">D3-D4-D5-D6-D7-D8</f>
        <v>43580663.419989318</v>
      </c>
      <c r="E9" s="117">
        <f t="shared" si="0"/>
        <v>55266488.089534551</v>
      </c>
      <c r="F9" s="117">
        <f t="shared" si="0"/>
        <v>58070737.397484019</v>
      </c>
      <c r="G9" s="117">
        <f t="shared" si="0"/>
        <v>61676324.985152885</v>
      </c>
      <c r="H9" s="117">
        <f t="shared" si="0"/>
        <v>64130749.134706363</v>
      </c>
      <c r="I9" s="118"/>
      <c r="J9" s="114"/>
      <c r="K9" s="119"/>
      <c r="L9" s="6"/>
      <c r="M9" s="6"/>
      <c r="N9" s="6"/>
      <c r="O9" s="6"/>
      <c r="P9" s="6"/>
      <c r="Q9" s="6"/>
      <c r="R9" s="6"/>
    </row>
    <row r="10" spans="1:18" ht="12.75" customHeight="1">
      <c r="A10" s="84"/>
      <c r="B10" s="85"/>
      <c r="C10" s="112" t="s">
        <v>164</v>
      </c>
      <c r="D10" s="113">
        <f>Proyecciones!F58</f>
        <v>14502999.174719999</v>
      </c>
      <c r="E10" s="113">
        <f>Proyecciones!G58</f>
        <v>22414077.288191613</v>
      </c>
      <c r="F10" s="113">
        <f>Proyecciones!H58</f>
        <v>23272536.448329352</v>
      </c>
      <c r="G10" s="113">
        <f>Proyecciones!I58</f>
        <v>24163874.594300367</v>
      </c>
      <c r="H10" s="113">
        <f>Proyecciones!J58</f>
        <v>25089350.991262071</v>
      </c>
      <c r="I10" s="86"/>
      <c r="J10" s="84"/>
      <c r="K10" s="1"/>
      <c r="L10" s="6"/>
      <c r="M10" s="6"/>
      <c r="N10" s="6"/>
      <c r="O10" s="6"/>
      <c r="P10" s="6"/>
      <c r="Q10" s="6"/>
      <c r="R10" s="6"/>
    </row>
    <row r="11" spans="1:18" ht="12.75" customHeight="1">
      <c r="A11" s="84"/>
      <c r="B11" s="85"/>
      <c r="C11" s="112" t="s">
        <v>165</v>
      </c>
      <c r="D11" s="113">
        <f>Proyecciones!F59</f>
        <v>16340400</v>
      </c>
      <c r="E11" s="113">
        <f>Proyecciones!G59</f>
        <v>15271731.720000001</v>
      </c>
      <c r="F11" s="113">
        <f>Proyecciones!H59</f>
        <v>15856639.044876</v>
      </c>
      <c r="G11" s="113">
        <f>Proyecciones!I59</f>
        <v>16463948.320294753</v>
      </c>
      <c r="H11" s="113">
        <f>Proyecciones!J59</f>
        <v>17094517.54096204</v>
      </c>
      <c r="I11" s="86"/>
      <c r="J11" s="84"/>
      <c r="K11" s="1"/>
      <c r="L11" s="6"/>
      <c r="M11" s="6"/>
      <c r="N11" s="6"/>
      <c r="O11" s="6"/>
      <c r="P11" s="6"/>
      <c r="Q11" s="6"/>
      <c r="R11" s="6"/>
    </row>
    <row r="12" spans="1:18" ht="12.75" customHeight="1">
      <c r="A12" s="84"/>
      <c r="B12" s="85"/>
      <c r="C12" s="112" t="s">
        <v>166</v>
      </c>
      <c r="D12" s="113">
        <f>Proyecciones!F68</f>
        <v>0</v>
      </c>
      <c r="E12" s="113">
        <f>Proyecciones!G68</f>
        <v>0</v>
      </c>
      <c r="F12" s="113">
        <f>Proyecciones!H68</f>
        <v>0</v>
      </c>
      <c r="G12" s="113">
        <f>Proyecciones!I68</f>
        <v>0</v>
      </c>
      <c r="H12" s="113">
        <f>Proyecciones!J68</f>
        <v>0</v>
      </c>
      <c r="I12" s="86"/>
      <c r="J12" s="84"/>
      <c r="K12" s="1"/>
      <c r="L12" s="6"/>
      <c r="M12" s="6"/>
      <c r="N12" s="6"/>
      <c r="O12" s="6"/>
      <c r="P12" s="6"/>
      <c r="Q12" s="6"/>
      <c r="R12" s="6"/>
    </row>
    <row r="13" spans="1:18" ht="12.75" customHeight="1">
      <c r="A13" s="84"/>
      <c r="B13" s="85"/>
      <c r="C13" s="112" t="s">
        <v>167</v>
      </c>
      <c r="D13" s="113">
        <f>Anticipados!D27</f>
        <v>0</v>
      </c>
      <c r="E13" s="113">
        <f>Anticipados!E27</f>
        <v>0</v>
      </c>
      <c r="F13" s="113">
        <f>Anticipados!F27</f>
        <v>0</v>
      </c>
      <c r="G13" s="113">
        <f>Anticipados!G27</f>
        <v>0</v>
      </c>
      <c r="H13" s="113">
        <f>Anticipados!H27</f>
        <v>0</v>
      </c>
      <c r="I13" s="86"/>
      <c r="J13" s="84"/>
      <c r="K13" s="1"/>
      <c r="L13" s="6"/>
      <c r="M13" s="6"/>
      <c r="N13" s="6"/>
      <c r="O13" s="6"/>
      <c r="P13" s="6"/>
      <c r="Q13" s="6"/>
      <c r="R13" s="6"/>
    </row>
    <row r="14" spans="1:18" ht="12.75" customHeight="1">
      <c r="A14" s="114"/>
      <c r="B14" s="115"/>
      <c r="C14" s="120" t="s">
        <v>168</v>
      </c>
      <c r="D14" s="117">
        <f t="shared" ref="D14:H14" si="1">D9-SUM(D10:D13)</f>
        <v>12737264.245269321</v>
      </c>
      <c r="E14" s="117">
        <f t="shared" si="1"/>
        <v>17580679.081342936</v>
      </c>
      <c r="F14" s="117">
        <f t="shared" si="1"/>
        <v>18941561.904278666</v>
      </c>
      <c r="G14" s="117">
        <f t="shared" si="1"/>
        <v>21048502.070557766</v>
      </c>
      <c r="H14" s="117">
        <f t="shared" si="1"/>
        <v>21946880.602482252</v>
      </c>
      <c r="I14" s="118"/>
      <c r="J14" s="114"/>
      <c r="K14" s="119"/>
      <c r="L14" s="6"/>
      <c r="M14" s="6"/>
      <c r="N14" s="6"/>
      <c r="O14" s="6"/>
      <c r="P14" s="6"/>
      <c r="Q14" s="6"/>
      <c r="R14" s="6"/>
    </row>
    <row r="15" spans="1:18" ht="12.75" customHeight="1">
      <c r="A15" s="121"/>
      <c r="B15" s="122"/>
      <c r="C15" s="123" t="s">
        <v>169</v>
      </c>
      <c r="D15" s="124"/>
      <c r="E15" s="124"/>
      <c r="F15" s="124"/>
      <c r="G15" s="124"/>
      <c r="H15" s="124"/>
      <c r="I15" s="125"/>
      <c r="J15" s="121"/>
      <c r="K15" s="126"/>
      <c r="L15" s="6"/>
      <c r="M15" s="6"/>
      <c r="N15" s="6"/>
      <c r="O15" s="6"/>
      <c r="P15" s="6"/>
      <c r="Q15" s="6"/>
      <c r="R15" s="6"/>
    </row>
    <row r="16" spans="1:18" ht="12.75" customHeight="1">
      <c r="A16" s="121"/>
      <c r="B16" s="122"/>
      <c r="C16" s="123" t="s">
        <v>170</v>
      </c>
      <c r="D16" s="124">
        <f>'Deuda $'!D30</f>
        <v>0</v>
      </c>
      <c r="E16" s="124">
        <f>'Deuda $'!E30</f>
        <v>0</v>
      </c>
      <c r="F16" s="124">
        <f>'Deuda $'!F30</f>
        <v>0</v>
      </c>
      <c r="G16" s="124">
        <f>'Deuda $'!G30</f>
        <v>0</v>
      </c>
      <c r="H16" s="124">
        <f>'Deuda $'!H30</f>
        <v>0</v>
      </c>
      <c r="I16" s="125"/>
      <c r="J16" s="121"/>
      <c r="K16" s="126"/>
      <c r="L16" s="6"/>
      <c r="M16" s="6"/>
      <c r="N16" s="6"/>
      <c r="O16" s="6"/>
      <c r="P16" s="6"/>
      <c r="Q16" s="6"/>
      <c r="R16" s="6"/>
    </row>
    <row r="17" spans="1:18" ht="12.75" customHeight="1">
      <c r="A17" s="84"/>
      <c r="B17" s="85"/>
      <c r="C17" s="127" t="s">
        <v>171</v>
      </c>
      <c r="D17" s="113">
        <f t="shared" ref="D17:H17" si="2">D15-D16</f>
        <v>0</v>
      </c>
      <c r="E17" s="113">
        <f t="shared" si="2"/>
        <v>0</v>
      </c>
      <c r="F17" s="113">
        <f t="shared" si="2"/>
        <v>0</v>
      </c>
      <c r="G17" s="113">
        <f t="shared" si="2"/>
        <v>0</v>
      </c>
      <c r="H17" s="113">
        <f t="shared" si="2"/>
        <v>0</v>
      </c>
      <c r="I17" s="86"/>
      <c r="J17" s="84"/>
      <c r="K17" s="1"/>
      <c r="L17" s="6"/>
      <c r="M17" s="6"/>
      <c r="N17" s="6"/>
      <c r="O17" s="6"/>
      <c r="P17" s="6"/>
      <c r="Q17" s="6"/>
      <c r="R17" s="6"/>
    </row>
    <row r="18" spans="1:18" ht="12.75" customHeight="1">
      <c r="A18" s="121"/>
      <c r="B18" s="122"/>
      <c r="C18" s="123" t="s">
        <v>172</v>
      </c>
      <c r="D18" s="124">
        <f>-Proyecciones!F186</f>
        <v>0</v>
      </c>
      <c r="E18" s="124">
        <f>-Proyecciones!G186</f>
        <v>0</v>
      </c>
      <c r="F18" s="124">
        <f>-Proyecciones!H186</f>
        <v>0</v>
      </c>
      <c r="G18" s="124">
        <f>-Proyecciones!I186</f>
        <v>0</v>
      </c>
      <c r="H18" s="124">
        <f>-Proyecciones!J186</f>
        <v>0</v>
      </c>
      <c r="I18" s="125"/>
      <c r="J18" s="121"/>
      <c r="K18" s="126"/>
      <c r="L18" s="6"/>
      <c r="M18" s="6"/>
      <c r="N18" s="6"/>
      <c r="O18" s="6"/>
      <c r="P18" s="6"/>
      <c r="Q18" s="6"/>
      <c r="R18" s="6"/>
    </row>
    <row r="19" spans="1:18" ht="12.75" customHeight="1">
      <c r="A19" s="121"/>
      <c r="B19" s="122"/>
      <c r="C19" s="123" t="s">
        <v>173</v>
      </c>
      <c r="D19" s="124">
        <f>Proyecciones!F97+Proyecciones!F100+Proyecciones!F107+Proyecciones!F114+Proyecciones!F121+Proyecciones!F128+Proyecciones!F135+Proyecciones!F142+Terrenos!C11+Construcciones!C10+Maquinaria!C10+Muebles!C10+Transporte!C10+Oficina!C10+Semovientes!C10+Permanentes!C10+Anticipados!D11</f>
        <v>0</v>
      </c>
      <c r="E19" s="124">
        <f>Proyecciones!G97+Proyecciones!G100+Proyecciones!G107+Proyecciones!G114+Proyecciones!G121+Proyecciones!G128+Proyecciones!G135+Proyecciones!G142+Terrenos!D11+Construcciones!D10+Maquinaria!D10+Muebles!D10+Transporte!D10+Oficina!D10+Semovientes!D10+Permanentes!D10+Anticipados!E11</f>
        <v>0</v>
      </c>
      <c r="F19" s="124">
        <f>Proyecciones!H97+Proyecciones!H100+Proyecciones!H107+Proyecciones!H114+Proyecciones!H121+Proyecciones!H128+Proyecciones!H135+Proyecciones!H142+Terrenos!E11+Construcciones!E10+Maquinaria!E10+Muebles!E10+Transporte!E10+Oficina!E10+Semovientes!E10+Permanentes!E10+Anticipados!F11</f>
        <v>0</v>
      </c>
      <c r="G19" s="124">
        <f>Proyecciones!I97+Proyecciones!I100+Proyecciones!I107+Proyecciones!I114+Proyecciones!I121+Proyecciones!I128+Proyecciones!I135+Proyecciones!I142+Terrenos!F11+Construcciones!F10+Maquinaria!F10+Muebles!F10+Transporte!F10+Oficina!F10+Semovientes!F10+Permanentes!F10+Anticipados!G11</f>
        <v>0</v>
      </c>
      <c r="H19" s="124">
        <f>Proyecciones!J97+Proyecciones!J100+Proyecciones!J107+Proyecciones!J114+Proyecciones!J121+Proyecciones!J128+Proyecciones!J135+Proyecciones!J142+Terrenos!G11+Construcciones!G10+Maquinaria!G10+Muebles!G10+Transporte!G10+Oficina!G10+Semovientes!G10+Permanentes!G10+Anticipados!H11</f>
        <v>0</v>
      </c>
      <c r="I19" s="125"/>
      <c r="J19" s="121"/>
      <c r="K19" s="126"/>
      <c r="L19" s="6"/>
      <c r="M19" s="6"/>
      <c r="N19" s="6"/>
      <c r="O19" s="6"/>
      <c r="P19" s="6"/>
      <c r="Q19" s="6"/>
      <c r="R19" s="6"/>
    </row>
    <row r="20" spans="1:18" ht="12.75" customHeight="1">
      <c r="A20" s="121"/>
      <c r="B20" s="122"/>
      <c r="C20" s="123" t="s">
        <v>174</v>
      </c>
      <c r="D20" s="124">
        <f>-Proyecciones!F102-Proyecciones!F109-Proyecciones!F116-Proyecciones!F123-Proyecciones!F130-Construcciones!C31-Maquinaria!C31-Muebles!C31-Transporte!C31-Oficina!C31</f>
        <v>0</v>
      </c>
      <c r="E20" s="124">
        <f>-Proyecciones!G102-Proyecciones!G109-Proyecciones!G116-Proyecciones!G123-Proyecciones!G130-Construcciones!D31-Maquinaria!D31-Muebles!D31-Transporte!D31-Oficina!D31</f>
        <v>0</v>
      </c>
      <c r="F20" s="124">
        <f>-Proyecciones!H102-Proyecciones!H109-Proyecciones!H116-Proyecciones!H123-Proyecciones!H130-Construcciones!E31-Maquinaria!E31-Muebles!E31-Transporte!E31-Oficina!E31</f>
        <v>0</v>
      </c>
      <c r="G20" s="124">
        <f>-Proyecciones!I102-Proyecciones!I109-Proyecciones!I116-Proyecciones!I123-Proyecciones!I130-Construcciones!F31-Maquinaria!F31-Muebles!F31-Transporte!F31-Oficina!F31</f>
        <v>0</v>
      </c>
      <c r="H20" s="124">
        <f>-Proyecciones!J102-Proyecciones!J109-Proyecciones!J116-Proyecciones!J123-Proyecciones!J130-Construcciones!G31-Maquinaria!G31-Muebles!G31-Transporte!G31-Oficina!G31</f>
        <v>0</v>
      </c>
      <c r="I20" s="125"/>
      <c r="J20" s="121"/>
      <c r="K20" s="126"/>
      <c r="L20" s="6"/>
      <c r="M20" s="6"/>
      <c r="N20" s="6"/>
      <c r="O20" s="6"/>
      <c r="P20" s="6"/>
      <c r="Q20" s="6"/>
      <c r="R20" s="6"/>
    </row>
    <row r="21" spans="1:18" ht="12.75" customHeight="1">
      <c r="A21" s="121"/>
      <c r="B21" s="122"/>
      <c r="C21" s="123" t="s">
        <v>175</v>
      </c>
      <c r="D21" s="124">
        <f>-Anticipados!D35</f>
        <v>0</v>
      </c>
      <c r="E21" s="124">
        <f>-Anticipados!E35</f>
        <v>0</v>
      </c>
      <c r="F21" s="124">
        <f>-Anticipados!F35</f>
        <v>0</v>
      </c>
      <c r="G21" s="124">
        <f>-Anticipados!G35</f>
        <v>0</v>
      </c>
      <c r="H21" s="124">
        <f>-Anticipados!H35</f>
        <v>0</v>
      </c>
      <c r="I21" s="125"/>
      <c r="J21" s="121"/>
      <c r="K21" s="126"/>
      <c r="L21" s="6"/>
      <c r="M21" s="6"/>
      <c r="N21" s="6"/>
      <c r="O21" s="6"/>
      <c r="P21" s="6"/>
      <c r="Q21" s="6"/>
      <c r="R21" s="6"/>
    </row>
    <row r="22" spans="1:18" ht="12.75" customHeight="1">
      <c r="A22" s="121"/>
      <c r="B22" s="122"/>
      <c r="C22" s="123" t="s">
        <v>176</v>
      </c>
      <c r="D22" s="124">
        <f>-Proyecciones!F137-Proyecciones!F144-Semovientes!C31-Permanentes!C31</f>
        <v>0</v>
      </c>
      <c r="E22" s="124">
        <f>-Proyecciones!G137-Proyecciones!G144-Semovientes!D31-Permanentes!D31</f>
        <v>0</v>
      </c>
      <c r="F22" s="124">
        <f>-Proyecciones!H137-Proyecciones!H144-Semovientes!E31-Permanentes!E31</f>
        <v>0</v>
      </c>
      <c r="G22" s="124">
        <f>-Proyecciones!I137-Proyecciones!I144-Semovientes!F31-Permanentes!F31</f>
        <v>0</v>
      </c>
      <c r="H22" s="124">
        <f>-Proyecciones!J137-Proyecciones!J144-Semovientes!G31-Permanentes!G31</f>
        <v>0</v>
      </c>
      <c r="I22" s="125"/>
      <c r="J22" s="121"/>
      <c r="K22" s="126"/>
      <c r="L22" s="6"/>
      <c r="M22" s="6"/>
      <c r="N22" s="6"/>
      <c r="O22" s="6"/>
      <c r="P22" s="6"/>
      <c r="Q22" s="6"/>
      <c r="R22" s="6"/>
    </row>
    <row r="23" spans="1:18" ht="12.75" customHeight="1">
      <c r="A23" s="84"/>
      <c r="B23" s="85"/>
      <c r="C23" s="127" t="s">
        <v>177</v>
      </c>
      <c r="D23" s="113">
        <f t="shared" ref="D23:H23" si="3">D18+D19+D20+D21+D22</f>
        <v>0</v>
      </c>
      <c r="E23" s="113">
        <f t="shared" si="3"/>
        <v>0</v>
      </c>
      <c r="F23" s="113">
        <f t="shared" si="3"/>
        <v>0</v>
      </c>
      <c r="G23" s="113">
        <f t="shared" si="3"/>
        <v>0</v>
      </c>
      <c r="H23" s="113">
        <f t="shared" si="3"/>
        <v>0</v>
      </c>
      <c r="I23" s="86"/>
      <c r="J23" s="84"/>
      <c r="K23" s="1"/>
      <c r="L23" s="6"/>
      <c r="M23" s="6"/>
      <c r="N23" s="6"/>
      <c r="O23" s="6"/>
      <c r="P23" s="6"/>
      <c r="Q23" s="6"/>
      <c r="R23" s="6"/>
    </row>
    <row r="24" spans="1:18" ht="12.75" customHeight="1">
      <c r="A24" s="114"/>
      <c r="B24" s="115"/>
      <c r="C24" s="116" t="s">
        <v>178</v>
      </c>
      <c r="D24" s="117">
        <f t="shared" ref="D24:H24" si="4">D14+D17+D23</f>
        <v>12737264.245269321</v>
      </c>
      <c r="E24" s="117">
        <f t="shared" si="4"/>
        <v>17580679.081342936</v>
      </c>
      <c r="F24" s="117">
        <f t="shared" si="4"/>
        <v>18941561.904278666</v>
      </c>
      <c r="G24" s="117">
        <f t="shared" si="4"/>
        <v>21048502.070557766</v>
      </c>
      <c r="H24" s="117">
        <f t="shared" si="4"/>
        <v>21946880.602482252</v>
      </c>
      <c r="I24" s="118"/>
      <c r="J24" s="114"/>
      <c r="K24" s="119"/>
      <c r="L24" s="6"/>
      <c r="M24" s="6"/>
      <c r="N24" s="6"/>
      <c r="O24" s="6"/>
      <c r="P24" s="6"/>
      <c r="Q24" s="6"/>
      <c r="R24" s="6"/>
    </row>
    <row r="25" spans="1:18" ht="12.75" customHeight="1">
      <c r="A25" s="84"/>
      <c r="B25" s="85"/>
      <c r="C25" s="112" t="s">
        <v>179</v>
      </c>
      <c r="D25" s="113">
        <f>+Proyecciones!F172</f>
        <v>4458042.4858442619</v>
      </c>
      <c r="E25" s="113">
        <f>+Proyecciones!G172</f>
        <v>6153237.6784700267</v>
      </c>
      <c r="F25" s="113">
        <f>+Proyecciones!H172</f>
        <v>6629546.6664975323</v>
      </c>
      <c r="G25" s="113">
        <f>+Proyecciones!I172</f>
        <v>7366975.7246952178</v>
      </c>
      <c r="H25" s="113">
        <f>+Proyecciones!J172</f>
        <v>7681408.210868788</v>
      </c>
      <c r="I25" s="86"/>
      <c r="J25" s="84"/>
      <c r="K25" s="1"/>
      <c r="L25" s="6"/>
      <c r="M25" s="6"/>
      <c r="N25" s="6"/>
      <c r="O25" s="6"/>
      <c r="P25" s="6"/>
      <c r="Q25" s="6"/>
      <c r="R25" s="6"/>
    </row>
    <row r="26" spans="1:18" ht="12.75" customHeight="1">
      <c r="A26" s="114"/>
      <c r="B26" s="115"/>
      <c r="C26" s="120" t="s">
        <v>180</v>
      </c>
      <c r="D26" s="117">
        <f t="shared" ref="D26:H26" si="5">D24-D25</f>
        <v>8279221.759425059</v>
      </c>
      <c r="E26" s="117">
        <f t="shared" si="5"/>
        <v>11427441.402872909</v>
      </c>
      <c r="F26" s="117">
        <f t="shared" si="5"/>
        <v>12312015.237781134</v>
      </c>
      <c r="G26" s="117">
        <f t="shared" si="5"/>
        <v>13681526.345862549</v>
      </c>
      <c r="H26" s="117">
        <f t="shared" si="5"/>
        <v>14265472.391613465</v>
      </c>
      <c r="I26" s="118"/>
      <c r="J26" s="114"/>
      <c r="K26" s="119"/>
      <c r="L26" s="6"/>
      <c r="M26" s="6"/>
      <c r="N26" s="6"/>
      <c r="O26" s="6"/>
      <c r="P26" s="6"/>
      <c r="Q26" s="6"/>
      <c r="R26" s="6"/>
    </row>
    <row r="27" spans="1:18" ht="13.5" customHeight="1">
      <c r="A27" s="84"/>
      <c r="B27" s="101"/>
      <c r="C27" s="128"/>
      <c r="D27" s="129">
        <f t="shared" ref="D27:H27" si="6">D26/D3</f>
        <v>8.2419939855144411E-2</v>
      </c>
      <c r="E27" s="129">
        <f t="shared" si="6"/>
        <v>9.5674549370181425E-2</v>
      </c>
      <c r="F27" s="129">
        <f t="shared" si="6"/>
        <v>0.10036076093731998</v>
      </c>
      <c r="G27" s="129">
        <f t="shared" si="6"/>
        <v>0.10658290787510312</v>
      </c>
      <c r="H27" s="129">
        <f t="shared" si="6"/>
        <v>0.10663113513796824</v>
      </c>
      <c r="I27" s="104"/>
      <c r="J27" s="84"/>
      <c r="K27" s="1"/>
      <c r="L27" s="6"/>
      <c r="M27" s="6"/>
      <c r="N27" s="6"/>
      <c r="O27" s="6"/>
      <c r="P27" s="6"/>
      <c r="Q27" s="6"/>
      <c r="R27" s="6"/>
    </row>
    <row r="28" spans="1:18" ht="12.75" customHeight="1">
      <c r="A28" s="84"/>
      <c r="B28" s="84"/>
      <c r="C28" s="105"/>
      <c r="D28" s="130"/>
      <c r="E28" s="130"/>
      <c r="F28" s="130"/>
      <c r="G28" s="130"/>
      <c r="H28" s="130"/>
      <c r="I28" s="84"/>
      <c r="J28" s="84"/>
      <c r="K28" s="1"/>
      <c r="L28" s="6"/>
      <c r="M28" s="6"/>
      <c r="N28" s="6"/>
      <c r="O28" s="6"/>
      <c r="P28" s="6"/>
      <c r="Q28" s="6"/>
      <c r="R28" s="6"/>
    </row>
    <row r="29" spans="1:18" ht="12.75" customHeight="1">
      <c r="A29" s="1"/>
      <c r="B29" s="1"/>
      <c r="C29" s="131"/>
      <c r="D29" s="132"/>
      <c r="E29" s="132"/>
      <c r="F29" s="132"/>
      <c r="G29" s="132"/>
      <c r="H29" s="132"/>
      <c r="I29" s="1"/>
      <c r="J29" s="1"/>
      <c r="K29" s="1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1"/>
      <c r="C30" s="131"/>
      <c r="D30" s="132"/>
      <c r="E30" s="132"/>
      <c r="F30" s="132"/>
      <c r="G30" s="132"/>
      <c r="H30" s="132"/>
      <c r="I30" s="1"/>
      <c r="J30" s="1"/>
      <c r="K30" s="1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D39" sqref="D39"/>
    </sheetView>
  </sheetViews>
  <sheetFormatPr baseColWidth="10" defaultColWidth="17.28515625" defaultRowHeight="15" customHeight="1"/>
  <cols>
    <col min="1" max="2" width="4.85546875" customWidth="1"/>
    <col min="3" max="3" width="38.42578125" customWidth="1"/>
    <col min="4" max="6" width="18.7109375" customWidth="1"/>
    <col min="7" max="9" width="19.42578125" customWidth="1"/>
    <col min="10" max="11" width="4.42578125" customWidth="1"/>
    <col min="12" max="20" width="0" hidden="1" customWidth="1"/>
  </cols>
  <sheetData>
    <row r="1" spans="1:20" ht="12.75" hidden="1" customHeight="1">
      <c r="A1" s="1"/>
      <c r="B1" s="1"/>
      <c r="C1" s="1"/>
      <c r="D1" s="133">
        <v>0</v>
      </c>
      <c r="E1" s="133">
        <v>1</v>
      </c>
      <c r="F1" s="133">
        <v>2</v>
      </c>
      <c r="G1" s="133">
        <v>3</v>
      </c>
      <c r="H1" s="133">
        <v>4</v>
      </c>
      <c r="I1" s="133">
        <v>5</v>
      </c>
      <c r="J1" s="1"/>
      <c r="K1" s="1"/>
      <c r="L1" s="1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84"/>
      <c r="B2" s="106"/>
      <c r="C2" s="134"/>
      <c r="D2" s="108">
        <f>Proyecciones!E3</f>
        <v>0</v>
      </c>
      <c r="E2" s="108">
        <f>Proyecciones!F3</f>
        <v>1</v>
      </c>
      <c r="F2" s="108">
        <f>Proyecciones!G3</f>
        <v>2</v>
      </c>
      <c r="G2" s="108">
        <f>Proyecciones!H3</f>
        <v>3</v>
      </c>
      <c r="H2" s="108">
        <f>Proyecciones!I3</f>
        <v>4</v>
      </c>
      <c r="I2" s="108">
        <f>Proyecciones!J3</f>
        <v>5</v>
      </c>
      <c r="J2" s="109"/>
      <c r="K2" s="84"/>
      <c r="L2" s="1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84"/>
      <c r="B3" s="85"/>
      <c r="C3" s="135" t="s">
        <v>181</v>
      </c>
      <c r="D3" s="1"/>
      <c r="E3" s="1"/>
      <c r="F3" s="1"/>
      <c r="G3" s="1"/>
      <c r="H3" s="1"/>
      <c r="I3" s="1"/>
      <c r="J3" s="86"/>
      <c r="K3" s="84"/>
      <c r="L3" s="1"/>
      <c r="M3" s="6"/>
      <c r="N3" s="6"/>
      <c r="O3" s="6"/>
      <c r="P3" s="6"/>
      <c r="Q3" s="6"/>
      <c r="R3" s="6"/>
      <c r="S3" s="6"/>
      <c r="T3" s="6"/>
    </row>
    <row r="4" spans="1:20" ht="12.75" customHeight="1">
      <c r="A4" s="84"/>
      <c r="B4" s="85"/>
      <c r="C4" s="136" t="s">
        <v>182</v>
      </c>
      <c r="D4" s="137"/>
      <c r="E4" s="137"/>
      <c r="F4" s="137"/>
      <c r="G4" s="137"/>
      <c r="H4" s="137"/>
      <c r="I4" s="137"/>
      <c r="J4" s="86"/>
      <c r="K4" s="84"/>
      <c r="L4" s="1"/>
      <c r="M4" s="6"/>
      <c r="N4" s="6"/>
      <c r="O4" s="6"/>
      <c r="P4" s="6"/>
      <c r="Q4" s="6"/>
      <c r="R4" s="6"/>
      <c r="S4" s="6"/>
      <c r="T4" s="6"/>
    </row>
    <row r="5" spans="1:20" ht="12.75" customHeight="1">
      <c r="A5" s="84"/>
      <c r="B5" s="85"/>
      <c r="C5" s="138" t="s">
        <v>183</v>
      </c>
      <c r="D5" s="113">
        <f>D56-D6-D8-D9-D10-D11-D14-D16-D19-D22-D25-D28-D31-D34-D37-D39</f>
        <v>61418581</v>
      </c>
      <c r="E5" s="113">
        <f>'Flujo de Caja'!E44</f>
        <v>73327251.125928521</v>
      </c>
      <c r="F5" s="113">
        <f>'Flujo de Caja'!F44</f>
        <v>85393200.547231227</v>
      </c>
      <c r="G5" s="113">
        <f>'Flujo de Caja'!G44</f>
        <v>99404843.705645978</v>
      </c>
      <c r="H5" s="113">
        <f>'Flujo de Caja'!H44</f>
        <v>113892749.04308634</v>
      </c>
      <c r="I5" s="113">
        <f>'Flujo de Caja'!I44</f>
        <v>128555836.93806514</v>
      </c>
      <c r="J5" s="86"/>
      <c r="K5" s="84"/>
      <c r="L5" s="1"/>
      <c r="M5" s="6"/>
      <c r="N5" s="6"/>
      <c r="O5" s="6"/>
      <c r="P5" s="6"/>
      <c r="Q5" s="6"/>
      <c r="R5" s="6"/>
      <c r="S5" s="6"/>
      <c r="T5" s="6"/>
    </row>
    <row r="6" spans="1:20" ht="12.75" customHeight="1">
      <c r="A6" s="84"/>
      <c r="B6" s="85"/>
      <c r="C6" s="138" t="s">
        <v>184</v>
      </c>
      <c r="D6" s="113">
        <f>Proyecciones!E64</f>
        <v>0</v>
      </c>
      <c r="E6" s="113">
        <f>Proyecciones!F64</f>
        <v>2232259.6460074661</v>
      </c>
      <c r="F6" s="113">
        <f>Proyecciones!G64</f>
        <v>9953397.1138780043</v>
      </c>
      <c r="G6" s="113">
        <f>Proyecciones!H64</f>
        <v>10223131.632649543</v>
      </c>
      <c r="H6" s="113">
        <f>Proyecciones!I64</f>
        <v>10697092.228188962</v>
      </c>
      <c r="I6" s="113">
        <f>Proyecciones!J64</f>
        <v>11148613.999369266</v>
      </c>
      <c r="J6" s="86"/>
      <c r="K6" s="84"/>
      <c r="L6" s="1"/>
      <c r="M6" s="6"/>
      <c r="N6" s="6"/>
      <c r="O6" s="6"/>
      <c r="P6" s="6"/>
      <c r="Q6" s="6"/>
      <c r="R6" s="6"/>
      <c r="S6" s="6"/>
      <c r="T6" s="6"/>
    </row>
    <row r="7" spans="1:20" ht="12.75" customHeight="1">
      <c r="A7" s="84"/>
      <c r="B7" s="85"/>
      <c r="C7" s="138" t="s">
        <v>47</v>
      </c>
      <c r="D7" s="113"/>
      <c r="E7" s="113">
        <f>-Proyecciones!F67</f>
        <v>0</v>
      </c>
      <c r="F7" s="113">
        <f>-Proyecciones!G67</f>
        <v>0</v>
      </c>
      <c r="G7" s="113">
        <f>-Proyecciones!H67</f>
        <v>0</v>
      </c>
      <c r="H7" s="113">
        <f>-Proyecciones!I67</f>
        <v>0</v>
      </c>
      <c r="I7" s="113">
        <f>-Proyecciones!J67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  <c r="T7" s="6"/>
    </row>
    <row r="8" spans="1:20" ht="12.75" customHeight="1">
      <c r="A8" s="139"/>
      <c r="B8" s="140"/>
      <c r="C8" s="138" t="s">
        <v>185</v>
      </c>
      <c r="D8" s="113">
        <f>Proyecciones!E77</f>
        <v>0</v>
      </c>
      <c r="E8" s="113">
        <f>Proyecciones!F77</f>
        <v>75001.14</v>
      </c>
      <c r="F8" s="113">
        <f>Proyecciones!G77</f>
        <v>113851.73052</v>
      </c>
      <c r="G8" s="113">
        <f>Proyecciones!H77</f>
        <v>135512.02225142997</v>
      </c>
      <c r="H8" s="113">
        <f>Proyecciones!I77</f>
        <v>175318.67878778753</v>
      </c>
      <c r="I8" s="113">
        <f>Proyecciones!J77</f>
        <v>199600.31579989608</v>
      </c>
      <c r="J8" s="141"/>
      <c r="K8" s="139"/>
      <c r="L8" s="142"/>
      <c r="M8" s="6"/>
      <c r="N8" s="6"/>
      <c r="O8" s="6"/>
      <c r="P8" s="6"/>
      <c r="Q8" s="6"/>
      <c r="R8" s="6"/>
      <c r="S8" s="6"/>
      <c r="T8" s="6"/>
    </row>
    <row r="9" spans="1:20" ht="12.75" customHeight="1">
      <c r="A9" s="139"/>
      <c r="B9" s="140"/>
      <c r="C9" s="138" t="s">
        <v>186</v>
      </c>
      <c r="D9" s="113">
        <f>Proyecciones!E74</f>
        <v>0</v>
      </c>
      <c r="E9" s="113">
        <f>Proyecciones!F74</f>
        <v>0</v>
      </c>
      <c r="F9" s="113">
        <f>Proyecciones!G74</f>
        <v>0</v>
      </c>
      <c r="G9" s="113">
        <f>Proyecciones!H74</f>
        <v>0</v>
      </c>
      <c r="H9" s="113">
        <f>Proyecciones!I74</f>
        <v>0</v>
      </c>
      <c r="I9" s="113">
        <f>Proyecciones!J74</f>
        <v>0</v>
      </c>
      <c r="J9" s="141"/>
      <c r="K9" s="139"/>
      <c r="L9" s="142"/>
      <c r="M9" s="6"/>
      <c r="N9" s="6"/>
      <c r="O9" s="6"/>
      <c r="P9" s="6"/>
      <c r="Q9" s="6"/>
      <c r="R9" s="6"/>
      <c r="S9" s="6"/>
      <c r="T9" s="6"/>
    </row>
    <row r="10" spans="1:20" ht="12.75" customHeight="1">
      <c r="A10" s="139"/>
      <c r="B10" s="140"/>
      <c r="C10" s="138" t="s">
        <v>187</v>
      </c>
      <c r="D10" s="113">
        <f>Proyecciones!E71</f>
        <v>0</v>
      </c>
      <c r="E10" s="113">
        <f>Proyecciones!F71</f>
        <v>0</v>
      </c>
      <c r="F10" s="113">
        <f>Proyecciones!G71</f>
        <v>0</v>
      </c>
      <c r="G10" s="113">
        <f>Proyecciones!H71</f>
        <v>0</v>
      </c>
      <c r="H10" s="113">
        <f>Proyecciones!I71</f>
        <v>0</v>
      </c>
      <c r="I10" s="113">
        <f>Proyecciones!J71</f>
        <v>0</v>
      </c>
      <c r="J10" s="141"/>
      <c r="K10" s="139"/>
      <c r="L10" s="142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A11" s="139"/>
      <c r="B11" s="140"/>
      <c r="C11" s="138" t="s">
        <v>188</v>
      </c>
      <c r="D11" s="113">
        <f>Proyecciones!E81</f>
        <v>0</v>
      </c>
      <c r="E11" s="113">
        <f>Proyecciones!F81</f>
        <v>0</v>
      </c>
      <c r="F11" s="113">
        <f>Proyecciones!G81</f>
        <v>0</v>
      </c>
      <c r="G11" s="113">
        <f>Proyecciones!H81</f>
        <v>0</v>
      </c>
      <c r="H11" s="113">
        <f>Proyecciones!I81</f>
        <v>0</v>
      </c>
      <c r="I11" s="113">
        <f>Proyecciones!J81</f>
        <v>0</v>
      </c>
      <c r="J11" s="141"/>
      <c r="K11" s="139"/>
      <c r="L11" s="142"/>
      <c r="M11" s="6"/>
      <c r="N11" s="6"/>
      <c r="O11" s="6"/>
      <c r="P11" s="6"/>
      <c r="Q11" s="6"/>
      <c r="R11" s="6"/>
      <c r="S11" s="6"/>
      <c r="T11" s="6"/>
    </row>
    <row r="12" spans="1:20" ht="12.75" hidden="1" customHeight="1">
      <c r="A12" s="139"/>
      <c r="B12" s="140"/>
      <c r="C12" s="123" t="s">
        <v>64</v>
      </c>
      <c r="D12" s="113">
        <f>Anticipados!C19</f>
        <v>0</v>
      </c>
      <c r="E12" s="113">
        <f>Anticipados!D19</f>
        <v>0</v>
      </c>
      <c r="F12" s="113">
        <f>Anticipados!E19</f>
        <v>0</v>
      </c>
      <c r="G12" s="113">
        <f>Anticipados!F19</f>
        <v>0</v>
      </c>
      <c r="H12" s="113">
        <f>Anticipados!G19</f>
        <v>0</v>
      </c>
      <c r="I12" s="113">
        <f>Anticipados!H19</f>
        <v>0</v>
      </c>
      <c r="J12" s="141"/>
      <c r="K12" s="139"/>
      <c r="L12" s="142"/>
      <c r="M12" s="6"/>
      <c r="N12" s="6"/>
      <c r="O12" s="6"/>
      <c r="P12" s="6"/>
      <c r="Q12" s="6"/>
      <c r="R12" s="6"/>
      <c r="S12" s="6"/>
      <c r="T12" s="6"/>
    </row>
    <row r="13" spans="1:20" ht="12.75" hidden="1" customHeight="1">
      <c r="A13" s="139"/>
      <c r="B13" s="140"/>
      <c r="C13" s="123" t="s">
        <v>189</v>
      </c>
      <c r="D13" s="113">
        <f>-Anticipados!C43</f>
        <v>0</v>
      </c>
      <c r="E13" s="113">
        <f>-Anticipados!D43</f>
        <v>0</v>
      </c>
      <c r="F13" s="113">
        <f>-Anticipados!E43</f>
        <v>0</v>
      </c>
      <c r="G13" s="113">
        <f>-Anticipados!F43</f>
        <v>0</v>
      </c>
      <c r="H13" s="113">
        <f>-Anticipados!G43</f>
        <v>0</v>
      </c>
      <c r="I13" s="113">
        <f>-Anticipados!H43</f>
        <v>0</v>
      </c>
      <c r="J13" s="141"/>
      <c r="K13" s="139"/>
      <c r="L13" s="142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39"/>
      <c r="B14" s="140"/>
      <c r="C14" s="138" t="s">
        <v>64</v>
      </c>
      <c r="D14" s="113">
        <f t="shared" ref="D14:I14" si="0">D12+D13</f>
        <v>0</v>
      </c>
      <c r="E14" s="113">
        <f t="shared" si="0"/>
        <v>0</v>
      </c>
      <c r="F14" s="113">
        <f t="shared" si="0"/>
        <v>0</v>
      </c>
      <c r="G14" s="113">
        <f t="shared" si="0"/>
        <v>0</v>
      </c>
      <c r="H14" s="113">
        <f t="shared" si="0"/>
        <v>0</v>
      </c>
      <c r="I14" s="113">
        <f t="shared" si="0"/>
        <v>0</v>
      </c>
      <c r="J14" s="141"/>
      <c r="K14" s="139"/>
      <c r="L14" s="142"/>
      <c r="M14" s="6"/>
      <c r="N14" s="6"/>
      <c r="O14" s="6"/>
      <c r="P14" s="6"/>
      <c r="Q14" s="6"/>
      <c r="R14" s="6"/>
      <c r="S14" s="6"/>
      <c r="T14" s="6"/>
    </row>
    <row r="15" spans="1:20" ht="13.5" customHeight="1">
      <c r="A15" s="114"/>
      <c r="B15" s="115"/>
      <c r="C15" s="143" t="s">
        <v>190</v>
      </c>
      <c r="D15" s="117">
        <f t="shared" ref="D15:I15" si="1">SUM(D5:D11)+D14</f>
        <v>61418581</v>
      </c>
      <c r="E15" s="117">
        <f t="shared" si="1"/>
        <v>75634511.911935985</v>
      </c>
      <c r="F15" s="117">
        <f t="shared" si="1"/>
        <v>95460449.391629234</v>
      </c>
      <c r="G15" s="117">
        <f t="shared" si="1"/>
        <v>109763487.36054695</v>
      </c>
      <c r="H15" s="117">
        <f t="shared" si="1"/>
        <v>124765159.95006308</v>
      </c>
      <c r="I15" s="117">
        <f t="shared" si="1"/>
        <v>139904051.2532343</v>
      </c>
      <c r="J15" s="118"/>
      <c r="K15" s="114"/>
      <c r="L15" s="119"/>
      <c r="M15" s="6"/>
      <c r="N15" s="6"/>
      <c r="O15" s="6"/>
      <c r="P15" s="6"/>
      <c r="Q15" s="6"/>
      <c r="R15" s="6"/>
      <c r="S15" s="6"/>
      <c r="T15" s="6"/>
    </row>
    <row r="16" spans="1:20" ht="12.75" customHeight="1">
      <c r="A16" s="84"/>
      <c r="B16" s="85"/>
      <c r="C16" s="138" t="s">
        <v>74</v>
      </c>
      <c r="D16" s="113">
        <f>Proyecciones!E96</f>
        <v>0</v>
      </c>
      <c r="E16" s="113">
        <f>Proyecciones!F96+Terrenos!C18</f>
        <v>0</v>
      </c>
      <c r="F16" s="113">
        <f>Proyecciones!G96+Terrenos!D18</f>
        <v>0</v>
      </c>
      <c r="G16" s="113">
        <f>Proyecciones!H96+Terrenos!E18</f>
        <v>0</v>
      </c>
      <c r="H16" s="113">
        <f>Proyecciones!I96+Terrenos!F18</f>
        <v>0</v>
      </c>
      <c r="I16" s="113">
        <f>Proyecciones!J96+Terrenos!G18</f>
        <v>0</v>
      </c>
      <c r="J16" s="86"/>
      <c r="K16" s="84"/>
      <c r="L16" s="1"/>
      <c r="M16" s="6"/>
      <c r="N16" s="6"/>
      <c r="O16" s="6"/>
      <c r="P16" s="6"/>
      <c r="Q16" s="6"/>
      <c r="R16" s="6"/>
      <c r="S16" s="6"/>
      <c r="T16" s="6"/>
    </row>
    <row r="17" spans="1:20" ht="12.75" hidden="1" customHeight="1">
      <c r="A17" s="84"/>
      <c r="B17" s="85"/>
      <c r="C17" s="123" t="s">
        <v>77</v>
      </c>
      <c r="D17" s="113">
        <f>Proyecciones!E99</f>
        <v>0</v>
      </c>
      <c r="E17" s="113">
        <f>Proyecciones!F99+Construcciones!C17</f>
        <v>0</v>
      </c>
      <c r="F17" s="113">
        <f>Proyecciones!G99+Construcciones!D17</f>
        <v>0</v>
      </c>
      <c r="G17" s="113">
        <f>Proyecciones!H99+Construcciones!E17</f>
        <v>0</v>
      </c>
      <c r="H17" s="113">
        <f>Proyecciones!I99+Construcciones!F17</f>
        <v>0</v>
      </c>
      <c r="I17" s="113">
        <f>Proyecciones!J99+Construcciones!G17</f>
        <v>0</v>
      </c>
      <c r="J17" s="86"/>
      <c r="K17" s="84"/>
      <c r="L17" s="1"/>
      <c r="M17" s="6"/>
      <c r="N17" s="6"/>
      <c r="O17" s="6"/>
      <c r="P17" s="6"/>
      <c r="Q17" s="6"/>
      <c r="R17" s="6"/>
      <c r="S17" s="6"/>
      <c r="T17" s="6"/>
    </row>
    <row r="18" spans="1:20" ht="12.75" hidden="1" customHeight="1">
      <c r="A18" s="84"/>
      <c r="B18" s="85"/>
      <c r="C18" s="123" t="s">
        <v>191</v>
      </c>
      <c r="D18" s="113"/>
      <c r="E18" s="113">
        <f>-Proyecciones!F103-Construcciones!C38</f>
        <v>0</v>
      </c>
      <c r="F18" s="113">
        <f>-Proyecciones!G103-Construcciones!D38</f>
        <v>0</v>
      </c>
      <c r="G18" s="113">
        <f>-Proyecciones!H103-Construcciones!E38</f>
        <v>0</v>
      </c>
      <c r="H18" s="113">
        <f>-Proyecciones!I103-Construcciones!F38</f>
        <v>0</v>
      </c>
      <c r="I18" s="113">
        <f>-Proyecciones!J103-Construcciones!G38</f>
        <v>0</v>
      </c>
      <c r="J18" s="86"/>
      <c r="K18" s="84"/>
      <c r="L18" s="1"/>
      <c r="M18" s="6"/>
      <c r="N18" s="6"/>
      <c r="O18" s="6"/>
      <c r="P18" s="6"/>
      <c r="Q18" s="6"/>
      <c r="R18" s="6"/>
      <c r="S18" s="6"/>
      <c r="T18" s="6"/>
    </row>
    <row r="19" spans="1:20" ht="12.75" customHeight="1">
      <c r="A19" s="84"/>
      <c r="B19" s="85"/>
      <c r="C19" s="138" t="s">
        <v>77</v>
      </c>
      <c r="D19" s="113">
        <f t="shared" ref="D19:I19" si="2">D17+D18</f>
        <v>0</v>
      </c>
      <c r="E19" s="113">
        <f t="shared" si="2"/>
        <v>0</v>
      </c>
      <c r="F19" s="113">
        <f t="shared" si="2"/>
        <v>0</v>
      </c>
      <c r="G19" s="113">
        <f t="shared" si="2"/>
        <v>0</v>
      </c>
      <c r="H19" s="113">
        <f t="shared" si="2"/>
        <v>0</v>
      </c>
      <c r="I19" s="113">
        <f t="shared" si="2"/>
        <v>0</v>
      </c>
      <c r="J19" s="86"/>
      <c r="K19" s="84"/>
      <c r="L19" s="1"/>
      <c r="M19" s="6"/>
      <c r="N19" s="6"/>
      <c r="O19" s="6"/>
      <c r="P19" s="6"/>
      <c r="Q19" s="6"/>
      <c r="R19" s="6"/>
      <c r="S19" s="6"/>
      <c r="T19" s="6"/>
    </row>
    <row r="20" spans="1:20" ht="12.75" hidden="1" customHeight="1">
      <c r="A20" s="84"/>
      <c r="B20" s="85"/>
      <c r="C20" s="123" t="s">
        <v>152</v>
      </c>
      <c r="D20" s="113">
        <f>Proyecciones!E106</f>
        <v>0</v>
      </c>
      <c r="E20" s="113">
        <f>Proyecciones!F106+Maquinaria!C17</f>
        <v>0</v>
      </c>
      <c r="F20" s="113">
        <f>Proyecciones!G106+Maquinaria!D17</f>
        <v>0</v>
      </c>
      <c r="G20" s="113">
        <f>Proyecciones!H106+Maquinaria!E17</f>
        <v>0</v>
      </c>
      <c r="H20" s="113">
        <f>Proyecciones!I106+Maquinaria!F17</f>
        <v>0</v>
      </c>
      <c r="I20" s="113">
        <f>Proyecciones!J106+Maquinaria!G17</f>
        <v>0</v>
      </c>
      <c r="J20" s="86"/>
      <c r="K20" s="84"/>
      <c r="L20" s="1"/>
      <c r="M20" s="6"/>
      <c r="N20" s="6"/>
      <c r="O20" s="6"/>
      <c r="P20" s="6"/>
      <c r="Q20" s="6"/>
      <c r="R20" s="6"/>
      <c r="S20" s="6"/>
      <c r="T20" s="6"/>
    </row>
    <row r="21" spans="1:20" ht="12.75" hidden="1" customHeight="1">
      <c r="A21" s="84"/>
      <c r="B21" s="85"/>
      <c r="C21" s="123" t="s">
        <v>192</v>
      </c>
      <c r="D21" s="113"/>
      <c r="E21" s="113">
        <f>-Proyecciones!F110-Maquinaria!C38</f>
        <v>0</v>
      </c>
      <c r="F21" s="113">
        <f>-Proyecciones!G110-Maquinaria!D38</f>
        <v>0</v>
      </c>
      <c r="G21" s="113">
        <f>-Proyecciones!H110-Maquinaria!E38</f>
        <v>0</v>
      </c>
      <c r="H21" s="113">
        <f>-Proyecciones!I110-Maquinaria!F38</f>
        <v>0</v>
      </c>
      <c r="I21" s="113">
        <f>-Proyecciones!J110-Maquinaria!G38</f>
        <v>0</v>
      </c>
      <c r="J21" s="86"/>
      <c r="K21" s="84"/>
      <c r="L21" s="1"/>
      <c r="M21" s="6"/>
      <c r="N21" s="6"/>
      <c r="O21" s="6"/>
      <c r="P21" s="6"/>
      <c r="Q21" s="6"/>
      <c r="R21" s="6"/>
      <c r="S21" s="6"/>
      <c r="T21" s="6"/>
    </row>
    <row r="22" spans="1:20" ht="12.75" customHeight="1">
      <c r="A22" s="84"/>
      <c r="B22" s="85"/>
      <c r="C22" s="138" t="s">
        <v>152</v>
      </c>
      <c r="D22" s="113">
        <f>D20-D21</f>
        <v>0</v>
      </c>
      <c r="E22" s="113">
        <f t="shared" ref="E22:I22" si="3">E20+E21</f>
        <v>0</v>
      </c>
      <c r="F22" s="113">
        <f t="shared" si="3"/>
        <v>0</v>
      </c>
      <c r="G22" s="113">
        <f t="shared" si="3"/>
        <v>0</v>
      </c>
      <c r="H22" s="113">
        <f t="shared" si="3"/>
        <v>0</v>
      </c>
      <c r="I22" s="113">
        <f t="shared" si="3"/>
        <v>0</v>
      </c>
      <c r="J22" s="86"/>
      <c r="K22" s="84"/>
      <c r="L22" s="1"/>
      <c r="M22" s="6"/>
      <c r="N22" s="6"/>
      <c r="O22" s="6"/>
      <c r="P22" s="6"/>
      <c r="Q22" s="6"/>
      <c r="R22" s="6"/>
      <c r="S22" s="6"/>
      <c r="T22" s="6"/>
    </row>
    <row r="23" spans="1:20" ht="12.75" hidden="1" customHeight="1">
      <c r="A23" s="84"/>
      <c r="B23" s="85"/>
      <c r="C23" s="123" t="s">
        <v>84</v>
      </c>
      <c r="D23" s="113">
        <f>Proyecciones!E113</f>
        <v>1560000</v>
      </c>
      <c r="E23" s="113">
        <f>Proyecciones!F113+Muebles!C17</f>
        <v>1560000</v>
      </c>
      <c r="F23" s="113">
        <f>Proyecciones!G113+Muebles!D17</f>
        <v>1560000</v>
      </c>
      <c r="G23" s="113">
        <f>Proyecciones!H113+Muebles!E17</f>
        <v>1560000</v>
      </c>
      <c r="H23" s="113">
        <f>Proyecciones!I113+Muebles!F17</f>
        <v>1560000</v>
      </c>
      <c r="I23" s="113">
        <f>Proyecciones!J113+Muebles!G17</f>
        <v>1560000</v>
      </c>
      <c r="J23" s="86"/>
      <c r="K23" s="84"/>
      <c r="L23" s="1"/>
      <c r="M23" s="6"/>
      <c r="N23" s="6"/>
      <c r="O23" s="6"/>
      <c r="P23" s="6"/>
      <c r="Q23" s="6"/>
      <c r="R23" s="6"/>
      <c r="S23" s="6"/>
      <c r="T23" s="6"/>
    </row>
    <row r="24" spans="1:20" ht="12.75" hidden="1" customHeight="1">
      <c r="A24" s="84"/>
      <c r="B24" s="85"/>
      <c r="C24" s="123" t="s">
        <v>192</v>
      </c>
      <c r="D24" s="113"/>
      <c r="E24" s="113">
        <f>-Proyecciones!F117-Muebles!C38</f>
        <v>-312000</v>
      </c>
      <c r="F24" s="113">
        <f>-Proyecciones!G117-Muebles!D38</f>
        <v>-624000</v>
      </c>
      <c r="G24" s="113">
        <f>-Proyecciones!H117-Muebles!E38</f>
        <v>-936000</v>
      </c>
      <c r="H24" s="113">
        <f>-Proyecciones!I117-Muebles!F38</f>
        <v>-1248000</v>
      </c>
      <c r="I24" s="113">
        <f>-Proyecciones!J117-Muebles!G38</f>
        <v>-1560000</v>
      </c>
      <c r="J24" s="86"/>
      <c r="K24" s="84"/>
      <c r="L24" s="1"/>
      <c r="M24" s="6"/>
      <c r="N24" s="6"/>
      <c r="O24" s="6"/>
      <c r="P24" s="6"/>
      <c r="Q24" s="6"/>
      <c r="R24" s="6"/>
      <c r="S24" s="6"/>
      <c r="T24" s="6"/>
    </row>
    <row r="25" spans="1:20" ht="12.75" customHeight="1">
      <c r="A25" s="84"/>
      <c r="B25" s="85"/>
      <c r="C25" s="138" t="s">
        <v>84</v>
      </c>
      <c r="D25" s="113">
        <f>D23-D24</f>
        <v>1560000</v>
      </c>
      <c r="E25" s="113">
        <f t="shared" ref="E25:I25" si="4">E23+E24</f>
        <v>1248000</v>
      </c>
      <c r="F25" s="113">
        <f t="shared" si="4"/>
        <v>936000</v>
      </c>
      <c r="G25" s="113">
        <f t="shared" si="4"/>
        <v>624000</v>
      </c>
      <c r="H25" s="113">
        <f t="shared" si="4"/>
        <v>312000</v>
      </c>
      <c r="I25" s="113">
        <f t="shared" si="4"/>
        <v>0</v>
      </c>
      <c r="J25" s="86"/>
      <c r="K25" s="84"/>
      <c r="L25" s="1"/>
      <c r="M25" s="6"/>
      <c r="N25" s="6"/>
      <c r="O25" s="6"/>
      <c r="P25" s="6"/>
      <c r="Q25" s="6"/>
      <c r="R25" s="6"/>
      <c r="S25" s="6"/>
      <c r="T25" s="6"/>
    </row>
    <row r="26" spans="1:20" ht="12.75" hidden="1" customHeight="1">
      <c r="A26" s="84"/>
      <c r="B26" s="85"/>
      <c r="C26" s="123" t="s">
        <v>85</v>
      </c>
      <c r="D26" s="113">
        <f>Proyecciones!E120</f>
        <v>0</v>
      </c>
      <c r="E26" s="113">
        <f>Proyecciones!F120+Transporte!C17</f>
        <v>0</v>
      </c>
      <c r="F26" s="113">
        <f>Proyecciones!G120+Transporte!D17</f>
        <v>0</v>
      </c>
      <c r="G26" s="113">
        <f>Proyecciones!H120+Transporte!E17</f>
        <v>0</v>
      </c>
      <c r="H26" s="113">
        <f>Proyecciones!I120+Transporte!F17</f>
        <v>0</v>
      </c>
      <c r="I26" s="113">
        <f>Proyecciones!J120+Transporte!G17</f>
        <v>0</v>
      </c>
      <c r="J26" s="86"/>
      <c r="K26" s="84"/>
      <c r="L26" s="1"/>
      <c r="M26" s="6"/>
      <c r="N26" s="6"/>
      <c r="O26" s="6"/>
      <c r="P26" s="6"/>
      <c r="Q26" s="6"/>
      <c r="R26" s="6"/>
      <c r="S26" s="6"/>
      <c r="T26" s="6"/>
    </row>
    <row r="27" spans="1:20" ht="12.75" hidden="1" customHeight="1">
      <c r="A27" s="84"/>
      <c r="B27" s="85"/>
      <c r="C27" s="123" t="s">
        <v>192</v>
      </c>
      <c r="D27" s="113"/>
      <c r="E27" s="113">
        <f>-Proyecciones!F124-Transporte!C38</f>
        <v>0</v>
      </c>
      <c r="F27" s="113">
        <f>-Proyecciones!G124-Transporte!D38</f>
        <v>0</v>
      </c>
      <c r="G27" s="113">
        <f>-Proyecciones!H124-Transporte!E38</f>
        <v>0</v>
      </c>
      <c r="H27" s="113">
        <f>-Proyecciones!I124-Transporte!F38</f>
        <v>0</v>
      </c>
      <c r="I27" s="113">
        <f>-Proyecciones!J124-Transporte!G38</f>
        <v>0</v>
      </c>
      <c r="J27" s="86"/>
      <c r="K27" s="84"/>
      <c r="L27" s="1"/>
      <c r="M27" s="6"/>
      <c r="N27" s="6"/>
      <c r="O27" s="6"/>
      <c r="P27" s="6"/>
      <c r="Q27" s="6"/>
      <c r="R27" s="6"/>
      <c r="S27" s="6"/>
      <c r="T27" s="6"/>
    </row>
    <row r="28" spans="1:20" ht="12.75" customHeight="1">
      <c r="A28" s="84"/>
      <c r="B28" s="85"/>
      <c r="C28" s="138" t="s">
        <v>85</v>
      </c>
      <c r="D28" s="113">
        <f>D26-D27</f>
        <v>0</v>
      </c>
      <c r="E28" s="113">
        <f t="shared" ref="E28:I28" si="5">E26+E27</f>
        <v>0</v>
      </c>
      <c r="F28" s="113">
        <f t="shared" si="5"/>
        <v>0</v>
      </c>
      <c r="G28" s="113">
        <f t="shared" si="5"/>
        <v>0</v>
      </c>
      <c r="H28" s="113">
        <f t="shared" si="5"/>
        <v>0</v>
      </c>
      <c r="I28" s="113">
        <f t="shared" si="5"/>
        <v>0</v>
      </c>
      <c r="J28" s="86"/>
      <c r="K28" s="84"/>
      <c r="L28" s="1"/>
      <c r="M28" s="6"/>
      <c r="N28" s="6"/>
      <c r="O28" s="6"/>
      <c r="P28" s="6"/>
      <c r="Q28" s="6"/>
      <c r="R28" s="6"/>
      <c r="S28" s="6"/>
      <c r="T28" s="6"/>
    </row>
    <row r="29" spans="1:20" ht="12.75" hidden="1" customHeight="1">
      <c r="A29" s="84"/>
      <c r="B29" s="85"/>
      <c r="C29" s="123" t="s">
        <v>86</v>
      </c>
      <c r="D29" s="113">
        <f>Proyecciones!E127</f>
        <v>3500000</v>
      </c>
      <c r="E29" s="113">
        <f>Proyecciones!F127+Oficina!C17</f>
        <v>3500000</v>
      </c>
      <c r="F29" s="113">
        <f>Proyecciones!G127+Oficina!D17</f>
        <v>3500000</v>
      </c>
      <c r="G29" s="113">
        <f>Proyecciones!H127+Oficina!E17</f>
        <v>3500000</v>
      </c>
      <c r="H29" s="113">
        <f>Proyecciones!I127+Oficina!F17</f>
        <v>3500000</v>
      </c>
      <c r="I29" s="113">
        <f>Proyecciones!J127+Oficina!G17</f>
        <v>3500000</v>
      </c>
      <c r="J29" s="86"/>
      <c r="K29" s="84"/>
      <c r="L29" s="1"/>
      <c r="M29" s="6"/>
      <c r="N29" s="6"/>
      <c r="O29" s="6"/>
      <c r="P29" s="6"/>
      <c r="Q29" s="6"/>
      <c r="R29" s="6"/>
      <c r="S29" s="6"/>
      <c r="T29" s="6"/>
    </row>
    <row r="30" spans="1:20" ht="12.75" hidden="1" customHeight="1">
      <c r="A30" s="84"/>
      <c r="B30" s="85"/>
      <c r="C30" s="123" t="s">
        <v>192</v>
      </c>
      <c r="D30" s="113"/>
      <c r="E30" s="113">
        <f>-Proyecciones!F131-Oficina!C38</f>
        <v>-1166666.6666666667</v>
      </c>
      <c r="F30" s="113">
        <f>-Proyecciones!G131-Oficina!D38</f>
        <v>-2333333.3333333335</v>
      </c>
      <c r="G30" s="113">
        <f>-Proyecciones!H131-Oficina!E38</f>
        <v>-3500000</v>
      </c>
      <c r="H30" s="113">
        <f>-Proyecciones!I131-Oficina!F38</f>
        <v>-3500000</v>
      </c>
      <c r="I30" s="113">
        <f>-Proyecciones!J131-Oficina!G38</f>
        <v>-3500000</v>
      </c>
      <c r="J30" s="86"/>
      <c r="K30" s="84"/>
      <c r="L30" s="1"/>
      <c r="M30" s="6"/>
      <c r="N30" s="6"/>
      <c r="O30" s="6"/>
      <c r="P30" s="6"/>
      <c r="Q30" s="6"/>
      <c r="R30" s="6"/>
      <c r="S30" s="6"/>
      <c r="T30" s="6"/>
    </row>
    <row r="31" spans="1:20" ht="12.75" customHeight="1">
      <c r="A31" s="84"/>
      <c r="B31" s="85"/>
      <c r="C31" s="138" t="s">
        <v>86</v>
      </c>
      <c r="D31" s="113">
        <f>D29-D30</f>
        <v>3500000</v>
      </c>
      <c r="E31" s="113">
        <f t="shared" ref="E31:I31" si="6">E29+E30</f>
        <v>2333333.333333333</v>
      </c>
      <c r="F31" s="113">
        <f t="shared" si="6"/>
        <v>1166666.6666666665</v>
      </c>
      <c r="G31" s="113">
        <f t="shared" si="6"/>
        <v>0</v>
      </c>
      <c r="H31" s="113">
        <f t="shared" si="6"/>
        <v>0</v>
      </c>
      <c r="I31" s="113">
        <f t="shared" si="6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  <c r="T31" s="6"/>
    </row>
    <row r="32" spans="1:20" ht="12.75" hidden="1" customHeight="1">
      <c r="A32" s="84"/>
      <c r="B32" s="85"/>
      <c r="C32" s="123" t="s">
        <v>193</v>
      </c>
      <c r="D32" s="113">
        <f>Proyecciones!E134</f>
        <v>0</v>
      </c>
      <c r="E32" s="113">
        <f>Proyecciones!F134+Semovientes!C17</f>
        <v>0</v>
      </c>
      <c r="F32" s="113">
        <f>Proyecciones!G134+Semovientes!D17</f>
        <v>0</v>
      </c>
      <c r="G32" s="113">
        <f>Proyecciones!H134+Semovientes!E17</f>
        <v>0</v>
      </c>
      <c r="H32" s="113">
        <f>Proyecciones!I134+Semovientes!F17</f>
        <v>0</v>
      </c>
      <c r="I32" s="113">
        <f>Proyecciones!J134+Semovientes!G17</f>
        <v>0</v>
      </c>
      <c r="J32" s="86"/>
      <c r="K32" s="84"/>
      <c r="L32" s="1"/>
      <c r="M32" s="6"/>
      <c r="N32" s="6"/>
      <c r="O32" s="6"/>
      <c r="P32" s="6"/>
      <c r="Q32" s="6"/>
      <c r="R32" s="6"/>
      <c r="S32" s="6"/>
      <c r="T32" s="6"/>
    </row>
    <row r="33" spans="1:20" ht="12.75" hidden="1" customHeight="1">
      <c r="A33" s="84"/>
      <c r="B33" s="85"/>
      <c r="C33" s="123" t="s">
        <v>194</v>
      </c>
      <c r="D33" s="113"/>
      <c r="E33" s="113">
        <f>-Proyecciones!F138-Semovientes!C38</f>
        <v>0</v>
      </c>
      <c r="F33" s="113">
        <f>-Proyecciones!G138-Semovientes!D38</f>
        <v>0</v>
      </c>
      <c r="G33" s="113">
        <f>-Proyecciones!H138-Semovientes!E38</f>
        <v>0</v>
      </c>
      <c r="H33" s="113">
        <f>-Proyecciones!I138-Semovientes!F38</f>
        <v>0</v>
      </c>
      <c r="I33" s="113">
        <f>-Proyecciones!J138-Semovientes!G38</f>
        <v>0</v>
      </c>
      <c r="J33" s="86"/>
      <c r="K33" s="84"/>
      <c r="L33" s="1"/>
      <c r="M33" s="6"/>
      <c r="N33" s="6"/>
      <c r="O33" s="6"/>
      <c r="P33" s="6"/>
      <c r="Q33" s="6"/>
      <c r="R33" s="6"/>
      <c r="S33" s="6"/>
      <c r="T33" s="6"/>
    </row>
    <row r="34" spans="1:20" ht="12.75" customHeight="1">
      <c r="A34" s="84"/>
      <c r="B34" s="85"/>
      <c r="C34" s="138" t="s">
        <v>193</v>
      </c>
      <c r="D34" s="113">
        <f t="shared" ref="D34:I34" si="7">D32+D33</f>
        <v>0</v>
      </c>
      <c r="E34" s="113">
        <f t="shared" si="7"/>
        <v>0</v>
      </c>
      <c r="F34" s="113">
        <f t="shared" si="7"/>
        <v>0</v>
      </c>
      <c r="G34" s="113">
        <f t="shared" si="7"/>
        <v>0</v>
      </c>
      <c r="H34" s="113">
        <f t="shared" si="7"/>
        <v>0</v>
      </c>
      <c r="I34" s="113">
        <f t="shared" si="7"/>
        <v>0</v>
      </c>
      <c r="J34" s="86"/>
      <c r="K34" s="84"/>
      <c r="L34" s="1"/>
      <c r="M34" s="6"/>
      <c r="N34" s="6"/>
      <c r="O34" s="6"/>
      <c r="P34" s="6"/>
      <c r="Q34" s="6"/>
      <c r="R34" s="6"/>
      <c r="S34" s="6"/>
      <c r="T34" s="6"/>
    </row>
    <row r="35" spans="1:20" ht="12.75" hidden="1" customHeight="1">
      <c r="A35" s="84"/>
      <c r="B35" s="85"/>
      <c r="C35" s="123" t="s">
        <v>91</v>
      </c>
      <c r="D35" s="113">
        <f>Proyecciones!E141</f>
        <v>0</v>
      </c>
      <c r="E35" s="113">
        <f>Proyecciones!F141+Permanentes!C17</f>
        <v>0</v>
      </c>
      <c r="F35" s="113">
        <f>Proyecciones!G141+Permanentes!D17</f>
        <v>0</v>
      </c>
      <c r="G35" s="113">
        <f>Proyecciones!H141+Permanentes!E17</f>
        <v>0</v>
      </c>
      <c r="H35" s="113">
        <f>Proyecciones!I141+Permanentes!F17</f>
        <v>0</v>
      </c>
      <c r="I35" s="113">
        <f>Proyecciones!J141+Permanentes!G17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  <c r="T35" s="6"/>
    </row>
    <row r="36" spans="1:20" ht="12.75" hidden="1" customHeight="1">
      <c r="A36" s="84"/>
      <c r="B36" s="85"/>
      <c r="C36" s="123" t="s">
        <v>194</v>
      </c>
      <c r="D36" s="113"/>
      <c r="E36" s="113">
        <f>-Proyecciones!F145-Permanentes!C38</f>
        <v>0</v>
      </c>
      <c r="F36" s="113">
        <f>-Proyecciones!G145-Permanentes!D38</f>
        <v>0</v>
      </c>
      <c r="G36" s="113">
        <f>-Proyecciones!H145-Permanentes!E38</f>
        <v>0</v>
      </c>
      <c r="H36" s="113">
        <f>-Proyecciones!I145-Permanentes!F38</f>
        <v>0</v>
      </c>
      <c r="I36" s="113">
        <f>-Proyecciones!J145-Permanentes!G38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  <c r="T36" s="6"/>
    </row>
    <row r="37" spans="1:20" ht="12.75" customHeight="1">
      <c r="A37" s="84"/>
      <c r="B37" s="85"/>
      <c r="C37" s="138" t="s">
        <v>91</v>
      </c>
      <c r="D37" s="113">
        <f t="shared" ref="D37:I37" si="8">D35+D36</f>
        <v>0</v>
      </c>
      <c r="E37" s="113">
        <f t="shared" si="8"/>
        <v>0</v>
      </c>
      <c r="F37" s="113">
        <f t="shared" si="8"/>
        <v>0</v>
      </c>
      <c r="G37" s="113">
        <f t="shared" si="8"/>
        <v>0</v>
      </c>
      <c r="H37" s="113">
        <f t="shared" si="8"/>
        <v>0</v>
      </c>
      <c r="I37" s="113">
        <f t="shared" si="8"/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  <c r="T37" s="6"/>
    </row>
    <row r="38" spans="1:20" ht="12.75" customHeight="1">
      <c r="A38" s="114"/>
      <c r="B38" s="115"/>
      <c r="C38" s="143" t="s">
        <v>195</v>
      </c>
      <c r="D38" s="117">
        <f t="shared" ref="D38:I38" si="9">D16+D19+D22+D25+D28+D31+D34+D37</f>
        <v>5060000</v>
      </c>
      <c r="E38" s="117">
        <f t="shared" si="9"/>
        <v>3581333.333333333</v>
      </c>
      <c r="F38" s="117">
        <f t="shared" si="9"/>
        <v>2102666.6666666665</v>
      </c>
      <c r="G38" s="117">
        <f t="shared" si="9"/>
        <v>624000</v>
      </c>
      <c r="H38" s="117">
        <f t="shared" si="9"/>
        <v>312000</v>
      </c>
      <c r="I38" s="117">
        <f t="shared" si="9"/>
        <v>0</v>
      </c>
      <c r="J38" s="118"/>
      <c r="K38" s="114"/>
      <c r="L38" s="119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14"/>
      <c r="B39" s="115"/>
      <c r="C39" s="143" t="s">
        <v>196</v>
      </c>
      <c r="D39" s="117">
        <f>Proyecciones!E158</f>
        <v>0</v>
      </c>
      <c r="E39" s="117">
        <f>Proyecciones!F158</f>
        <v>0</v>
      </c>
      <c r="F39" s="117">
        <f>Proyecciones!G158</f>
        <v>0</v>
      </c>
      <c r="G39" s="117">
        <f>Proyecciones!H158</f>
        <v>0</v>
      </c>
      <c r="H39" s="117">
        <f>Proyecciones!I158</f>
        <v>0</v>
      </c>
      <c r="I39" s="117">
        <f>Proyecciones!J158</f>
        <v>0</v>
      </c>
      <c r="J39" s="118"/>
      <c r="K39" s="114"/>
      <c r="L39" s="119"/>
      <c r="M39" s="6"/>
      <c r="N39" s="6"/>
      <c r="O39" s="6"/>
      <c r="P39" s="6"/>
      <c r="Q39" s="6"/>
      <c r="R39" s="6"/>
      <c r="S39" s="6"/>
      <c r="T39" s="6"/>
    </row>
    <row r="40" spans="1:20" ht="12.75" customHeight="1">
      <c r="A40" s="84"/>
      <c r="B40" s="85"/>
      <c r="C40" s="144" t="s">
        <v>197</v>
      </c>
      <c r="D40" s="117">
        <f t="shared" ref="D40:I40" si="10">D15+D38+D39</f>
        <v>66478581</v>
      </c>
      <c r="E40" s="117">
        <f t="shared" si="10"/>
        <v>79215845.245269313</v>
      </c>
      <c r="F40" s="117">
        <f t="shared" si="10"/>
        <v>97563116.058295906</v>
      </c>
      <c r="G40" s="117">
        <f t="shared" si="10"/>
        <v>110387487.36054695</v>
      </c>
      <c r="H40" s="117">
        <f t="shared" si="10"/>
        <v>125077159.95006308</v>
      </c>
      <c r="I40" s="117">
        <f t="shared" si="10"/>
        <v>139904051.2532343</v>
      </c>
      <c r="J40" s="86"/>
      <c r="K40" s="84"/>
      <c r="L40" s="1"/>
      <c r="M40" s="6"/>
      <c r="N40" s="6"/>
      <c r="O40" s="6"/>
      <c r="P40" s="6"/>
      <c r="Q40" s="6"/>
      <c r="R40" s="6"/>
      <c r="S40" s="6"/>
      <c r="T40" s="6"/>
    </row>
    <row r="41" spans="1:20" ht="12.75" customHeight="1">
      <c r="A41" s="84"/>
      <c r="B41" s="85"/>
      <c r="C41" s="136" t="s">
        <v>198</v>
      </c>
      <c r="D41" s="137"/>
      <c r="E41" s="137"/>
      <c r="F41" s="137"/>
      <c r="G41" s="137"/>
      <c r="H41" s="137"/>
      <c r="I41" s="137"/>
      <c r="J41" s="86"/>
      <c r="K41" s="84"/>
      <c r="L41" s="1"/>
      <c r="M41" s="6"/>
      <c r="N41" s="6"/>
      <c r="O41" s="6"/>
      <c r="P41" s="6"/>
      <c r="Q41" s="6"/>
      <c r="R41" s="6"/>
      <c r="S41" s="6"/>
      <c r="T41" s="6"/>
    </row>
    <row r="42" spans="1:20" ht="12.75" customHeight="1">
      <c r="A42" s="84"/>
      <c r="B42" s="85"/>
      <c r="C42" s="138" t="s">
        <v>199</v>
      </c>
      <c r="D42" s="113">
        <f>Proyecciones!E88</f>
        <v>0</v>
      </c>
      <c r="E42" s="113">
        <f>Proyecciones!F88</f>
        <v>0</v>
      </c>
      <c r="F42" s="113">
        <f>Proyecciones!G88</f>
        <v>5224634.2175279027</v>
      </c>
      <c r="G42" s="113">
        <f>Proyecciones!H88</f>
        <v>5260681.2939703204</v>
      </c>
      <c r="H42" s="113">
        <f>Proyecciones!I88</f>
        <v>5531398.479426221</v>
      </c>
      <c r="I42" s="113">
        <f>Proyecciones!J88</f>
        <v>5778384.9048104025</v>
      </c>
      <c r="J42" s="86"/>
      <c r="K42" s="84"/>
      <c r="L42" s="1"/>
      <c r="M42" s="6"/>
      <c r="N42" s="6"/>
      <c r="O42" s="6"/>
      <c r="P42" s="6"/>
      <c r="Q42" s="6"/>
      <c r="R42" s="6"/>
      <c r="S42" s="6"/>
      <c r="T42" s="6"/>
    </row>
    <row r="43" spans="1:20" ht="12.75" customHeight="1">
      <c r="A43" s="84"/>
      <c r="B43" s="85"/>
      <c r="C43" s="138" t="s">
        <v>200</v>
      </c>
      <c r="D43" s="113">
        <v>0</v>
      </c>
      <c r="E43" s="113">
        <f>Proyecciones!F172</f>
        <v>4458042.4858442619</v>
      </c>
      <c r="F43" s="113">
        <f>Proyecciones!G172</f>
        <v>6153237.6784700267</v>
      </c>
      <c r="G43" s="113">
        <f>Proyecciones!H172</f>
        <v>6629546.6664975323</v>
      </c>
      <c r="H43" s="113">
        <f>Proyecciones!I172</f>
        <v>7366975.7246952178</v>
      </c>
      <c r="I43" s="113">
        <f>Proyecciones!J172</f>
        <v>7681408.210868788</v>
      </c>
      <c r="J43" s="86"/>
      <c r="K43" s="84"/>
      <c r="L43" s="1"/>
      <c r="M43" s="6"/>
      <c r="N43" s="6"/>
      <c r="O43" s="6"/>
      <c r="P43" s="6"/>
      <c r="Q43" s="6"/>
      <c r="R43" s="6"/>
      <c r="S43" s="6"/>
      <c r="T43" s="6"/>
    </row>
    <row r="44" spans="1:20" ht="12.75" customHeight="1">
      <c r="A44" s="84"/>
      <c r="B44" s="85"/>
      <c r="C44" s="138" t="s">
        <v>69</v>
      </c>
      <c r="D44" s="113"/>
      <c r="E44" s="113">
        <f>Proyecciones!F90</f>
        <v>0</v>
      </c>
      <c r="F44" s="113">
        <f>Proyecciones!G90</f>
        <v>0</v>
      </c>
      <c r="G44" s="113">
        <f>Proyecciones!H90</f>
        <v>0</v>
      </c>
      <c r="H44" s="113">
        <f>Proyecciones!I90</f>
        <v>0</v>
      </c>
      <c r="I44" s="113">
        <f>Proyecciones!J90</f>
        <v>0</v>
      </c>
      <c r="J44" s="86"/>
      <c r="K44" s="84"/>
      <c r="L44" s="1"/>
      <c r="M44" s="6"/>
      <c r="N44" s="6"/>
      <c r="O44" s="6"/>
      <c r="P44" s="6"/>
      <c r="Q44" s="6"/>
      <c r="R44" s="6"/>
      <c r="S44" s="6"/>
      <c r="T44" s="6"/>
    </row>
    <row r="45" spans="1:20" ht="12.75" customHeight="1">
      <c r="A45" s="84"/>
      <c r="B45" s="85"/>
      <c r="C45" s="138" t="s">
        <v>115</v>
      </c>
      <c r="D45" s="113">
        <f>'Deuda $'!C14</f>
        <v>0</v>
      </c>
      <c r="E45" s="113">
        <f>'Deuda $'!D14</f>
        <v>0</v>
      </c>
      <c r="F45" s="113">
        <f>'Deuda $'!E14</f>
        <v>0</v>
      </c>
      <c r="G45" s="113">
        <f>'Deuda $'!F14</f>
        <v>0</v>
      </c>
      <c r="H45" s="113">
        <f>'Deuda $'!G14</f>
        <v>0</v>
      </c>
      <c r="I45" s="113">
        <f>'Deuda $'!H14</f>
        <v>0</v>
      </c>
      <c r="J45" s="86"/>
      <c r="K45" s="84"/>
      <c r="L45" s="1"/>
      <c r="M45" s="6"/>
      <c r="N45" s="6"/>
      <c r="O45" s="6"/>
      <c r="P45" s="6"/>
      <c r="Q45" s="6"/>
      <c r="R45" s="6"/>
      <c r="S45" s="6"/>
      <c r="T45" s="6"/>
    </row>
    <row r="46" spans="1:20" ht="12.75" customHeight="1">
      <c r="A46" s="84"/>
      <c r="B46" s="85"/>
      <c r="C46" s="138" t="s">
        <v>201</v>
      </c>
      <c r="D46" s="113"/>
      <c r="E46" s="113">
        <f>Proyecciones!F92</f>
        <v>0</v>
      </c>
      <c r="F46" s="113">
        <f>Proyecciones!G92</f>
        <v>0</v>
      </c>
      <c r="G46" s="113">
        <f>Proyecciones!H92</f>
        <v>0</v>
      </c>
      <c r="H46" s="113">
        <f>Proyecciones!I92</f>
        <v>0</v>
      </c>
      <c r="I46" s="113">
        <f>Proyecciones!J92</f>
        <v>0</v>
      </c>
      <c r="J46" s="86"/>
      <c r="K46" s="84"/>
      <c r="L46" s="1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84"/>
      <c r="B47" s="85"/>
      <c r="C47" s="138" t="s">
        <v>202</v>
      </c>
      <c r="D47" s="113">
        <f>Proyecciones!E177</f>
        <v>64478581</v>
      </c>
      <c r="E47" s="113">
        <f>Proyecciones!F177</f>
        <v>64478581</v>
      </c>
      <c r="F47" s="113">
        <f>Proyecciones!G177</f>
        <v>64478581</v>
      </c>
      <c r="G47" s="113">
        <f>Proyecciones!H177</f>
        <v>64478581</v>
      </c>
      <c r="H47" s="113">
        <f>Proyecciones!I177</f>
        <v>64478581</v>
      </c>
      <c r="I47" s="113">
        <f>Proyecciones!J177</f>
        <v>64478581</v>
      </c>
      <c r="J47" s="86"/>
      <c r="K47" s="84"/>
      <c r="L47" s="1"/>
      <c r="M47" s="6"/>
      <c r="N47" s="6"/>
      <c r="O47" s="6"/>
      <c r="P47" s="6"/>
      <c r="Q47" s="6"/>
      <c r="R47" s="6"/>
      <c r="S47" s="6"/>
      <c r="T47" s="6"/>
    </row>
    <row r="48" spans="1:20" ht="12.75" customHeight="1">
      <c r="A48" s="114"/>
      <c r="B48" s="115"/>
      <c r="C48" s="144" t="s">
        <v>203</v>
      </c>
      <c r="D48" s="117">
        <f t="shared" ref="D48:I48" si="11">SUM(D42:D47)</f>
        <v>64478581</v>
      </c>
      <c r="E48" s="117">
        <f t="shared" si="11"/>
        <v>68936623.485844254</v>
      </c>
      <c r="F48" s="117">
        <f t="shared" si="11"/>
        <v>75856452.895997927</v>
      </c>
      <c r="G48" s="117">
        <f t="shared" si="11"/>
        <v>76368808.960467845</v>
      </c>
      <c r="H48" s="117">
        <f t="shared" si="11"/>
        <v>77376955.204121441</v>
      </c>
      <c r="I48" s="117">
        <f t="shared" si="11"/>
        <v>77938374.11567919</v>
      </c>
      <c r="J48" s="118"/>
      <c r="K48" s="114"/>
      <c r="L48" s="119"/>
      <c r="M48" s="6"/>
      <c r="N48" s="6"/>
      <c r="O48" s="6"/>
      <c r="P48" s="6"/>
      <c r="Q48" s="6"/>
      <c r="R48" s="6"/>
      <c r="S48" s="6"/>
      <c r="T48" s="6"/>
    </row>
    <row r="49" spans="1:20" ht="12.75" customHeight="1">
      <c r="A49" s="84"/>
      <c r="B49" s="85"/>
      <c r="C49" s="145" t="s">
        <v>99</v>
      </c>
      <c r="D49" s="137"/>
      <c r="E49" s="137"/>
      <c r="F49" s="137"/>
      <c r="G49" s="137"/>
      <c r="H49" s="137"/>
      <c r="I49" s="137"/>
      <c r="J49" s="86"/>
      <c r="K49" s="84"/>
      <c r="L49" s="1"/>
      <c r="M49" s="6"/>
      <c r="N49" s="6"/>
      <c r="O49" s="6"/>
      <c r="P49" s="6"/>
      <c r="Q49" s="6"/>
      <c r="R49" s="6"/>
      <c r="S49" s="6"/>
      <c r="T49" s="6"/>
    </row>
    <row r="50" spans="1:20" ht="12.75" customHeight="1">
      <c r="A50" s="84"/>
      <c r="B50" s="85"/>
      <c r="C50" s="138" t="s">
        <v>116</v>
      </c>
      <c r="D50" s="113">
        <f>Proyecciones!E175</f>
        <v>2000000</v>
      </c>
      <c r="E50" s="113">
        <f>Proyecciones!F180</f>
        <v>2000000</v>
      </c>
      <c r="F50" s="113">
        <f>Proyecciones!G180</f>
        <v>2000000</v>
      </c>
      <c r="G50" s="113">
        <f>Proyecciones!H180</f>
        <v>2000000</v>
      </c>
      <c r="H50" s="113">
        <f>Proyecciones!I180</f>
        <v>2000000</v>
      </c>
      <c r="I50" s="113">
        <f>Proyecciones!J180</f>
        <v>2000000</v>
      </c>
      <c r="J50" s="86"/>
      <c r="K50" s="84"/>
      <c r="L50" s="1"/>
      <c r="M50" s="6"/>
      <c r="N50" s="6"/>
      <c r="O50" s="6"/>
      <c r="P50" s="6"/>
      <c r="Q50" s="6"/>
      <c r="R50" s="6"/>
      <c r="S50" s="6"/>
      <c r="T50" s="6"/>
    </row>
    <row r="51" spans="1:20" ht="12.75" customHeight="1">
      <c r="A51" s="139"/>
      <c r="B51" s="140"/>
      <c r="C51" s="138" t="s">
        <v>118</v>
      </c>
      <c r="D51" s="113">
        <v>0</v>
      </c>
      <c r="E51" s="113">
        <f>Proyecciones!F182</f>
        <v>0</v>
      </c>
      <c r="F51" s="113">
        <f>Proyecciones!G182</f>
        <v>827922.17594250594</v>
      </c>
      <c r="G51" s="113">
        <f>Proyecciones!H182</f>
        <v>1000000</v>
      </c>
      <c r="H51" s="113">
        <f>Proyecciones!I182</f>
        <v>1000000</v>
      </c>
      <c r="I51" s="113">
        <f>Proyecciones!J182</f>
        <v>1000000</v>
      </c>
      <c r="J51" s="141"/>
      <c r="K51" s="139"/>
      <c r="L51" s="142"/>
      <c r="M51" s="6"/>
      <c r="N51" s="6"/>
      <c r="O51" s="6"/>
      <c r="P51" s="6"/>
      <c r="Q51" s="6"/>
      <c r="R51" s="6"/>
      <c r="S51" s="6"/>
      <c r="T51" s="6"/>
    </row>
    <row r="52" spans="1:20" ht="12.75" customHeight="1">
      <c r="A52" s="84"/>
      <c r="B52" s="85"/>
      <c r="C52" s="138" t="s">
        <v>119</v>
      </c>
      <c r="D52" s="113">
        <v>0</v>
      </c>
      <c r="E52" s="113">
        <f>Proyecciones!F183</f>
        <v>0</v>
      </c>
      <c r="F52" s="113">
        <f>Proyecciones!G183</f>
        <v>7451299.5834825533</v>
      </c>
      <c r="G52" s="113">
        <f>Proyecciones!H183</f>
        <v>18706663.162297968</v>
      </c>
      <c r="H52" s="113">
        <f>Proyecciones!I183</f>
        <v>31018678.400079101</v>
      </c>
      <c r="I52" s="113">
        <f>Proyecciones!J183</f>
        <v>44700204.745941654</v>
      </c>
      <c r="J52" s="86"/>
      <c r="K52" s="84"/>
      <c r="L52" s="1"/>
      <c r="M52" s="6"/>
      <c r="N52" s="6"/>
      <c r="O52" s="6"/>
      <c r="P52" s="6"/>
      <c r="Q52" s="6"/>
      <c r="R52" s="6"/>
      <c r="S52" s="6"/>
      <c r="T52" s="6"/>
    </row>
    <row r="53" spans="1:20" ht="12.75" customHeight="1">
      <c r="A53" s="84"/>
      <c r="B53" s="85"/>
      <c r="C53" s="138" t="s">
        <v>120</v>
      </c>
      <c r="D53" s="113">
        <v>0</v>
      </c>
      <c r="E53" s="113">
        <f>Proyecciones!F184</f>
        <v>8279221.759425059</v>
      </c>
      <c r="F53" s="113">
        <f>Proyecciones!G184</f>
        <v>11427441.402872909</v>
      </c>
      <c r="G53" s="113">
        <f>Proyecciones!H184</f>
        <v>12312015.237781134</v>
      </c>
      <c r="H53" s="113">
        <f>Proyecciones!I184</f>
        <v>13681526.345862549</v>
      </c>
      <c r="I53" s="113">
        <f>Proyecciones!J184</f>
        <v>14265472.391613465</v>
      </c>
      <c r="J53" s="86"/>
      <c r="K53" s="84"/>
      <c r="L53" s="1"/>
      <c r="M53" s="6"/>
      <c r="N53" s="6"/>
      <c r="O53" s="6"/>
      <c r="P53" s="6"/>
      <c r="Q53" s="6"/>
      <c r="R53" s="6"/>
      <c r="S53" s="6"/>
      <c r="T53" s="6"/>
    </row>
    <row r="54" spans="1:20" ht="12.75" customHeight="1">
      <c r="A54" s="139"/>
      <c r="B54" s="140"/>
      <c r="C54" s="138" t="s">
        <v>204</v>
      </c>
      <c r="D54" s="113">
        <v>0</v>
      </c>
      <c r="E54" s="113">
        <f>Proyecciones!F187</f>
        <v>0</v>
      </c>
      <c r="F54" s="113">
        <f>Proyecciones!G187</f>
        <v>0</v>
      </c>
      <c r="G54" s="113">
        <f>Proyecciones!H187</f>
        <v>0</v>
      </c>
      <c r="H54" s="113">
        <f>Proyecciones!I187</f>
        <v>0</v>
      </c>
      <c r="I54" s="113">
        <f>Proyecciones!J187</f>
        <v>0</v>
      </c>
      <c r="J54" s="141"/>
      <c r="K54" s="139"/>
      <c r="L54" s="142"/>
      <c r="M54" s="6"/>
      <c r="N54" s="6"/>
      <c r="O54" s="6"/>
      <c r="P54" s="6"/>
      <c r="Q54" s="6"/>
      <c r="R54" s="6"/>
      <c r="S54" s="6"/>
      <c r="T54" s="6"/>
    </row>
    <row r="55" spans="1:20" ht="12.75" customHeight="1">
      <c r="A55" s="114"/>
      <c r="B55" s="115"/>
      <c r="C55" s="144" t="s">
        <v>205</v>
      </c>
      <c r="D55" s="117">
        <f t="shared" ref="D55:I55" si="12">D50+D51+D52+D53+D54</f>
        <v>2000000</v>
      </c>
      <c r="E55" s="117">
        <f t="shared" si="12"/>
        <v>10279221.759425059</v>
      </c>
      <c r="F55" s="117">
        <f t="shared" si="12"/>
        <v>21706663.162297968</v>
      </c>
      <c r="G55" s="117">
        <f t="shared" si="12"/>
        <v>34018678.400079101</v>
      </c>
      <c r="H55" s="117">
        <f t="shared" si="12"/>
        <v>47700204.745941654</v>
      </c>
      <c r="I55" s="117">
        <f t="shared" si="12"/>
        <v>61965677.137555122</v>
      </c>
      <c r="J55" s="118"/>
      <c r="K55" s="114"/>
      <c r="L55" s="119"/>
      <c r="M55" s="6"/>
      <c r="N55" s="6"/>
      <c r="O55" s="6"/>
      <c r="P55" s="6"/>
      <c r="Q55" s="6"/>
      <c r="R55" s="6"/>
      <c r="S55" s="6"/>
      <c r="T55" s="6"/>
    </row>
    <row r="56" spans="1:20" ht="12.75" customHeight="1">
      <c r="A56" s="114"/>
      <c r="B56" s="115"/>
      <c r="C56" s="144" t="s">
        <v>206</v>
      </c>
      <c r="D56" s="117">
        <f t="shared" ref="D56:I56" si="13">D48+D55</f>
        <v>66478581</v>
      </c>
      <c r="E56" s="117">
        <f t="shared" si="13"/>
        <v>79215845.245269313</v>
      </c>
      <c r="F56" s="117">
        <f t="shared" si="13"/>
        <v>97563116.058295891</v>
      </c>
      <c r="G56" s="117">
        <f t="shared" si="13"/>
        <v>110387487.36054695</v>
      </c>
      <c r="H56" s="117">
        <f t="shared" si="13"/>
        <v>125077159.95006309</v>
      </c>
      <c r="I56" s="117">
        <f t="shared" si="13"/>
        <v>139904051.25323433</v>
      </c>
      <c r="J56" s="118"/>
      <c r="K56" s="114"/>
      <c r="L56" s="119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84"/>
      <c r="B57" s="101"/>
      <c r="C57" s="146"/>
      <c r="D57" s="147">
        <f t="shared" ref="D57:J57" si="14">+D40-D56</f>
        <v>0</v>
      </c>
      <c r="E57" s="147">
        <f t="shared" si="14"/>
        <v>0</v>
      </c>
      <c r="F57" s="147">
        <f t="shared" si="14"/>
        <v>0</v>
      </c>
      <c r="G57" s="147">
        <f t="shared" si="14"/>
        <v>0</v>
      </c>
      <c r="H57" s="147">
        <f t="shared" si="14"/>
        <v>0</v>
      </c>
      <c r="I57" s="147">
        <f t="shared" si="14"/>
        <v>0</v>
      </c>
      <c r="J57" s="147">
        <f t="shared" si="14"/>
        <v>0</v>
      </c>
      <c r="K57" s="84"/>
      <c r="L57" s="1"/>
      <c r="M57" s="6"/>
      <c r="N57" s="6"/>
      <c r="O57" s="6"/>
      <c r="P57" s="6"/>
      <c r="Q57" s="6"/>
      <c r="R57" s="6"/>
      <c r="S57" s="6"/>
      <c r="T57" s="6"/>
    </row>
    <row r="58" spans="1:20" ht="12.75" hidden="1" customHeight="1">
      <c r="A58" s="148"/>
      <c r="B58" s="149"/>
      <c r="C58" s="150" t="s">
        <v>207</v>
      </c>
      <c r="D58" s="151">
        <f t="shared" ref="D58:I58" si="15">D56-D40</f>
        <v>0</v>
      </c>
      <c r="E58" s="151">
        <f t="shared" si="15"/>
        <v>0</v>
      </c>
      <c r="F58" s="151">
        <f t="shared" si="15"/>
        <v>0</v>
      </c>
      <c r="G58" s="151">
        <f t="shared" si="15"/>
        <v>0</v>
      </c>
      <c r="H58" s="151">
        <f t="shared" si="15"/>
        <v>0</v>
      </c>
      <c r="I58" s="151">
        <f t="shared" si="15"/>
        <v>0</v>
      </c>
      <c r="J58" s="149"/>
      <c r="K58" s="148"/>
      <c r="L58" s="149"/>
      <c r="M58" s="6"/>
      <c r="N58" s="6"/>
      <c r="O58" s="6"/>
      <c r="P58" s="6"/>
      <c r="Q58" s="6"/>
      <c r="R58" s="6"/>
      <c r="S58" s="6"/>
      <c r="T58" s="6"/>
    </row>
    <row r="59" spans="1:20" ht="12.75" customHeight="1">
      <c r="A59" s="84"/>
      <c r="B59" s="84"/>
      <c r="C59" s="139"/>
      <c r="D59" s="152"/>
      <c r="E59" s="105"/>
      <c r="F59" s="105"/>
      <c r="G59" s="105"/>
      <c r="H59" s="105"/>
      <c r="I59" s="105"/>
      <c r="J59" s="84"/>
      <c r="K59" s="84"/>
      <c r="L59" s="1"/>
      <c r="M59" s="6"/>
      <c r="N59" s="6"/>
      <c r="O59" s="6"/>
      <c r="P59" s="6"/>
      <c r="Q59" s="6"/>
      <c r="R59" s="6"/>
      <c r="S59" s="6"/>
      <c r="T59" s="6"/>
    </row>
    <row r="60" spans="1:20" ht="12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conditionalFormatting sqref="D58:I58">
    <cfRule type="cellIs" dxfId="1" priority="1" operator="notEqual">
      <formula>0</formula>
    </cfRule>
  </conditionalFormatting>
  <conditionalFormatting sqref="D5:I5"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00"/>
  <sheetViews>
    <sheetView showGridLines="0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E47" sqref="E47"/>
    </sheetView>
  </sheetViews>
  <sheetFormatPr baseColWidth="10" defaultColWidth="17.28515625" defaultRowHeight="15" customHeight="1"/>
  <cols>
    <col min="1" max="2" width="5" customWidth="1"/>
    <col min="3" max="3" width="41.140625" customWidth="1"/>
    <col min="4" max="9" width="17.42578125" customWidth="1"/>
    <col min="10" max="11" width="5.85546875" customWidth="1"/>
    <col min="12" max="19" width="0" hidden="1" customWidth="1"/>
  </cols>
  <sheetData>
    <row r="1" spans="1:19" ht="12.75" customHeight="1">
      <c r="A1" s="84"/>
      <c r="B1" s="106"/>
      <c r="C1" s="134"/>
      <c r="D1" s="108">
        <f>Proyecciones!E3</f>
        <v>0</v>
      </c>
      <c r="E1" s="108">
        <f>Proyecciones!F3</f>
        <v>1</v>
      </c>
      <c r="F1" s="108">
        <f>Proyecciones!G3</f>
        <v>2</v>
      </c>
      <c r="G1" s="108">
        <f>Proyecciones!H3</f>
        <v>3</v>
      </c>
      <c r="H1" s="108">
        <f>Proyecciones!I3</f>
        <v>4</v>
      </c>
      <c r="I1" s="108">
        <f>Proyecciones!J3</f>
        <v>5</v>
      </c>
      <c r="J1" s="109"/>
      <c r="K1" s="84"/>
      <c r="L1" s="1"/>
      <c r="M1" s="6"/>
      <c r="N1" s="6"/>
      <c r="O1" s="6"/>
      <c r="P1" s="6"/>
      <c r="Q1" s="6"/>
      <c r="R1" s="6"/>
      <c r="S1" s="6"/>
    </row>
    <row r="2" spans="1:19" ht="15.75" customHeight="1">
      <c r="A2" s="84"/>
      <c r="B2" s="85"/>
      <c r="C2" s="153" t="s">
        <v>208</v>
      </c>
      <c r="D2" s="111"/>
      <c r="E2" s="111"/>
      <c r="F2" s="1"/>
      <c r="G2" s="1"/>
      <c r="H2" s="1"/>
      <c r="I2" s="1"/>
      <c r="J2" s="86"/>
      <c r="K2" s="84"/>
      <c r="L2" s="1"/>
      <c r="M2" s="6"/>
      <c r="N2" s="6"/>
      <c r="O2" s="6"/>
      <c r="P2" s="6"/>
      <c r="Q2" s="6"/>
      <c r="R2" s="6"/>
      <c r="S2" s="6"/>
    </row>
    <row r="3" spans="1:19" ht="12.75" customHeight="1">
      <c r="A3" s="154"/>
      <c r="B3" s="85"/>
      <c r="C3" s="136" t="s">
        <v>209</v>
      </c>
      <c r="D3" s="155"/>
      <c r="E3" s="155"/>
      <c r="F3" s="156"/>
      <c r="G3" s="156"/>
      <c r="H3" s="156"/>
      <c r="I3" s="156"/>
      <c r="J3" s="157"/>
      <c r="K3" s="84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84"/>
      <c r="B4" s="85"/>
      <c r="C4" s="138" t="s">
        <v>210</v>
      </c>
      <c r="D4" s="137"/>
      <c r="E4" s="113">
        <f>'P&amp;G'!D14</f>
        <v>12737264.245269321</v>
      </c>
      <c r="F4" s="113">
        <f>'P&amp;G'!E14</f>
        <v>17580679.081342936</v>
      </c>
      <c r="G4" s="113">
        <f>'P&amp;G'!F14</f>
        <v>18941561.904278666</v>
      </c>
      <c r="H4" s="113">
        <f>'P&amp;G'!G14</f>
        <v>21048502.070557766</v>
      </c>
      <c r="I4" s="113">
        <f>'P&amp;G'!H14</f>
        <v>21946880.602482252</v>
      </c>
      <c r="J4" s="86"/>
      <c r="K4" s="84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84"/>
      <c r="B5" s="85"/>
      <c r="C5" s="138" t="s">
        <v>211</v>
      </c>
      <c r="D5" s="137"/>
      <c r="E5" s="113">
        <f>Proyecciones!F53</f>
        <v>1478666.6666666667</v>
      </c>
      <c r="F5" s="113">
        <f>Proyecciones!G53</f>
        <v>1478666.6666666667</v>
      </c>
      <c r="G5" s="113">
        <f>Proyecciones!H53</f>
        <v>1478666.6666666667</v>
      </c>
      <c r="H5" s="113">
        <f>Proyecciones!I53</f>
        <v>312000</v>
      </c>
      <c r="I5" s="113">
        <f>Proyecciones!J53</f>
        <v>312000</v>
      </c>
      <c r="J5" s="86"/>
      <c r="K5" s="84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84"/>
      <c r="B6" s="85"/>
      <c r="C6" s="138" t="s">
        <v>167</v>
      </c>
      <c r="D6" s="137"/>
      <c r="E6" s="113">
        <f>'P&amp;G'!D13</f>
        <v>0</v>
      </c>
      <c r="F6" s="113">
        <f>'P&amp;G'!E13</f>
        <v>0</v>
      </c>
      <c r="G6" s="113">
        <f>'P&amp;G'!F13</f>
        <v>0</v>
      </c>
      <c r="H6" s="113">
        <f>'P&amp;G'!G13</f>
        <v>0</v>
      </c>
      <c r="I6" s="113">
        <f>'P&amp;G'!H13</f>
        <v>0</v>
      </c>
      <c r="J6" s="86"/>
      <c r="K6" s="84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84"/>
      <c r="B7" s="85"/>
      <c r="C7" s="138" t="s">
        <v>34</v>
      </c>
      <c r="D7" s="137"/>
      <c r="E7" s="113">
        <f>'P&amp;G'!D7</f>
        <v>0</v>
      </c>
      <c r="F7" s="113">
        <f>'P&amp;G'!E7</f>
        <v>0</v>
      </c>
      <c r="G7" s="113">
        <f>'P&amp;G'!F7</f>
        <v>0</v>
      </c>
      <c r="H7" s="113">
        <f>'P&amp;G'!G7</f>
        <v>0</v>
      </c>
      <c r="I7" s="113">
        <f>'P&amp;G'!H7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</row>
    <row r="8" spans="1:19" ht="12.75" customHeight="1">
      <c r="A8" s="84"/>
      <c r="B8" s="85"/>
      <c r="C8" s="138" t="s">
        <v>166</v>
      </c>
      <c r="D8" s="137"/>
      <c r="E8" s="113">
        <f>Proyecciones!F68</f>
        <v>0</v>
      </c>
      <c r="F8" s="113">
        <f>Proyecciones!G68</f>
        <v>0</v>
      </c>
      <c r="G8" s="113">
        <f>Proyecciones!H68</f>
        <v>0</v>
      </c>
      <c r="H8" s="113">
        <f>Proyecciones!I68</f>
        <v>0</v>
      </c>
      <c r="I8" s="113">
        <f>Proyecciones!J68</f>
        <v>0</v>
      </c>
      <c r="J8" s="86"/>
      <c r="K8" s="84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84"/>
      <c r="B9" s="85"/>
      <c r="C9" s="138" t="s">
        <v>97</v>
      </c>
      <c r="D9" s="137"/>
      <c r="E9" s="113">
        <f>-Proyecciones!F173</f>
        <v>0</v>
      </c>
      <c r="F9" s="113">
        <f>-Proyecciones!G173</f>
        <v>-4458042.4858442619</v>
      </c>
      <c r="G9" s="113">
        <f>-Proyecciones!H173</f>
        <v>-6153237.6784700267</v>
      </c>
      <c r="H9" s="113">
        <f>-Proyecciones!I173</f>
        <v>-6629546.6664975323</v>
      </c>
      <c r="I9" s="113">
        <f>-Proyecciones!J173</f>
        <v>-7366975.7246952178</v>
      </c>
      <c r="J9" s="86"/>
      <c r="K9" s="84"/>
      <c r="L9" s="1"/>
      <c r="M9" s="6"/>
      <c r="N9" s="6"/>
      <c r="O9" s="6"/>
      <c r="P9" s="6"/>
      <c r="Q9" s="6"/>
      <c r="R9" s="6"/>
      <c r="S9" s="6"/>
    </row>
    <row r="10" spans="1:19" ht="13.5" customHeight="1">
      <c r="A10" s="158"/>
      <c r="B10" s="159"/>
      <c r="C10" s="144" t="s">
        <v>212</v>
      </c>
      <c r="D10" s="160"/>
      <c r="E10" s="117">
        <f t="shared" ref="E10:I10" si="0">SUM(E4:E9)</f>
        <v>14215930.911935987</v>
      </c>
      <c r="F10" s="117">
        <f t="shared" si="0"/>
        <v>14601303.262165342</v>
      </c>
      <c r="G10" s="117">
        <f t="shared" si="0"/>
        <v>14266990.892475307</v>
      </c>
      <c r="H10" s="117">
        <f t="shared" si="0"/>
        <v>14730955.404060233</v>
      </c>
      <c r="I10" s="117">
        <f t="shared" si="0"/>
        <v>14891904.877787035</v>
      </c>
      <c r="J10" s="161"/>
      <c r="K10" s="158"/>
      <c r="L10" s="162"/>
      <c r="M10" s="6"/>
      <c r="N10" s="6"/>
      <c r="O10" s="6"/>
      <c r="P10" s="6"/>
      <c r="Q10" s="6"/>
      <c r="R10" s="6"/>
      <c r="S10" s="6"/>
    </row>
    <row r="11" spans="1:19" ht="12.75" customHeight="1">
      <c r="A11" s="154"/>
      <c r="B11" s="85"/>
      <c r="C11" s="136" t="s">
        <v>213</v>
      </c>
      <c r="D11" s="137"/>
      <c r="E11" s="163"/>
      <c r="F11" s="163"/>
      <c r="G11" s="163"/>
      <c r="H11" s="163"/>
      <c r="I11" s="163"/>
      <c r="J11" s="157"/>
      <c r="K11" s="84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21"/>
      <c r="B12" s="122"/>
      <c r="C12" s="123" t="s">
        <v>214</v>
      </c>
      <c r="D12" s="164"/>
      <c r="E12" s="124">
        <f>Proyecciones!F65</f>
        <v>-2232259.6460074661</v>
      </c>
      <c r="F12" s="124">
        <f>Proyecciones!G65</f>
        <v>-7721137.4678705381</v>
      </c>
      <c r="G12" s="124">
        <f>Proyecciones!H65</f>
        <v>-269734.51877153851</v>
      </c>
      <c r="H12" s="124">
        <f>Proyecciones!I65</f>
        <v>-473960.59553941898</v>
      </c>
      <c r="I12" s="124">
        <f>Proyecciones!J65</f>
        <v>-451521.77118030377</v>
      </c>
      <c r="J12" s="125"/>
      <c r="K12" s="121"/>
      <c r="L12" s="126"/>
      <c r="M12" s="6"/>
      <c r="N12" s="6"/>
      <c r="O12" s="6"/>
      <c r="P12" s="6"/>
      <c r="Q12" s="6"/>
      <c r="R12" s="6"/>
      <c r="S12" s="6"/>
    </row>
    <row r="13" spans="1:19" ht="12.75" customHeight="1">
      <c r="A13" s="121"/>
      <c r="B13" s="122"/>
      <c r="C13" s="123" t="s">
        <v>215</v>
      </c>
      <c r="D13" s="164"/>
      <c r="E13" s="124">
        <f>Proyecciones!F78</f>
        <v>-75001.14</v>
      </c>
      <c r="F13" s="124">
        <f>Proyecciones!G78</f>
        <v>-38850.590519999998</v>
      </c>
      <c r="G13" s="124">
        <f>Proyecciones!H78</f>
        <v>-21660.29173142997</v>
      </c>
      <c r="H13" s="124">
        <f>Proyecciones!I78</f>
        <v>-39806.656536357565</v>
      </c>
      <c r="I13" s="124">
        <f>Proyecciones!J78</f>
        <v>-24281.637012108549</v>
      </c>
      <c r="J13" s="125"/>
      <c r="K13" s="121"/>
      <c r="L13" s="126"/>
      <c r="M13" s="6"/>
      <c r="N13" s="6"/>
      <c r="O13" s="6"/>
      <c r="P13" s="6"/>
      <c r="Q13" s="6"/>
      <c r="R13" s="6"/>
      <c r="S13" s="6"/>
    </row>
    <row r="14" spans="1:19" ht="12.75" customHeight="1">
      <c r="A14" s="121"/>
      <c r="B14" s="122"/>
      <c r="C14" s="123" t="s">
        <v>216</v>
      </c>
      <c r="D14" s="164"/>
      <c r="E14" s="124">
        <f>Proyecciones!F75</f>
        <v>0</v>
      </c>
      <c r="F14" s="124">
        <f>Proyecciones!G75</f>
        <v>0</v>
      </c>
      <c r="G14" s="124">
        <f>Proyecciones!H75</f>
        <v>0</v>
      </c>
      <c r="H14" s="124">
        <f>Proyecciones!I75</f>
        <v>0</v>
      </c>
      <c r="I14" s="124">
        <f>Proyecciones!J75</f>
        <v>0</v>
      </c>
      <c r="J14" s="125"/>
      <c r="K14" s="121"/>
      <c r="L14" s="126"/>
      <c r="M14" s="6"/>
      <c r="N14" s="6"/>
      <c r="O14" s="6"/>
      <c r="P14" s="6"/>
      <c r="Q14" s="6"/>
      <c r="R14" s="6"/>
      <c r="S14" s="6"/>
    </row>
    <row r="15" spans="1:19" ht="12.75" customHeight="1">
      <c r="A15" s="121"/>
      <c r="B15" s="122"/>
      <c r="C15" s="123" t="s">
        <v>217</v>
      </c>
      <c r="D15" s="164"/>
      <c r="E15" s="124">
        <f>Proyecciones!F72</f>
        <v>0</v>
      </c>
      <c r="F15" s="124">
        <f>Proyecciones!G72</f>
        <v>0</v>
      </c>
      <c r="G15" s="124">
        <f>Proyecciones!H72</f>
        <v>0</v>
      </c>
      <c r="H15" s="124">
        <f>Proyecciones!I72</f>
        <v>0</v>
      </c>
      <c r="I15" s="124">
        <f>Proyecciones!J72</f>
        <v>0</v>
      </c>
      <c r="J15" s="125"/>
      <c r="K15" s="121"/>
      <c r="L15" s="126"/>
      <c r="M15" s="6"/>
      <c r="N15" s="6"/>
      <c r="O15" s="6"/>
      <c r="P15" s="6"/>
      <c r="Q15" s="6"/>
      <c r="R15" s="6"/>
      <c r="S15" s="6"/>
    </row>
    <row r="16" spans="1:19" ht="12.75" customHeight="1">
      <c r="A16" s="121"/>
      <c r="B16" s="122"/>
      <c r="C16" s="123" t="s">
        <v>218</v>
      </c>
      <c r="D16" s="164"/>
      <c r="E16" s="124">
        <f>-Proyecciones!F82</f>
        <v>0</v>
      </c>
      <c r="F16" s="124">
        <f>-Proyecciones!G82</f>
        <v>0</v>
      </c>
      <c r="G16" s="124">
        <f>-Proyecciones!H82</f>
        <v>0</v>
      </c>
      <c r="H16" s="124">
        <f>-Proyecciones!I82</f>
        <v>0</v>
      </c>
      <c r="I16" s="124">
        <f>-Proyecciones!J82</f>
        <v>0</v>
      </c>
      <c r="J16" s="125"/>
      <c r="K16" s="121"/>
      <c r="L16" s="126"/>
      <c r="M16" s="6"/>
      <c r="N16" s="6"/>
      <c r="O16" s="6"/>
      <c r="P16" s="6"/>
      <c r="Q16" s="6"/>
      <c r="R16" s="6"/>
      <c r="S16" s="6"/>
    </row>
    <row r="17" spans="1:19" ht="12.75" customHeight="1">
      <c r="A17" s="121"/>
      <c r="B17" s="122"/>
      <c r="C17" s="123" t="s">
        <v>95</v>
      </c>
      <c r="D17" s="164"/>
      <c r="E17" s="124">
        <f>-Proyecciones!F84</f>
        <v>0</v>
      </c>
      <c r="F17" s="124">
        <f>-Proyecciones!G84</f>
        <v>0</v>
      </c>
      <c r="G17" s="124">
        <f>-Proyecciones!H84</f>
        <v>0</v>
      </c>
      <c r="H17" s="124">
        <f>-Proyecciones!I84</f>
        <v>0</v>
      </c>
      <c r="I17" s="124">
        <f>-Proyecciones!J84</f>
        <v>0</v>
      </c>
      <c r="J17" s="125"/>
      <c r="K17" s="121"/>
      <c r="L17" s="126"/>
      <c r="M17" s="6"/>
      <c r="N17" s="6"/>
      <c r="O17" s="6"/>
      <c r="P17" s="6"/>
      <c r="Q17" s="6"/>
      <c r="R17" s="6"/>
      <c r="S17" s="6"/>
    </row>
    <row r="18" spans="1:19" ht="12.75" customHeight="1">
      <c r="A18" s="121"/>
      <c r="B18" s="122"/>
      <c r="C18" s="123" t="s">
        <v>219</v>
      </c>
      <c r="D18" s="164"/>
      <c r="E18" s="124">
        <f>Proyecciones!F89</f>
        <v>0</v>
      </c>
      <c r="F18" s="124">
        <f>Proyecciones!G89</f>
        <v>5224634.2175279027</v>
      </c>
      <c r="G18" s="124">
        <f>Proyecciones!H89</f>
        <v>36047.076442417689</v>
      </c>
      <c r="H18" s="124">
        <f>Proyecciones!I89</f>
        <v>270717.18545590062</v>
      </c>
      <c r="I18" s="124">
        <f>Proyecciones!J89</f>
        <v>246986.42538418155</v>
      </c>
      <c r="J18" s="125"/>
      <c r="K18" s="121"/>
      <c r="L18" s="126"/>
      <c r="M18" s="6"/>
      <c r="N18" s="6"/>
      <c r="O18" s="6"/>
      <c r="P18" s="6"/>
      <c r="Q18" s="6"/>
      <c r="R18" s="6"/>
      <c r="S18" s="6"/>
    </row>
    <row r="19" spans="1:19" ht="12.75" customHeight="1">
      <c r="A19" s="121"/>
      <c r="B19" s="122"/>
      <c r="C19" s="123" t="s">
        <v>220</v>
      </c>
      <c r="D19" s="164"/>
      <c r="E19" s="124">
        <f>Proyecciones!F91</f>
        <v>0</v>
      </c>
      <c r="F19" s="124">
        <f>Proyecciones!G91</f>
        <v>0</v>
      </c>
      <c r="G19" s="124">
        <f>Proyecciones!H91</f>
        <v>0</v>
      </c>
      <c r="H19" s="124">
        <f>Proyecciones!I91</f>
        <v>0</v>
      </c>
      <c r="I19" s="124">
        <f>Proyecciones!J91</f>
        <v>0</v>
      </c>
      <c r="J19" s="125"/>
      <c r="K19" s="121"/>
      <c r="L19" s="126"/>
      <c r="M19" s="6"/>
      <c r="N19" s="6"/>
      <c r="O19" s="6"/>
      <c r="P19" s="6"/>
      <c r="Q19" s="6"/>
      <c r="R19" s="6"/>
      <c r="S19" s="6"/>
    </row>
    <row r="20" spans="1:19" ht="12.75" customHeight="1">
      <c r="A20" s="121"/>
      <c r="B20" s="122"/>
      <c r="C20" s="123" t="s">
        <v>221</v>
      </c>
      <c r="D20" s="164"/>
      <c r="E20" s="165">
        <f>Proyecciones!F93</f>
        <v>0</v>
      </c>
      <c r="F20" s="165">
        <f>Proyecciones!G93</f>
        <v>0</v>
      </c>
      <c r="G20" s="165">
        <f>Proyecciones!H93</f>
        <v>0</v>
      </c>
      <c r="H20" s="165">
        <f>Proyecciones!I93</f>
        <v>0</v>
      </c>
      <c r="I20" s="165">
        <f>Proyecciones!J93</f>
        <v>0</v>
      </c>
      <c r="J20" s="125"/>
      <c r="K20" s="121"/>
      <c r="L20" s="126"/>
      <c r="M20" s="6"/>
      <c r="N20" s="6"/>
      <c r="O20" s="6"/>
      <c r="P20" s="6"/>
      <c r="Q20" s="6"/>
      <c r="R20" s="6"/>
      <c r="S20" s="6"/>
    </row>
    <row r="21" spans="1:19" ht="12.75" customHeight="1">
      <c r="A21" s="84"/>
      <c r="B21" s="85"/>
      <c r="C21" s="138" t="s">
        <v>222</v>
      </c>
      <c r="D21" s="166">
        <f t="shared" ref="D21:I21" si="1">SUM(D12:D20)</f>
        <v>0</v>
      </c>
      <c r="E21" s="113">
        <f t="shared" si="1"/>
        <v>-2307260.7860074663</v>
      </c>
      <c r="F21" s="113">
        <f t="shared" si="1"/>
        <v>-2535353.8408626355</v>
      </c>
      <c r="G21" s="113">
        <f t="shared" si="1"/>
        <v>-255347.73406055081</v>
      </c>
      <c r="H21" s="113">
        <f t="shared" si="1"/>
        <v>-243050.06661987596</v>
      </c>
      <c r="I21" s="113">
        <f t="shared" si="1"/>
        <v>-228816.98280823079</v>
      </c>
      <c r="J21" s="86"/>
      <c r="K21" s="84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21"/>
      <c r="B22" s="122"/>
      <c r="C22" s="123" t="s">
        <v>223</v>
      </c>
      <c r="D22" s="167">
        <f>-Proyecciones!E148</f>
        <v>0</v>
      </c>
      <c r="E22" s="124">
        <f>-Proyecciones!F148</f>
        <v>0</v>
      </c>
      <c r="F22" s="124">
        <f>-Proyecciones!G148</f>
        <v>0</v>
      </c>
      <c r="G22" s="124">
        <f>-Proyecciones!H148</f>
        <v>0</v>
      </c>
      <c r="H22" s="124">
        <f>-Proyecciones!I148</f>
        <v>0</v>
      </c>
      <c r="I22" s="124">
        <f>-Proyecciones!J148</f>
        <v>0</v>
      </c>
      <c r="J22" s="125"/>
      <c r="K22" s="121"/>
      <c r="L22" s="126"/>
      <c r="M22" s="6"/>
      <c r="N22" s="6"/>
      <c r="O22" s="6"/>
      <c r="P22" s="6"/>
      <c r="Q22" s="6"/>
      <c r="R22" s="6"/>
      <c r="S22" s="6"/>
    </row>
    <row r="23" spans="1:19" ht="12.75" customHeight="1">
      <c r="A23" s="121"/>
      <c r="B23" s="122"/>
      <c r="C23" s="123" t="s">
        <v>224</v>
      </c>
      <c r="D23" s="167">
        <f>-Proyecciones!E149</f>
        <v>0</v>
      </c>
      <c r="E23" s="124">
        <f>-Proyecciones!F149</f>
        <v>0</v>
      </c>
      <c r="F23" s="124">
        <f>-Proyecciones!G149</f>
        <v>0</v>
      </c>
      <c r="G23" s="124">
        <f>-Proyecciones!H149</f>
        <v>0</v>
      </c>
      <c r="H23" s="124">
        <f>-Proyecciones!I149</f>
        <v>0</v>
      </c>
      <c r="I23" s="124">
        <f>-Proyecciones!J149</f>
        <v>0</v>
      </c>
      <c r="J23" s="125"/>
      <c r="K23" s="121"/>
      <c r="L23" s="126"/>
      <c r="M23" s="6"/>
      <c r="N23" s="6"/>
      <c r="O23" s="6"/>
      <c r="P23" s="6"/>
      <c r="Q23" s="6"/>
      <c r="R23" s="6"/>
      <c r="S23" s="6"/>
    </row>
    <row r="24" spans="1:19" ht="12.75" customHeight="1">
      <c r="A24" s="121"/>
      <c r="B24" s="122"/>
      <c r="C24" s="123" t="s">
        <v>225</v>
      </c>
      <c r="D24" s="167">
        <f>-Proyecciones!E150</f>
        <v>0</v>
      </c>
      <c r="E24" s="124">
        <f>-Proyecciones!F150</f>
        <v>0</v>
      </c>
      <c r="F24" s="124">
        <f>-Proyecciones!G150</f>
        <v>0</v>
      </c>
      <c r="G24" s="124">
        <f>-Proyecciones!H150</f>
        <v>0</v>
      </c>
      <c r="H24" s="124">
        <f>-Proyecciones!I150</f>
        <v>0</v>
      </c>
      <c r="I24" s="124">
        <f>-Proyecciones!J150</f>
        <v>0</v>
      </c>
      <c r="J24" s="125"/>
      <c r="K24" s="121"/>
      <c r="L24" s="126"/>
      <c r="M24" s="6"/>
      <c r="N24" s="6"/>
      <c r="O24" s="6"/>
      <c r="P24" s="6"/>
      <c r="Q24" s="6"/>
      <c r="R24" s="6"/>
      <c r="S24" s="6"/>
    </row>
    <row r="25" spans="1:19" ht="12.75" customHeight="1">
      <c r="A25" s="121"/>
      <c r="B25" s="122"/>
      <c r="C25" s="123" t="s">
        <v>226</v>
      </c>
      <c r="D25" s="167">
        <f>-Proyecciones!E151</f>
        <v>-1560000</v>
      </c>
      <c r="E25" s="124">
        <f>-Proyecciones!F151</f>
        <v>0</v>
      </c>
      <c r="F25" s="124">
        <f>-Proyecciones!G151</f>
        <v>0</v>
      </c>
      <c r="G25" s="124">
        <f>-Proyecciones!H151</f>
        <v>0</v>
      </c>
      <c r="H25" s="124">
        <f>-Proyecciones!I151</f>
        <v>0</v>
      </c>
      <c r="I25" s="124">
        <f>-Proyecciones!J151</f>
        <v>0</v>
      </c>
      <c r="J25" s="125"/>
      <c r="K25" s="121"/>
      <c r="L25" s="126"/>
      <c r="M25" s="6"/>
      <c r="N25" s="6"/>
      <c r="O25" s="6"/>
      <c r="P25" s="6"/>
      <c r="Q25" s="6"/>
      <c r="R25" s="6"/>
      <c r="S25" s="6"/>
    </row>
    <row r="26" spans="1:19" ht="12.75" customHeight="1">
      <c r="A26" s="121"/>
      <c r="B26" s="122"/>
      <c r="C26" s="123" t="s">
        <v>227</v>
      </c>
      <c r="D26" s="167">
        <f>-Proyecciones!E152</f>
        <v>0</v>
      </c>
      <c r="E26" s="124">
        <f>-Proyecciones!F152</f>
        <v>0</v>
      </c>
      <c r="F26" s="124">
        <f>-Proyecciones!G152</f>
        <v>0</v>
      </c>
      <c r="G26" s="124">
        <f>-Proyecciones!H152</f>
        <v>0</v>
      </c>
      <c r="H26" s="124">
        <f>-Proyecciones!I152</f>
        <v>0</v>
      </c>
      <c r="I26" s="124">
        <f>-Proyecciones!J152</f>
        <v>0</v>
      </c>
      <c r="J26" s="125"/>
      <c r="K26" s="121"/>
      <c r="L26" s="126"/>
      <c r="M26" s="6"/>
      <c r="N26" s="6"/>
      <c r="O26" s="6"/>
      <c r="P26" s="6"/>
      <c r="Q26" s="6"/>
      <c r="R26" s="6"/>
      <c r="S26" s="6"/>
    </row>
    <row r="27" spans="1:19" ht="12.75" customHeight="1">
      <c r="A27" s="121"/>
      <c r="B27" s="122"/>
      <c r="C27" s="123" t="s">
        <v>228</v>
      </c>
      <c r="D27" s="167">
        <f>-Proyecciones!E153</f>
        <v>-3500000</v>
      </c>
      <c r="E27" s="124">
        <f>-Proyecciones!F153</f>
        <v>0</v>
      </c>
      <c r="F27" s="124">
        <f>-Proyecciones!G153</f>
        <v>0</v>
      </c>
      <c r="G27" s="124">
        <f>-Proyecciones!H153</f>
        <v>0</v>
      </c>
      <c r="H27" s="124">
        <f>-Proyecciones!I153</f>
        <v>0</v>
      </c>
      <c r="I27" s="124">
        <f>-Proyecciones!J153</f>
        <v>0</v>
      </c>
      <c r="J27" s="125"/>
      <c r="K27" s="121"/>
      <c r="L27" s="126"/>
      <c r="M27" s="6"/>
      <c r="N27" s="6"/>
      <c r="O27" s="6"/>
      <c r="P27" s="6"/>
      <c r="Q27" s="6"/>
      <c r="R27" s="6"/>
      <c r="S27" s="6"/>
    </row>
    <row r="28" spans="1:19" ht="12.75" customHeight="1">
      <c r="A28" s="121"/>
      <c r="B28" s="122"/>
      <c r="C28" s="123" t="s">
        <v>229</v>
      </c>
      <c r="D28" s="167">
        <f>-Proyecciones!E154</f>
        <v>0</v>
      </c>
      <c r="E28" s="124">
        <f>-Proyecciones!F154</f>
        <v>0</v>
      </c>
      <c r="F28" s="124">
        <f>-Proyecciones!G154</f>
        <v>0</v>
      </c>
      <c r="G28" s="124">
        <f>-Proyecciones!H154</f>
        <v>0</v>
      </c>
      <c r="H28" s="124">
        <f>-Proyecciones!I154</f>
        <v>0</v>
      </c>
      <c r="I28" s="124">
        <f>-Proyecciones!J154</f>
        <v>0</v>
      </c>
      <c r="J28" s="125"/>
      <c r="K28" s="121"/>
      <c r="L28" s="126"/>
      <c r="M28" s="6"/>
      <c r="N28" s="6"/>
      <c r="O28" s="6"/>
      <c r="P28" s="6"/>
      <c r="Q28" s="6"/>
      <c r="R28" s="6"/>
      <c r="S28" s="6"/>
    </row>
    <row r="29" spans="1:19" ht="12.75" customHeight="1">
      <c r="A29" s="121"/>
      <c r="B29" s="122"/>
      <c r="C29" s="123" t="s">
        <v>230</v>
      </c>
      <c r="D29" s="167">
        <f>-Proyecciones!E155</f>
        <v>0</v>
      </c>
      <c r="E29" s="124">
        <f>-Proyecciones!F155</f>
        <v>0</v>
      </c>
      <c r="F29" s="124">
        <f>-Proyecciones!G155</f>
        <v>0</v>
      </c>
      <c r="G29" s="124">
        <f>-Proyecciones!H155</f>
        <v>0</v>
      </c>
      <c r="H29" s="124">
        <f>-Proyecciones!I155</f>
        <v>0</v>
      </c>
      <c r="I29" s="124">
        <f>-Proyecciones!J155</f>
        <v>0</v>
      </c>
      <c r="J29" s="125"/>
      <c r="K29" s="121"/>
      <c r="L29" s="126"/>
      <c r="M29" s="6"/>
      <c r="N29" s="6"/>
      <c r="O29" s="6"/>
      <c r="P29" s="6"/>
      <c r="Q29" s="6"/>
      <c r="R29" s="6"/>
      <c r="S29" s="6"/>
    </row>
    <row r="30" spans="1:19" ht="12.75" customHeight="1">
      <c r="A30" s="121"/>
      <c r="B30" s="122"/>
      <c r="C30" s="123" t="s">
        <v>231</v>
      </c>
      <c r="D30" s="167">
        <f>-Proyecciones!E159</f>
        <v>0</v>
      </c>
      <c r="E30" s="124">
        <f>-Proyecciones!F159</f>
        <v>0</v>
      </c>
      <c r="F30" s="124">
        <f>-Proyecciones!G159</f>
        <v>0</v>
      </c>
      <c r="G30" s="124">
        <f>-Proyecciones!H159</f>
        <v>0</v>
      </c>
      <c r="H30" s="124">
        <f>-Proyecciones!I159</f>
        <v>0</v>
      </c>
      <c r="I30" s="124">
        <f>-Proyecciones!J159</f>
        <v>0</v>
      </c>
      <c r="J30" s="125"/>
      <c r="K30" s="121"/>
      <c r="L30" s="126"/>
      <c r="M30" s="6"/>
      <c r="N30" s="6"/>
      <c r="O30" s="6"/>
      <c r="P30" s="6"/>
      <c r="Q30" s="6"/>
      <c r="R30" s="6"/>
      <c r="S30" s="6"/>
    </row>
    <row r="31" spans="1:19" ht="12.75" customHeight="1">
      <c r="A31" s="84"/>
      <c r="B31" s="85"/>
      <c r="C31" s="138" t="s">
        <v>232</v>
      </c>
      <c r="D31" s="166">
        <f t="shared" ref="D31:I31" si="2">SUM(D22:D30)</f>
        <v>-5060000</v>
      </c>
      <c r="E31" s="113">
        <f t="shared" si="2"/>
        <v>0</v>
      </c>
      <c r="F31" s="113">
        <f t="shared" si="2"/>
        <v>0</v>
      </c>
      <c r="G31" s="113">
        <f t="shared" si="2"/>
        <v>0</v>
      </c>
      <c r="H31" s="113">
        <f t="shared" si="2"/>
        <v>0</v>
      </c>
      <c r="I31" s="113">
        <f t="shared" si="2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58"/>
      <c r="B32" s="159"/>
      <c r="C32" s="144" t="s">
        <v>233</v>
      </c>
      <c r="D32" s="168">
        <f t="shared" ref="D32:I32" si="3">D21+D31</f>
        <v>-5060000</v>
      </c>
      <c r="E32" s="117">
        <f t="shared" si="3"/>
        <v>-2307260.7860074663</v>
      </c>
      <c r="F32" s="117">
        <f t="shared" si="3"/>
        <v>-2535353.8408626355</v>
      </c>
      <c r="G32" s="117">
        <f t="shared" si="3"/>
        <v>-255347.73406055081</v>
      </c>
      <c r="H32" s="117">
        <f t="shared" si="3"/>
        <v>-243050.06661987596</v>
      </c>
      <c r="I32" s="117">
        <f t="shared" si="3"/>
        <v>-228816.98280823079</v>
      </c>
      <c r="J32" s="161"/>
      <c r="K32" s="158"/>
      <c r="L32" s="162"/>
      <c r="M32" s="6"/>
      <c r="N32" s="6"/>
      <c r="O32" s="6"/>
      <c r="P32" s="6"/>
      <c r="Q32" s="6"/>
      <c r="R32" s="6"/>
      <c r="S32" s="6"/>
    </row>
    <row r="33" spans="1:19" ht="12.75" customHeight="1">
      <c r="A33" s="154"/>
      <c r="B33" s="85"/>
      <c r="C33" s="136" t="s">
        <v>234</v>
      </c>
      <c r="D33" s="137"/>
      <c r="E33" s="137"/>
      <c r="F33" s="163"/>
      <c r="G33" s="163"/>
      <c r="H33" s="163"/>
      <c r="I33" s="163"/>
      <c r="J33" s="157"/>
      <c r="K33" s="84"/>
      <c r="L33" s="1"/>
      <c r="M33" s="6"/>
      <c r="N33" s="6"/>
      <c r="O33" s="6"/>
      <c r="P33" s="6"/>
      <c r="Q33" s="6"/>
      <c r="R33" s="6"/>
      <c r="S33" s="6"/>
    </row>
    <row r="34" spans="1:19" ht="12.75" customHeight="1">
      <c r="A34" s="84"/>
      <c r="B34" s="85"/>
      <c r="C34" s="138" t="s">
        <v>235</v>
      </c>
      <c r="D34" s="166">
        <f>Proyecciones!E177</f>
        <v>64478581</v>
      </c>
      <c r="E34" s="113"/>
      <c r="F34" s="113"/>
      <c r="G34" s="113"/>
      <c r="H34" s="113"/>
      <c r="I34" s="113"/>
      <c r="J34" s="86"/>
      <c r="K34" s="84"/>
      <c r="L34" s="1"/>
      <c r="M34" s="6"/>
      <c r="N34" s="6"/>
      <c r="O34" s="6"/>
      <c r="P34" s="6"/>
      <c r="Q34" s="6"/>
      <c r="R34" s="6"/>
      <c r="S34" s="6"/>
    </row>
    <row r="35" spans="1:19" ht="12.75" customHeight="1">
      <c r="A35" s="84"/>
      <c r="B35" s="85"/>
      <c r="C35" s="138" t="s">
        <v>236</v>
      </c>
      <c r="D35" s="166">
        <f>'Deuda $'!C5</f>
        <v>0</v>
      </c>
      <c r="E35" s="113">
        <f>'Deuda $'!D5</f>
        <v>0</v>
      </c>
      <c r="F35" s="113">
        <f>'Deuda $'!E5</f>
        <v>0</v>
      </c>
      <c r="G35" s="113">
        <f>'Deuda $'!F5</f>
        <v>0</v>
      </c>
      <c r="H35" s="113">
        <f>'Deuda $'!G5</f>
        <v>0</v>
      </c>
      <c r="I35" s="113">
        <f>'Deuda $'!H5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84"/>
      <c r="B36" s="85"/>
      <c r="C36" s="138" t="s">
        <v>237</v>
      </c>
      <c r="D36" s="166"/>
      <c r="E36" s="113">
        <f>-'Deuda $'!D22</f>
        <v>0</v>
      </c>
      <c r="F36" s="113">
        <f>-'Deuda $'!E22</f>
        <v>0</v>
      </c>
      <c r="G36" s="113">
        <f>-'Deuda $'!F22</f>
        <v>0</v>
      </c>
      <c r="H36" s="113">
        <f>-'Deuda $'!G22</f>
        <v>0</v>
      </c>
      <c r="I36" s="113">
        <f>-'Deuda $'!H22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84"/>
      <c r="B37" s="85"/>
      <c r="C37" s="138" t="s">
        <v>238</v>
      </c>
      <c r="D37" s="166"/>
      <c r="E37" s="113">
        <f>-'Deuda $'!D30</f>
        <v>0</v>
      </c>
      <c r="F37" s="113">
        <f>-'Deuda $'!E30</f>
        <v>0</v>
      </c>
      <c r="G37" s="113">
        <f>-'Deuda $'!F30</f>
        <v>0</v>
      </c>
      <c r="H37" s="113">
        <f>-'Deuda $'!G30</f>
        <v>0</v>
      </c>
      <c r="I37" s="113">
        <f>-'Deuda $'!H30</f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</row>
    <row r="38" spans="1:19" ht="12.75" customHeight="1">
      <c r="A38" s="84"/>
      <c r="B38" s="85"/>
      <c r="C38" s="138" t="s">
        <v>239</v>
      </c>
      <c r="D38" s="166"/>
      <c r="E38" s="113">
        <f>-Proyecciones!F192</f>
        <v>0</v>
      </c>
      <c r="F38" s="113">
        <f>-Proyecciones!G192</f>
        <v>0</v>
      </c>
      <c r="G38" s="113">
        <f>-Proyecciones!H192</f>
        <v>0</v>
      </c>
      <c r="H38" s="113">
        <f>-Proyecciones!I192</f>
        <v>0</v>
      </c>
      <c r="I38" s="113">
        <f>-Proyecciones!J192</f>
        <v>0</v>
      </c>
      <c r="J38" s="86"/>
      <c r="K38" s="84"/>
      <c r="L38" s="1"/>
      <c r="M38" s="6"/>
      <c r="N38" s="6"/>
      <c r="O38" s="6"/>
      <c r="P38" s="6"/>
      <c r="Q38" s="6"/>
      <c r="R38" s="6"/>
      <c r="S38" s="6"/>
    </row>
    <row r="39" spans="1:19" ht="12.75" customHeight="1">
      <c r="A39" s="84"/>
      <c r="B39" s="85"/>
      <c r="C39" s="138" t="s">
        <v>240</v>
      </c>
      <c r="D39" s="166">
        <f>Proyecciones!E175</f>
        <v>2000000</v>
      </c>
      <c r="E39" s="113">
        <f>Proyecciones!F176</f>
        <v>0</v>
      </c>
      <c r="F39" s="113">
        <f>Proyecciones!G176</f>
        <v>0</v>
      </c>
      <c r="G39" s="113">
        <f>Proyecciones!H176</f>
        <v>0</v>
      </c>
      <c r="H39" s="113">
        <f>Proyecciones!I176</f>
        <v>0</v>
      </c>
      <c r="I39" s="113">
        <f>Proyecciones!J176</f>
        <v>0</v>
      </c>
      <c r="J39" s="86"/>
      <c r="K39" s="84"/>
      <c r="L39" s="1"/>
      <c r="M39" s="6"/>
      <c r="N39" s="6"/>
      <c r="O39" s="6"/>
      <c r="P39" s="6"/>
      <c r="Q39" s="6"/>
      <c r="R39" s="6"/>
      <c r="S39" s="6"/>
    </row>
    <row r="40" spans="1:19" ht="12.75" customHeight="1">
      <c r="A40" s="158"/>
      <c r="B40" s="159"/>
      <c r="C40" s="144" t="s">
        <v>241</v>
      </c>
      <c r="D40" s="117">
        <f t="shared" ref="D40:I40" si="4">SUM(D34:D39)</f>
        <v>66478581</v>
      </c>
      <c r="E40" s="117">
        <f t="shared" si="4"/>
        <v>0</v>
      </c>
      <c r="F40" s="117">
        <f t="shared" si="4"/>
        <v>0</v>
      </c>
      <c r="G40" s="117">
        <f t="shared" si="4"/>
        <v>0</v>
      </c>
      <c r="H40" s="117">
        <f t="shared" si="4"/>
        <v>0</v>
      </c>
      <c r="I40" s="117">
        <f t="shared" si="4"/>
        <v>0</v>
      </c>
      <c r="J40" s="161"/>
      <c r="K40" s="158"/>
      <c r="L40" s="162"/>
      <c r="M40" s="6"/>
      <c r="N40" s="6"/>
      <c r="O40" s="6"/>
      <c r="P40" s="6"/>
      <c r="Q40" s="6"/>
      <c r="R40" s="6"/>
      <c r="S40" s="6"/>
    </row>
    <row r="41" spans="1:19" ht="12.75" customHeight="1">
      <c r="A41" s="158"/>
      <c r="B41" s="159"/>
      <c r="C41" s="169"/>
      <c r="D41" s="160"/>
      <c r="E41" s="160"/>
      <c r="F41" s="160"/>
      <c r="G41" s="160"/>
      <c r="H41" s="160"/>
      <c r="I41" s="160"/>
      <c r="J41" s="161"/>
      <c r="K41" s="158"/>
      <c r="L41" s="162"/>
      <c r="M41" s="6"/>
      <c r="N41" s="6"/>
      <c r="O41" s="6"/>
      <c r="P41" s="6"/>
      <c r="Q41" s="6"/>
      <c r="R41" s="6"/>
      <c r="S41" s="6"/>
    </row>
    <row r="42" spans="1:19" ht="12.75" customHeight="1">
      <c r="A42" s="114"/>
      <c r="B42" s="115"/>
      <c r="C42" s="144" t="s">
        <v>242</v>
      </c>
      <c r="D42" s="117">
        <f t="shared" ref="D42:I42" si="5">D10+D32+D40</f>
        <v>61418581</v>
      </c>
      <c r="E42" s="117">
        <f t="shared" si="5"/>
        <v>11908670.125928521</v>
      </c>
      <c r="F42" s="117">
        <f t="shared" si="5"/>
        <v>12065949.421302706</v>
      </c>
      <c r="G42" s="117">
        <f t="shared" si="5"/>
        <v>14011643.158414757</v>
      </c>
      <c r="H42" s="117">
        <f t="shared" si="5"/>
        <v>14487905.337440357</v>
      </c>
      <c r="I42" s="117">
        <f t="shared" si="5"/>
        <v>14663087.894978805</v>
      </c>
      <c r="J42" s="118"/>
      <c r="K42" s="114"/>
      <c r="L42" s="119"/>
      <c r="M42" s="6"/>
      <c r="N42" s="6"/>
      <c r="O42" s="6"/>
      <c r="P42" s="6"/>
      <c r="Q42" s="6"/>
      <c r="R42" s="6"/>
      <c r="S42" s="6"/>
    </row>
    <row r="43" spans="1:19" ht="12.75" customHeight="1">
      <c r="A43" s="114"/>
      <c r="B43" s="115"/>
      <c r="C43" s="144" t="s">
        <v>243</v>
      </c>
      <c r="D43" s="117"/>
      <c r="E43" s="117">
        <f>Balance!D5</f>
        <v>61418581</v>
      </c>
      <c r="F43" s="117">
        <f>Balance!E5</f>
        <v>73327251.125928521</v>
      </c>
      <c r="G43" s="117">
        <f>Balance!F5</f>
        <v>85393200.547231227</v>
      </c>
      <c r="H43" s="117">
        <f>Balance!G5</f>
        <v>99404843.705645978</v>
      </c>
      <c r="I43" s="117">
        <f>Balance!H5</f>
        <v>113892749.04308634</v>
      </c>
      <c r="J43" s="118"/>
      <c r="K43" s="114"/>
      <c r="L43" s="119"/>
      <c r="M43" s="6"/>
      <c r="N43" s="6"/>
      <c r="O43" s="6"/>
      <c r="P43" s="6"/>
      <c r="Q43" s="6"/>
      <c r="R43" s="6"/>
      <c r="S43" s="6"/>
    </row>
    <row r="44" spans="1:19" ht="12.75" customHeight="1">
      <c r="A44" s="114"/>
      <c r="B44" s="115"/>
      <c r="C44" s="144" t="s">
        <v>244</v>
      </c>
      <c r="D44" s="117">
        <f t="shared" ref="D44:I44" si="6">D42+D43</f>
        <v>61418581</v>
      </c>
      <c r="E44" s="117">
        <f t="shared" si="6"/>
        <v>73327251.125928521</v>
      </c>
      <c r="F44" s="117">
        <f t="shared" si="6"/>
        <v>85393200.547231227</v>
      </c>
      <c r="G44" s="117">
        <f t="shared" si="6"/>
        <v>99404843.705645978</v>
      </c>
      <c r="H44" s="117">
        <f t="shared" si="6"/>
        <v>113892749.04308634</v>
      </c>
      <c r="I44" s="117">
        <f t="shared" si="6"/>
        <v>128555836.93806514</v>
      </c>
      <c r="J44" s="118"/>
      <c r="K44" s="114"/>
      <c r="L44" s="119"/>
      <c r="M44" s="6"/>
      <c r="N44" s="6"/>
      <c r="O44" s="6"/>
      <c r="P44" s="6"/>
      <c r="Q44" s="6"/>
      <c r="R44" s="6"/>
      <c r="S44" s="6"/>
    </row>
    <row r="45" spans="1:19" ht="13.5" customHeight="1">
      <c r="A45" s="84"/>
      <c r="B45" s="101"/>
      <c r="C45" s="146"/>
      <c r="D45" s="170"/>
      <c r="E45" s="170"/>
      <c r="F45" s="103"/>
      <c r="G45" s="103"/>
      <c r="H45" s="103"/>
      <c r="I45" s="103"/>
      <c r="J45" s="104"/>
      <c r="K45" s="84"/>
      <c r="L45" s="1"/>
      <c r="M45" s="6"/>
      <c r="N45" s="6"/>
      <c r="O45" s="6"/>
      <c r="P45" s="6"/>
      <c r="Q45" s="6"/>
      <c r="R45" s="6"/>
      <c r="S45" s="6"/>
    </row>
    <row r="46" spans="1:19" ht="12.75" customHeight="1">
      <c r="A46" s="84"/>
      <c r="B46" s="84"/>
      <c r="C46" s="139"/>
      <c r="D46" s="171"/>
      <c r="E46" s="171"/>
      <c r="F46" s="84"/>
      <c r="G46" s="84"/>
      <c r="H46" s="84"/>
      <c r="I46" s="84"/>
      <c r="J46" s="84"/>
      <c r="K46" s="84"/>
      <c r="L46" s="1"/>
      <c r="M46" s="6"/>
      <c r="N46" s="6"/>
      <c r="O46" s="6"/>
      <c r="P46" s="6"/>
      <c r="Q46" s="6"/>
      <c r="R46" s="6"/>
      <c r="S46" s="6"/>
    </row>
    <row r="47" spans="1:1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1000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0" sqref="D40"/>
    </sheetView>
  </sheetViews>
  <sheetFormatPr baseColWidth="10" defaultColWidth="17.28515625" defaultRowHeight="15" customHeight="1"/>
  <cols>
    <col min="1" max="2" width="5.7109375" customWidth="1"/>
    <col min="3" max="3" width="52.42578125" customWidth="1"/>
    <col min="4" max="5" width="13.28515625" customWidth="1"/>
    <col min="6" max="9" width="13" customWidth="1"/>
    <col min="10" max="11" width="5.7109375" customWidth="1"/>
    <col min="12" max="19" width="0" hidden="1" customWidth="1"/>
  </cols>
  <sheetData>
    <row r="1" spans="1:19" ht="12.75" customHeight="1">
      <c r="A1" s="13"/>
      <c r="B1" s="14"/>
      <c r="C1" s="172"/>
      <c r="D1" s="17">
        <f>Proyecciones!E3</f>
        <v>0</v>
      </c>
      <c r="E1" s="17">
        <f>Proyecciones!F3</f>
        <v>1</v>
      </c>
      <c r="F1" s="17">
        <f>Proyecciones!G3</f>
        <v>2</v>
      </c>
      <c r="G1" s="17">
        <f>Proyecciones!H3</f>
        <v>3</v>
      </c>
      <c r="H1" s="17">
        <f>Proyecciones!I3</f>
        <v>4</v>
      </c>
      <c r="I1" s="17">
        <f>Proyecciones!J3</f>
        <v>5</v>
      </c>
      <c r="J1" s="18"/>
      <c r="K1" s="13"/>
      <c r="L1" s="1"/>
      <c r="M1" s="6"/>
      <c r="N1" s="6"/>
      <c r="O1" s="6"/>
      <c r="P1" s="6"/>
      <c r="Q1" s="6"/>
      <c r="R1" s="6"/>
      <c r="S1" s="6"/>
    </row>
    <row r="2" spans="1:19" ht="12.75" customHeight="1">
      <c r="A2" s="60"/>
      <c r="B2" s="173"/>
      <c r="C2" s="20" t="s">
        <v>245</v>
      </c>
      <c r="D2" s="21"/>
      <c r="E2" s="21"/>
      <c r="F2" s="22"/>
      <c r="G2" s="22"/>
      <c r="H2" s="22"/>
      <c r="I2" s="22"/>
      <c r="J2" s="61"/>
      <c r="K2" s="60"/>
      <c r="L2" s="42"/>
      <c r="M2" s="6"/>
      <c r="N2" s="6"/>
      <c r="O2" s="6"/>
      <c r="P2" s="6"/>
      <c r="Q2" s="6"/>
      <c r="R2" s="6"/>
      <c r="S2" s="6"/>
    </row>
    <row r="3" spans="1:19" ht="12.75" customHeight="1">
      <c r="A3" s="13"/>
      <c r="B3" s="19"/>
      <c r="C3" s="174" t="s">
        <v>246</v>
      </c>
      <c r="D3" s="175"/>
      <c r="E3" s="32">
        <f>Proyecciones!F5</f>
        <v>4.3999999999999997E-2</v>
      </c>
      <c r="F3" s="32">
        <f>Proyecciones!G5</f>
        <v>3.8300000000000001E-2</v>
      </c>
      <c r="G3" s="32">
        <f>Proyecciones!H5</f>
        <v>3.8300000000000001E-2</v>
      </c>
      <c r="H3" s="32">
        <f>Proyecciones!I5</f>
        <v>3.8300000000000001E-2</v>
      </c>
      <c r="I3" s="32">
        <f>Proyecciones!J5</f>
        <v>3.8300000000000001E-2</v>
      </c>
      <c r="J3" s="24"/>
      <c r="K3" s="13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13"/>
      <c r="B4" s="19"/>
      <c r="C4" s="174" t="s">
        <v>247</v>
      </c>
      <c r="D4" s="175"/>
      <c r="E4" s="32">
        <f>Proyecciones!F6</f>
        <v>4.3999999999999997E-2</v>
      </c>
      <c r="F4" s="32">
        <f>Proyecciones!G6</f>
        <v>4.58E-2</v>
      </c>
      <c r="G4" s="32">
        <f>Proyecciones!H6</f>
        <v>4.4999999999999998E-2</v>
      </c>
      <c r="H4" s="32">
        <f>Proyecciones!I6</f>
        <v>4.3400000000000001E-2</v>
      </c>
      <c r="I4" s="32">
        <f>Proyecciones!J6</f>
        <v>4.4699999999999997E-2</v>
      </c>
      <c r="J4" s="24"/>
      <c r="K4" s="13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13"/>
      <c r="B5" s="19"/>
      <c r="C5" s="174" t="s">
        <v>248</v>
      </c>
      <c r="D5" s="175"/>
      <c r="E5" s="32">
        <f>Proyecciones!F9</f>
        <v>2.5999999999999999E-2</v>
      </c>
      <c r="F5" s="32">
        <f>Proyecciones!G9</f>
        <v>0.03</v>
      </c>
      <c r="G5" s="32">
        <f>Proyecciones!H9</f>
        <v>0.03</v>
      </c>
      <c r="H5" s="32">
        <f>Proyecciones!I9</f>
        <v>0.03</v>
      </c>
      <c r="I5" s="32">
        <f>Proyecciones!J9</f>
        <v>0.03</v>
      </c>
      <c r="J5" s="24"/>
      <c r="K5" s="13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13"/>
      <c r="B6" s="19"/>
      <c r="C6" s="174" t="s">
        <v>249</v>
      </c>
      <c r="D6" s="175"/>
      <c r="E6" s="32">
        <f>Proyecciones!F10</f>
        <v>6.54E-2</v>
      </c>
      <c r="F6" s="32">
        <f>Proyecciones!G10</f>
        <v>4.6199999999999998E-2</v>
      </c>
      <c r="G6" s="32">
        <f>Proyecciones!H10</f>
        <v>4.65E-2</v>
      </c>
      <c r="H6" s="32">
        <f>Proyecciones!I10</f>
        <v>4.7E-2</v>
      </c>
      <c r="I6" s="32">
        <f>Proyecciones!J10</f>
        <v>4.4999999999999998E-2</v>
      </c>
      <c r="J6" s="24"/>
      <c r="K6" s="13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60"/>
      <c r="B7" s="173"/>
      <c r="C7" s="20" t="s">
        <v>250</v>
      </c>
      <c r="D7" s="21"/>
      <c r="E7" s="21"/>
      <c r="F7" s="22"/>
      <c r="G7" s="22"/>
      <c r="H7" s="22"/>
      <c r="I7" s="22"/>
      <c r="J7" s="61"/>
      <c r="K7" s="60"/>
      <c r="L7" s="42"/>
      <c r="M7" s="6"/>
      <c r="N7" s="6"/>
      <c r="O7" s="6"/>
      <c r="P7" s="6"/>
      <c r="Q7" s="6"/>
      <c r="R7" s="6"/>
      <c r="S7" s="6"/>
    </row>
    <row r="8" spans="1:19" ht="12.75" customHeight="1">
      <c r="A8" s="13"/>
      <c r="B8" s="19"/>
      <c r="C8" s="174" t="s">
        <v>251</v>
      </c>
      <c r="D8" s="50"/>
      <c r="E8" s="176" t="str">
        <f>IF(ISERROR(Proyecciones!F25/Proyecciones!E25),"N.A.",Proyecciones!F25/Proyecciones!E25-1)</f>
        <v>N.A.</v>
      </c>
      <c r="F8" s="176">
        <f>IF(ISERROR(Proyecciones!G25/Proyecciones!F25),"N.A.",Proyecciones!G25/Proyecciones!F25-1)</f>
        <v>-0.18929297969597214</v>
      </c>
      <c r="G8" s="176">
        <f>IF(ISERROR(Proyecciones!H25/Proyecciones!G25),"N.A.",Proyecciones!H25/Proyecciones!G25-1)</f>
        <v>-0.10686978738445418</v>
      </c>
      <c r="H8" s="176">
        <f>IF(ISERROR(Proyecciones!I25/Proyecciones!H25),"N.A.",Proyecciones!I25/Proyecciones!H25-1)</f>
        <v>-0.16291073126549727</v>
      </c>
      <c r="I8" s="176">
        <f>IF(ISERROR(Proyecciones!J25/Proyecciones!I25),"N.A.",Proyecciones!J25/Proyecciones!I25-1)</f>
        <v>-5.2536575399225738E-2</v>
      </c>
      <c r="J8" s="24"/>
      <c r="K8" s="13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13"/>
      <c r="B9" s="19"/>
      <c r="C9" s="174" t="s">
        <v>252</v>
      </c>
      <c r="D9" s="50"/>
      <c r="E9" s="176" t="str">
        <f>IF(ISERROR(Proyecciones!F26/Proyecciones!E26),"N.A.",Proyecciones!F26/Proyecciones!E26-1)</f>
        <v>N.A.</v>
      </c>
      <c r="F9" s="176">
        <f>IF(ISERROR(Proyecciones!G26/Proyecciones!F26),"N.A.",Proyecciones!G26/Proyecciones!F26-1)</f>
        <v>0.46666666666666679</v>
      </c>
      <c r="G9" s="176">
        <f>IF(ISERROR(Proyecciones!H26/Proyecciones!G26),"N.A.",Proyecciones!H26/Proyecciones!G26-1)</f>
        <v>0.14999999999999991</v>
      </c>
      <c r="H9" s="176">
        <f>IF(ISERROR(Proyecciones!I26/Proyecciones!H26),"N.A.",Proyecciones!I26/Proyecciones!H26-1)</f>
        <v>0.25</v>
      </c>
      <c r="I9" s="176">
        <f>IF(ISERROR(Proyecciones!J26/Proyecciones!I26),"N.A.",Proyecciones!J26/Proyecciones!I26-1)</f>
        <v>0.10000000000000009</v>
      </c>
      <c r="J9" s="24"/>
      <c r="K9" s="13"/>
      <c r="L9" s="1"/>
      <c r="M9" s="6"/>
      <c r="N9" s="6"/>
      <c r="O9" s="6"/>
      <c r="P9" s="6"/>
      <c r="Q9" s="6"/>
      <c r="R9" s="6"/>
      <c r="S9" s="6"/>
    </row>
    <row r="10" spans="1:19" ht="12.75" customHeight="1">
      <c r="A10" s="13"/>
      <c r="B10" s="19"/>
      <c r="C10" s="174" t="s">
        <v>253</v>
      </c>
      <c r="D10" s="50"/>
      <c r="E10" s="176" t="str">
        <f>IF(ISERROR(Proyecciones!F55/Proyecciones!E55),"N.A.",Proyecciones!F55/Proyecciones!E55-1)</f>
        <v>N.A.</v>
      </c>
      <c r="F10" s="176">
        <f>IF(ISERROR(Proyecciones!G55/Proyecciones!F55),"N.A.",Proyecciones!G55/Proyecciones!F55-1)</f>
        <v>0.12841789268310477</v>
      </c>
      <c r="G10" s="176">
        <f>IF(ISERROR(Proyecciones!H55/Proyecciones!G55),"N.A.",Proyecciones!H55/Proyecciones!G55-1)</f>
        <v>6.7404719720003392E-3</v>
      </c>
      <c r="H10" s="176">
        <f>IF(ISERROR(Proyecciones!I55/Proyecciones!H55),"N.A.",Proyecciones!I55/Proyecciones!H55-1)</f>
        <v>3.222475341764186E-2</v>
      </c>
      <c r="I10" s="176">
        <f>IF(ISERROR(Proyecciones!J55/Proyecciones!I55),"N.A.",Proyecciones!J55/Proyecciones!I55-1)</f>
        <v>4.4442813719141716E-2</v>
      </c>
      <c r="J10" s="24"/>
      <c r="K10" s="13"/>
      <c r="L10" s="1"/>
      <c r="M10" s="6"/>
      <c r="N10" s="6"/>
      <c r="O10" s="6"/>
      <c r="P10" s="6"/>
      <c r="Q10" s="6"/>
      <c r="R10" s="6"/>
      <c r="S10" s="6"/>
    </row>
    <row r="11" spans="1:19" ht="12.75" customHeight="1">
      <c r="A11" s="13"/>
      <c r="B11" s="19"/>
      <c r="C11" s="174" t="s">
        <v>254</v>
      </c>
      <c r="D11" s="50"/>
      <c r="E11" s="176" t="str">
        <f>IF(ISERROR(Proyecciones!F59/Proyecciones!E59),"N.A.",Proyecciones!F59/Proyecciones!E59-1)</f>
        <v>N.A.</v>
      </c>
      <c r="F11" s="176">
        <f>IF(ISERROR(Proyecciones!G59/Proyecciones!F59),"N.A.",Proyecciones!G59/Proyecciones!F59-1)</f>
        <v>-6.5400374531835115E-2</v>
      </c>
      <c r="G11" s="176">
        <f>IF(ISERROR(Proyecciones!H59/Proyecciones!G59),"N.A.",Proyecciones!H59/Proyecciones!G59-1)</f>
        <v>3.8300000000000001E-2</v>
      </c>
      <c r="H11" s="176">
        <f>IF(ISERROR(Proyecciones!I59/Proyecciones!H59),"N.A.",Proyecciones!I59/Proyecciones!H59-1)</f>
        <v>3.8300000000000223E-2</v>
      </c>
      <c r="I11" s="176">
        <f>IF(ISERROR(Proyecciones!J59/Proyecciones!I59),"N.A.",Proyecciones!J59/Proyecciones!I59-1)</f>
        <v>3.8300000000000001E-2</v>
      </c>
      <c r="J11" s="24"/>
      <c r="K11" s="13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3"/>
      <c r="B12" s="19"/>
      <c r="C12" s="174" t="s">
        <v>255</v>
      </c>
      <c r="D12" s="50"/>
      <c r="E12" s="48">
        <f>Proyecciones!F63</f>
        <v>8</v>
      </c>
      <c r="F12" s="48">
        <f>Proyecciones!G63</f>
        <v>30</v>
      </c>
      <c r="G12" s="48">
        <f>Proyecciones!H63</f>
        <v>30</v>
      </c>
      <c r="H12" s="48">
        <f>Proyecciones!I63</f>
        <v>30</v>
      </c>
      <c r="I12" s="48">
        <f>Proyecciones!J63</f>
        <v>30</v>
      </c>
      <c r="J12" s="24"/>
      <c r="K12" s="13"/>
      <c r="L12" s="1"/>
      <c r="M12" s="6"/>
      <c r="N12" s="6"/>
      <c r="O12" s="6"/>
      <c r="P12" s="6"/>
      <c r="Q12" s="6"/>
      <c r="R12" s="6"/>
      <c r="S12" s="6"/>
    </row>
    <row r="13" spans="1:19" ht="12.75" customHeight="1">
      <c r="A13" s="13"/>
      <c r="B13" s="19"/>
      <c r="C13" s="174" t="s">
        <v>256</v>
      </c>
      <c r="D13" s="50"/>
      <c r="E13" s="48">
        <f>Proyecciones!F87</f>
        <v>0</v>
      </c>
      <c r="F13" s="48">
        <f>Proyecciones!G87</f>
        <v>30</v>
      </c>
      <c r="G13" s="48">
        <f>Proyecciones!H87</f>
        <v>30</v>
      </c>
      <c r="H13" s="48">
        <f>Proyecciones!I87</f>
        <v>30</v>
      </c>
      <c r="I13" s="48">
        <f>Proyecciones!J87</f>
        <v>30</v>
      </c>
      <c r="J13" s="24"/>
      <c r="K13" s="13"/>
      <c r="L13" s="1"/>
      <c r="M13" s="6"/>
      <c r="N13" s="6"/>
      <c r="O13" s="6"/>
      <c r="P13" s="6"/>
      <c r="Q13" s="6"/>
      <c r="R13" s="6"/>
      <c r="S13" s="6"/>
    </row>
    <row r="14" spans="1:19" ht="12.75" customHeight="1">
      <c r="A14" s="13"/>
      <c r="B14" s="19"/>
      <c r="C14" s="174" t="s">
        <v>257</v>
      </c>
      <c r="D14" s="50"/>
      <c r="E14" s="48">
        <f>IF(ISERROR(Proyecciones!F79/Proyecciones!F55),"N.A.",Proyecciones!F79/Proyecciones!F55*360)</f>
        <v>0.47476570828583187</v>
      </c>
      <c r="F14" s="48">
        <f>IF(ISERROR(Proyecciones!G79/Proyecciones!G55),"N.A.",Proyecciones!G79/Proyecciones!G55*360)</f>
        <v>0.63867681454807146</v>
      </c>
      <c r="G14" s="48">
        <f>IF(ISERROR(Proyecciones!H79/Proyecciones!H55),"N.A.",Proyecciones!H79/Proyecciones!H55*360)</f>
        <v>0.75509537927564752</v>
      </c>
      <c r="H14" s="48">
        <f>IF(ISERROR(Proyecciones!I79/Proyecciones!I55),"N.A.",Proyecciones!I79/Proyecciones!I55*360)</f>
        <v>0.9464069173921561</v>
      </c>
      <c r="I14" s="48">
        <f>IF(ISERROR(Proyecciones!J79/Proyecciones!J55),"N.A.",Proyecciones!J79/Proyecciones!J55*360)</f>
        <v>1.0316354914771935</v>
      </c>
      <c r="J14" s="24"/>
      <c r="K14" s="13"/>
      <c r="L14" s="1"/>
      <c r="M14" s="6"/>
      <c r="N14" s="6"/>
      <c r="O14" s="6"/>
      <c r="P14" s="6"/>
      <c r="Q14" s="6"/>
      <c r="R14" s="6"/>
      <c r="S14" s="6"/>
    </row>
    <row r="15" spans="1:19" ht="12.75" customHeight="1">
      <c r="A15" s="60"/>
      <c r="B15" s="173"/>
      <c r="C15" s="20" t="s">
        <v>258</v>
      </c>
      <c r="D15" s="177"/>
      <c r="E15" s="177"/>
      <c r="F15" s="50"/>
      <c r="G15" s="50"/>
      <c r="H15" s="50"/>
      <c r="I15" s="50"/>
      <c r="J15" s="61"/>
      <c r="K15" s="60"/>
      <c r="L15" s="42"/>
      <c r="M15" s="6"/>
      <c r="N15" s="6"/>
      <c r="O15" s="6"/>
      <c r="P15" s="6"/>
      <c r="Q15" s="6"/>
      <c r="R15" s="6"/>
      <c r="S15" s="6"/>
    </row>
    <row r="16" spans="1:19" ht="12.75" customHeight="1">
      <c r="A16" s="13"/>
      <c r="B16" s="19"/>
      <c r="C16" s="174" t="s">
        <v>259</v>
      </c>
      <c r="D16" s="178"/>
      <c r="E16" s="179">
        <f>IF(ISERROR(Balance!E15/(Balance!E42+Balance!E43+Balance!E44)),"N.A.",Balance!E15/(Balance!E42+Balance!E43+Balance!E44))</f>
        <v>16.96585713395514</v>
      </c>
      <c r="F16" s="179">
        <f>IF(ISERROR(Balance!F15/(Balance!F42+Balance!F43+Balance!F44)),"N.A.",Balance!F15/(Balance!F42+Balance!F43+Balance!F44))</f>
        <v>8.3900091567392874</v>
      </c>
      <c r="G16" s="179">
        <f>IF(ISERROR(Balance!G15/(Balance!G42+Balance!G43+Balance!G44)),"N.A.",Balance!G15/(Balance!G42+Balance!G43+Balance!G44))</f>
        <v>9.2314031089634394</v>
      </c>
      <c r="H16" s="179">
        <f>IF(ISERROR(Balance!H15/(Balance!H42+Balance!H43+Balance!H44)),"N.A.",Balance!H15/(Balance!H42+Balance!H43+Balance!H44))</f>
        <v>9.6729369124828661</v>
      </c>
      <c r="I16" s="179">
        <f>IF(ISERROR(Balance!I15/(Balance!I42+Balance!I43+Balance!I44)),"N.A.",Balance!I15/(Balance!I42+Balance!I43+Balance!I44))</f>
        <v>10.394220033758272</v>
      </c>
      <c r="J16" s="24"/>
      <c r="K16" s="13"/>
      <c r="L16" s="1"/>
      <c r="M16" s="6"/>
      <c r="N16" s="6"/>
      <c r="O16" s="6"/>
      <c r="P16" s="6"/>
      <c r="Q16" s="6"/>
      <c r="R16" s="6"/>
      <c r="S16" s="6"/>
    </row>
    <row r="17" spans="1:19" ht="12.75" customHeight="1">
      <c r="A17" s="13"/>
      <c r="B17" s="19"/>
      <c r="C17" s="174" t="s">
        <v>260</v>
      </c>
      <c r="D17" s="50"/>
      <c r="E17" s="48">
        <f>IF(ISERROR((Balance!E15-SUM(Balance!E8:E10))/(Balance!E42+Balance!E43+Balance!E44)),0,(Balance!E15-SUM(Balance!E8:E10))/(Balance!E42+Balance!E43+Balance!E44))</f>
        <v>16.949033350817555</v>
      </c>
      <c r="F17" s="48">
        <f>IF(ISERROR((Balance!F15-SUM(Balance!F8:F10))/(Balance!F42+Balance!F43+Balance!F44)),0,(Balance!F15-SUM(Balance!F8:F10))/(Balance!F42+Balance!F43+Balance!F44))</f>
        <v>8.3800027397607266</v>
      </c>
      <c r="G17" s="48">
        <f>IF(ISERROR((Balance!G15-SUM(Balance!G8:G10))/(Balance!G42+Balance!G43+Balance!G44)),0,(Balance!G15-SUM(Balance!G8:G10))/(Balance!G42+Balance!G43+Balance!G44))</f>
        <v>9.2200061851448236</v>
      </c>
      <c r="H17" s="48">
        <f>IF(ISERROR((Balance!H15-SUM(Balance!H8:H10))/(Balance!H42+Balance!H43+Balance!H44)),0,(Balance!H15-SUM(Balance!H8:H10))/(Balance!H42+Balance!H43+Balance!H44))</f>
        <v>9.6593446041800295</v>
      </c>
      <c r="I17" s="48">
        <f>IF(ISERROR((Balance!I15-SUM(Balance!I8:I10))/(Balance!I42+Balance!I43+Balance!I44)),0,(Balance!I15-SUM(Balance!I8:I10))/(Balance!I42+Balance!I43+Balance!I44))</f>
        <v>10.37939065903576</v>
      </c>
      <c r="J17" s="24"/>
      <c r="K17" s="13"/>
      <c r="L17" s="1"/>
      <c r="M17" s="6"/>
      <c r="N17" s="6"/>
      <c r="O17" s="6"/>
      <c r="P17" s="6"/>
      <c r="Q17" s="6"/>
      <c r="R17" s="6"/>
      <c r="S17" s="6"/>
    </row>
    <row r="18" spans="1:19" ht="12.75" customHeight="1">
      <c r="A18" s="13"/>
      <c r="B18" s="19"/>
      <c r="C18" s="174" t="s">
        <v>261</v>
      </c>
      <c r="D18" s="178"/>
      <c r="E18" s="179">
        <f>IF(ISERROR(Balance!E6/'P&amp;G'!D3),"N.A.",Balance!E6/'P&amp;G'!D3*360)</f>
        <v>8</v>
      </c>
      <c r="F18" s="179">
        <f>IF(ISERROR(Balance!F6/'P&amp;G'!E3),"N.A.",Balance!F6/'P&amp;G'!E3*360)</f>
        <v>30</v>
      </c>
      <c r="G18" s="179">
        <f>IF(ISERROR(Balance!G6/'P&amp;G'!F3),"N.A.",Balance!G6/'P&amp;G'!F3*360)</f>
        <v>30</v>
      </c>
      <c r="H18" s="179">
        <f>IF(ISERROR(Balance!H6/'P&amp;G'!G3),"N.A.",Balance!H6/'P&amp;G'!G3*360)</f>
        <v>30</v>
      </c>
      <c r="I18" s="179">
        <f>IF(ISERROR(Balance!I6/'P&amp;G'!H3),"N.A.",Balance!I6/'P&amp;G'!H3*360)</f>
        <v>30</v>
      </c>
      <c r="J18" s="24"/>
      <c r="K18" s="13"/>
      <c r="L18" s="1"/>
      <c r="M18" s="6"/>
      <c r="N18" s="6"/>
      <c r="O18" s="6"/>
      <c r="P18" s="6"/>
      <c r="Q18" s="6"/>
      <c r="R18" s="6"/>
      <c r="S18" s="6"/>
    </row>
    <row r="19" spans="1:19" ht="12.75" customHeight="1">
      <c r="A19" s="13"/>
      <c r="B19" s="19"/>
      <c r="C19" s="174" t="s">
        <v>262</v>
      </c>
      <c r="D19" s="180"/>
      <c r="E19" s="47">
        <f>IF('P&amp;G'!D3=0,"N.A.",((Balance!E8+Balance!E9+Balance!E10)/'P&amp;G'!D3)*360)</f>
        <v>0.26879002228667859</v>
      </c>
      <c r="F19" s="47">
        <f>IF('P&amp;G'!E3=0,"N.A.",((Balance!F8+Balance!F9+Balance!F10)/'P&amp;G'!E3)*360)</f>
        <v>0.34315439005620518</v>
      </c>
      <c r="G19" s="47">
        <f>IF('P&amp;G'!F3=0,"N.A.",((Balance!G8+Balance!G9+Balance!G10)/'P&amp;G'!F3)*360)</f>
        <v>0.39766294846085959</v>
      </c>
      <c r="H19" s="47">
        <f>IF('P&amp;G'!G3=0,"N.A.",((Balance!H8+Balance!H9+Balance!H10)/'P&amp;G'!G3)*360)</f>
        <v>0.49168131408399385</v>
      </c>
      <c r="I19" s="47">
        <f>IF('P&amp;G'!H3=0,"N.A.",((Balance!I8+Balance!I9+Balance!I10)/'P&amp;G'!H3)*360)</f>
        <v>0.53710797363113072</v>
      </c>
      <c r="J19" s="24"/>
      <c r="K19" s="13"/>
      <c r="L19" s="1"/>
      <c r="M19" s="6"/>
      <c r="N19" s="6"/>
      <c r="O19" s="6"/>
      <c r="P19" s="6"/>
      <c r="Q19" s="6"/>
      <c r="R19" s="6"/>
      <c r="S19" s="6"/>
    </row>
    <row r="20" spans="1:19" ht="12.75" customHeight="1">
      <c r="A20" s="13"/>
      <c r="B20" s="19"/>
      <c r="C20" s="174" t="s">
        <v>263</v>
      </c>
      <c r="D20" s="180"/>
      <c r="E20" s="47">
        <f>IF('P&amp;G'!D5+'P&amp;G'!D6+'P&amp;G'!D13+'P&amp;G'!D7=0,"N.A.",Balance!E42/('P&amp;G'!D5+'P&amp;G'!D6+'P&amp;G'!D13+'P&amp;G'!D7)*360)</f>
        <v>0</v>
      </c>
      <c r="F20" s="47">
        <f>IF('P&amp;G'!E5+'P&amp;G'!E6+'P&amp;G'!E13+'P&amp;G'!E7=0,"N.A.",Balance!F42/('P&amp;G'!E5+'P&amp;G'!E6+'P&amp;G'!E13+'P&amp;G'!E7)*360)</f>
        <v>29.308757310837727</v>
      </c>
      <c r="G20" s="47">
        <f>IF('P&amp;G'!F5+'P&amp;G'!F6+'P&amp;G'!F13+'P&amp;G'!F7=0,"N.A.",Balance!G42/('P&amp;G'!F5+'P&amp;G'!F6+'P&amp;G'!F13+'P&amp;G'!F7)*360)</f>
        <v>29.313385417188734</v>
      </c>
      <c r="H20" s="47">
        <f>IF('P&amp;G'!G5+'P&amp;G'!G6+'P&amp;G'!G13+'P&amp;G'!G7=0,"N.A.",Balance!H42/('P&amp;G'!G5+'P&amp;G'!G6+'P&amp;G'!G13+'P&amp;G'!G7)*360)</f>
        <v>29.859646558927235</v>
      </c>
      <c r="I20" s="47">
        <f>IF('P&amp;G'!H5+'P&amp;G'!H6+'P&amp;G'!H13+'P&amp;G'!H7=0,"N.A.",Balance!I42/('P&amp;G'!H5+'P&amp;G'!H6+'P&amp;G'!H13+'P&amp;G'!H7)*360)</f>
        <v>29.865618835967688</v>
      </c>
      <c r="J20" s="24"/>
      <c r="K20" s="13"/>
      <c r="L20" s="1"/>
      <c r="M20" s="6"/>
      <c r="N20" s="6"/>
      <c r="O20" s="6"/>
      <c r="P20" s="6"/>
      <c r="Q20" s="6"/>
      <c r="R20" s="6"/>
      <c r="S20" s="6"/>
    </row>
    <row r="21" spans="1:19" ht="12.75" customHeight="1">
      <c r="A21" s="13"/>
      <c r="B21" s="19"/>
      <c r="C21" s="174" t="s">
        <v>264</v>
      </c>
      <c r="D21" s="181"/>
      <c r="E21" s="176">
        <f>IF(ISERROR(Balance!E48/Balance!E40),"N.A.",Balance!E48/Balance!E40)</f>
        <v>0.87023780750431468</v>
      </c>
      <c r="F21" s="176">
        <f>IF(ISERROR(Balance!F48/Balance!F40),"N.A.",Balance!F48/Balance!F40)</f>
        <v>0.77751158389275088</v>
      </c>
      <c r="G21" s="176">
        <f>IF(ISERROR(Balance!G48/Balance!G40),"N.A.",Balance!G48/Balance!G40)</f>
        <v>0.6918248688008678</v>
      </c>
      <c r="H21" s="176">
        <f>IF(ISERROR(Balance!H48/Balance!H40),"N.A.",Balance!H48/Balance!H40)</f>
        <v>0.61863377162556377</v>
      </c>
      <c r="I21" s="176">
        <f>IF(ISERROR(Balance!I48/Balance!I40),"N.A.",Balance!I48/Balance!I40)</f>
        <v>0.55708446908807729</v>
      </c>
      <c r="J21" s="24"/>
      <c r="K21" s="13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3"/>
      <c r="B22" s="19"/>
      <c r="C22" s="174" t="s">
        <v>265</v>
      </c>
      <c r="D22" s="50"/>
      <c r="E22" s="48">
        <f>IF(ISERROR(SUM(Balance!E42:E44)/Balance!D48),0,SUM(Balance!E42:E44)/Balance!E48)</f>
        <v>6.4668709612093145E-2</v>
      </c>
      <c r="F22" s="48">
        <f>IF(ISERROR(SUM(Balance!F42:F44)/Balance!E48),0,SUM(Balance!F42:F44)/Balance!F48)</f>
        <v>0.14999214254847143</v>
      </c>
      <c r="G22" s="48">
        <f>IF(ISERROR(SUM(Balance!G42:G44)/Balance!F48),0,SUM(Balance!G42:G44)/Balance!G48)</f>
        <v>0.15569481994439385</v>
      </c>
      <c r="H22" s="48">
        <f>IF(ISERROR(SUM(Balance!H42:H44)/Balance!G48),0,SUM(Balance!H42:H44)/Balance!H48)</f>
        <v>0.16669529280514275</v>
      </c>
      <c r="I22" s="48">
        <f>IF(ISERROR(SUM(Balance!I42:I44)/Balance!H48),0,SUM(Balance!I42:I44)/Balance!I48)</f>
        <v>0.17269789456605339</v>
      </c>
      <c r="J22" s="24"/>
      <c r="K22" s="13"/>
      <c r="L22" s="1"/>
      <c r="M22" s="6"/>
      <c r="N22" s="6"/>
      <c r="O22" s="6"/>
      <c r="P22" s="6"/>
      <c r="Q22" s="6"/>
      <c r="R22" s="6"/>
      <c r="S22" s="6"/>
    </row>
    <row r="23" spans="1:19" ht="12.75" customHeight="1">
      <c r="A23" s="13"/>
      <c r="B23" s="19"/>
      <c r="C23" s="174" t="s">
        <v>266</v>
      </c>
      <c r="D23" s="181"/>
      <c r="E23" s="176" t="str">
        <f>IF('P&amp;G'!D16=0,"N.A.",('P&amp;G'!D14+'P&amp;G'!D12+'P&amp;G'!D7+'P&amp;G'!D13+'P&amp;G'!D6)/'P&amp;G'!D16)</f>
        <v>N.A.</v>
      </c>
      <c r="F23" s="176" t="str">
        <f>IF('P&amp;G'!E16=0,"N.A.",('P&amp;G'!E14+'P&amp;G'!E12+'P&amp;G'!E7+'P&amp;G'!E13+'P&amp;G'!E6)/'P&amp;G'!E16)</f>
        <v>N.A.</v>
      </c>
      <c r="G23" s="176" t="str">
        <f>IF('P&amp;G'!F16=0,"N.A.",('P&amp;G'!F14+'P&amp;G'!F12+'P&amp;G'!F7+'P&amp;G'!F13+'P&amp;G'!F6)/'P&amp;G'!F16)</f>
        <v>N.A.</v>
      </c>
      <c r="H23" s="176" t="str">
        <f>IF('P&amp;G'!G16=0,"N.A.",('P&amp;G'!G14+'P&amp;G'!G12+'P&amp;G'!G7+'P&amp;G'!G13+'P&amp;G'!G6)/'P&amp;G'!G16)</f>
        <v>N.A.</v>
      </c>
      <c r="I23" s="176" t="str">
        <f>IF('P&amp;G'!H16=0,"N.A.",('P&amp;G'!H14+'P&amp;G'!H12+'P&amp;G'!H7+'P&amp;G'!H13+'P&amp;G'!H6)/'P&amp;G'!H16)</f>
        <v>N.A.</v>
      </c>
      <c r="J23" s="24"/>
      <c r="K23" s="13"/>
      <c r="L23" s="1"/>
      <c r="M23" s="6"/>
      <c r="N23" s="6"/>
      <c r="O23" s="6"/>
      <c r="P23" s="6"/>
      <c r="Q23" s="6"/>
      <c r="R23" s="6"/>
      <c r="S23" s="6"/>
    </row>
    <row r="24" spans="1:19" ht="12.75" customHeight="1">
      <c r="A24" s="13"/>
      <c r="B24" s="19"/>
      <c r="C24" s="174" t="s">
        <v>267</v>
      </c>
      <c r="D24" s="181"/>
      <c r="E24" s="176" t="str">
        <f>IF('Flujo de Caja'!E37+'Flujo de Caja'!E36=0,"N.A.",('P&amp;G'!D14+'P&amp;G'!D12+'P&amp;G'!D7+'P&amp;G'!D13+'P&amp;G'!D6)/-('Flujo de Caja'!E37+'Flujo de Caja'!E36))</f>
        <v>N.A.</v>
      </c>
      <c r="F24" s="176" t="str">
        <f>IF('Flujo de Caja'!F37+'Flujo de Caja'!F36=0,"N.A.",('P&amp;G'!E14+'P&amp;G'!E12+'P&amp;G'!E7+'P&amp;G'!E13+'P&amp;G'!E6)/-('Flujo de Caja'!F37+'Flujo de Caja'!F36))</f>
        <v>N.A.</v>
      </c>
      <c r="G24" s="176" t="str">
        <f>IF('Flujo de Caja'!G37+'Flujo de Caja'!G36=0,"N.A.",('P&amp;G'!F14+'P&amp;G'!F12+'P&amp;G'!F7+'P&amp;G'!F13+'P&amp;G'!F6)/-('Flujo de Caja'!G37+'Flujo de Caja'!G36))</f>
        <v>N.A.</v>
      </c>
      <c r="H24" s="176" t="str">
        <f>IF('Flujo de Caja'!H37+'Flujo de Caja'!H36=0,"N.A.",('P&amp;G'!G14+'P&amp;G'!G12+'P&amp;G'!G7+'P&amp;G'!G13+'P&amp;G'!G6)/-('Flujo de Caja'!H37+'Flujo de Caja'!H36))</f>
        <v>N.A.</v>
      </c>
      <c r="I24" s="176" t="str">
        <f>IF('Flujo de Caja'!I37+'Flujo de Caja'!I36=0,"N.A.",('P&amp;G'!H14+'P&amp;G'!H12+'P&amp;G'!H7+'P&amp;G'!H13+'P&amp;G'!H6)/-('Flujo de Caja'!I37+'Flujo de Caja'!I36))</f>
        <v>N.A.</v>
      </c>
      <c r="J24" s="24"/>
      <c r="K24" s="13"/>
      <c r="L24" s="1"/>
      <c r="M24" s="6"/>
      <c r="N24" s="6"/>
      <c r="O24" s="6"/>
      <c r="P24" s="6"/>
      <c r="Q24" s="6"/>
      <c r="R24" s="6"/>
      <c r="S24" s="6"/>
    </row>
    <row r="25" spans="1:19" ht="12.75" customHeight="1">
      <c r="A25" s="13"/>
      <c r="B25" s="19"/>
      <c r="C25" s="174" t="s">
        <v>268</v>
      </c>
      <c r="D25" s="181"/>
      <c r="E25" s="176">
        <f>IF(ISERROR('P&amp;G'!D14/'P&amp;G'!D3),"N.A.",'P&amp;G'!D14/'P&amp;G'!D3)</f>
        <v>0.12679990746945294</v>
      </c>
      <c r="F25" s="176">
        <f>IF(ISERROR('P&amp;G'!E14/'P&amp;G'!E3),"N.A.",'P&amp;G'!E14/'P&amp;G'!E3)</f>
        <v>0.14719161441566372</v>
      </c>
      <c r="G25" s="176">
        <f>IF(ISERROR('P&amp;G'!F14/'P&amp;G'!F3),"N.A.",'P&amp;G'!F14/'P&amp;G'!F3)</f>
        <v>0.15440117067279996</v>
      </c>
      <c r="H25" s="176">
        <f>IF(ISERROR('P&amp;G'!G14/'P&amp;G'!G3),"N.A.",'P&amp;G'!G14/'P&amp;G'!G3)</f>
        <v>0.16397370442323556</v>
      </c>
      <c r="I25" s="176">
        <f>IF(ISERROR('P&amp;G'!H14/'P&amp;G'!H3),"N.A.",'P&amp;G'!H14/'P&amp;G'!H3)</f>
        <v>0.16404790021225882</v>
      </c>
      <c r="J25" s="24"/>
      <c r="K25" s="13"/>
      <c r="L25" s="1"/>
      <c r="M25" s="6"/>
      <c r="N25" s="6"/>
      <c r="O25" s="6"/>
      <c r="P25" s="6"/>
      <c r="Q25" s="6"/>
      <c r="R25" s="6"/>
      <c r="S25" s="6"/>
    </row>
    <row r="26" spans="1:19" ht="12.75" customHeight="1">
      <c r="A26" s="13"/>
      <c r="B26" s="19"/>
      <c r="C26" s="174" t="s">
        <v>269</v>
      </c>
      <c r="D26" s="181"/>
      <c r="E26" s="176">
        <f>IF('P&amp;G'!D3=0,"N.A.",'P&amp;G'!D26/'P&amp;G'!D3)</f>
        <v>8.2419939855144411E-2</v>
      </c>
      <c r="F26" s="176">
        <f>IF('P&amp;G'!E3=0,"N.A.",'P&amp;G'!E26/'P&amp;G'!E3)</f>
        <v>9.5674549370181425E-2</v>
      </c>
      <c r="G26" s="176">
        <f>IF('P&amp;G'!F3=0,"N.A.",'P&amp;G'!F26/'P&amp;G'!F3)</f>
        <v>0.10036076093731998</v>
      </c>
      <c r="H26" s="176">
        <f>IF('P&amp;G'!G3=0,"N.A.",'P&amp;G'!G26/'P&amp;G'!G3)</f>
        <v>0.10658290787510312</v>
      </c>
      <c r="I26" s="176">
        <f>IF('P&amp;G'!H3=0,"N.A.",'P&amp;G'!H26/'P&amp;G'!H3)</f>
        <v>0.10663113513796824</v>
      </c>
      <c r="J26" s="24"/>
      <c r="K26" s="13"/>
      <c r="L26" s="1"/>
      <c r="M26" s="6"/>
      <c r="N26" s="6"/>
      <c r="O26" s="6"/>
      <c r="P26" s="6"/>
      <c r="Q26" s="6"/>
      <c r="R26" s="6"/>
      <c r="S26" s="6"/>
    </row>
    <row r="27" spans="1:19" ht="12.75" customHeight="1">
      <c r="A27" s="13"/>
      <c r="B27" s="19"/>
      <c r="C27" s="174" t="s">
        <v>270</v>
      </c>
      <c r="D27" s="181"/>
      <c r="E27" s="176">
        <f>IF(ISERROR('P&amp;G'!D26/Balance!E55),"N.A.",'P&amp;G'!D26/Balance!E55)</f>
        <v>0.80543274123197195</v>
      </c>
      <c r="F27" s="176">
        <f>IF(ISERROR('P&amp;G'!E26/Balance!F55),"N.A.",'P&amp;G'!E26/Balance!F55)</f>
        <v>0.52644855256800083</v>
      </c>
      <c r="G27" s="176">
        <f>IF(ISERROR('P&amp;G'!F26/Balance!G55),"N.A.",'P&amp;G'!F26/Balance!G55)</f>
        <v>0.36191926955494264</v>
      </c>
      <c r="H27" s="176">
        <f>IF(ISERROR('P&amp;G'!G26/Balance!H55),"N.A.",'P&amp;G'!G26/Balance!H55)</f>
        <v>0.28682322054448994</v>
      </c>
      <c r="I27" s="176">
        <f>IF(ISERROR('P&amp;G'!H26/Balance!I55),"N.A.",'P&amp;G'!H26/Balance!I55)</f>
        <v>0.23021571054482493</v>
      </c>
      <c r="J27" s="24"/>
      <c r="K27" s="13"/>
      <c r="L27" s="1"/>
      <c r="M27" s="6"/>
      <c r="N27" s="6"/>
      <c r="O27" s="6"/>
      <c r="P27" s="6"/>
      <c r="Q27" s="6"/>
      <c r="R27" s="6"/>
      <c r="S27" s="6"/>
    </row>
    <row r="28" spans="1:19" ht="12.75" customHeight="1">
      <c r="A28" s="13"/>
      <c r="B28" s="19"/>
      <c r="C28" s="174" t="s">
        <v>271</v>
      </c>
      <c r="D28" s="181"/>
      <c r="E28" s="176">
        <f>IF(ISERROR('P&amp;G'!D26/Balance!E40),"N.A.",'P&amp;G'!D26/Balance!E40)</f>
        <v>0.10451471841007068</v>
      </c>
      <c r="F28" s="176">
        <f>IF(ISERROR('P&amp;G'!E26/Balance!F40),"N.A.",'P&amp;G'!E26/Balance!F40)</f>
        <v>0.11712870462280833</v>
      </c>
      <c r="G28" s="176">
        <f>IF(ISERROR('P&amp;G'!F26/Balance!G40),"N.A.",'P&amp;G'!F26/Balance!G40)</f>
        <v>0.11153451837858853</v>
      </c>
      <c r="H28" s="176">
        <f>IF(ISERROR('P&amp;G'!G26/Balance!H40),"N.A.",'P&amp;G'!G26/Balance!H40)</f>
        <v>0.10938468982926126</v>
      </c>
      <c r="I28" s="176">
        <f>IF(ISERROR('P&amp;G'!H26/Balance!I40),"N.A.",'P&amp;G'!H26/Balance!I40)</f>
        <v>0.10196611366022666</v>
      </c>
      <c r="J28" s="24"/>
      <c r="K28" s="13"/>
      <c r="L28" s="1"/>
      <c r="M28" s="6"/>
      <c r="N28" s="6"/>
      <c r="O28" s="6"/>
      <c r="P28" s="6"/>
      <c r="Q28" s="6"/>
      <c r="R28" s="6"/>
      <c r="S28" s="6"/>
    </row>
    <row r="29" spans="1:19" ht="12.75" customHeight="1">
      <c r="A29" s="60"/>
      <c r="B29" s="173"/>
      <c r="C29" s="20" t="s">
        <v>272</v>
      </c>
      <c r="D29" s="177"/>
      <c r="E29" s="177"/>
      <c r="F29" s="50"/>
      <c r="G29" s="50"/>
      <c r="H29" s="50"/>
      <c r="I29" s="50"/>
      <c r="J29" s="61"/>
      <c r="K29" s="60"/>
      <c r="L29" s="42"/>
      <c r="M29" s="6"/>
      <c r="N29" s="6"/>
      <c r="O29" s="6"/>
      <c r="P29" s="6"/>
      <c r="Q29" s="6"/>
      <c r="R29" s="6"/>
      <c r="S29" s="6"/>
    </row>
    <row r="30" spans="1:19" ht="12.75" customHeight="1">
      <c r="A30" s="13"/>
      <c r="B30" s="19"/>
      <c r="C30" s="182" t="s">
        <v>273</v>
      </c>
      <c r="D30" s="183"/>
      <c r="E30" s="48">
        <f>'Flujo de Caja'!E10</f>
        <v>14215930.911935987</v>
      </c>
      <c r="F30" s="48">
        <f>'Flujo de Caja'!F10</f>
        <v>14601303.262165342</v>
      </c>
      <c r="G30" s="48">
        <f>'Flujo de Caja'!G10</f>
        <v>14266990.892475307</v>
      </c>
      <c r="H30" s="48">
        <f>'Flujo de Caja'!H10</f>
        <v>14730955.404060233</v>
      </c>
      <c r="I30" s="48">
        <f>'Flujo de Caja'!I10</f>
        <v>14891904.877787035</v>
      </c>
      <c r="J30" s="24"/>
      <c r="K30" s="13"/>
      <c r="L30" s="1"/>
      <c r="M30" s="6"/>
      <c r="N30" s="6"/>
      <c r="O30" s="6"/>
      <c r="P30" s="6"/>
      <c r="Q30" s="6"/>
      <c r="R30" s="6"/>
      <c r="S30" s="6"/>
    </row>
    <row r="31" spans="1:19" ht="12.75" customHeight="1">
      <c r="A31" s="13"/>
      <c r="B31" s="19"/>
      <c r="C31" s="184" t="s">
        <v>274</v>
      </c>
      <c r="D31" s="48">
        <f>-(Balance!D15-Balance!D6+Balance!D38+Balance!D39)</f>
        <v>-66478581</v>
      </c>
      <c r="E31" s="48">
        <f>'Flujo de Caja'!E32</f>
        <v>-2307260.7860074663</v>
      </c>
      <c r="F31" s="48">
        <f>'Flujo de Caja'!F32</f>
        <v>-2535353.8408626355</v>
      </c>
      <c r="G31" s="48">
        <f>'Flujo de Caja'!G32</f>
        <v>-255347.73406055081</v>
      </c>
      <c r="H31" s="48">
        <f>'Flujo de Caja'!H32</f>
        <v>-243050.06661987596</v>
      </c>
      <c r="I31" s="48">
        <f>'Flujo de Caja'!I32</f>
        <v>-228816.98280823079</v>
      </c>
      <c r="J31" s="24"/>
      <c r="K31" s="13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3"/>
      <c r="B32" s="19"/>
      <c r="C32" s="184" t="s">
        <v>275</v>
      </c>
      <c r="D32" s="48">
        <f>'Flujo de Caja'!D40</f>
        <v>66478581</v>
      </c>
      <c r="E32" s="48">
        <f>'Flujo de Caja'!E40</f>
        <v>0</v>
      </c>
      <c r="F32" s="48">
        <f>'Flujo de Caja'!F40</f>
        <v>0</v>
      </c>
      <c r="G32" s="48">
        <f>'Flujo de Caja'!G40</f>
        <v>0</v>
      </c>
      <c r="H32" s="48">
        <f>'Flujo de Caja'!H40</f>
        <v>0</v>
      </c>
      <c r="I32" s="48">
        <f>'Flujo de Caja'!I40</f>
        <v>0</v>
      </c>
      <c r="J32" s="24"/>
      <c r="K32" s="13"/>
      <c r="L32" s="1"/>
      <c r="M32" s="6"/>
      <c r="N32" s="6"/>
      <c r="O32" s="6"/>
      <c r="P32" s="6"/>
      <c r="Q32" s="6"/>
      <c r="R32" s="6"/>
      <c r="S32" s="6"/>
    </row>
    <row r="33" spans="1:19" ht="12.75" customHeight="1">
      <c r="A33" s="13"/>
      <c r="B33" s="19"/>
      <c r="C33" s="185" t="s">
        <v>276</v>
      </c>
      <c r="D33" s="186">
        <f t="shared" ref="D33:I33" si="0">D30+D31</f>
        <v>-66478581</v>
      </c>
      <c r="E33" s="186">
        <f t="shared" si="0"/>
        <v>11908670.125928521</v>
      </c>
      <c r="F33" s="186">
        <f t="shared" si="0"/>
        <v>12065949.421302706</v>
      </c>
      <c r="G33" s="186">
        <f t="shared" si="0"/>
        <v>14011643.158414757</v>
      </c>
      <c r="H33" s="186">
        <f t="shared" si="0"/>
        <v>14487905.337440357</v>
      </c>
      <c r="I33" s="186">
        <f t="shared" si="0"/>
        <v>14663087.894978805</v>
      </c>
      <c r="J33" s="24"/>
      <c r="K33" s="13"/>
      <c r="L33" s="1"/>
      <c r="M33" s="6"/>
      <c r="N33" s="6"/>
      <c r="O33" s="6"/>
      <c r="P33" s="6"/>
      <c r="Q33" s="6"/>
      <c r="R33" s="6"/>
      <c r="S33" s="6"/>
    </row>
    <row r="34" spans="1:19" ht="12.75" hidden="1" customHeight="1">
      <c r="A34" s="13"/>
      <c r="B34" s="19"/>
      <c r="C34" s="174" t="s">
        <v>277</v>
      </c>
      <c r="D34" s="187"/>
      <c r="E34" s="188">
        <f>D38</f>
        <v>0.12</v>
      </c>
      <c r="F34" s="188">
        <f t="shared" ref="F34:I34" si="1">E34</f>
        <v>0.12</v>
      </c>
      <c r="G34" s="188">
        <f t="shared" si="1"/>
        <v>0.12</v>
      </c>
      <c r="H34" s="188">
        <f t="shared" si="1"/>
        <v>0.12</v>
      </c>
      <c r="I34" s="188">
        <f t="shared" si="1"/>
        <v>0.12</v>
      </c>
      <c r="J34" s="24"/>
      <c r="K34" s="13"/>
      <c r="L34" s="1"/>
      <c r="M34" s="6"/>
      <c r="N34" s="6"/>
      <c r="O34" s="6"/>
      <c r="P34" s="6"/>
      <c r="Q34" s="6"/>
      <c r="R34" s="6"/>
      <c r="S34" s="6"/>
    </row>
    <row r="35" spans="1:19" ht="12.75" hidden="1" customHeight="1">
      <c r="A35" s="13"/>
      <c r="B35" s="19"/>
      <c r="C35" s="184" t="s">
        <v>278</v>
      </c>
      <c r="D35" s="179">
        <v>1</v>
      </c>
      <c r="E35" s="179">
        <f t="shared" ref="E35:I35" si="2">D35*(1+E34)</f>
        <v>1.1200000000000001</v>
      </c>
      <c r="F35" s="179">
        <f t="shared" si="2"/>
        <v>1.2544000000000002</v>
      </c>
      <c r="G35" s="179">
        <f t="shared" si="2"/>
        <v>1.4049280000000004</v>
      </c>
      <c r="H35" s="179">
        <f t="shared" si="2"/>
        <v>1.5735193600000006</v>
      </c>
      <c r="I35" s="179">
        <f t="shared" si="2"/>
        <v>1.7623416832000007</v>
      </c>
      <c r="J35" s="24"/>
      <c r="K35" s="13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13"/>
      <c r="B36" s="19"/>
      <c r="C36" s="185" t="s">
        <v>279</v>
      </c>
      <c r="D36" s="186">
        <f t="shared" ref="D36:I36" si="3">D33/D35</f>
        <v>-66478581</v>
      </c>
      <c r="E36" s="186">
        <f t="shared" si="3"/>
        <v>10632741.18386475</v>
      </c>
      <c r="F36" s="186">
        <f t="shared" si="3"/>
        <v>9618901.0055027939</v>
      </c>
      <c r="G36" s="186">
        <f t="shared" si="3"/>
        <v>9973210.8395695388</v>
      </c>
      <c r="H36" s="186">
        <f t="shared" si="3"/>
        <v>9207325.7601611912</v>
      </c>
      <c r="I36" s="186">
        <f t="shared" si="3"/>
        <v>8320229.8593732761</v>
      </c>
      <c r="J36" s="24"/>
      <c r="K36" s="13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60"/>
      <c r="B37" s="173"/>
      <c r="C37" s="20" t="s">
        <v>280</v>
      </c>
      <c r="D37" s="177"/>
      <c r="E37" s="177"/>
      <c r="F37" s="50"/>
      <c r="G37" s="50"/>
      <c r="H37" s="50"/>
      <c r="I37" s="50"/>
      <c r="J37" s="61"/>
      <c r="K37" s="60"/>
      <c r="L37" s="42"/>
      <c r="M37" s="6"/>
      <c r="N37" s="6"/>
      <c r="O37" s="6"/>
      <c r="P37" s="6"/>
      <c r="Q37" s="6"/>
      <c r="R37" s="6"/>
      <c r="S37" s="6"/>
    </row>
    <row r="38" spans="1:19" ht="12.75" customHeight="1">
      <c r="A38" s="189"/>
      <c r="B38" s="190"/>
      <c r="C38" s="191" t="s">
        <v>281</v>
      </c>
      <c r="D38" s="188">
        <f>Bases!D12</f>
        <v>0.12</v>
      </c>
      <c r="E38" s="192"/>
      <c r="F38" s="193"/>
      <c r="G38" s="193"/>
      <c r="H38" s="193"/>
      <c r="I38" s="193"/>
      <c r="J38" s="194"/>
      <c r="K38" s="189"/>
      <c r="L38" s="192"/>
      <c r="M38" s="6"/>
      <c r="N38" s="6"/>
      <c r="O38" s="6"/>
      <c r="P38" s="6"/>
      <c r="Q38" s="6"/>
      <c r="R38" s="6"/>
      <c r="S38" s="6"/>
    </row>
    <row r="39" spans="1:19" ht="12.75" customHeight="1">
      <c r="A39" s="189"/>
      <c r="B39" s="190"/>
      <c r="C39" s="191" t="s">
        <v>282</v>
      </c>
      <c r="D39" s="195">
        <f>IF(ISERROR(IRR(D33:I33)),"N.A.",IRR(D33:I33))</f>
        <v>3.1701045950955908E-3</v>
      </c>
      <c r="E39" s="192"/>
      <c r="F39" s="193"/>
      <c r="G39" s="193"/>
      <c r="H39" s="193"/>
      <c r="I39" s="193"/>
      <c r="J39" s="194"/>
      <c r="K39" s="189"/>
      <c r="L39" s="192"/>
      <c r="M39" s="6"/>
      <c r="N39" s="6"/>
      <c r="O39" s="6"/>
      <c r="P39" s="6"/>
      <c r="Q39" s="6"/>
      <c r="R39" s="6"/>
      <c r="S39" s="6"/>
    </row>
    <row r="40" spans="1:19" ht="12.75" customHeight="1">
      <c r="A40" s="189"/>
      <c r="B40" s="190"/>
      <c r="C40" s="191" t="s">
        <v>283</v>
      </c>
      <c r="D40" s="196">
        <f t="array" ref="D40">NPV(D38,E33:I33)+D33</f>
        <v>-18726172.351528458</v>
      </c>
      <c r="E40" s="192"/>
      <c r="F40" s="193"/>
      <c r="G40" s="193"/>
      <c r="H40" s="193"/>
      <c r="I40" s="193"/>
      <c r="J40" s="194"/>
      <c r="K40" s="189"/>
      <c r="L40" s="192"/>
      <c r="M40" s="6"/>
      <c r="N40" s="6"/>
      <c r="O40" s="6"/>
      <c r="P40" s="6"/>
      <c r="Q40" s="6"/>
      <c r="R40" s="6"/>
      <c r="S40" s="6"/>
    </row>
    <row r="41" spans="1:19" ht="12.75" customHeight="1">
      <c r="A41" s="189"/>
      <c r="B41" s="190"/>
      <c r="C41" s="191" t="s">
        <v>284</v>
      </c>
      <c r="D41" s="197">
        <f>IF(ISERROR(-D31/AVERAGE(E33:I33)),"N.A.",-D31/AVERAGE(E33:I33))</f>
        <v>4.9509456464326771</v>
      </c>
      <c r="E41" s="192"/>
      <c r="F41" s="193"/>
      <c r="G41" s="193"/>
      <c r="H41" s="193"/>
      <c r="I41" s="193"/>
      <c r="J41" s="194"/>
      <c r="K41" s="189"/>
      <c r="L41" s="192"/>
      <c r="M41" s="6"/>
      <c r="N41" s="6"/>
      <c r="O41" s="6"/>
      <c r="P41" s="6"/>
      <c r="Q41" s="6"/>
      <c r="R41" s="6"/>
      <c r="S41" s="6"/>
    </row>
    <row r="42" spans="1:19" ht="25.5" customHeight="1">
      <c r="A42" s="189"/>
      <c r="B42" s="190"/>
      <c r="C42" s="191" t="s">
        <v>137</v>
      </c>
      <c r="D42" s="198">
        <f>Bases!D13</f>
        <v>3</v>
      </c>
      <c r="E42" s="192"/>
      <c r="F42" s="193"/>
      <c r="G42" s="193"/>
      <c r="H42" s="193"/>
      <c r="I42" s="193"/>
      <c r="J42" s="194"/>
      <c r="K42" s="189"/>
      <c r="L42" s="192"/>
      <c r="M42" s="6"/>
      <c r="N42" s="6"/>
      <c r="O42" s="6"/>
      <c r="P42" s="6"/>
      <c r="Q42" s="6"/>
      <c r="R42" s="6"/>
      <c r="S42" s="6"/>
    </row>
    <row r="43" spans="1:19" ht="25.5" customHeight="1">
      <c r="A43" s="189"/>
      <c r="B43" s="190"/>
      <c r="C43" s="191" t="s">
        <v>285</v>
      </c>
      <c r="D43" s="195">
        <f>IF(ISERROR(Balance!D48/Balance!D40),"N.A.",Balance!D48/Balance!D40)</f>
        <v>0.96991512198492924</v>
      </c>
      <c r="E43" s="192"/>
      <c r="F43" s="193"/>
      <c r="G43" s="193"/>
      <c r="H43" s="193"/>
      <c r="I43" s="193"/>
      <c r="J43" s="194"/>
      <c r="K43" s="189"/>
      <c r="L43" s="192"/>
      <c r="M43" s="6"/>
      <c r="N43" s="6"/>
      <c r="O43" s="6"/>
      <c r="P43" s="6"/>
      <c r="Q43" s="6"/>
      <c r="R43" s="6"/>
      <c r="S43" s="6"/>
    </row>
    <row r="44" spans="1:19" ht="25.5" customHeight="1">
      <c r="A44" s="189"/>
      <c r="B44" s="190"/>
      <c r="C44" s="191" t="s">
        <v>138</v>
      </c>
      <c r="D44" s="198">
        <f>Bases!D14</f>
        <v>24</v>
      </c>
      <c r="E44" s="192"/>
      <c r="F44" s="193"/>
      <c r="G44" s="193"/>
      <c r="H44" s="193"/>
      <c r="I44" s="193"/>
      <c r="J44" s="194"/>
      <c r="K44" s="189"/>
      <c r="L44" s="192"/>
      <c r="M44" s="6"/>
      <c r="N44" s="6"/>
      <c r="O44" s="6"/>
      <c r="P44" s="6"/>
      <c r="Q44" s="6"/>
      <c r="R44" s="6"/>
      <c r="S44" s="6"/>
    </row>
    <row r="45" spans="1:19" ht="25.5" customHeight="1">
      <c r="A45" s="189"/>
      <c r="B45" s="190"/>
      <c r="C45" s="191" t="s">
        <v>139</v>
      </c>
      <c r="D45" s="198">
        <f>Bases!D15</f>
        <v>36</v>
      </c>
      <c r="E45" s="192"/>
      <c r="F45" s="193"/>
      <c r="G45" s="193"/>
      <c r="H45" s="193"/>
      <c r="I45" s="193"/>
      <c r="J45" s="194"/>
      <c r="K45" s="189"/>
      <c r="L45" s="192"/>
      <c r="M45" s="6"/>
      <c r="N45" s="6"/>
      <c r="O45" s="6"/>
      <c r="P45" s="6"/>
      <c r="Q45" s="6"/>
      <c r="R45" s="6"/>
      <c r="S45" s="6"/>
    </row>
    <row r="46" spans="1:19" ht="13.5" customHeight="1">
      <c r="A46" s="13"/>
      <c r="B46" s="71"/>
      <c r="C46" s="199"/>
      <c r="D46" s="74"/>
      <c r="E46" s="74"/>
      <c r="F46" s="200"/>
      <c r="G46" s="200"/>
      <c r="H46" s="200"/>
      <c r="I46" s="200"/>
      <c r="J46" s="75"/>
      <c r="K46" s="13"/>
      <c r="L46" s="1"/>
      <c r="M46" s="6"/>
      <c r="N46" s="6"/>
      <c r="O46" s="6"/>
      <c r="P46" s="6"/>
      <c r="Q46" s="6"/>
      <c r="R46" s="6"/>
      <c r="S46" s="6"/>
    </row>
    <row r="47" spans="1:19" ht="12.75" customHeight="1">
      <c r="A47" s="13"/>
      <c r="B47" s="13"/>
      <c r="C47" s="37"/>
      <c r="D47" s="60"/>
      <c r="E47" s="60"/>
      <c r="F47" s="13"/>
      <c r="G47" s="13"/>
      <c r="H47" s="13"/>
      <c r="I47" s="13"/>
      <c r="J47" s="13"/>
      <c r="K47" s="13"/>
      <c r="L47" s="1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7.28515625" defaultRowHeight="15" customHeight="1"/>
  <cols>
    <col min="1" max="1" width="2.28515625" customWidth="1"/>
    <col min="2" max="2" width="22.85546875" customWidth="1"/>
    <col min="3" max="8" width="18.7109375" customWidth="1"/>
    <col min="9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286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1"/>
      <c r="B3" s="94" t="s">
        <v>287</v>
      </c>
      <c r="C3" s="203"/>
      <c r="D3" s="203">
        <f>Proyecciones!F10+Bases!$D$19</f>
        <v>0.16539999999999999</v>
      </c>
      <c r="E3" s="203">
        <f>Proyecciones!G10+Bases!$D$19</f>
        <v>0.1462</v>
      </c>
      <c r="F3" s="203">
        <f>Proyecciones!H10+Bases!$D$19</f>
        <v>0.14650000000000002</v>
      </c>
      <c r="G3" s="203">
        <f>Proyecciones!I10+Bases!$D$19</f>
        <v>0.14700000000000002</v>
      </c>
      <c r="H3" s="203">
        <f>Proyecciones!J10+Bases!$D$19</f>
        <v>0.14500000000000002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"/>
      <c r="B4" s="94" t="s">
        <v>288</v>
      </c>
      <c r="C4" s="203"/>
      <c r="D4" s="203">
        <f t="shared" ref="D4:H4" si="0">(1-D3/4)^(-4)-1</f>
        <v>0.18402178628485055</v>
      </c>
      <c r="E4" s="203">
        <f t="shared" si="0"/>
        <v>0.16060189603492625</v>
      </c>
      <c r="F4" s="203">
        <f t="shared" si="0"/>
        <v>0.16096335572651888</v>
      </c>
      <c r="G4" s="203">
        <f t="shared" si="0"/>
        <v>0.16156610130704219</v>
      </c>
      <c r="H4" s="203">
        <f t="shared" si="0"/>
        <v>0.15915746323405044</v>
      </c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204"/>
      <c r="B5" s="94" t="s">
        <v>289</v>
      </c>
      <c r="C5" s="113">
        <f>Proyecciones!E178</f>
        <v>0</v>
      </c>
      <c r="D5" s="113">
        <f>Proyecciones!F178</f>
        <v>0</v>
      </c>
      <c r="E5" s="113">
        <f>Proyecciones!G178</f>
        <v>0</v>
      </c>
      <c r="F5" s="113">
        <f>Proyecciones!H178</f>
        <v>0</v>
      </c>
      <c r="G5" s="113">
        <f>Proyecciones!I178</f>
        <v>0</v>
      </c>
      <c r="H5" s="113">
        <f>Proyecciones!J178</f>
        <v>0</v>
      </c>
      <c r="I5" s="204"/>
      <c r="J5" s="204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1"/>
      <c r="B6" s="1"/>
      <c r="C6" s="137"/>
      <c r="D6" s="137"/>
      <c r="E6" s="137"/>
      <c r="F6" s="137"/>
      <c r="G6" s="137"/>
      <c r="H6" s="137"/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1"/>
      <c r="B7" s="205" t="s">
        <v>290</v>
      </c>
      <c r="C7" s="206"/>
      <c r="D7" s="206"/>
      <c r="E7" s="206"/>
      <c r="F7" s="206"/>
      <c r="G7" s="206"/>
      <c r="H7" s="206"/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0</v>
      </c>
      <c r="B8" s="94" t="s">
        <v>291</v>
      </c>
      <c r="C8" s="113">
        <f t="shared" ref="C8:H8" si="1">IF($A8&gt;C$1,0,IF($A8=C$1,C$5,B8-C16))</f>
        <v>0</v>
      </c>
      <c r="D8" s="113">
        <f t="shared" si="1"/>
        <v>0</v>
      </c>
      <c r="E8" s="113">
        <f t="shared" si="1"/>
        <v>0</v>
      </c>
      <c r="F8" s="113">
        <f t="shared" si="1"/>
        <v>0</v>
      </c>
      <c r="G8" s="113">
        <f t="shared" si="1"/>
        <v>0</v>
      </c>
      <c r="H8" s="113">
        <f t="shared" si="1"/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1</v>
      </c>
      <c r="B9" s="94" t="s">
        <v>292</v>
      </c>
      <c r="C9" s="113">
        <f t="shared" ref="C9:H9" si="2">IF($A9&gt;C$1,0,IF($A9=C$1,C$5,B9-C17))</f>
        <v>0</v>
      </c>
      <c r="D9" s="113">
        <f t="shared" si="2"/>
        <v>0</v>
      </c>
      <c r="E9" s="113">
        <f t="shared" si="2"/>
        <v>0</v>
      </c>
      <c r="F9" s="113">
        <f t="shared" si="2"/>
        <v>0</v>
      </c>
      <c r="G9" s="113">
        <f t="shared" si="2"/>
        <v>0</v>
      </c>
      <c r="H9" s="113">
        <f t="shared" si="2"/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2</v>
      </c>
      <c r="B10" s="94" t="s">
        <v>293</v>
      </c>
      <c r="C10" s="113">
        <f t="shared" ref="C10:H10" si="3">IF($A10&gt;C$1,0,IF($A10=C$1,C$5,B10-C18))</f>
        <v>0</v>
      </c>
      <c r="D10" s="113">
        <f t="shared" si="3"/>
        <v>0</v>
      </c>
      <c r="E10" s="113">
        <f t="shared" si="3"/>
        <v>0</v>
      </c>
      <c r="F10" s="113">
        <f t="shared" si="3"/>
        <v>0</v>
      </c>
      <c r="G10" s="113">
        <f t="shared" si="3"/>
        <v>0</v>
      </c>
      <c r="H10" s="113">
        <f t="shared" si="3"/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94">
        <v>3</v>
      </c>
      <c r="B11" s="94" t="s">
        <v>294</v>
      </c>
      <c r="C11" s="113">
        <f t="shared" ref="C11:H11" si="4">IF($A11&gt;C$1,0,IF($A11=C$1,C$5,B11-C19))</f>
        <v>0</v>
      </c>
      <c r="D11" s="113">
        <f t="shared" si="4"/>
        <v>0</v>
      </c>
      <c r="E11" s="113">
        <f t="shared" si="4"/>
        <v>0</v>
      </c>
      <c r="F11" s="113">
        <f t="shared" si="4"/>
        <v>0</v>
      </c>
      <c r="G11" s="113">
        <f t="shared" si="4"/>
        <v>0</v>
      </c>
      <c r="H11" s="113">
        <f t="shared" si="4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94">
        <v>4</v>
      </c>
      <c r="B12" s="94" t="s">
        <v>295</v>
      </c>
      <c r="C12" s="113">
        <f t="shared" ref="C12:H12" si="5">IF($A12&gt;C$1,0,IF($A12=C$1,C$5,B12-C20))</f>
        <v>0</v>
      </c>
      <c r="D12" s="113">
        <f t="shared" si="5"/>
        <v>0</v>
      </c>
      <c r="E12" s="113">
        <f t="shared" si="5"/>
        <v>0</v>
      </c>
      <c r="F12" s="113">
        <f t="shared" si="5"/>
        <v>0</v>
      </c>
      <c r="G12" s="113">
        <f t="shared" si="5"/>
        <v>0</v>
      </c>
      <c r="H12" s="113">
        <f t="shared" si="5"/>
        <v>0</v>
      </c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5</v>
      </c>
      <c r="B13" s="94" t="s">
        <v>296</v>
      </c>
      <c r="C13" s="113">
        <f t="shared" ref="C13:H13" si="6">IF($A13&gt;C$1,0,IF($A13=C$1,C$5,B13-C21))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13">
        <f t="shared" si="6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1"/>
      <c r="B14" s="94" t="s">
        <v>297</v>
      </c>
      <c r="C14" s="113">
        <f t="shared" ref="C14:H14" si="7">SUM(C8:C13)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13">
        <f t="shared" si="7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1"/>
      <c r="B15" s="205" t="s">
        <v>298</v>
      </c>
      <c r="C15" s="206"/>
      <c r="D15" s="206"/>
      <c r="E15" s="206"/>
      <c r="F15" s="206"/>
      <c r="G15" s="206"/>
      <c r="H15" s="206"/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0</v>
      </c>
      <c r="B16" s="94" t="s">
        <v>291</v>
      </c>
      <c r="C16" s="113">
        <f>IF(OR($A16+Bases!$D$17&gt;=C$1,$A16+Bases!$D$18&lt;C$1),0,HLOOKUP($A16,$B$1:$H$5,ROW($B$5),FALSE)/(Bases!$D$18-Bases!$D$17))</f>
        <v>0</v>
      </c>
      <c r="D16" s="113">
        <f>IF(OR($A16+Bases!$D$17&gt;=D$1,$A16+Bases!$D$18&lt;D$1),0,HLOOKUP($A16,$B$1:$H$5,ROW($B$5),FALSE)/(Bases!$D$18-Bases!$D$17))</f>
        <v>0</v>
      </c>
      <c r="E16" s="113">
        <f>IF(OR($A16+Bases!$D$17&gt;=E$1,$A16+Bases!$D$18&lt;E$1),0,HLOOKUP($A16,$B$1:$H$5,ROW($B$5),FALSE)/(Bases!$D$18-Bases!$D$17))</f>
        <v>0</v>
      </c>
      <c r="F16" s="113">
        <f>IF(OR($A16+Bases!$D$17&gt;=F$1,$A16+Bases!$D$18&lt;F$1),0,HLOOKUP($A16,$B$1:$H$5,ROW($B$5),FALSE)/(Bases!$D$18-Bases!$D$17))</f>
        <v>0</v>
      </c>
      <c r="G16" s="113">
        <f>IF(OR($A16+Bases!$D$17&gt;=G$1,$A16+Bases!$D$18&lt;G$1),0,HLOOKUP($A16,$B$1:$H$5,ROW($B$5),FALSE)/(Bases!$D$18-Bases!$D$17))</f>
        <v>0</v>
      </c>
      <c r="H16" s="113">
        <f>IF(OR($A16+Bases!$D$17&gt;=H$1,$A16+Bases!$D$18&lt;H$1),0,HLOOKUP($A16,$B$1:$H$5,ROW($B$5),FALSE)/(Bases!$D$18-Bases!$D$17))</f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1</v>
      </c>
      <c r="B17" s="94" t="s">
        <v>292</v>
      </c>
      <c r="C17" s="113">
        <f>IF(OR($A17+Bases!$D$17&gt;=C$1,$A17+Bases!$D$18&lt;C$1),0,HLOOKUP($A17,$B$1:$H$5,ROW($B$5),FALSE)/(Bases!$D$18-Bases!$D$17))</f>
        <v>0</v>
      </c>
      <c r="D17" s="113">
        <f>IF(OR($A17+Bases!$D$17&gt;=D$1,$A17+Bases!$D$18&lt;D$1),0,HLOOKUP($A17,$B$1:$H$5,ROW($B$5),FALSE)/(Bases!$D$18-Bases!$D$17))</f>
        <v>0</v>
      </c>
      <c r="E17" s="113">
        <f>IF(OR($A17+Bases!$D$17&gt;=E$1,$A17+Bases!$D$18&lt;E$1),0,HLOOKUP($A17,$B$1:$H$5,ROW($B$5),FALSE)/(Bases!$D$18-Bases!$D$17))</f>
        <v>0</v>
      </c>
      <c r="F17" s="113">
        <f>IF(OR($A17+Bases!$D$17&gt;=F$1,$A17+Bases!$D$18&lt;F$1),0,HLOOKUP($A17,$B$1:$H$5,ROW($B$5),FALSE)/(Bases!$D$18-Bases!$D$17))</f>
        <v>0</v>
      </c>
      <c r="G17" s="113">
        <f>IF(OR($A17+Bases!$D$17&gt;=G$1,$A17+Bases!$D$18&lt;G$1),0,HLOOKUP($A17,$B$1:$H$5,ROW($B$5),FALSE)/(Bases!$D$18-Bases!$D$17))</f>
        <v>0</v>
      </c>
      <c r="H17" s="113">
        <f>IF(OR($A17+Bases!$D$17&gt;=H$1,$A17+Bases!$D$18&lt;H$1),0,HLOOKUP($A17,$B$1:$H$5,ROW($B$5),FALSE)/(Bases!$D$18-Bases!$D$17))</f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2</v>
      </c>
      <c r="B18" s="94" t="s">
        <v>293</v>
      </c>
      <c r="C18" s="113">
        <f>IF(OR($A18+Bases!$D$17&gt;=C$1,$A18+Bases!$D$18&lt;C$1),0,HLOOKUP($A18,$B$1:$H$5,ROW($B$5),FALSE)/(Bases!$D$18-Bases!$D$17))</f>
        <v>0</v>
      </c>
      <c r="D18" s="113">
        <f>IF(OR($A18+Bases!$D$17&gt;=D$1,$A18+Bases!$D$18&lt;D$1),0,HLOOKUP($A18,$B$1:$H$5,ROW($B$5),FALSE)/(Bases!$D$18-Bases!$D$17))</f>
        <v>0</v>
      </c>
      <c r="E18" s="113">
        <f>IF(OR($A18+Bases!$D$17&gt;=E$1,$A18+Bases!$D$18&lt;E$1),0,HLOOKUP($A18,$B$1:$H$5,ROW($B$5),FALSE)/(Bases!$D$18-Bases!$D$17))</f>
        <v>0</v>
      </c>
      <c r="F18" s="113">
        <f>IF(OR($A18+Bases!$D$17&gt;=F$1,$A18+Bases!$D$18&lt;F$1),0,HLOOKUP($A18,$B$1:$H$5,ROW($B$5),FALSE)/(Bases!$D$18-Bases!$D$17))</f>
        <v>0</v>
      </c>
      <c r="G18" s="113">
        <f>IF(OR($A18+Bases!$D$17&gt;=G$1,$A18+Bases!$D$18&lt;G$1),0,HLOOKUP($A18,$B$1:$H$5,ROW($B$5),FALSE)/(Bases!$D$18-Bases!$D$17))</f>
        <v>0</v>
      </c>
      <c r="H18" s="113">
        <f>IF(OR($A18+Bases!$D$17&gt;=H$1,$A18+Bases!$D$18&lt;H$1),0,HLOOKUP($A18,$B$1:$H$5,ROW($B$5),FALSE)/(Bases!$D$18-Bases!$D$17))</f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94">
        <v>3</v>
      </c>
      <c r="B19" s="94" t="s">
        <v>294</v>
      </c>
      <c r="C19" s="113">
        <f>IF(OR($A19+Bases!$D$17&gt;=C$1,$A19+Bases!$D$18&lt;C$1),0,HLOOKUP($A19,$B$1:$H$5,ROW($B$5),FALSE)/(Bases!$D$18-Bases!$D$17))</f>
        <v>0</v>
      </c>
      <c r="D19" s="113">
        <f>IF(OR($A19+Bases!$D$17&gt;=D$1,$A19+Bases!$D$18&lt;D$1),0,HLOOKUP($A19,$B$1:$H$5,ROW($B$5),FALSE)/(Bases!$D$18-Bases!$D$17))</f>
        <v>0</v>
      </c>
      <c r="E19" s="113">
        <f>IF(OR($A19+Bases!$D$17&gt;=E$1,$A19+Bases!$D$18&lt;E$1),0,HLOOKUP($A19,$B$1:$H$5,ROW($B$5),FALSE)/(Bases!$D$18-Bases!$D$17))</f>
        <v>0</v>
      </c>
      <c r="F19" s="113">
        <f>IF(OR($A19+Bases!$D$17&gt;=F$1,$A19+Bases!$D$18&lt;F$1),0,HLOOKUP($A19,$B$1:$H$5,ROW($B$5),FALSE)/(Bases!$D$18-Bases!$D$17))</f>
        <v>0</v>
      </c>
      <c r="G19" s="113">
        <f>IF(OR($A19+Bases!$D$17&gt;=G$1,$A19+Bases!$D$18&lt;G$1),0,HLOOKUP($A19,$B$1:$H$5,ROW($B$5),FALSE)/(Bases!$D$18-Bases!$D$17))</f>
        <v>0</v>
      </c>
      <c r="H19" s="113">
        <f>IF(OR($A19+Bases!$D$17&gt;=H$1,$A19+Bases!$D$18&lt;H$1),0,HLOOKUP($A19,$B$1:$H$5,ROW($B$5),FALSE)/(Bases!$D$18-Bases!$D$17))</f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2.75" customHeight="1">
      <c r="A20" s="94">
        <v>4</v>
      </c>
      <c r="B20" s="94" t="s">
        <v>295</v>
      </c>
      <c r="C20" s="113">
        <f>IF(OR($A20+Bases!$D$17&gt;=C$1,$A20+Bases!$D$18&lt;C$1),0,HLOOKUP($A20,$B$1:$H$5,ROW($B$5),FALSE)/(Bases!$D$18-Bases!$D$17))</f>
        <v>0</v>
      </c>
      <c r="D20" s="113">
        <f>IF(OR($A20+Bases!$D$17&gt;=D$1,$A20+Bases!$D$18&lt;D$1),0,HLOOKUP($A20,$B$1:$H$5,ROW($B$5),FALSE)/(Bases!$D$18-Bases!$D$17))</f>
        <v>0</v>
      </c>
      <c r="E20" s="113">
        <f>IF(OR($A20+Bases!$D$17&gt;=E$1,$A20+Bases!$D$18&lt;E$1),0,HLOOKUP($A20,$B$1:$H$5,ROW($B$5),FALSE)/(Bases!$D$18-Bases!$D$17))</f>
        <v>0</v>
      </c>
      <c r="F20" s="113">
        <f>IF(OR($A20+Bases!$D$17&gt;=F$1,$A20+Bases!$D$18&lt;F$1),0,HLOOKUP($A20,$B$1:$H$5,ROW($B$5),FALSE)/(Bases!$D$18-Bases!$D$17))</f>
        <v>0</v>
      </c>
      <c r="G20" s="113">
        <f>IF(OR($A20+Bases!$D$17&gt;=G$1,$A20+Bases!$D$18&lt;G$1),0,HLOOKUP($A20,$B$1:$H$5,ROW($B$5),FALSE)/(Bases!$D$18-Bases!$D$17))</f>
        <v>0</v>
      </c>
      <c r="H20" s="113">
        <f>IF(OR($A20+Bases!$D$17&gt;=H$1,$A20+Bases!$D$18&lt;H$1),0,HLOOKUP($A20,$B$1:$H$5,ROW($B$5),FALSE)/(Bases!$D$18-Bases!$D$17))</f>
        <v>0</v>
      </c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5</v>
      </c>
      <c r="B21" s="94" t="s">
        <v>296</v>
      </c>
      <c r="C21" s="113">
        <f>IF(OR($A21+Bases!$D$17&gt;=C$1,$A21+Bases!$D$18&lt;C$1),0,HLOOKUP($A21,$B$1:$H$5,ROW($B$5),FALSE)/(Bases!$D$18-Bases!$D$17))</f>
        <v>0</v>
      </c>
      <c r="D21" s="113">
        <f>IF(OR($A21+Bases!$D$17&gt;=D$1,$A21+Bases!$D$18&lt;D$1),0,HLOOKUP($A21,$B$1:$H$5,ROW($B$5),FALSE)/(Bases!$D$18-Bases!$D$17))</f>
        <v>0</v>
      </c>
      <c r="E21" s="113">
        <f>IF(OR($A21+Bases!$D$17&gt;=E$1,$A21+Bases!$D$18&lt;E$1),0,HLOOKUP($A21,$B$1:$H$5,ROW($B$5),FALSE)/(Bases!$D$18-Bases!$D$17))</f>
        <v>0</v>
      </c>
      <c r="F21" s="113">
        <f>IF(OR($A21+Bases!$D$17&gt;=F$1,$A21+Bases!$D$18&lt;F$1),0,HLOOKUP($A21,$B$1:$H$5,ROW($B$5),FALSE)/(Bases!$D$18-Bases!$D$17))</f>
        <v>0</v>
      </c>
      <c r="G21" s="113">
        <f>IF(OR($A21+Bases!$D$17&gt;=G$1,$A21+Bases!$D$18&lt;G$1),0,HLOOKUP($A21,$B$1:$H$5,ROW($B$5),FALSE)/(Bases!$D$18-Bases!$D$17))</f>
        <v>0</v>
      </c>
      <c r="H21" s="113">
        <f>IF(OR($A21+Bases!$D$17&gt;=H$1,$A21+Bases!$D$18&lt;H$1),0,HLOOKUP($A21,$B$1:$H$5,ROW($B$5),FALSE)/(Bases!$D$18-Bases!$D$17))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1"/>
      <c r="B22" s="94" t="s">
        <v>299</v>
      </c>
      <c r="C22" s="113">
        <f t="shared" ref="C22:H22" si="8">SUM(C16:C21)</f>
        <v>0</v>
      </c>
      <c r="D22" s="113">
        <f t="shared" si="8"/>
        <v>0</v>
      </c>
      <c r="E22" s="113">
        <f t="shared" si="8"/>
        <v>0</v>
      </c>
      <c r="F22" s="113">
        <f t="shared" si="8"/>
        <v>0</v>
      </c>
      <c r="G22" s="113">
        <f t="shared" si="8"/>
        <v>0</v>
      </c>
      <c r="H22" s="113">
        <f t="shared" si="8"/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1"/>
      <c r="B23" s="205" t="s">
        <v>300</v>
      </c>
      <c r="C23" s="206"/>
      <c r="D23" s="206"/>
      <c r="E23" s="206"/>
      <c r="F23" s="206"/>
      <c r="G23" s="206"/>
      <c r="H23" s="206"/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0</v>
      </c>
      <c r="B24" s="94" t="s">
        <v>291</v>
      </c>
      <c r="C24" s="113">
        <f t="shared" ref="C24:H24" si="9">IF($A24&gt;=C$1,0,B8*C$4)</f>
        <v>0</v>
      </c>
      <c r="D24" s="113">
        <f t="shared" si="9"/>
        <v>0</v>
      </c>
      <c r="E24" s="113">
        <f t="shared" si="9"/>
        <v>0</v>
      </c>
      <c r="F24" s="113">
        <f t="shared" si="9"/>
        <v>0</v>
      </c>
      <c r="G24" s="113">
        <f t="shared" si="9"/>
        <v>0</v>
      </c>
      <c r="H24" s="113">
        <f t="shared" si="9"/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1</v>
      </c>
      <c r="B25" s="94" t="s">
        <v>292</v>
      </c>
      <c r="C25" s="113">
        <f t="shared" ref="C25:H25" si="10">IF($A25&gt;=C$1,0,B9*C$4)</f>
        <v>0</v>
      </c>
      <c r="D25" s="113">
        <f t="shared" si="10"/>
        <v>0</v>
      </c>
      <c r="E25" s="113">
        <f t="shared" si="10"/>
        <v>0</v>
      </c>
      <c r="F25" s="113">
        <f t="shared" si="10"/>
        <v>0</v>
      </c>
      <c r="G25" s="113">
        <f t="shared" si="10"/>
        <v>0</v>
      </c>
      <c r="H25" s="113">
        <f t="shared" si="10"/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2</v>
      </c>
      <c r="B26" s="94" t="s">
        <v>293</v>
      </c>
      <c r="C26" s="113">
        <f t="shared" ref="C26:H26" si="11">IF($A26&gt;=C$1,0,B10*C$4)</f>
        <v>0</v>
      </c>
      <c r="D26" s="113">
        <f t="shared" si="11"/>
        <v>0</v>
      </c>
      <c r="E26" s="113">
        <f t="shared" si="11"/>
        <v>0</v>
      </c>
      <c r="F26" s="113">
        <f t="shared" si="11"/>
        <v>0</v>
      </c>
      <c r="G26" s="113">
        <f t="shared" si="11"/>
        <v>0</v>
      </c>
      <c r="H26" s="113">
        <f t="shared" si="11"/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94">
        <v>3</v>
      </c>
      <c r="B27" s="94" t="s">
        <v>294</v>
      </c>
      <c r="C27" s="113">
        <f t="shared" ref="C27:H27" si="12">IF($A27&gt;=C$1,0,B11*C$4)</f>
        <v>0</v>
      </c>
      <c r="D27" s="113">
        <f t="shared" si="12"/>
        <v>0</v>
      </c>
      <c r="E27" s="113">
        <f t="shared" si="12"/>
        <v>0</v>
      </c>
      <c r="F27" s="113">
        <f t="shared" si="12"/>
        <v>0</v>
      </c>
      <c r="G27" s="113">
        <f t="shared" si="12"/>
        <v>0</v>
      </c>
      <c r="H27" s="113">
        <f t="shared" si="12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2.75" customHeight="1">
      <c r="A28" s="94">
        <v>4</v>
      </c>
      <c r="B28" s="94" t="s">
        <v>295</v>
      </c>
      <c r="C28" s="113">
        <f t="shared" ref="C28:H28" si="13">IF($A28&gt;=C$1,0,B12*C$4)</f>
        <v>0</v>
      </c>
      <c r="D28" s="113">
        <f t="shared" si="13"/>
        <v>0</v>
      </c>
      <c r="E28" s="113">
        <f t="shared" si="13"/>
        <v>0</v>
      </c>
      <c r="F28" s="113">
        <f t="shared" si="13"/>
        <v>0</v>
      </c>
      <c r="G28" s="113">
        <f t="shared" si="13"/>
        <v>0</v>
      </c>
      <c r="H28" s="113">
        <f t="shared" si="13"/>
        <v>0</v>
      </c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5</v>
      </c>
      <c r="B29" s="94" t="s">
        <v>296</v>
      </c>
      <c r="C29" s="113">
        <f t="shared" ref="C29:H29" si="14">IF($A29&gt;=C$1,0,B13*C$4)</f>
        <v>0</v>
      </c>
      <c r="D29" s="113">
        <f t="shared" si="14"/>
        <v>0</v>
      </c>
      <c r="E29" s="113">
        <f t="shared" si="14"/>
        <v>0</v>
      </c>
      <c r="F29" s="113">
        <f t="shared" si="14"/>
        <v>0</v>
      </c>
      <c r="G29" s="113">
        <f t="shared" si="14"/>
        <v>0</v>
      </c>
      <c r="H29" s="113">
        <f t="shared" si="14"/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94" t="s">
        <v>300</v>
      </c>
      <c r="C30" s="113">
        <f t="shared" ref="C30:H30" si="15">SUM(C24:C29)</f>
        <v>0</v>
      </c>
      <c r="D30" s="113">
        <f t="shared" si="15"/>
        <v>0</v>
      </c>
      <c r="E30" s="113">
        <f t="shared" si="15"/>
        <v>0</v>
      </c>
      <c r="F30" s="113">
        <f t="shared" si="15"/>
        <v>0</v>
      </c>
      <c r="G30" s="113">
        <f t="shared" si="15"/>
        <v>0</v>
      </c>
      <c r="H30" s="113">
        <f t="shared" si="15"/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6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6</v>
      </c>
      <c r="C3" s="207">
        <f>Proyecciones!F7</f>
        <v>0</v>
      </c>
      <c r="D3" s="207">
        <f>Proyecciones!G7</f>
        <v>0</v>
      </c>
      <c r="E3" s="207">
        <f>Proyecciones!H7</f>
        <v>0</v>
      </c>
      <c r="F3" s="207">
        <f>Proyecciones!I7</f>
        <v>0</v>
      </c>
      <c r="G3" s="207">
        <f>Proyecciones!J7</f>
        <v>0</v>
      </c>
      <c r="H3" s="1"/>
      <c r="I3" s="6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"/>
      <c r="B4" s="94" t="s">
        <v>74</v>
      </c>
      <c r="C4" s="113">
        <f>Proyecciones!F148</f>
        <v>0</v>
      </c>
      <c r="D4" s="113">
        <f>Proyecciones!G148</f>
        <v>0</v>
      </c>
      <c r="E4" s="113">
        <f>Proyecciones!H148</f>
        <v>0</v>
      </c>
      <c r="F4" s="113">
        <f>Proyecciones!I148</f>
        <v>0</v>
      </c>
      <c r="G4" s="113">
        <f>Proyecciones!J148</f>
        <v>0</v>
      </c>
      <c r="H4" s="1"/>
      <c r="I4" s="6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119"/>
      <c r="B5" s="208" t="s">
        <v>76</v>
      </c>
      <c r="C5" s="209"/>
      <c r="D5" s="209"/>
      <c r="E5" s="209"/>
      <c r="F5" s="209"/>
      <c r="G5" s="209"/>
      <c r="H5" s="119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1</v>
      </c>
      <c r="B6" s="210" t="s">
        <v>302</v>
      </c>
      <c r="C6" s="113">
        <f t="shared" ref="C6:G6" si="0">IF($A6&gt;C$1,0,IF($A6=C$1,C$4*C$3,B13*C$3))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"/>
      <c r="I6" s="6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2</v>
      </c>
      <c r="B7" s="210" t="s">
        <v>303</v>
      </c>
      <c r="C7" s="113">
        <f t="shared" ref="C7:G7" si="1">IF($A7&gt;C$1,0,IF($A7=C$1,C$4*C$3,B14*C$3))</f>
        <v>0</v>
      </c>
      <c r="D7" s="113">
        <f t="shared" si="1"/>
        <v>0</v>
      </c>
      <c r="E7" s="113">
        <f t="shared" si="1"/>
        <v>0</v>
      </c>
      <c r="F7" s="113">
        <f t="shared" si="1"/>
        <v>0</v>
      </c>
      <c r="G7" s="113">
        <f t="shared" si="1"/>
        <v>0</v>
      </c>
      <c r="H7" s="1"/>
      <c r="I7" s="6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3</v>
      </c>
      <c r="B8" s="210" t="s">
        <v>304</v>
      </c>
      <c r="C8" s="113">
        <f t="shared" ref="C8:G8" si="2">IF($A8&gt;C$1,0,IF($A8=C$1,C$4*C$3,B15*C$3))</f>
        <v>0</v>
      </c>
      <c r="D8" s="113">
        <f t="shared" si="2"/>
        <v>0</v>
      </c>
      <c r="E8" s="113">
        <f t="shared" si="2"/>
        <v>0</v>
      </c>
      <c r="F8" s="113">
        <f t="shared" si="2"/>
        <v>0</v>
      </c>
      <c r="G8" s="113">
        <f t="shared" si="2"/>
        <v>0</v>
      </c>
      <c r="H8" s="1"/>
      <c r="I8" s="6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4</v>
      </c>
      <c r="B9" s="210" t="s">
        <v>305</v>
      </c>
      <c r="C9" s="113">
        <f t="shared" ref="C9:G9" si="3">IF($A9&gt;C$1,0,IF($A9=C$1,C$4*C$3,B16*C$3))</f>
        <v>0</v>
      </c>
      <c r="D9" s="113">
        <f t="shared" si="3"/>
        <v>0</v>
      </c>
      <c r="E9" s="113">
        <f t="shared" si="3"/>
        <v>0</v>
      </c>
      <c r="F9" s="113">
        <f t="shared" si="3"/>
        <v>0</v>
      </c>
      <c r="G9" s="113">
        <f t="shared" si="3"/>
        <v>0</v>
      </c>
      <c r="H9" s="1"/>
      <c r="I9" s="6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94">
        <v>5</v>
      </c>
      <c r="B10" s="210" t="s">
        <v>306</v>
      </c>
      <c r="C10" s="113">
        <f t="shared" ref="C10:G10" si="4">IF($A10&gt;C$1,0,IF($A10=C$1,C$4*C$3,B17*C$3))</f>
        <v>0</v>
      </c>
      <c r="D10" s="113">
        <f t="shared" si="4"/>
        <v>0</v>
      </c>
      <c r="E10" s="113">
        <f t="shared" si="4"/>
        <v>0</v>
      </c>
      <c r="F10" s="113">
        <f t="shared" si="4"/>
        <v>0</v>
      </c>
      <c r="G10" s="113">
        <f t="shared" si="4"/>
        <v>0</v>
      </c>
      <c r="H10" s="1"/>
      <c r="I10" s="6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94" t="s">
        <v>307</v>
      </c>
      <c r="C11" s="113">
        <f t="shared" ref="C11:G11" si="5">SUM(C6:C10)</f>
        <v>0</v>
      </c>
      <c r="D11" s="113">
        <f t="shared" si="5"/>
        <v>0</v>
      </c>
      <c r="E11" s="113">
        <f t="shared" si="5"/>
        <v>0</v>
      </c>
      <c r="F11" s="113">
        <f t="shared" si="5"/>
        <v>0</v>
      </c>
      <c r="G11" s="113">
        <f t="shared" si="5"/>
        <v>0</v>
      </c>
      <c r="H11" s="1"/>
      <c r="I11" s="6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1"/>
      <c r="B12" s="208" t="s">
        <v>308</v>
      </c>
      <c r="C12" s="137"/>
      <c r="D12" s="137"/>
      <c r="E12" s="137"/>
      <c r="F12" s="137"/>
      <c r="G12" s="137"/>
      <c r="H12" s="1"/>
      <c r="I12" s="6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1</v>
      </c>
      <c r="B13" s="210" t="s">
        <v>302</v>
      </c>
      <c r="C13" s="113">
        <f t="shared" ref="C13:G13" si="6">IF($A13&gt;C$1,0,IF($A13=C$1,C$4+C6,B13+C6))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"/>
      <c r="I13" s="6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2</v>
      </c>
      <c r="B14" s="210" t="s">
        <v>303</v>
      </c>
      <c r="C14" s="113">
        <f t="shared" ref="C14:G14" si="7">IF($A14&gt;C$1,0,IF($A14=C$1,C$4+C7,B14+C7))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"/>
      <c r="I14" s="6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3</v>
      </c>
      <c r="B15" s="210" t="s">
        <v>304</v>
      </c>
      <c r="C15" s="113">
        <f t="shared" ref="C15:G15" si="8">IF($A15&gt;C$1,0,IF($A15=C$1,C$4+C8,B15+C8))</f>
        <v>0</v>
      </c>
      <c r="D15" s="113">
        <f t="shared" si="8"/>
        <v>0</v>
      </c>
      <c r="E15" s="113">
        <f t="shared" si="8"/>
        <v>0</v>
      </c>
      <c r="F15" s="113">
        <f t="shared" si="8"/>
        <v>0</v>
      </c>
      <c r="G15" s="113">
        <f t="shared" si="8"/>
        <v>0</v>
      </c>
      <c r="H15" s="1"/>
      <c r="I15" s="6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4</v>
      </c>
      <c r="B16" s="210" t="s">
        <v>305</v>
      </c>
      <c r="C16" s="113">
        <f t="shared" ref="C16:G16" si="9">IF($A16&gt;C$1,0,IF($A16=C$1,C$4+C9,B16+C9))</f>
        <v>0</v>
      </c>
      <c r="D16" s="113">
        <f t="shared" si="9"/>
        <v>0</v>
      </c>
      <c r="E16" s="113">
        <f t="shared" si="9"/>
        <v>0</v>
      </c>
      <c r="F16" s="113">
        <f t="shared" si="9"/>
        <v>0</v>
      </c>
      <c r="G16" s="113">
        <f t="shared" si="9"/>
        <v>0</v>
      </c>
      <c r="H16" s="1"/>
      <c r="I16" s="6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94">
        <v>5</v>
      </c>
      <c r="B17" s="210" t="s">
        <v>306</v>
      </c>
      <c r="C17" s="113">
        <f t="shared" ref="C17:G17" si="10">IF($A17&gt;C$1,0,IF($A17=C$1,C$4+C10,B17+C10))</f>
        <v>0</v>
      </c>
      <c r="D17" s="113">
        <f t="shared" si="10"/>
        <v>0</v>
      </c>
      <c r="E17" s="113">
        <f t="shared" si="10"/>
        <v>0</v>
      </c>
      <c r="F17" s="113">
        <f t="shared" si="10"/>
        <v>0</v>
      </c>
      <c r="G17" s="113">
        <f t="shared" si="10"/>
        <v>0</v>
      </c>
      <c r="H17" s="1"/>
      <c r="I17" s="6"/>
      <c r="J17" s="6"/>
      <c r="K17" s="6"/>
      <c r="L17" s="6"/>
      <c r="M17" s="6"/>
      <c r="N17" s="6"/>
      <c r="O17" s="6"/>
      <c r="P17" s="6"/>
      <c r="Q17" s="6"/>
    </row>
    <row r="18" spans="1:17" ht="12.75" customHeight="1">
      <c r="A18" s="1"/>
      <c r="B18" s="94" t="s">
        <v>309</v>
      </c>
      <c r="C18" s="113">
        <f t="shared" ref="C18:G18" si="11">SUM(C13:C17)</f>
        <v>0</v>
      </c>
      <c r="D18" s="113">
        <f t="shared" si="11"/>
        <v>0</v>
      </c>
      <c r="E18" s="113">
        <f t="shared" si="11"/>
        <v>0</v>
      </c>
      <c r="F18" s="113">
        <f t="shared" si="11"/>
        <v>0</v>
      </c>
      <c r="G18" s="113">
        <f t="shared" si="11"/>
        <v>0</v>
      </c>
      <c r="H18" s="1"/>
      <c r="I18" s="6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310</v>
      </c>
      <c r="C3" s="166">
        <f>Proyecciones!F149</f>
        <v>0</v>
      </c>
      <c r="D3" s="113">
        <f>Proyecciones!G149</f>
        <v>0</v>
      </c>
      <c r="E3" s="113">
        <f>Proyecciones!H149</f>
        <v>0</v>
      </c>
      <c r="F3" s="113">
        <f>Proyecciones!I149</f>
        <v>0</v>
      </c>
      <c r="G3" s="113">
        <f>Proyecciones!J149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IF(OR($A19&gt;C$1,Bases!$D$22+$A19-1&lt;C$1),0,C12/Bases!$D$22)</f>
        <v>0</v>
      </c>
      <c r="D19" s="113">
        <f>IF(OR($A19&gt;D$1,Bases!$D$22+$A19-1&lt;D$1),0,D12/Bases!$D$22)</f>
        <v>0</v>
      </c>
      <c r="E19" s="113">
        <f>IF(OR($A19&gt;E$1,Bases!$D$22+$A19-1&lt;E$1),0,E12/Bases!$D$22)</f>
        <v>0</v>
      </c>
      <c r="F19" s="113">
        <f>IF(OR($A19&gt;F$1,Bases!$D$22+$A19-1&lt;F$1),0,F12/Bases!$D$22)</f>
        <v>0</v>
      </c>
      <c r="G19" s="113">
        <f>IF(OR($A19&gt;G$1,Bases!$D$22+$A19-1&lt;G$1),0,G12/Bases!$D$22)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IF(OR($A20&gt;C$1,Bases!$D$22+$A20-1&lt;C$1),0,C13/Bases!$D$22)</f>
        <v>0</v>
      </c>
      <c r="D20" s="113">
        <f>IF(OR($A20&gt;D$1,Bases!$D$22+$A20-1&lt;D$1),0,D13/Bases!$D$22)</f>
        <v>0</v>
      </c>
      <c r="E20" s="113">
        <f>IF(OR($A20&gt;E$1,Bases!$D$22+$A20-1&lt;E$1),0,E13/Bases!$D$22)</f>
        <v>0</v>
      </c>
      <c r="F20" s="113">
        <f>IF(OR($A20&gt;F$1,Bases!$D$22+$A20-1&lt;F$1),0,F13/Bases!$D$22)</f>
        <v>0</v>
      </c>
      <c r="G20" s="113">
        <f>IF(OR($A20&gt;G$1,Bases!$D$22+$A20-1&lt;G$1),0,G13/Bases!$D$22)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IF(OR($A21&gt;C$1,Bases!$D$22+$A21-1&lt;C$1),0,C14/Bases!$D$22)</f>
        <v>0</v>
      </c>
      <c r="D21" s="113">
        <f>IF(OR($A21&gt;D$1,Bases!$D$22+$A21-1&lt;D$1),0,D14/Bases!$D$22)</f>
        <v>0</v>
      </c>
      <c r="E21" s="113">
        <f>IF(OR($A21&gt;E$1,Bases!$D$22+$A21-1&lt;E$1),0,E14/Bases!$D$22)</f>
        <v>0</v>
      </c>
      <c r="F21" s="113">
        <f>IF(OR($A21&gt;F$1,Bases!$D$22+$A21-1&lt;F$1),0,F14/Bases!$D$22)</f>
        <v>0</v>
      </c>
      <c r="G21" s="113">
        <f>IF(OR($A21&gt;G$1,Bases!$D$22+$A21-1&lt;G$1),0,G14/Bases!$D$22)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IF(OR($A22&gt;C$1,Bases!$D$22+$A22-1&lt;C$1),0,C15/Bases!$D$22)</f>
        <v>0</v>
      </c>
      <c r="D22" s="113">
        <f>IF(OR($A22&gt;D$1,Bases!$D$22+$A22-1&lt;D$1),0,D15/Bases!$D$22)</f>
        <v>0</v>
      </c>
      <c r="E22" s="113">
        <f>IF(OR($A22&gt;E$1,Bases!$D$22+$A22-1&lt;E$1),0,E15/Bases!$D$22)</f>
        <v>0</v>
      </c>
      <c r="F22" s="113">
        <f>IF(OR($A22&gt;F$1,Bases!$D$22+$A22-1&lt;F$1),0,F15/Bases!$D$22)</f>
        <v>0</v>
      </c>
      <c r="G22" s="113">
        <f>IF(OR($A22&gt;G$1,Bases!$D$22+$A22-1&lt;G$1),0,G15/Bases!$D$22)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IF(OR($A23&gt;C$1,Bases!$D$22+$A23-1&lt;C$1),0,C16/Bases!$D$22)</f>
        <v>0</v>
      </c>
      <c r="D23" s="113">
        <f>IF(OR($A23&gt;D$1,Bases!$D$22+$A23-1&lt;D$1),0,D16/Bases!$D$22)</f>
        <v>0</v>
      </c>
      <c r="E23" s="113">
        <f>IF(OR($A23&gt;E$1,Bases!$D$22+$A23-1&lt;E$1),0,E16/Bases!$D$22)</f>
        <v>0</v>
      </c>
      <c r="F23" s="113">
        <f>IF(OR($A23&gt;F$1,Bases!$D$22+$A23-1&lt;F$1),0,F16/Bases!$D$22)</f>
        <v>0</v>
      </c>
      <c r="G23" s="113">
        <f>IF(OR($A23&gt;G$1,Bases!$D$22+$A23-1&lt;G$1),0,G16/Bases!$D$22)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66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8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212">
        <v>1</v>
      </c>
      <c r="B26" s="138" t="s">
        <v>302</v>
      </c>
      <c r="C26" s="166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212">
        <v>2</v>
      </c>
      <c r="B27" s="138" t="s">
        <v>303</v>
      </c>
      <c r="C27" s="166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212">
        <v>3</v>
      </c>
      <c r="B28" s="138" t="s">
        <v>304</v>
      </c>
      <c r="C28" s="166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212">
        <v>4</v>
      </c>
      <c r="B29" s="138" t="s">
        <v>305</v>
      </c>
      <c r="C29" s="166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212">
        <v>5</v>
      </c>
      <c r="B30" s="138" t="s">
        <v>306</v>
      </c>
      <c r="C30" s="166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66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8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212">
        <v>1</v>
      </c>
      <c r="B33" s="210" t="s">
        <v>302</v>
      </c>
      <c r="C33" s="166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212">
        <v>2</v>
      </c>
      <c r="B34" s="210" t="s">
        <v>303</v>
      </c>
      <c r="C34" s="166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212">
        <v>3</v>
      </c>
      <c r="B35" s="210" t="s">
        <v>304</v>
      </c>
      <c r="C35" s="166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212">
        <v>4</v>
      </c>
      <c r="B36" s="210" t="s">
        <v>305</v>
      </c>
      <c r="C36" s="166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212">
        <v>5</v>
      </c>
      <c r="B37" s="210" t="s">
        <v>306</v>
      </c>
      <c r="C37" s="166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66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82</v>
      </c>
      <c r="C3" s="166">
        <f>Proyecciones!F150</f>
        <v>0</v>
      </c>
      <c r="D3" s="113">
        <f>Proyecciones!G150</f>
        <v>0</v>
      </c>
      <c r="E3" s="113">
        <f>Proyecciones!H150</f>
        <v>0</v>
      </c>
      <c r="F3" s="113">
        <f>Proyecciones!I150</f>
        <v>0</v>
      </c>
      <c r="G3" s="113">
        <f>Proyecciones!J150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4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IF(OR($A19&gt;C$1,Bases!$D$23+$A19-1&lt;C$1),0,C12/Bases!$D$23)</f>
        <v>0</v>
      </c>
      <c r="D19" s="113">
        <f>IF(OR($A19&gt;D$1,Bases!$D$23+$A19-1&lt;D$1),0,D12/Bases!$D$23)</f>
        <v>0</v>
      </c>
      <c r="E19" s="113">
        <f>IF(OR($A19&gt;E$1,Bases!$D$23+$A19-1&lt;E$1),0,E12/Bases!$D$23)</f>
        <v>0</v>
      </c>
      <c r="F19" s="113">
        <f>IF(OR($A19&gt;F$1,Bases!$D$23+$A19-1&lt;F$1),0,F12/Bases!$D$23)</f>
        <v>0</v>
      </c>
      <c r="G19" s="113">
        <f>IF(OR($A19&gt;G$1,Bases!$D$23+$A19-1&lt;G$1),0,G12/Bases!$D$23)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IF(OR($A20&gt;C$1,Bases!$D$23+$A20-1&lt;C$1),0,C13/Bases!$D$23)</f>
        <v>0</v>
      </c>
      <c r="D20" s="113">
        <f>IF(OR($A20&gt;D$1,Bases!$D$23+$A20-1&lt;D$1),0,D13/Bases!$D$23)</f>
        <v>0</v>
      </c>
      <c r="E20" s="113">
        <f>IF(OR($A20&gt;E$1,Bases!$D$23+$A20-1&lt;E$1),0,E13/Bases!$D$23)</f>
        <v>0</v>
      </c>
      <c r="F20" s="113">
        <f>IF(OR($A20&gt;F$1,Bases!$D$23+$A20-1&lt;F$1),0,F13/Bases!$D$23)</f>
        <v>0</v>
      </c>
      <c r="G20" s="113">
        <f>IF(OR($A20&gt;G$1,Bases!$D$23+$A20-1&lt;G$1),0,G13/Bases!$D$23)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IF(OR($A21&gt;C$1,Bases!$D$23+$A21-1&lt;C$1),0,C14/Bases!$D$23)</f>
        <v>0</v>
      </c>
      <c r="D21" s="113">
        <f>IF(OR($A21&gt;D$1,Bases!$D$23+$A21-1&lt;D$1),0,D14/Bases!$D$23)</f>
        <v>0</v>
      </c>
      <c r="E21" s="113">
        <f>IF(OR($A21&gt;E$1,Bases!$D$23+$A21-1&lt;E$1),0,E14/Bases!$D$23)</f>
        <v>0</v>
      </c>
      <c r="F21" s="113">
        <f>IF(OR($A21&gt;F$1,Bases!$D$23+$A21-1&lt;F$1),0,F14/Bases!$D$23)</f>
        <v>0</v>
      </c>
      <c r="G21" s="113">
        <f>IF(OR($A21&gt;G$1,Bases!$D$23+$A21-1&lt;G$1),0,G14/Bases!$D$23)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IF(OR($A22&gt;C$1,Bases!$D$23+$A22-1&lt;C$1),0,C15/Bases!$D$23)</f>
        <v>0</v>
      </c>
      <c r="D22" s="113">
        <f>IF(OR($A22&gt;D$1,Bases!$D$23+$A22-1&lt;D$1),0,D15/Bases!$D$23)</f>
        <v>0</v>
      </c>
      <c r="E22" s="113">
        <f>IF(OR($A22&gt;E$1,Bases!$D$23+$A22-1&lt;E$1),0,E15/Bases!$D$23)</f>
        <v>0</v>
      </c>
      <c r="F22" s="113">
        <f>IF(OR($A22&gt;F$1,Bases!$D$23+$A22-1&lt;F$1),0,F15/Bases!$D$23)</f>
        <v>0</v>
      </c>
      <c r="G22" s="113">
        <f>IF(OR($A22&gt;G$1,Bases!$D$23+$A22-1&lt;G$1),0,G15/Bases!$D$23)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IF(OR($A23&gt;C$1,Bases!$D$23+$A23-1&lt;C$1),0,C16/Bases!$D$23)</f>
        <v>0</v>
      </c>
      <c r="D23" s="113">
        <f>IF(OR($A23&gt;D$1,Bases!$D$23+$A23-1&lt;D$1),0,D16/Bases!$D$23)</f>
        <v>0</v>
      </c>
      <c r="E23" s="113">
        <f>IF(OR($A23&gt;E$1,Bases!$D$23+$A23-1&lt;E$1),0,E16/Bases!$D$23)</f>
        <v>0</v>
      </c>
      <c r="F23" s="113">
        <f>IF(OR($A23&gt;F$1,Bases!$D$23+$A23-1&lt;F$1),0,F16/Bases!$D$23)</f>
        <v>0</v>
      </c>
      <c r="G23" s="113">
        <f>IF(OR($A23&gt;G$1,Bases!$D$23+$A23-1&lt;G$1),0,G16/Bases!$D$23)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94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94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316</v>
      </c>
      <c r="C3" s="113">
        <f>Proyecciones!F151</f>
        <v>0</v>
      </c>
      <c r="D3" s="113">
        <f>Proyecciones!G151</f>
        <v>0</v>
      </c>
      <c r="E3" s="113">
        <f>Proyecciones!H151</f>
        <v>0</v>
      </c>
      <c r="F3" s="113">
        <f>Proyecciones!I151</f>
        <v>0</v>
      </c>
      <c r="G3" s="113">
        <f>Proyecciones!J151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IF(OR($A19&gt;C$1,Bases!$D$24+$A19-1&lt;C$1),0,C12/Bases!$D$24)</f>
        <v>0</v>
      </c>
      <c r="D19" s="113">
        <f>IF(OR($A19&gt;D$1,Bases!$D$24+$A19-1&lt;D$1),0,D12/Bases!$D$24)</f>
        <v>0</v>
      </c>
      <c r="E19" s="113">
        <f>IF(OR($A19&gt;E$1,Bases!$D$24+$A19-1&lt;E$1),0,E12/Bases!$D$24)</f>
        <v>0</v>
      </c>
      <c r="F19" s="113">
        <f>IF(OR($A19&gt;F$1,Bases!$D$24+$A19-1&lt;F$1),0,F12/Bases!$D$24)</f>
        <v>0</v>
      </c>
      <c r="G19" s="113">
        <f>IF(OR($A19&gt;G$1,Bases!$D$24+$A19-1&lt;G$1),0,G12/Bases!$D$24)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IF(OR($A20&gt;C$1,Bases!$D$24+$A20-1&lt;C$1),0,C13/Bases!$D$24)</f>
        <v>0</v>
      </c>
      <c r="D20" s="113">
        <f>IF(OR($A20&gt;D$1,Bases!$D$24+$A20-1&lt;D$1),0,D13/Bases!$D$24)</f>
        <v>0</v>
      </c>
      <c r="E20" s="113">
        <f>IF(OR($A20&gt;E$1,Bases!$D$24+$A20-1&lt;E$1),0,E13/Bases!$D$24)</f>
        <v>0</v>
      </c>
      <c r="F20" s="113">
        <f>IF(OR($A20&gt;F$1,Bases!$D$24+$A20-1&lt;F$1),0,F13/Bases!$D$24)</f>
        <v>0</v>
      </c>
      <c r="G20" s="113">
        <f>IF(OR($A20&gt;G$1,Bases!$D$24+$A20-1&lt;G$1),0,G13/Bases!$D$24)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IF(OR($A21&gt;C$1,Bases!$D$24+$A21-1&lt;C$1),0,C14/Bases!$D$24)</f>
        <v>0</v>
      </c>
      <c r="D21" s="113">
        <f>IF(OR($A21&gt;D$1,Bases!$D$24+$A21-1&lt;D$1),0,D14/Bases!$D$24)</f>
        <v>0</v>
      </c>
      <c r="E21" s="113">
        <f>IF(OR($A21&gt;E$1,Bases!$D$24+$A21-1&lt;E$1),0,E14/Bases!$D$24)</f>
        <v>0</v>
      </c>
      <c r="F21" s="113">
        <f>IF(OR($A21&gt;F$1,Bases!$D$24+$A21-1&lt;F$1),0,F14/Bases!$D$24)</f>
        <v>0</v>
      </c>
      <c r="G21" s="113">
        <f>IF(OR($A21&gt;G$1,Bases!$D$24+$A21-1&lt;G$1),0,G14/Bases!$D$24)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IF(OR($A22&gt;C$1,Bases!$D$24+$A22-1&lt;C$1),0,C15/Bases!$D$24)</f>
        <v>0</v>
      </c>
      <c r="D22" s="113">
        <f>IF(OR($A22&gt;D$1,Bases!$D$24+$A22-1&lt;D$1),0,D15/Bases!$D$24)</f>
        <v>0</v>
      </c>
      <c r="E22" s="113">
        <f>IF(OR($A22&gt;E$1,Bases!$D$24+$A22-1&lt;E$1),0,E15/Bases!$D$24)</f>
        <v>0</v>
      </c>
      <c r="F22" s="113">
        <f>IF(OR($A22&gt;F$1,Bases!$D$24+$A22-1&lt;F$1),0,F15/Bases!$D$24)</f>
        <v>0</v>
      </c>
      <c r="G22" s="113">
        <f>IF(OR($A22&gt;G$1,Bases!$D$24+$A22-1&lt;G$1),0,G15/Bases!$D$24)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IF(OR($A23&gt;C$1,Bases!$D$24+$A23-1&lt;C$1),0,C16/Bases!$D$24)</f>
        <v>0</v>
      </c>
      <c r="D23" s="113">
        <f>IF(OR($A23&gt;D$1,Bases!$D$24+$A23-1&lt;D$1),0,D16/Bases!$D$24)</f>
        <v>0</v>
      </c>
      <c r="E23" s="113">
        <f>IF(OR($A23&gt;E$1,Bases!$D$24+$A23-1&lt;E$1),0,E16/Bases!$D$24)</f>
        <v>0</v>
      </c>
      <c r="F23" s="113">
        <f>IF(OR($A23&gt;F$1,Bases!$D$24+$A23-1&lt;F$1),0,F16/Bases!$D$24)</f>
        <v>0</v>
      </c>
      <c r="G23" s="113">
        <f>IF(OR($A23&gt;G$1,Bases!$D$24+$A23-1&lt;G$1),0,G16/Bases!$D$24)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317</v>
      </c>
      <c r="C3" s="113">
        <f>Proyecciones!F152</f>
        <v>0</v>
      </c>
      <c r="D3" s="113">
        <f>Proyecciones!G152</f>
        <v>0</v>
      </c>
      <c r="E3" s="113">
        <f>Proyecciones!H152</f>
        <v>0</v>
      </c>
      <c r="F3" s="113">
        <f>Proyecciones!I152</f>
        <v>0</v>
      </c>
      <c r="G3" s="113">
        <f>Proyecciones!J152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302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303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304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305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306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IF(OR($A19&gt;C$1,Bases!$D$25+$A19-1&lt;C$1),0,C12/Bases!$D$25)</f>
        <v>0</v>
      </c>
      <c r="D19" s="113">
        <f>IF(OR($A19&gt;D$1,Bases!$D$25+$A19-1&lt;D$1),0,D12/Bases!$D$25)</f>
        <v>0</v>
      </c>
      <c r="E19" s="113">
        <f>IF(OR($A19&gt;E$1,Bases!$D$25+$A19-1&lt;E$1),0,E12/Bases!$D$25)</f>
        <v>0</v>
      </c>
      <c r="F19" s="113">
        <f>IF(OR($A19&gt;F$1,Bases!$D$25+$A19-1&lt;F$1),0,F12/Bases!$D$25)</f>
        <v>0</v>
      </c>
      <c r="G19" s="113">
        <f>IF(OR($A19&gt;G$1,Bases!$D$25+$A19-1&lt;G$1),0,G12/Bases!$D$25)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IF(OR($A20&gt;C$1,Bases!$D$25+$A20-1&lt;C$1),0,C13/Bases!$D$25)</f>
        <v>0</v>
      </c>
      <c r="D20" s="113">
        <f>IF(OR($A20&gt;D$1,Bases!$D$25+$A20-1&lt;D$1),0,D13/Bases!$D$25)</f>
        <v>0</v>
      </c>
      <c r="E20" s="113">
        <f>IF(OR($A20&gt;E$1,Bases!$D$25+$A20-1&lt;E$1),0,E13/Bases!$D$25)</f>
        <v>0</v>
      </c>
      <c r="F20" s="113">
        <f>IF(OR($A20&gt;F$1,Bases!$D$25+$A20-1&lt;F$1),0,F13/Bases!$D$25)</f>
        <v>0</v>
      </c>
      <c r="G20" s="113">
        <f>IF(OR($A20&gt;G$1,Bases!$D$25+$A20-1&lt;G$1),0,G13/Bases!$D$25)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IF(OR($A21&gt;C$1,Bases!$D$25+$A21-1&lt;C$1),0,C14/Bases!$D$25)</f>
        <v>0</v>
      </c>
      <c r="D21" s="113">
        <f>IF(OR($A21&gt;D$1,Bases!$D$25+$A21-1&lt;D$1),0,D14/Bases!$D$25)</f>
        <v>0</v>
      </c>
      <c r="E21" s="113">
        <f>IF(OR($A21&gt;E$1,Bases!$D$25+$A21-1&lt;E$1),0,E14/Bases!$D$25)</f>
        <v>0</v>
      </c>
      <c r="F21" s="113">
        <f>IF(OR($A21&gt;F$1,Bases!$D$25+$A21-1&lt;F$1),0,F14/Bases!$D$25)</f>
        <v>0</v>
      </c>
      <c r="G21" s="113">
        <f>IF(OR($A21&gt;G$1,Bases!$D$25+$A21-1&lt;G$1),0,G14/Bases!$D$25)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IF(OR($A22&gt;C$1,Bases!$D$25+$A22-1&lt;C$1),0,C15/Bases!$D$25)</f>
        <v>0</v>
      </c>
      <c r="D22" s="113">
        <f>IF(OR($A22&gt;D$1,Bases!$D$25+$A22-1&lt;D$1),0,D15/Bases!$D$25)</f>
        <v>0</v>
      </c>
      <c r="E22" s="113">
        <f>IF(OR($A22&gt;E$1,Bases!$D$25+$A22-1&lt;E$1),0,E15/Bases!$D$25)</f>
        <v>0</v>
      </c>
      <c r="F22" s="113">
        <f>IF(OR($A22&gt;F$1,Bases!$D$25+$A22-1&lt;F$1),0,F15/Bases!$D$25)</f>
        <v>0</v>
      </c>
      <c r="G22" s="113">
        <f>IF(OR($A22&gt;G$1,Bases!$D$25+$A22-1&lt;G$1),0,G15/Bases!$D$25)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IF(OR($A23&gt;C$1,Bases!$D$25+$A23-1&lt;C$1),0,C16/Bases!$D$25)</f>
        <v>0</v>
      </c>
      <c r="D23" s="113">
        <f>IF(OR($A23&gt;D$1,Bases!$D$25+$A23-1&lt;D$1),0,D16/Bases!$D$25)</f>
        <v>0</v>
      </c>
      <c r="E23" s="113">
        <f>IF(OR($A23&gt;E$1,Bases!$D$25+$A23-1&lt;E$1),0,E16/Bases!$D$25)</f>
        <v>0</v>
      </c>
      <c r="F23" s="113">
        <f>IF(OR($A23&gt;F$1,Bases!$D$25+$A23-1&lt;F$1),0,F16/Bases!$D$25)</f>
        <v>0</v>
      </c>
      <c r="G23" s="113">
        <f>IF(OR($A23&gt;G$1,Bases!$D$25+$A23-1&lt;G$1),0,G16/Bases!$D$25)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318</v>
      </c>
      <c r="C3" s="166">
        <f>Proyecciones!F153</f>
        <v>0</v>
      </c>
      <c r="D3" s="113">
        <f>Proyecciones!G153</f>
        <v>0</v>
      </c>
      <c r="E3" s="113">
        <f>Proyecciones!H153</f>
        <v>0</v>
      </c>
      <c r="F3" s="113">
        <f>Proyecciones!I153</f>
        <v>0</v>
      </c>
      <c r="G3" s="113">
        <f>Proyecciones!J153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IF(OR($A19&gt;C$1,Bases!$D$26+$A19-1&lt;C$1),0,C12/Bases!$D$26)</f>
        <v>0</v>
      </c>
      <c r="D19" s="113">
        <f>IF(OR($A19&gt;D$1,Bases!$D$26+$A19-1&lt;D$1),0,D12/Bases!$D$26)</f>
        <v>0</v>
      </c>
      <c r="E19" s="113">
        <f>IF(OR($A19&gt;E$1,Bases!$D$26+$A19-1&lt;E$1),0,E12/Bases!$D$26)</f>
        <v>0</v>
      </c>
      <c r="F19" s="113">
        <f>IF(OR($A19&gt;F$1,Bases!$D$26+$A19-1&lt;F$1),0,F12/Bases!$D$26)</f>
        <v>0</v>
      </c>
      <c r="G19" s="113">
        <f>IF(OR($A19&gt;G$1,Bases!$D$26+$A19-1&lt;G$1),0,G12/Bases!$D$26)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IF(OR($A20&gt;C$1,Bases!$D$26+$A20-1&lt;C$1),0,C13/Bases!$D$26)</f>
        <v>0</v>
      </c>
      <c r="D20" s="113">
        <f>IF(OR($A20&gt;D$1,Bases!$D$26+$A20-1&lt;D$1),0,D13/Bases!$D$26)</f>
        <v>0</v>
      </c>
      <c r="E20" s="113">
        <f>IF(OR($A20&gt;E$1,Bases!$D$26+$A20-1&lt;E$1),0,E13/Bases!$D$26)</f>
        <v>0</v>
      </c>
      <c r="F20" s="113">
        <f>IF(OR($A20&gt;F$1,Bases!$D$26+$A20-1&lt;F$1),0,F13/Bases!$D$26)</f>
        <v>0</v>
      </c>
      <c r="G20" s="113">
        <f>IF(OR($A20&gt;G$1,Bases!$D$26+$A20-1&lt;G$1),0,G13/Bases!$D$26)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IF(OR($A21&gt;C$1,Bases!$D$26+$A21-1&lt;C$1),0,C14/Bases!$D$26)</f>
        <v>0</v>
      </c>
      <c r="D21" s="113">
        <f>IF(OR($A21&gt;D$1,Bases!$D$26+$A21-1&lt;D$1),0,D14/Bases!$D$26)</f>
        <v>0</v>
      </c>
      <c r="E21" s="113">
        <f>IF(OR($A21&gt;E$1,Bases!$D$26+$A21-1&lt;E$1),0,E14/Bases!$D$26)</f>
        <v>0</v>
      </c>
      <c r="F21" s="113">
        <f>IF(OR($A21&gt;F$1,Bases!$D$26+$A21-1&lt;F$1),0,F14/Bases!$D$26)</f>
        <v>0</v>
      </c>
      <c r="G21" s="113">
        <f>IF(OR($A21&gt;G$1,Bases!$D$26+$A21-1&lt;G$1),0,G14/Bases!$D$26)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IF(OR($A22&gt;C$1,Bases!$D$26+$A22-1&lt;C$1),0,C15/Bases!$D$26)</f>
        <v>0</v>
      </c>
      <c r="D22" s="113">
        <f>IF(OR($A22&gt;D$1,Bases!$D$26+$A22-1&lt;D$1),0,D15/Bases!$D$26)</f>
        <v>0</v>
      </c>
      <c r="E22" s="113">
        <f>IF(OR($A22&gt;E$1,Bases!$D$26+$A22-1&lt;E$1),0,E15/Bases!$D$26)</f>
        <v>0</v>
      </c>
      <c r="F22" s="113">
        <f>IF(OR($A22&gt;F$1,Bases!$D$26+$A22-1&lt;F$1),0,F15/Bases!$D$26)</f>
        <v>0</v>
      </c>
      <c r="G22" s="113">
        <f>IF(OR($A22&gt;G$1,Bases!$D$26+$A22-1&lt;G$1),0,G15/Bases!$D$26)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IF(OR($A23&gt;C$1,Bases!$D$26+$A23-1&lt;C$1),0,C16/Bases!$D$26)</f>
        <v>0</v>
      </c>
      <c r="D23" s="113">
        <f>IF(OR($A23&gt;D$1,Bases!$D$26+$A23-1&lt;D$1),0,D16/Bases!$D$26)</f>
        <v>0</v>
      </c>
      <c r="E23" s="113">
        <f>IF(OR($A23&gt;E$1,Bases!$D$26+$A23-1&lt;E$1),0,E16/Bases!$D$26)</f>
        <v>0</v>
      </c>
      <c r="F23" s="113">
        <f>IF(OR($A23&gt;F$1,Bases!$D$26+$A23-1&lt;F$1),0,F16/Bases!$D$26)</f>
        <v>0</v>
      </c>
      <c r="G23" s="113">
        <f>IF(OR($A23&gt;G$1,Bases!$D$26+$A23-1&lt;G$1),0,G16/Bases!$D$26)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314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315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153</v>
      </c>
      <c r="C3" s="166">
        <f>Proyecciones!F154</f>
        <v>0</v>
      </c>
      <c r="D3" s="113">
        <f>Proyecciones!G154</f>
        <v>0</v>
      </c>
      <c r="E3" s="113">
        <f>Proyecciones!H154</f>
        <v>0</v>
      </c>
      <c r="F3" s="113">
        <f>Proyecciones!I154</f>
        <v>0</v>
      </c>
      <c r="G3" s="113">
        <f>Proyecciones!J154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302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303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304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305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306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302</v>
      </c>
      <c r="C19" s="166">
        <f>IF(OR($A19&gt;C$1,Bases!$D$27+$A19-1&lt;C$1),0,C12/Bases!$D$27)</f>
        <v>0</v>
      </c>
      <c r="D19" s="113">
        <f>IF(OR($A19&gt;D$1,Bases!$D$27+$A19-1&lt;D$1),0,D12/Bases!$D$27)</f>
        <v>0</v>
      </c>
      <c r="E19" s="113">
        <f>IF(OR($A19&gt;E$1,Bases!$D$27+$A19-1&lt;E$1),0,E12/Bases!$D$27)</f>
        <v>0</v>
      </c>
      <c r="F19" s="113">
        <f>IF(OR($A19&gt;F$1,Bases!$D$27+$A19-1&lt;F$1),0,F12/Bases!$D$27)</f>
        <v>0</v>
      </c>
      <c r="G19" s="113">
        <f>IF(OR($A19&gt;G$1,Bases!$D$27+$A19-1&lt;G$1),0,G12/Bases!$D$27)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303</v>
      </c>
      <c r="C20" s="166">
        <f>IF(OR($A20&gt;C$1,Bases!$D$27+$A20-1&lt;C$1),0,C13/Bases!$D$27)</f>
        <v>0</v>
      </c>
      <c r="D20" s="113">
        <f>IF(OR($A20&gt;D$1,Bases!$D$27+$A20-1&lt;D$1),0,D13/Bases!$D$27)</f>
        <v>0</v>
      </c>
      <c r="E20" s="113">
        <f>IF(OR($A20&gt;E$1,Bases!$D$27+$A20-1&lt;E$1),0,E13/Bases!$D$27)</f>
        <v>0</v>
      </c>
      <c r="F20" s="113">
        <f>IF(OR($A20&gt;F$1,Bases!$D$27+$A20-1&lt;F$1),0,F13/Bases!$D$27)</f>
        <v>0</v>
      </c>
      <c r="G20" s="113">
        <f>IF(OR($A20&gt;G$1,Bases!$D$27+$A20-1&lt;G$1),0,G13/Bases!$D$27)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304</v>
      </c>
      <c r="C21" s="166">
        <f>IF(OR($A21&gt;C$1,Bases!$D$27+$A21-1&lt;C$1),0,C14/Bases!$D$27)</f>
        <v>0</v>
      </c>
      <c r="D21" s="113">
        <f>IF(OR($A21&gt;D$1,Bases!$D$27+$A21-1&lt;D$1),0,D14/Bases!$D$27)</f>
        <v>0</v>
      </c>
      <c r="E21" s="113">
        <f>IF(OR($A21&gt;E$1,Bases!$D$27+$A21-1&lt;E$1),0,E14/Bases!$D$27)</f>
        <v>0</v>
      </c>
      <c r="F21" s="113">
        <f>IF(OR($A21&gt;F$1,Bases!$D$27+$A21-1&lt;F$1),0,F14/Bases!$D$27)</f>
        <v>0</v>
      </c>
      <c r="G21" s="113">
        <f>IF(OR($A21&gt;G$1,Bases!$D$27+$A21-1&lt;G$1),0,G14/Bases!$D$27)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305</v>
      </c>
      <c r="C22" s="166">
        <f>IF(OR($A22&gt;C$1,Bases!$D$27+$A22-1&lt;C$1),0,C15/Bases!$D$27)</f>
        <v>0</v>
      </c>
      <c r="D22" s="113">
        <f>IF(OR($A22&gt;D$1,Bases!$D$27+$A22-1&lt;D$1),0,D15/Bases!$D$27)</f>
        <v>0</v>
      </c>
      <c r="E22" s="113">
        <f>IF(OR($A22&gt;E$1,Bases!$D$27+$A22-1&lt;E$1),0,E15/Bases!$D$27)</f>
        <v>0</v>
      </c>
      <c r="F22" s="113">
        <f>IF(OR($A22&gt;F$1,Bases!$D$27+$A22-1&lt;F$1),0,F15/Bases!$D$27)</f>
        <v>0</v>
      </c>
      <c r="G22" s="113">
        <f>IF(OR($A22&gt;G$1,Bases!$D$27+$A22-1&lt;G$1),0,G15/Bases!$D$27)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306</v>
      </c>
      <c r="C23" s="166">
        <f>IF(OR($A23&gt;C$1,Bases!$D$27+$A23-1&lt;C$1),0,C16/Bases!$D$27)</f>
        <v>0</v>
      </c>
      <c r="D23" s="113">
        <f>IF(OR($A23&gt;D$1,Bases!$D$27+$A23-1&lt;D$1),0,D16/Bases!$D$27)</f>
        <v>0</v>
      </c>
      <c r="E23" s="113">
        <f>IF(OR($A23&gt;E$1,Bases!$D$27+$A23-1&lt;E$1),0,E16/Bases!$D$27)</f>
        <v>0</v>
      </c>
      <c r="F23" s="113">
        <f>IF(OR($A23&gt;F$1,Bases!$D$27+$A23-1&lt;F$1),0,F16/Bases!$D$27)</f>
        <v>0</v>
      </c>
      <c r="G23" s="113">
        <f>IF(OR($A23&gt;G$1,Bases!$D$27+$A23-1&lt;G$1),0,G16/Bases!$D$27)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301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324</v>
      </c>
      <c r="C3" s="166">
        <f>Proyecciones!F155</f>
        <v>0</v>
      </c>
      <c r="D3" s="113">
        <f>Proyecciones!G155</f>
        <v>0</v>
      </c>
      <c r="E3" s="113">
        <f>Proyecciones!H155</f>
        <v>0</v>
      </c>
      <c r="F3" s="113">
        <f>Proyecciones!I155</f>
        <v>0</v>
      </c>
      <c r="G3" s="113">
        <f>Proyecciones!J155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302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303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304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305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306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307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308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302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303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304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305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306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309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319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302</v>
      </c>
      <c r="C19" s="113">
        <f>IF(OR($A19&gt;C$1,Bases!$D$28+$A19-1&lt;C$1),0,C12/Bases!$D$28)</f>
        <v>0</v>
      </c>
      <c r="D19" s="113">
        <f>IF(OR($A19&gt;D$1,Bases!$D$28+$A19-1&lt;D$1),0,D12/Bases!$D$28)</f>
        <v>0</v>
      </c>
      <c r="E19" s="113">
        <f>IF(OR($A19&gt;E$1,Bases!$D$28+$A19-1&lt;E$1),0,E12/Bases!$D$28)</f>
        <v>0</v>
      </c>
      <c r="F19" s="113">
        <f>IF(OR($A19&gt;F$1,Bases!$D$28+$A19-1&lt;F$1),0,F12/Bases!$D$28)</f>
        <v>0</v>
      </c>
      <c r="G19" s="113">
        <f>IF(OR($A19&gt;G$1,Bases!$D$28+$A19-1&lt;G$1),0,G12/Bases!$D$28)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303</v>
      </c>
      <c r="C20" s="113">
        <f>IF(OR($A20&gt;C$1,Bases!$D$28+$A20-1&lt;C$1),0,C13/Bases!$D$28)</f>
        <v>0</v>
      </c>
      <c r="D20" s="113">
        <f>IF(OR($A20&gt;D$1,Bases!$D$28+$A20-1&lt;D$1),0,D13/Bases!$D$28)</f>
        <v>0</v>
      </c>
      <c r="E20" s="113">
        <f>IF(OR($A20&gt;E$1,Bases!$D$28+$A20-1&lt;E$1),0,E13/Bases!$D$28)</f>
        <v>0</v>
      </c>
      <c r="F20" s="113">
        <f>IF(OR($A20&gt;F$1,Bases!$D$28+$A20-1&lt;F$1),0,F13/Bases!$D$28)</f>
        <v>0</v>
      </c>
      <c r="G20" s="113">
        <f>IF(OR($A20&gt;G$1,Bases!$D$28+$A20-1&lt;G$1),0,G13/Bases!$D$28)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304</v>
      </c>
      <c r="C21" s="113">
        <f>IF(OR($A21&gt;C$1,Bases!$D$28+$A21-1&lt;C$1),0,C14/Bases!$D$28)</f>
        <v>0</v>
      </c>
      <c r="D21" s="113">
        <f>IF(OR($A21&gt;D$1,Bases!$D$28+$A21-1&lt;D$1),0,D14/Bases!$D$28)</f>
        <v>0</v>
      </c>
      <c r="E21" s="113">
        <f>IF(OR($A21&gt;E$1,Bases!$D$28+$A21-1&lt;E$1),0,E14/Bases!$D$28)</f>
        <v>0</v>
      </c>
      <c r="F21" s="113">
        <f>IF(OR($A21&gt;F$1,Bases!$D$28+$A21-1&lt;F$1),0,F14/Bases!$D$28)</f>
        <v>0</v>
      </c>
      <c r="G21" s="113">
        <f>IF(OR($A21&gt;G$1,Bases!$D$28+$A21-1&lt;G$1),0,G14/Bases!$D$28)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305</v>
      </c>
      <c r="C22" s="113">
        <f>IF(OR($A22&gt;C$1,Bases!$D$28+$A22-1&lt;C$1),0,C15/Bases!$D$28)</f>
        <v>0</v>
      </c>
      <c r="D22" s="113">
        <f>IF(OR($A22&gt;D$1,Bases!$D$28+$A22-1&lt;D$1),0,D15/Bases!$D$28)</f>
        <v>0</v>
      </c>
      <c r="E22" s="113">
        <f>IF(OR($A22&gt;E$1,Bases!$D$28+$A22-1&lt;E$1),0,E15/Bases!$D$28)</f>
        <v>0</v>
      </c>
      <c r="F22" s="113">
        <f>IF(OR($A22&gt;F$1,Bases!$D$28+$A22-1&lt;F$1),0,F15/Bases!$D$28)</f>
        <v>0</v>
      </c>
      <c r="G22" s="113">
        <f>IF(OR($A22&gt;G$1,Bases!$D$28+$A22-1&lt;G$1),0,G15/Bases!$D$28)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306</v>
      </c>
      <c r="C23" s="113">
        <f>IF(OR($A23&gt;C$1,Bases!$D$28+$A23-1&lt;C$1),0,C16/Bases!$D$28)</f>
        <v>0</v>
      </c>
      <c r="D23" s="113">
        <f>IF(OR($A23&gt;D$1,Bases!$D$28+$A23-1&lt;D$1),0,D16/Bases!$D$28)</f>
        <v>0</v>
      </c>
      <c r="E23" s="113">
        <f>IF(OR($A23&gt;E$1,Bases!$D$28+$A23-1&lt;E$1),0,E16/Bases!$D$28)</f>
        <v>0</v>
      </c>
      <c r="F23" s="113">
        <f>IF(OR($A23&gt;F$1,Bases!$D$28+$A23-1&lt;F$1),0,F16/Bases!$D$28)</f>
        <v>0</v>
      </c>
      <c r="G23" s="113">
        <f>IF(OR($A23&gt;G$1,Bases!$D$28+$A23-1&lt;G$1),0,G16/Bases!$D$28)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320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321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302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303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304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305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306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322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189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302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303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304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305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306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323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5" width="19.28515625" customWidth="1"/>
    <col min="6" max="8" width="18.28515625" customWidth="1"/>
    <col min="9" max="9" width="15.28515625" customWidth="1"/>
    <col min="10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325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2.75" customHeight="1">
      <c r="A3" s="1"/>
      <c r="B3" s="210" t="s">
        <v>324</v>
      </c>
      <c r="C3" s="113">
        <f>Proyecciones!E84</f>
        <v>0</v>
      </c>
      <c r="D3" s="113">
        <f>Proyecciones!F84</f>
        <v>0</v>
      </c>
      <c r="E3" s="113">
        <f>Proyecciones!G84</f>
        <v>0</v>
      </c>
      <c r="F3" s="113">
        <f>Proyecciones!H84</f>
        <v>0</v>
      </c>
      <c r="G3" s="113">
        <f>Proyecciones!I84</f>
        <v>0</v>
      </c>
      <c r="H3" s="113">
        <f>Proyecciones!J84</f>
        <v>0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19"/>
      <c r="B4" s="205" t="s">
        <v>76</v>
      </c>
      <c r="C4" s="209"/>
      <c r="D4" s="209"/>
      <c r="E4" s="209"/>
      <c r="F4" s="209"/>
      <c r="G4" s="209"/>
      <c r="H4" s="209"/>
      <c r="I4" s="119"/>
      <c r="J4" s="119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94">
        <v>0</v>
      </c>
      <c r="B5" s="210" t="s">
        <v>326</v>
      </c>
      <c r="C5" s="113">
        <f>IF($A5&gt;C$1,0,IF($A5=C$1,C$3*Proyecciones!E$7,B13*Proyecciones!E$7))</f>
        <v>0</v>
      </c>
      <c r="D5" s="113">
        <f>IF($A5&gt;D$1,0,IF($A5=D$1,D$3*Proyecciones!F$7,C13*Proyecciones!F$7))</f>
        <v>0</v>
      </c>
      <c r="E5" s="113">
        <f>IF($A5&gt;E$1,0,IF($A5=E$1,E$3*Proyecciones!G$7,D13*Proyecciones!G$7))</f>
        <v>0</v>
      </c>
      <c r="F5" s="113">
        <f>IF($A5&gt;F$1,0,IF($A5=F$1,F$3*Proyecciones!H$7,E13*Proyecciones!H$7))</f>
        <v>0</v>
      </c>
      <c r="G5" s="113">
        <f>IF($A5&gt;G$1,0,IF($A5=G$1,G$3*Proyecciones!I$7,F13*Proyecciones!I$7))</f>
        <v>0</v>
      </c>
      <c r="H5" s="113">
        <f>IF($A5&gt;H$1,0,IF($A5=H$1,H$3*Proyecciones!J$7,G13*Proyecciones!J$7))</f>
        <v>0</v>
      </c>
      <c r="I5" s="119"/>
      <c r="J5" s="119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94">
        <v>1</v>
      </c>
      <c r="B6" s="210" t="s">
        <v>302</v>
      </c>
      <c r="C6" s="113">
        <f>IF($A6&gt;C$1,0,IF($A6=C$1,C$3*Proyecciones!E$7,B14*Proyecciones!E$7))</f>
        <v>0</v>
      </c>
      <c r="D6" s="113">
        <f>IF($A6&gt;D$1,0,IF($A6=D$1,D$3*Proyecciones!F$7,C14*Proyecciones!F$7))</f>
        <v>0</v>
      </c>
      <c r="E6" s="113">
        <f>IF($A6&gt;E$1,0,IF($A6=E$1,E$3*Proyecciones!G$7,D14*Proyecciones!G$7))</f>
        <v>0</v>
      </c>
      <c r="F6" s="113">
        <f>IF($A6&gt;F$1,0,IF($A6=F$1,F$3*Proyecciones!H$7,E14*Proyecciones!H$7))</f>
        <v>0</v>
      </c>
      <c r="G6" s="113">
        <f>IF($A6&gt;G$1,0,IF($A6=G$1,G$3*Proyecciones!I$7,F14*Proyecciones!I$7))</f>
        <v>0</v>
      </c>
      <c r="H6" s="113">
        <f>IF($A6&gt;H$1,0,IF($A6=H$1,H$3*Proyecciones!J$7,G14*Proyecciones!J$7))</f>
        <v>0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94">
        <v>2</v>
      </c>
      <c r="B7" s="210" t="s">
        <v>303</v>
      </c>
      <c r="C7" s="113">
        <f>IF($A7&gt;C$1,0,IF($A7=C$1,C$3*Proyecciones!E$7,B15*Proyecciones!E$7))</f>
        <v>0</v>
      </c>
      <c r="D7" s="113">
        <f>IF($A7&gt;D$1,0,IF($A7=D$1,D$3*Proyecciones!F$7,C15*Proyecciones!F$7))</f>
        <v>0</v>
      </c>
      <c r="E7" s="113">
        <f>IF($A7&gt;E$1,0,IF($A7=E$1,E$3*Proyecciones!G$7,D15*Proyecciones!G$7))</f>
        <v>0</v>
      </c>
      <c r="F7" s="113">
        <f>IF($A7&gt;F$1,0,IF($A7=F$1,F$3*Proyecciones!H$7,E15*Proyecciones!H$7))</f>
        <v>0</v>
      </c>
      <c r="G7" s="113">
        <f>IF($A7&gt;G$1,0,IF($A7=G$1,G$3*Proyecciones!I$7,F15*Proyecciones!I$7))</f>
        <v>0</v>
      </c>
      <c r="H7" s="113">
        <f>IF($A7&gt;H$1,0,IF($A7=H$1,H$3*Proyecciones!J$7,G15*Proyecciones!J$7))</f>
        <v>0</v>
      </c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3</v>
      </c>
      <c r="B8" s="210" t="s">
        <v>304</v>
      </c>
      <c r="C8" s="113">
        <f>IF($A8&gt;C$1,0,IF($A8=C$1,C$3*Proyecciones!E$7,B16*Proyecciones!E$7))</f>
        <v>0</v>
      </c>
      <c r="D8" s="113">
        <f>IF($A8&gt;D$1,0,IF($A8=D$1,D$3*Proyecciones!F$7,C16*Proyecciones!F$7))</f>
        <v>0</v>
      </c>
      <c r="E8" s="113">
        <f>IF($A8&gt;E$1,0,IF($A8=E$1,E$3*Proyecciones!G$7,D16*Proyecciones!G$7))</f>
        <v>0</v>
      </c>
      <c r="F8" s="113">
        <f>IF($A8&gt;F$1,0,IF($A8=F$1,F$3*Proyecciones!H$7,E16*Proyecciones!H$7))</f>
        <v>0</v>
      </c>
      <c r="G8" s="113">
        <f>IF($A8&gt;G$1,0,IF($A8=G$1,G$3*Proyecciones!I$7,F16*Proyecciones!I$7))</f>
        <v>0</v>
      </c>
      <c r="H8" s="113">
        <f>IF($A8&gt;H$1,0,IF($A8=H$1,H$3*Proyecciones!J$7,G16*Proyecciones!J$7))</f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4</v>
      </c>
      <c r="B9" s="210" t="s">
        <v>305</v>
      </c>
      <c r="C9" s="113">
        <f>IF($A9&gt;C$1,0,IF($A9=C$1,C$3*Proyecciones!E$7,B17*Proyecciones!E$7))</f>
        <v>0</v>
      </c>
      <c r="D9" s="113">
        <f>IF($A9&gt;D$1,0,IF($A9=D$1,D$3*Proyecciones!F$7,C17*Proyecciones!F$7))</f>
        <v>0</v>
      </c>
      <c r="E9" s="113">
        <f>IF($A9&gt;E$1,0,IF($A9=E$1,E$3*Proyecciones!G$7,D17*Proyecciones!G$7))</f>
        <v>0</v>
      </c>
      <c r="F9" s="113">
        <f>IF($A9&gt;F$1,0,IF($A9=F$1,F$3*Proyecciones!H$7,E17*Proyecciones!H$7))</f>
        <v>0</v>
      </c>
      <c r="G9" s="113">
        <f>IF($A9&gt;G$1,0,IF($A9=G$1,G$3*Proyecciones!I$7,F17*Proyecciones!I$7))</f>
        <v>0</v>
      </c>
      <c r="H9" s="113">
        <f>IF($A9&gt;H$1,0,IF($A9=H$1,H$3*Proyecciones!J$7,G17*Proyecciones!J$7))</f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5</v>
      </c>
      <c r="B10" s="210" t="s">
        <v>306</v>
      </c>
      <c r="C10" s="113">
        <f>IF($A10&gt;C$1,0,IF($A10=C$1,C$3*Proyecciones!E$7,B18*Proyecciones!E$7))</f>
        <v>0</v>
      </c>
      <c r="D10" s="113">
        <f>IF($A10&gt;D$1,0,IF($A10=D$1,D$3*Proyecciones!F$7,C18*Proyecciones!F$7))</f>
        <v>0</v>
      </c>
      <c r="E10" s="113">
        <f>IF($A10&gt;E$1,0,IF($A10=E$1,E$3*Proyecciones!G$7,D18*Proyecciones!G$7))</f>
        <v>0</v>
      </c>
      <c r="F10" s="113">
        <f>IF($A10&gt;F$1,0,IF($A10=F$1,F$3*Proyecciones!H$7,E18*Proyecciones!H$7))</f>
        <v>0</v>
      </c>
      <c r="G10" s="113">
        <f>IF($A10&gt;G$1,0,IF($A10=G$1,G$3*Proyecciones!I$7,F18*Proyecciones!I$7))</f>
        <v>0</v>
      </c>
      <c r="H10" s="113">
        <f>IF($A10&gt;H$1,0,IF($A10=H$1,H$3*Proyecciones!J$7,G18*Proyecciones!J$7))</f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1"/>
      <c r="B11" s="94" t="s">
        <v>307</v>
      </c>
      <c r="C11" s="113">
        <f t="shared" ref="C11:H11" si="0">SUM(C5:C10)</f>
        <v>0</v>
      </c>
      <c r="D11" s="113">
        <f t="shared" si="0"/>
        <v>0</v>
      </c>
      <c r="E11" s="113">
        <f t="shared" si="0"/>
        <v>0</v>
      </c>
      <c r="F11" s="113">
        <f t="shared" si="0"/>
        <v>0</v>
      </c>
      <c r="G11" s="113">
        <f t="shared" si="0"/>
        <v>0</v>
      </c>
      <c r="H11" s="113">
        <f t="shared" si="0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1"/>
      <c r="B12" s="205" t="s">
        <v>308</v>
      </c>
      <c r="C12" s="137"/>
      <c r="D12" s="137"/>
      <c r="E12" s="137"/>
      <c r="F12" s="137"/>
      <c r="G12" s="137"/>
      <c r="H12" s="137"/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0</v>
      </c>
      <c r="B13" s="210" t="s">
        <v>326</v>
      </c>
      <c r="C13" s="113">
        <f t="shared" ref="C13:H13" si="1">IF($A13&gt;C$1,0,IF($A13=C$1,C$3+C5,B13+C5))</f>
        <v>0</v>
      </c>
      <c r="D13" s="113">
        <f t="shared" si="1"/>
        <v>0</v>
      </c>
      <c r="E13" s="113">
        <f t="shared" si="1"/>
        <v>0</v>
      </c>
      <c r="F13" s="113">
        <f t="shared" si="1"/>
        <v>0</v>
      </c>
      <c r="G13" s="113">
        <f t="shared" si="1"/>
        <v>0</v>
      </c>
      <c r="H13" s="113">
        <f t="shared" si="1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94">
        <v>1</v>
      </c>
      <c r="B14" s="210" t="s">
        <v>302</v>
      </c>
      <c r="C14" s="113">
        <f t="shared" ref="C14:H14" si="2">IF($A14&gt;C$1,0,IF($A14=C$1,C$3+C6,B14+C6))</f>
        <v>0</v>
      </c>
      <c r="D14" s="113">
        <f t="shared" si="2"/>
        <v>0</v>
      </c>
      <c r="E14" s="113">
        <f t="shared" si="2"/>
        <v>0</v>
      </c>
      <c r="F14" s="113">
        <f t="shared" si="2"/>
        <v>0</v>
      </c>
      <c r="G14" s="113">
        <f t="shared" si="2"/>
        <v>0</v>
      </c>
      <c r="H14" s="113">
        <f t="shared" si="2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94">
        <v>2</v>
      </c>
      <c r="B15" s="210" t="s">
        <v>303</v>
      </c>
      <c r="C15" s="113">
        <f t="shared" ref="C15:H15" si="3">IF($A15&gt;C$1,0,IF($A15=C$1,C$3+C7,B15+C7))</f>
        <v>0</v>
      </c>
      <c r="D15" s="113">
        <f t="shared" si="3"/>
        <v>0</v>
      </c>
      <c r="E15" s="113">
        <f t="shared" si="3"/>
        <v>0</v>
      </c>
      <c r="F15" s="113">
        <f t="shared" si="3"/>
        <v>0</v>
      </c>
      <c r="G15" s="113">
        <f t="shared" si="3"/>
        <v>0</v>
      </c>
      <c r="H15" s="113">
        <f t="shared" si="3"/>
        <v>0</v>
      </c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3</v>
      </c>
      <c r="B16" s="210" t="s">
        <v>304</v>
      </c>
      <c r="C16" s="113">
        <f t="shared" ref="C16:H16" si="4">IF($A16&gt;C$1,0,IF($A16=C$1,C$3+C8,B16+C8))</f>
        <v>0</v>
      </c>
      <c r="D16" s="113">
        <f t="shared" si="4"/>
        <v>0</v>
      </c>
      <c r="E16" s="113">
        <f t="shared" si="4"/>
        <v>0</v>
      </c>
      <c r="F16" s="113">
        <f t="shared" si="4"/>
        <v>0</v>
      </c>
      <c r="G16" s="113">
        <f t="shared" si="4"/>
        <v>0</v>
      </c>
      <c r="H16" s="113">
        <f t="shared" si="4"/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4</v>
      </c>
      <c r="B17" s="210" t="s">
        <v>305</v>
      </c>
      <c r="C17" s="113">
        <f t="shared" ref="C17:H17" si="5">IF($A17&gt;C$1,0,IF($A17=C$1,C$3+C9,B17+C9))</f>
        <v>0</v>
      </c>
      <c r="D17" s="113">
        <f t="shared" si="5"/>
        <v>0</v>
      </c>
      <c r="E17" s="113">
        <f t="shared" si="5"/>
        <v>0</v>
      </c>
      <c r="F17" s="113">
        <f t="shared" si="5"/>
        <v>0</v>
      </c>
      <c r="G17" s="113">
        <f t="shared" si="5"/>
        <v>0</v>
      </c>
      <c r="H17" s="113">
        <f t="shared" si="5"/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5</v>
      </c>
      <c r="B18" s="210" t="s">
        <v>306</v>
      </c>
      <c r="C18" s="113">
        <f t="shared" ref="C18:H18" si="6">IF($A18&gt;C$1,0,IF($A18=C$1,C$3+C10,B18+C10))</f>
        <v>0</v>
      </c>
      <c r="D18" s="113">
        <f t="shared" si="6"/>
        <v>0</v>
      </c>
      <c r="E18" s="113">
        <f t="shared" si="6"/>
        <v>0</v>
      </c>
      <c r="F18" s="113">
        <f t="shared" si="6"/>
        <v>0</v>
      </c>
      <c r="G18" s="113">
        <f t="shared" si="6"/>
        <v>0</v>
      </c>
      <c r="H18" s="113">
        <f t="shared" si="6"/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1"/>
      <c r="B19" s="94" t="s">
        <v>309</v>
      </c>
      <c r="C19" s="113">
        <f t="shared" ref="C19:H19" si="7">SUM(C13:C18)</f>
        <v>0</v>
      </c>
      <c r="D19" s="113">
        <f t="shared" si="7"/>
        <v>0</v>
      </c>
      <c r="E19" s="113">
        <f t="shared" si="7"/>
        <v>0</v>
      </c>
      <c r="F19" s="113">
        <f t="shared" si="7"/>
        <v>0</v>
      </c>
      <c r="G19" s="113">
        <f t="shared" si="7"/>
        <v>0</v>
      </c>
      <c r="H19" s="113">
        <f t="shared" si="7"/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3.5" customHeight="1">
      <c r="A20" s="1"/>
      <c r="B20" s="205" t="s">
        <v>319</v>
      </c>
      <c r="C20" s="137"/>
      <c r="D20" s="137"/>
      <c r="E20" s="137"/>
      <c r="F20" s="137"/>
      <c r="G20" s="137"/>
      <c r="H20" s="137"/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0</v>
      </c>
      <c r="B21" s="210" t="s">
        <v>326</v>
      </c>
      <c r="C21" s="113">
        <f>IF(OR($A21&gt;C$1,Bases!$D$30+$A21-1&lt;C$1),0,C13/Bases!$D$30)</f>
        <v>0</v>
      </c>
      <c r="D21" s="113">
        <f>IF(OR($A21&gt;D$1,Bases!$D$30+$A21-1&lt;D$1),0,D13/Bases!$D$30)</f>
        <v>0</v>
      </c>
      <c r="E21" s="113">
        <f>IF(OR($A21&gt;E$1,Bases!$D$30+$A21-1&lt;E$1),0,E13/Bases!$D$30)</f>
        <v>0</v>
      </c>
      <c r="F21" s="113">
        <f>IF(OR($A21&gt;F$1,Bases!$D$30+$A21-1&lt;F$1),0,F13/Bases!$D$30)</f>
        <v>0</v>
      </c>
      <c r="G21" s="113">
        <f>IF(OR($A21&gt;G$1,Bases!$D$30+$A21-1&lt;G$1),0,G13/Bases!$D$30)</f>
        <v>0</v>
      </c>
      <c r="H21" s="113">
        <f>IF(OR($A21&gt;H$1,Bases!$D$30+$A21-1&lt;H$1),0,H13/Bases!$D$30)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94">
        <v>1</v>
      </c>
      <c r="B22" s="210" t="s">
        <v>302</v>
      </c>
      <c r="C22" s="113">
        <f>IF(OR($A22&gt;C$1,Bases!$D$30+$A22-1&lt;C$1),0,C14/Bases!$D$30)</f>
        <v>0</v>
      </c>
      <c r="D22" s="113">
        <f>IF(OR($A22&gt;D$1,Bases!$D$30+$A22-1&lt;D$1),0,D14/Bases!$D$30)</f>
        <v>0</v>
      </c>
      <c r="E22" s="113">
        <f>IF(OR($A22&gt;E$1,Bases!$D$30+$A22-1&lt;E$1),0,E14/Bases!$D$30)</f>
        <v>0</v>
      </c>
      <c r="F22" s="113">
        <f>IF(OR($A22&gt;F$1,Bases!$D$30+$A22-1&lt;F$1),0,F14/Bases!$D$30)</f>
        <v>0</v>
      </c>
      <c r="G22" s="113">
        <f>IF(OR($A22&gt;G$1,Bases!$D$30+$A22-1&lt;G$1),0,G14/Bases!$D$30)</f>
        <v>0</v>
      </c>
      <c r="H22" s="113">
        <f>IF(OR($A22&gt;H$1,Bases!$D$30+$A22-1&lt;H$1),0,H14/Bases!$D$30)</f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94">
        <v>2</v>
      </c>
      <c r="B23" s="210" t="s">
        <v>303</v>
      </c>
      <c r="C23" s="113">
        <f>IF(OR($A23&gt;C$1,Bases!$D$30+$A23-1&lt;C$1),0,C15/Bases!$D$30)</f>
        <v>0</v>
      </c>
      <c r="D23" s="113">
        <f>IF(OR($A23&gt;D$1,Bases!$D$30+$A23-1&lt;D$1),0,D15/Bases!$D$30)</f>
        <v>0</v>
      </c>
      <c r="E23" s="113">
        <f>IF(OR($A23&gt;E$1,Bases!$D$30+$A23-1&lt;E$1),0,E15/Bases!$D$30)</f>
        <v>0</v>
      </c>
      <c r="F23" s="113">
        <f>IF(OR($A23&gt;F$1,Bases!$D$30+$A23-1&lt;F$1),0,F15/Bases!$D$30)</f>
        <v>0</v>
      </c>
      <c r="G23" s="113">
        <f>IF(OR($A23&gt;G$1,Bases!$D$30+$A23-1&lt;G$1),0,G15/Bases!$D$30)</f>
        <v>0</v>
      </c>
      <c r="H23" s="113">
        <f>IF(OR($A23&gt;H$1,Bases!$D$30+$A23-1&lt;H$1),0,H15/Bases!$D$30)</f>
        <v>0</v>
      </c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3</v>
      </c>
      <c r="B24" s="210" t="s">
        <v>304</v>
      </c>
      <c r="C24" s="113">
        <f>IF(OR($A24&gt;C$1,Bases!$D$30+$A24-1&lt;C$1),0,C16/Bases!$D$30)</f>
        <v>0</v>
      </c>
      <c r="D24" s="113">
        <f>IF(OR($A24&gt;D$1,Bases!$D$30+$A24-1&lt;D$1),0,D16/Bases!$D$30)</f>
        <v>0</v>
      </c>
      <c r="E24" s="113">
        <f>IF(OR($A24&gt;E$1,Bases!$D$30+$A24-1&lt;E$1),0,E16/Bases!$D$30)</f>
        <v>0</v>
      </c>
      <c r="F24" s="113">
        <f>IF(OR($A24&gt;F$1,Bases!$D$30+$A24-1&lt;F$1),0,F16/Bases!$D$30)</f>
        <v>0</v>
      </c>
      <c r="G24" s="113">
        <f>IF(OR($A24&gt;G$1,Bases!$D$30+$A24-1&lt;G$1),0,G16/Bases!$D$30)</f>
        <v>0</v>
      </c>
      <c r="H24" s="113">
        <f>IF(OR($A24&gt;H$1,Bases!$D$30+$A24-1&lt;H$1),0,H16/Bases!$D$30)</f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4</v>
      </c>
      <c r="B25" s="210" t="s">
        <v>305</v>
      </c>
      <c r="C25" s="113">
        <f>IF(OR($A25&gt;C$1,Bases!$D$30+$A25-1&lt;C$1),0,C17/Bases!$D$30)</f>
        <v>0</v>
      </c>
      <c r="D25" s="113">
        <f>IF(OR($A25&gt;D$1,Bases!$D$30+$A25-1&lt;D$1),0,D17/Bases!$D$30)</f>
        <v>0</v>
      </c>
      <c r="E25" s="113">
        <f>IF(OR($A25&gt;E$1,Bases!$D$30+$A25-1&lt;E$1),0,E17/Bases!$D$30)</f>
        <v>0</v>
      </c>
      <c r="F25" s="113">
        <f>IF(OR($A25&gt;F$1,Bases!$D$30+$A25-1&lt;F$1),0,F17/Bases!$D$30)</f>
        <v>0</v>
      </c>
      <c r="G25" s="113">
        <f>IF(OR($A25&gt;G$1,Bases!$D$30+$A25-1&lt;G$1),0,G17/Bases!$D$30)</f>
        <v>0</v>
      </c>
      <c r="H25" s="113">
        <f>IF(OR($A25&gt;H$1,Bases!$D$30+$A25-1&lt;H$1),0,H17/Bases!$D$30)</f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5</v>
      </c>
      <c r="B26" s="210" t="s">
        <v>306</v>
      </c>
      <c r="C26" s="113">
        <f>IF(OR($A26&gt;C$1,Bases!$D$30+$A26-1&lt;C$1),0,C18/Bases!$D$30)</f>
        <v>0</v>
      </c>
      <c r="D26" s="113">
        <f>IF(OR($A26&gt;D$1,Bases!$D$30+$A26-1&lt;D$1),0,D18/Bases!$D$30)</f>
        <v>0</v>
      </c>
      <c r="E26" s="113">
        <f>IF(OR($A26&gt;E$1,Bases!$D$30+$A26-1&lt;E$1),0,E18/Bases!$D$30)</f>
        <v>0</v>
      </c>
      <c r="F26" s="113">
        <f>IF(OR($A26&gt;F$1,Bases!$D$30+$A26-1&lt;F$1),0,F18/Bases!$D$30)</f>
        <v>0</v>
      </c>
      <c r="G26" s="113">
        <f>IF(OR($A26&gt;G$1,Bases!$D$30+$A26-1&lt;G$1),0,G18/Bases!$D$30)</f>
        <v>0</v>
      </c>
      <c r="H26" s="113">
        <f>IF(OR($A26&gt;H$1,Bases!$D$30+$A26-1&lt;H$1),0,H18/Bases!$D$30)</f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1"/>
      <c r="B27" s="94" t="s">
        <v>320</v>
      </c>
      <c r="C27" s="113">
        <f t="shared" ref="C27:H27" si="8">SUM(C21:C26)</f>
        <v>0</v>
      </c>
      <c r="D27" s="113">
        <f t="shared" si="8"/>
        <v>0</v>
      </c>
      <c r="E27" s="113">
        <f t="shared" si="8"/>
        <v>0</v>
      </c>
      <c r="F27" s="113">
        <f t="shared" si="8"/>
        <v>0</v>
      </c>
      <c r="G27" s="113">
        <f t="shared" si="8"/>
        <v>0</v>
      </c>
      <c r="H27" s="113">
        <f t="shared" si="8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3.5" customHeight="1">
      <c r="A28" s="1"/>
      <c r="B28" s="205" t="s">
        <v>321</v>
      </c>
      <c r="C28" s="137"/>
      <c r="D28" s="137"/>
      <c r="E28" s="137"/>
      <c r="F28" s="137"/>
      <c r="G28" s="137"/>
      <c r="H28" s="137"/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0</v>
      </c>
      <c r="B29" s="210" t="s">
        <v>326</v>
      </c>
      <c r="C29" s="113">
        <f>IF($A29&gt;=C$1,0,B37*Proyecciones!E$7)</f>
        <v>0</v>
      </c>
      <c r="D29" s="113">
        <f>IF($A29&gt;=D$1,0,C37*Proyecciones!F$7)</f>
        <v>0</v>
      </c>
      <c r="E29" s="113">
        <f>IF($A29&gt;=E$1,0,D37*Proyecciones!G$7)</f>
        <v>0</v>
      </c>
      <c r="F29" s="113">
        <f>IF($A29&gt;=F$1,0,E37*Proyecciones!H$7)</f>
        <v>0</v>
      </c>
      <c r="G29" s="113">
        <f>IF($A29&gt;=G$1,0,F37*Proyecciones!I$7)</f>
        <v>0</v>
      </c>
      <c r="H29" s="113">
        <f>IF($A29&gt;=H$1,0,G37*Proyecciones!J$7)</f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94">
        <v>1</v>
      </c>
      <c r="B30" s="138" t="s">
        <v>302</v>
      </c>
      <c r="C30" s="113">
        <f>IF($A30&gt;=C$1,0,B38*Proyecciones!E$7)</f>
        <v>0</v>
      </c>
      <c r="D30" s="113">
        <f>IF($A30&gt;=D$1,0,C38*Proyecciones!F$7)</f>
        <v>0</v>
      </c>
      <c r="E30" s="113">
        <f>IF($A30&gt;=E$1,0,D38*Proyecciones!G$7)</f>
        <v>0</v>
      </c>
      <c r="F30" s="113">
        <f>IF($A30&gt;=F$1,0,E38*Proyecciones!H$7)</f>
        <v>0</v>
      </c>
      <c r="G30" s="113">
        <f>IF($A30&gt;=G$1,0,F38*Proyecciones!I$7)</f>
        <v>0</v>
      </c>
      <c r="H30" s="113">
        <f>IF($A30&gt;=H$1,0,G38*Proyecciones!J$7)</f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2.75" customHeight="1">
      <c r="A31" s="94">
        <v>2</v>
      </c>
      <c r="B31" s="138" t="s">
        <v>303</v>
      </c>
      <c r="C31" s="113">
        <f>IF($A31&gt;=C$1,0,B39*Proyecciones!E$7)</f>
        <v>0</v>
      </c>
      <c r="D31" s="113">
        <f>IF($A31&gt;=D$1,0,C39*Proyecciones!F$7)</f>
        <v>0</v>
      </c>
      <c r="E31" s="113">
        <f>IF($A31&gt;=E$1,0,D39*Proyecciones!G$7)</f>
        <v>0</v>
      </c>
      <c r="F31" s="113">
        <f>IF($A31&gt;=F$1,0,E39*Proyecciones!H$7)</f>
        <v>0</v>
      </c>
      <c r="G31" s="113">
        <f>IF($A31&gt;=G$1,0,F39*Proyecciones!I$7)</f>
        <v>0</v>
      </c>
      <c r="H31" s="113">
        <f>IF($A31&gt;=H$1,0,G39*Proyecciones!J$7)</f>
        <v>0</v>
      </c>
      <c r="I31" s="1"/>
      <c r="J31" s="1"/>
      <c r="K31" s="6"/>
      <c r="L31" s="6"/>
      <c r="M31" s="6"/>
      <c r="N31" s="6"/>
      <c r="O31" s="6"/>
      <c r="P31" s="6"/>
      <c r="Q31" s="6"/>
      <c r="R31" s="6"/>
    </row>
    <row r="32" spans="1:18" ht="12.75" customHeight="1">
      <c r="A32" s="94">
        <v>3</v>
      </c>
      <c r="B32" s="138" t="s">
        <v>304</v>
      </c>
      <c r="C32" s="113">
        <f>IF($A32&gt;=C$1,0,B40*Proyecciones!E$7)</f>
        <v>0</v>
      </c>
      <c r="D32" s="113">
        <f>IF($A32&gt;=D$1,0,C40*Proyecciones!F$7)</f>
        <v>0</v>
      </c>
      <c r="E32" s="113">
        <f>IF($A32&gt;=E$1,0,D40*Proyecciones!G$7)</f>
        <v>0</v>
      </c>
      <c r="F32" s="113">
        <f>IF($A32&gt;=F$1,0,E40*Proyecciones!H$7)</f>
        <v>0</v>
      </c>
      <c r="G32" s="113">
        <f>IF($A32&gt;=G$1,0,F40*Proyecciones!I$7)</f>
        <v>0</v>
      </c>
      <c r="H32" s="113">
        <f>IF($A32&gt;=H$1,0,G40*Proyecciones!J$7)</f>
        <v>0</v>
      </c>
      <c r="I32" s="1"/>
      <c r="J32" s="1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94">
        <v>4</v>
      </c>
      <c r="B33" s="138" t="s">
        <v>305</v>
      </c>
      <c r="C33" s="113">
        <f>IF($A33&gt;=C$1,0,B41*Proyecciones!E$7)</f>
        <v>0</v>
      </c>
      <c r="D33" s="113">
        <f>IF($A33&gt;=D$1,0,C41*Proyecciones!F$7)</f>
        <v>0</v>
      </c>
      <c r="E33" s="113">
        <f>IF($A33&gt;=E$1,0,D41*Proyecciones!G$7)</f>
        <v>0</v>
      </c>
      <c r="F33" s="113">
        <f>IF($A33&gt;=F$1,0,E41*Proyecciones!H$7)</f>
        <v>0</v>
      </c>
      <c r="G33" s="113">
        <f>IF($A33&gt;=G$1,0,F41*Proyecciones!I$7)</f>
        <v>0</v>
      </c>
      <c r="H33" s="113">
        <f>IF($A33&gt;=H$1,0,G41*Proyecciones!J$7)</f>
        <v>0</v>
      </c>
      <c r="I33" s="1"/>
      <c r="J33" s="1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94">
        <v>5</v>
      </c>
      <c r="B34" s="138" t="s">
        <v>306</v>
      </c>
      <c r="C34" s="113">
        <f>IF($A34&gt;=C$1,0,B42*Proyecciones!E$7)</f>
        <v>0</v>
      </c>
      <c r="D34" s="113">
        <f>IF($A34&gt;=D$1,0,C42*Proyecciones!F$7)</f>
        <v>0</v>
      </c>
      <c r="E34" s="113">
        <f>IF($A34&gt;=E$1,0,D42*Proyecciones!G$7)</f>
        <v>0</v>
      </c>
      <c r="F34" s="113">
        <f>IF($A34&gt;=F$1,0,E42*Proyecciones!H$7)</f>
        <v>0</v>
      </c>
      <c r="G34" s="113">
        <f>IF($A34&gt;=G$1,0,F42*Proyecciones!I$7)</f>
        <v>0</v>
      </c>
      <c r="H34" s="113">
        <f>IF($A34&gt;=H$1,0,G42*Proyecciones!J$7)</f>
        <v>0</v>
      </c>
      <c r="I34" s="1"/>
      <c r="J34" s="1"/>
      <c r="K34" s="6"/>
      <c r="L34" s="6"/>
      <c r="M34" s="6"/>
      <c r="N34" s="6"/>
      <c r="O34" s="6"/>
      <c r="P34" s="6"/>
      <c r="Q34" s="6"/>
      <c r="R34" s="6"/>
    </row>
    <row r="35" spans="1:18" ht="12.75" customHeight="1">
      <c r="A35" s="1"/>
      <c r="B35" s="213" t="s">
        <v>322</v>
      </c>
      <c r="C35" s="113">
        <f t="shared" ref="C35:H35" si="9">SUM(C29:C34)</f>
        <v>0</v>
      </c>
      <c r="D35" s="113">
        <f t="shared" si="9"/>
        <v>0</v>
      </c>
      <c r="E35" s="113">
        <f t="shared" si="9"/>
        <v>0</v>
      </c>
      <c r="F35" s="113">
        <f t="shared" si="9"/>
        <v>0</v>
      </c>
      <c r="G35" s="113">
        <f t="shared" si="9"/>
        <v>0</v>
      </c>
      <c r="H35" s="113">
        <f t="shared" si="9"/>
        <v>0</v>
      </c>
      <c r="I35" s="1"/>
      <c r="J35" s="1"/>
      <c r="K35" s="6"/>
      <c r="L35" s="6"/>
      <c r="M35" s="6"/>
      <c r="N35" s="6"/>
      <c r="O35" s="6"/>
      <c r="P35" s="6"/>
      <c r="Q35" s="6"/>
      <c r="R35" s="6"/>
    </row>
    <row r="36" spans="1:18" ht="13.5" customHeight="1">
      <c r="A36" s="1"/>
      <c r="B36" s="205" t="s">
        <v>189</v>
      </c>
      <c r="C36" s="137"/>
      <c r="D36" s="137"/>
      <c r="E36" s="137"/>
      <c r="F36" s="137"/>
      <c r="G36" s="137"/>
      <c r="H36" s="137"/>
      <c r="I36" s="1"/>
      <c r="J36" s="1"/>
      <c r="K36" s="6"/>
      <c r="L36" s="6"/>
      <c r="M36" s="6"/>
      <c r="N36" s="6"/>
      <c r="O36" s="6"/>
      <c r="P36" s="6"/>
      <c r="Q36" s="6"/>
      <c r="R36" s="6"/>
    </row>
    <row r="37" spans="1:18" ht="12.75" customHeight="1">
      <c r="A37" s="94">
        <v>0</v>
      </c>
      <c r="B37" s="210" t="s">
        <v>326</v>
      </c>
      <c r="C37" s="113">
        <f t="shared" ref="C37:H37" si="10">IF($A37&gt;C$1,0,IF($A37=C$1,C21,B37+C21+C29))</f>
        <v>0</v>
      </c>
      <c r="D37" s="113">
        <f t="shared" si="10"/>
        <v>0</v>
      </c>
      <c r="E37" s="113">
        <f t="shared" si="10"/>
        <v>0</v>
      </c>
      <c r="F37" s="113">
        <f t="shared" si="10"/>
        <v>0</v>
      </c>
      <c r="G37" s="113">
        <f t="shared" si="10"/>
        <v>0</v>
      </c>
      <c r="H37" s="113">
        <f t="shared" si="10"/>
        <v>0</v>
      </c>
      <c r="I37" s="142"/>
      <c r="J37" s="1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94">
        <v>1</v>
      </c>
      <c r="B38" s="210" t="s">
        <v>302</v>
      </c>
      <c r="C38" s="113">
        <f t="shared" ref="C38:H38" si="11">IF($A38&gt;C$1,0,IF($A38=C$1,C22,B38+C22+C30))</f>
        <v>0</v>
      </c>
      <c r="D38" s="113">
        <f t="shared" si="11"/>
        <v>0</v>
      </c>
      <c r="E38" s="113">
        <f t="shared" si="11"/>
        <v>0</v>
      </c>
      <c r="F38" s="113">
        <f t="shared" si="11"/>
        <v>0</v>
      </c>
      <c r="G38" s="113">
        <f t="shared" si="11"/>
        <v>0</v>
      </c>
      <c r="H38" s="113">
        <f t="shared" si="11"/>
        <v>0</v>
      </c>
      <c r="I38" s="142"/>
      <c r="J38" s="1"/>
      <c r="K38" s="6"/>
      <c r="L38" s="6"/>
      <c r="M38" s="6"/>
      <c r="N38" s="6"/>
      <c r="O38" s="6"/>
      <c r="P38" s="6"/>
      <c r="Q38" s="6"/>
      <c r="R38" s="6"/>
    </row>
    <row r="39" spans="1:18" ht="12.75" customHeight="1">
      <c r="A39" s="94">
        <v>2</v>
      </c>
      <c r="B39" s="210" t="s">
        <v>303</v>
      </c>
      <c r="C39" s="113">
        <f t="shared" ref="C39:H39" si="12">IF($A39&gt;C$1,0,IF($A39=C$1,C23,B39+C23+C31))</f>
        <v>0</v>
      </c>
      <c r="D39" s="113">
        <f t="shared" si="12"/>
        <v>0</v>
      </c>
      <c r="E39" s="113">
        <f t="shared" si="12"/>
        <v>0</v>
      </c>
      <c r="F39" s="113">
        <f t="shared" si="12"/>
        <v>0</v>
      </c>
      <c r="G39" s="113">
        <f t="shared" si="12"/>
        <v>0</v>
      </c>
      <c r="H39" s="113">
        <f t="shared" si="12"/>
        <v>0</v>
      </c>
      <c r="I39" s="1"/>
      <c r="J39" s="1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94">
        <v>3</v>
      </c>
      <c r="B40" s="210" t="s">
        <v>304</v>
      </c>
      <c r="C40" s="113">
        <f t="shared" ref="C40:H40" si="13">IF($A40&gt;C$1,0,IF($A40=C$1,C24,B40+C24+C32))</f>
        <v>0</v>
      </c>
      <c r="D40" s="113">
        <f t="shared" si="13"/>
        <v>0</v>
      </c>
      <c r="E40" s="113">
        <f t="shared" si="13"/>
        <v>0</v>
      </c>
      <c r="F40" s="113">
        <f t="shared" si="13"/>
        <v>0</v>
      </c>
      <c r="G40" s="113">
        <f t="shared" si="13"/>
        <v>0</v>
      </c>
      <c r="H40" s="113">
        <f t="shared" si="13"/>
        <v>0</v>
      </c>
      <c r="I40" s="1"/>
      <c r="J40" s="1"/>
      <c r="K40" s="6"/>
      <c r="L40" s="6"/>
      <c r="M40" s="6"/>
      <c r="N40" s="6"/>
      <c r="O40" s="6"/>
      <c r="P40" s="6"/>
      <c r="Q40" s="6"/>
      <c r="R40" s="6"/>
    </row>
    <row r="41" spans="1:18" ht="12.75" customHeight="1">
      <c r="A41" s="94">
        <v>4</v>
      </c>
      <c r="B41" s="210" t="s">
        <v>305</v>
      </c>
      <c r="C41" s="113">
        <f t="shared" ref="C41:H41" si="14">IF($A41&gt;C$1,0,IF($A41=C$1,C25,B41+C25+C33))</f>
        <v>0</v>
      </c>
      <c r="D41" s="113">
        <f t="shared" si="14"/>
        <v>0</v>
      </c>
      <c r="E41" s="113">
        <f t="shared" si="14"/>
        <v>0</v>
      </c>
      <c r="F41" s="113">
        <f t="shared" si="14"/>
        <v>0</v>
      </c>
      <c r="G41" s="113">
        <f t="shared" si="14"/>
        <v>0</v>
      </c>
      <c r="H41" s="113">
        <f t="shared" si="14"/>
        <v>0</v>
      </c>
      <c r="I41" s="1"/>
      <c r="J41" s="1"/>
      <c r="K41" s="6"/>
      <c r="L41" s="6"/>
      <c r="M41" s="6"/>
      <c r="N41" s="6"/>
      <c r="O41" s="6"/>
      <c r="P41" s="6"/>
      <c r="Q41" s="6"/>
      <c r="R41" s="6"/>
    </row>
    <row r="42" spans="1:18" ht="12.75" customHeight="1">
      <c r="A42" s="94">
        <v>5</v>
      </c>
      <c r="B42" s="210" t="s">
        <v>306</v>
      </c>
      <c r="C42" s="113">
        <f t="shared" ref="C42:H42" si="15">IF($A42&gt;C$1,0,IF($A42=C$1,C26,B42+C26+C34))</f>
        <v>0</v>
      </c>
      <c r="D42" s="113">
        <f t="shared" si="15"/>
        <v>0</v>
      </c>
      <c r="E42" s="113">
        <f t="shared" si="15"/>
        <v>0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"/>
      <c r="J42" s="1"/>
      <c r="K42" s="6"/>
      <c r="L42" s="6"/>
      <c r="M42" s="6"/>
      <c r="N42" s="6"/>
      <c r="O42" s="6"/>
      <c r="P42" s="6"/>
      <c r="Q42" s="6"/>
      <c r="R42" s="6"/>
    </row>
    <row r="43" spans="1:18" ht="12.75" customHeight="1">
      <c r="A43" s="1"/>
      <c r="B43" s="94" t="s">
        <v>323</v>
      </c>
      <c r="C43" s="113">
        <f t="shared" ref="C43:H43" si="16">SUM(C37:C42)</f>
        <v>0</v>
      </c>
      <c r="D43" s="113">
        <f t="shared" si="16"/>
        <v>0</v>
      </c>
      <c r="E43" s="113">
        <f t="shared" si="16"/>
        <v>0</v>
      </c>
      <c r="F43" s="113">
        <f t="shared" si="16"/>
        <v>0</v>
      </c>
      <c r="G43" s="113">
        <f t="shared" si="16"/>
        <v>0</v>
      </c>
      <c r="H43" s="113">
        <f t="shared" si="16"/>
        <v>0</v>
      </c>
      <c r="I43" s="1"/>
      <c r="J43" s="1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N110"/>
  <sheetViews>
    <sheetView tabSelected="1" topLeftCell="A43" workbookViewId="0">
      <selection activeCell="B24" sqref="B24:O32"/>
    </sheetView>
  </sheetViews>
  <sheetFormatPr baseColWidth="10" defaultRowHeight="15"/>
  <cols>
    <col min="1" max="1" width="10.7109375" style="216" customWidth="1"/>
    <col min="2" max="2" width="43.85546875" style="216" customWidth="1"/>
    <col min="3" max="3" width="15.7109375" style="216" bestFit="1" customWidth="1"/>
    <col min="4" max="4" width="17.140625" style="216" customWidth="1"/>
    <col min="5" max="5" width="16.85546875" style="216" customWidth="1"/>
    <col min="6" max="6" width="18.5703125" style="216" customWidth="1"/>
    <col min="7" max="10" width="16.85546875" style="216" customWidth="1"/>
    <col min="11" max="12" width="11.42578125" style="216"/>
    <col min="13" max="13" width="15.5703125" style="216" customWidth="1"/>
    <col min="14" max="14" width="11.42578125" style="216"/>
    <col min="15" max="15" width="16.85546875" style="216" customWidth="1"/>
    <col min="16" max="16384" width="11.42578125" style="216"/>
  </cols>
  <sheetData>
    <row r="1" spans="1:13" s="265" customFormat="1" ht="53.25" customHeight="1">
      <c r="A1" s="508"/>
      <c r="B1" s="877" t="s">
        <v>661</v>
      </c>
      <c r="C1" s="878"/>
      <c r="D1" s="878"/>
      <c r="E1" s="878"/>
      <c r="F1" s="878"/>
      <c r="G1" s="878"/>
      <c r="H1" s="878"/>
      <c r="I1" s="878"/>
      <c r="J1" s="878"/>
      <c r="K1" s="878"/>
      <c r="L1" s="878"/>
      <c r="M1" s="878"/>
    </row>
    <row r="2" spans="1:13" ht="15.75" thickBot="1"/>
    <row r="3" spans="1:13" ht="60.75" thickBot="1">
      <c r="B3" s="496" t="s">
        <v>395</v>
      </c>
      <c r="C3" s="497" t="s">
        <v>394</v>
      </c>
      <c r="D3" s="498" t="s">
        <v>393</v>
      </c>
      <c r="E3" s="497" t="s">
        <v>392</v>
      </c>
      <c r="F3" s="499" t="s">
        <v>391</v>
      </c>
      <c r="G3" s="500" t="s">
        <v>390</v>
      </c>
      <c r="H3" s="501" t="s">
        <v>389</v>
      </c>
      <c r="I3" s="502" t="s">
        <v>388</v>
      </c>
    </row>
    <row r="4" spans="1:13" ht="21.75" customHeight="1">
      <c r="B4" s="549" t="s">
        <v>662</v>
      </c>
      <c r="C4" s="263">
        <v>240</v>
      </c>
      <c r="D4" s="262">
        <v>1</v>
      </c>
      <c r="E4" s="881">
        <f>8*2</f>
        <v>16</v>
      </c>
      <c r="F4" s="884">
        <f>E4*24</f>
        <v>384</v>
      </c>
      <c r="G4" s="887">
        <f>8*60*2</f>
        <v>960</v>
      </c>
      <c r="H4" s="887">
        <f>G4*24</f>
        <v>23040</v>
      </c>
      <c r="I4" s="503">
        <v>0.5</v>
      </c>
    </row>
    <row r="5" spans="1:13" ht="21" customHeight="1">
      <c r="B5" s="549" t="s">
        <v>663</v>
      </c>
      <c r="C5" s="263">
        <v>240</v>
      </c>
      <c r="D5" s="262">
        <v>1</v>
      </c>
      <c r="E5" s="882"/>
      <c r="F5" s="885"/>
      <c r="G5" s="888"/>
      <c r="H5" s="888"/>
      <c r="I5" s="503">
        <v>0.5</v>
      </c>
    </row>
    <row r="6" spans="1:13" ht="22.5" customHeight="1" thickBot="1">
      <c r="B6" s="550" t="s">
        <v>664</v>
      </c>
      <c r="C6" s="263">
        <v>0</v>
      </c>
      <c r="D6" s="262">
        <v>0</v>
      </c>
      <c r="E6" s="882"/>
      <c r="F6" s="885"/>
      <c r="G6" s="888"/>
      <c r="H6" s="888"/>
      <c r="I6" s="503">
        <v>0</v>
      </c>
    </row>
    <row r="7" spans="1:13" ht="22.5" customHeight="1">
      <c r="B7" s="504"/>
      <c r="C7" s="263"/>
      <c r="D7" s="262"/>
      <c r="E7" s="882"/>
      <c r="F7" s="885"/>
      <c r="G7" s="888"/>
      <c r="H7" s="888"/>
      <c r="I7" s="503"/>
    </row>
    <row r="8" spans="1:13" ht="24" customHeight="1" thickBot="1">
      <c r="B8" s="505"/>
      <c r="C8" s="506"/>
      <c r="D8" s="507"/>
      <c r="E8" s="883"/>
      <c r="F8" s="886"/>
      <c r="G8" s="889"/>
      <c r="H8" s="889"/>
      <c r="I8" s="464"/>
    </row>
    <row r="9" spans="1:13">
      <c r="D9" s="261" t="s">
        <v>668</v>
      </c>
      <c r="I9" s="260">
        <f>SUM(I4:I7)</f>
        <v>1</v>
      </c>
    </row>
    <row r="10" spans="1:13" ht="30">
      <c r="B10" s="513" t="s">
        <v>387</v>
      </c>
      <c r="C10" s="259">
        <f>SUM(C4:C8)</f>
        <v>480</v>
      </c>
      <c r="D10" s="258">
        <f>SUM(D4:D8)</f>
        <v>2</v>
      </c>
    </row>
    <row r="11" spans="1:13" ht="15.75" thickBot="1">
      <c r="B11" s="514" t="s">
        <v>386</v>
      </c>
      <c r="C11" s="257">
        <f>G4</f>
        <v>960</v>
      </c>
    </row>
    <row r="12" spans="1:13" ht="15.75" thickBot="1">
      <c r="B12" s="234"/>
      <c r="C12" s="492"/>
      <c r="D12" s="253"/>
      <c r="E12" s="486">
        <f>C4/$C$10</f>
        <v>0.5</v>
      </c>
      <c r="F12" s="864" t="s">
        <v>665</v>
      </c>
      <c r="G12" s="487"/>
      <c r="H12" s="487"/>
      <c r="I12" s="488"/>
    </row>
    <row r="13" spans="1:13" ht="15.75" thickBot="1">
      <c r="B13" s="491" t="s">
        <v>385</v>
      </c>
      <c r="C13" s="254">
        <f>G4*D10/C10</f>
        <v>4</v>
      </c>
      <c r="D13" s="253"/>
      <c r="E13" s="486">
        <f t="shared" ref="E13:E14" si="0">C5/$C$10</f>
        <v>0.5</v>
      </c>
      <c r="F13" s="865" t="s">
        <v>666</v>
      </c>
      <c r="G13" s="250"/>
      <c r="H13" s="250"/>
      <c r="I13" s="249"/>
    </row>
    <row r="14" spans="1:13">
      <c r="B14" s="491" t="s">
        <v>384</v>
      </c>
      <c r="C14" s="254">
        <f>H4*D10/C10</f>
        <v>96</v>
      </c>
      <c r="D14" s="253"/>
      <c r="E14" s="486">
        <f t="shared" si="0"/>
        <v>0</v>
      </c>
      <c r="F14" s="865" t="s">
        <v>667</v>
      </c>
      <c r="G14" s="493"/>
      <c r="H14" s="250"/>
      <c r="I14" s="249"/>
    </row>
    <row r="15" spans="1:13" ht="15.75" thickBot="1">
      <c r="B15" s="491" t="s">
        <v>383</v>
      </c>
      <c r="C15" s="254">
        <f>C14*12</f>
        <v>1152</v>
      </c>
      <c r="D15" s="253"/>
      <c r="E15" s="495"/>
      <c r="F15" s="489"/>
      <c r="G15" s="494"/>
      <c r="H15" s="494"/>
      <c r="I15" s="490"/>
    </row>
    <row r="16" spans="1:13">
      <c r="B16" s="491" t="s">
        <v>565</v>
      </c>
      <c r="C16" s="254">
        <f>C13*67%</f>
        <v>2.68</v>
      </c>
      <c r="D16" s="253"/>
      <c r="E16" s="253"/>
      <c r="F16" s="253"/>
      <c r="G16" s="253"/>
      <c r="H16" s="253"/>
      <c r="I16" s="299"/>
      <c r="K16" s="251"/>
    </row>
    <row r="17" spans="1:66" ht="15.75">
      <c r="B17" s="491" t="s">
        <v>566</v>
      </c>
      <c r="C17" s="254">
        <f>C16*24</f>
        <v>64.320000000000007</v>
      </c>
      <c r="D17" s="253"/>
      <c r="E17" s="255"/>
      <c r="G17" s="219"/>
      <c r="H17" s="252"/>
      <c r="I17" s="515"/>
      <c r="K17" s="251"/>
    </row>
    <row r="18" spans="1:66" ht="15.75">
      <c r="B18" s="491" t="s">
        <v>567</v>
      </c>
      <c r="C18" s="254">
        <f>C17*9</f>
        <v>578.88000000000011</v>
      </c>
      <c r="D18" s="253"/>
      <c r="E18" s="253"/>
      <c r="G18" s="219"/>
      <c r="H18" s="252"/>
      <c r="I18" s="515"/>
      <c r="K18" s="251"/>
    </row>
    <row r="19" spans="1:66" ht="15.75">
      <c r="G19" s="219"/>
      <c r="H19" s="252"/>
      <c r="I19" s="251"/>
      <c r="K19" s="251"/>
    </row>
    <row r="20" spans="1:66" ht="15.75">
      <c r="B20" s="512"/>
      <c r="G20" s="219"/>
      <c r="H20" s="252"/>
      <c r="I20" s="251"/>
      <c r="K20" s="251"/>
    </row>
    <row r="21" spans="1:66">
      <c r="I21" s="251"/>
    </row>
    <row r="23" spans="1:66" ht="15.75" thickBot="1"/>
    <row r="24" spans="1:66" s="234" customFormat="1" ht="16.5" thickBot="1">
      <c r="B24" s="890" t="s">
        <v>382</v>
      </c>
      <c r="C24" s="891"/>
      <c r="D24" s="891"/>
      <c r="E24" s="891"/>
      <c r="F24" s="892"/>
      <c r="G24" s="509"/>
      <c r="H24" s="509"/>
      <c r="I24" s="509"/>
      <c r="J24" s="509"/>
      <c r="K24" s="897" t="s">
        <v>381</v>
      </c>
      <c r="L24" s="898"/>
      <c r="M24" s="898"/>
      <c r="N24" s="898"/>
      <c r="O24" s="899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26"/>
      <c r="BJ24" s="226"/>
      <c r="BK24" s="226"/>
      <c r="BL24" s="226"/>
      <c r="BM24" s="226"/>
      <c r="BN24" s="226"/>
    </row>
    <row r="25" spans="1:66" s="234" customFormat="1" ht="45.75" customHeight="1" thickBot="1">
      <c r="A25" s="250"/>
      <c r="B25" s="893" t="s">
        <v>380</v>
      </c>
      <c r="C25" s="894" t="s">
        <v>571</v>
      </c>
      <c r="D25" s="896" t="s">
        <v>379</v>
      </c>
      <c r="E25" s="896" t="s">
        <v>378</v>
      </c>
      <c r="F25" s="896" t="s">
        <v>377</v>
      </c>
      <c r="G25" s="879" t="s">
        <v>569</v>
      </c>
      <c r="H25" s="879"/>
      <c r="I25" s="879"/>
      <c r="J25" s="880"/>
      <c r="K25" s="900" t="s">
        <v>568</v>
      </c>
      <c r="L25" s="901"/>
      <c r="M25" s="901"/>
      <c r="N25" s="901"/>
      <c r="O25" s="902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H25" s="250"/>
      <c r="BI25" s="226"/>
      <c r="BJ25" s="226"/>
      <c r="BK25" s="226"/>
      <c r="BL25" s="226"/>
      <c r="BM25" s="226"/>
      <c r="BN25" s="226"/>
    </row>
    <row r="26" spans="1:66" s="247" customFormat="1" ht="15.75" thickBot="1">
      <c r="A26" s="250"/>
      <c r="B26" s="893"/>
      <c r="C26" s="895"/>
      <c r="D26" s="896"/>
      <c r="E26" s="896"/>
      <c r="F26" s="896"/>
      <c r="G26" s="511" t="s">
        <v>376</v>
      </c>
      <c r="H26" s="248" t="s">
        <v>375</v>
      </c>
      <c r="I26" s="248" t="s">
        <v>374</v>
      </c>
      <c r="J26" s="248" t="s">
        <v>373</v>
      </c>
      <c r="K26" s="516" t="s">
        <v>372</v>
      </c>
      <c r="L26" s="516" t="s">
        <v>371</v>
      </c>
      <c r="M26" s="516" t="s">
        <v>370</v>
      </c>
      <c r="N26" s="516" t="s">
        <v>369</v>
      </c>
      <c r="O26" s="518" t="s">
        <v>368</v>
      </c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517"/>
      <c r="BJ26" s="517"/>
      <c r="BK26" s="517"/>
      <c r="BL26" s="517"/>
      <c r="BM26" s="517"/>
      <c r="BN26" s="517"/>
    </row>
    <row r="27" spans="1:66" s="234" customFormat="1" ht="15.75">
      <c r="A27" s="250"/>
      <c r="B27" s="549" t="s">
        <v>662</v>
      </c>
      <c r="C27" s="246">
        <f>24*9</f>
        <v>216</v>
      </c>
      <c r="D27" s="245">
        <f>$C$16*I4</f>
        <v>1.34</v>
      </c>
      <c r="E27" s="242">
        <f>D27*C27</f>
        <v>289.44</v>
      </c>
      <c r="F27" s="242">
        <f>D27*24</f>
        <v>32.160000000000004</v>
      </c>
      <c r="G27" s="242">
        <f>(F27)*1.1</f>
        <v>35.376000000000005</v>
      </c>
      <c r="H27" s="242">
        <f>G27*1.15</f>
        <v>40.682400000000001</v>
      </c>
      <c r="I27" s="242">
        <f>H27*1.25</f>
        <v>50.853000000000002</v>
      </c>
      <c r="J27" s="244">
        <f>I27*1.1</f>
        <v>55.938300000000005</v>
      </c>
      <c r="K27" s="243">
        <f>E27</f>
        <v>289.44</v>
      </c>
      <c r="L27" s="242">
        <f>G27*12</f>
        <v>424.51200000000006</v>
      </c>
      <c r="M27" s="242">
        <f>H27*12</f>
        <v>488.18880000000001</v>
      </c>
      <c r="N27" s="242">
        <f>I27*12</f>
        <v>610.23599999999999</v>
      </c>
      <c r="O27" s="241">
        <f>J27*12</f>
        <v>671.25960000000009</v>
      </c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26"/>
      <c r="BJ27" s="226"/>
      <c r="BK27" s="226"/>
      <c r="BL27" s="226"/>
      <c r="BM27" s="226"/>
      <c r="BN27" s="226"/>
    </row>
    <row r="28" spans="1:66" s="234" customFormat="1" ht="15.75">
      <c r="A28" s="250"/>
      <c r="B28" s="549" t="s">
        <v>663</v>
      </c>
      <c r="C28" s="240">
        <f>24*9</f>
        <v>216</v>
      </c>
      <c r="D28" s="245">
        <f t="shared" ref="D28:D29" si="1">$C$16*I5</f>
        <v>1.34</v>
      </c>
      <c r="E28" s="236">
        <f>D28*C28</f>
        <v>289.44</v>
      </c>
      <c r="F28" s="242">
        <f t="shared" ref="F28:F29" si="2">D28*24</f>
        <v>32.160000000000004</v>
      </c>
      <c r="G28" s="242">
        <f t="shared" ref="G28:G29" si="3">(F28)*1.1</f>
        <v>35.376000000000005</v>
      </c>
      <c r="H28" s="242">
        <f t="shared" ref="H28:H29" si="4">G28*1.15</f>
        <v>40.682400000000001</v>
      </c>
      <c r="I28" s="242">
        <f t="shared" ref="I28:I29" si="5">H28*1.25</f>
        <v>50.853000000000002</v>
      </c>
      <c r="J28" s="244">
        <f t="shared" ref="J28:J29" si="6">I28*1.1</f>
        <v>55.938300000000005</v>
      </c>
      <c r="K28" s="237">
        <f>E28</f>
        <v>289.44</v>
      </c>
      <c r="L28" s="236">
        <f t="shared" ref="L28:O29" si="7">G28*12</f>
        <v>424.51200000000006</v>
      </c>
      <c r="M28" s="236">
        <f t="shared" si="7"/>
        <v>488.18880000000001</v>
      </c>
      <c r="N28" s="236">
        <f t="shared" si="7"/>
        <v>610.23599999999999</v>
      </c>
      <c r="O28" s="235">
        <f>J28*12</f>
        <v>671.25960000000009</v>
      </c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26"/>
      <c r="BJ28" s="226"/>
      <c r="BK28" s="226"/>
      <c r="BL28" s="226"/>
      <c r="BM28" s="226"/>
      <c r="BN28" s="226"/>
    </row>
    <row r="29" spans="1:66" s="234" customFormat="1" ht="16.5" thickBot="1">
      <c r="A29" s="250"/>
      <c r="B29" s="550" t="s">
        <v>664</v>
      </c>
      <c r="C29" s="240">
        <v>0</v>
      </c>
      <c r="D29" s="245">
        <f t="shared" si="1"/>
        <v>0</v>
      </c>
      <c r="E29" s="236">
        <f>D29*C29</f>
        <v>0</v>
      </c>
      <c r="F29" s="242">
        <f t="shared" si="2"/>
        <v>0</v>
      </c>
      <c r="G29" s="242">
        <f t="shared" si="3"/>
        <v>0</v>
      </c>
      <c r="H29" s="242">
        <f t="shared" si="4"/>
        <v>0</v>
      </c>
      <c r="I29" s="242">
        <f t="shared" si="5"/>
        <v>0</v>
      </c>
      <c r="J29" s="244">
        <f t="shared" si="6"/>
        <v>0</v>
      </c>
      <c r="K29" s="237">
        <f>E29</f>
        <v>0</v>
      </c>
      <c r="L29" s="236">
        <f t="shared" si="7"/>
        <v>0</v>
      </c>
      <c r="M29" s="236">
        <f t="shared" si="7"/>
        <v>0</v>
      </c>
      <c r="N29" s="236">
        <f t="shared" si="7"/>
        <v>0</v>
      </c>
      <c r="O29" s="235">
        <f t="shared" si="7"/>
        <v>0</v>
      </c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26"/>
      <c r="BJ29" s="226"/>
      <c r="BK29" s="226"/>
      <c r="BL29" s="226"/>
      <c r="BM29" s="226"/>
      <c r="BN29" s="226"/>
    </row>
    <row r="30" spans="1:66" s="234" customFormat="1" ht="15.75">
      <c r="A30" s="250"/>
      <c r="B30" s="510"/>
      <c r="C30" s="240"/>
      <c r="D30" s="239"/>
      <c r="E30" s="236"/>
      <c r="F30" s="236"/>
      <c r="G30" s="236"/>
      <c r="H30" s="236"/>
      <c r="I30" s="236"/>
      <c r="J30" s="238"/>
      <c r="K30" s="237"/>
      <c r="L30" s="236"/>
      <c r="M30" s="236"/>
      <c r="N30" s="236"/>
      <c r="O30" s="235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26"/>
      <c r="BJ30" s="226"/>
      <c r="BK30" s="226"/>
      <c r="BL30" s="226"/>
      <c r="BM30" s="226"/>
      <c r="BN30" s="226"/>
    </row>
    <row r="31" spans="1:66" s="234" customFormat="1" ht="16.5" thickBot="1">
      <c r="A31" s="250"/>
      <c r="B31" s="510"/>
      <c r="C31" s="240"/>
      <c r="D31" s="239"/>
      <c r="E31" s="236"/>
      <c r="F31" s="236"/>
      <c r="G31" s="236"/>
      <c r="H31" s="236"/>
      <c r="I31" s="236"/>
      <c r="J31" s="238"/>
      <c r="K31" s="237"/>
      <c r="L31" s="236"/>
      <c r="M31" s="236"/>
      <c r="N31" s="236"/>
      <c r="O31" s="235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26"/>
      <c r="BJ31" s="226"/>
      <c r="BK31" s="226"/>
      <c r="BL31" s="226"/>
      <c r="BM31" s="226"/>
      <c r="BN31" s="226"/>
    </row>
    <row r="32" spans="1:66" s="227" customFormat="1" ht="15.75" thickBot="1">
      <c r="A32" s="250"/>
      <c r="B32" s="233" t="s">
        <v>367</v>
      </c>
      <c r="C32" s="232"/>
      <c r="D32" s="230">
        <f t="shared" ref="D32:O32" si="8">SUM(D27:D31)</f>
        <v>2.68</v>
      </c>
      <c r="E32" s="230">
        <f t="shared" si="8"/>
        <v>578.88</v>
      </c>
      <c r="F32" s="231">
        <f t="shared" si="8"/>
        <v>64.320000000000007</v>
      </c>
      <c r="G32" s="229">
        <f t="shared" si="8"/>
        <v>70.75200000000001</v>
      </c>
      <c r="H32" s="230">
        <f t="shared" si="8"/>
        <v>81.364800000000002</v>
      </c>
      <c r="I32" s="230">
        <f t="shared" si="8"/>
        <v>101.706</v>
      </c>
      <c r="J32" s="230">
        <f t="shared" si="8"/>
        <v>111.87660000000001</v>
      </c>
      <c r="K32" s="229">
        <f t="shared" si="8"/>
        <v>578.88</v>
      </c>
      <c r="L32" s="229">
        <f t="shared" si="8"/>
        <v>849.02400000000011</v>
      </c>
      <c r="M32" s="229">
        <f t="shared" si="8"/>
        <v>976.37760000000003</v>
      </c>
      <c r="N32" s="229">
        <f t="shared" si="8"/>
        <v>1220.472</v>
      </c>
      <c r="O32" s="228">
        <f t="shared" si="8"/>
        <v>1342.5192000000002</v>
      </c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26"/>
      <c r="BJ32" s="226"/>
      <c r="BK32" s="226"/>
      <c r="BL32" s="226"/>
      <c r="BM32" s="226"/>
      <c r="BN32" s="226"/>
    </row>
    <row r="37" spans="2:7">
      <c r="E37" s="226"/>
    </row>
    <row r="38" spans="2:7" ht="15.75" thickBot="1">
      <c r="B38" s="225"/>
      <c r="C38" s="225"/>
      <c r="D38" s="224"/>
      <c r="E38" s="224"/>
      <c r="F38" s="223"/>
      <c r="G38" s="222"/>
    </row>
    <row r="39" spans="2:7" ht="16.5" thickBot="1">
      <c r="B39" s="874" t="s">
        <v>562</v>
      </c>
      <c r="C39" s="875"/>
      <c r="D39" s="875"/>
      <c r="E39" s="875"/>
      <c r="F39" s="875"/>
      <c r="G39" s="876"/>
    </row>
    <row r="40" spans="2:7">
      <c r="B40" s="528"/>
      <c r="C40" s="253"/>
      <c r="D40" s="422"/>
      <c r="E40" s="253"/>
      <c r="F40" s="298"/>
      <c r="G40" s="253"/>
    </row>
    <row r="41" spans="2:7" ht="18">
      <c r="B41" s="536" t="s">
        <v>366</v>
      </c>
      <c r="C41" s="537" t="s">
        <v>570</v>
      </c>
      <c r="D41" s="253"/>
      <c r="E41" s="253"/>
      <c r="F41" s="253"/>
      <c r="G41" s="253"/>
    </row>
    <row r="42" spans="2:7" ht="18">
      <c r="B42" s="538" t="s">
        <v>365</v>
      </c>
      <c r="C42" s="539">
        <v>2</v>
      </c>
      <c r="D42" s="218"/>
      <c r="E42" s="218"/>
      <c r="F42" s="218"/>
      <c r="G42" s="218"/>
    </row>
    <row r="43" spans="2:7" ht="30">
      <c r="B43" s="538" t="s">
        <v>364</v>
      </c>
      <c r="C43" s="539">
        <f>8*60*C42</f>
        <v>960</v>
      </c>
      <c r="D43" s="218"/>
      <c r="E43" s="218"/>
      <c r="F43" s="218"/>
      <c r="G43" s="218"/>
    </row>
    <row r="44" spans="2:7" ht="30">
      <c r="B44" s="538" t="s">
        <v>363</v>
      </c>
      <c r="C44" s="539">
        <v>24</v>
      </c>
      <c r="D44" s="217"/>
      <c r="E44" s="217"/>
      <c r="F44" s="217"/>
      <c r="G44" s="217"/>
    </row>
    <row r="45" spans="2:7" ht="30">
      <c r="B45" s="540" t="s">
        <v>362</v>
      </c>
      <c r="C45" s="541">
        <v>9</v>
      </c>
      <c r="D45" s="253"/>
      <c r="E45" s="253"/>
      <c r="F45" s="253"/>
      <c r="G45" s="253"/>
    </row>
    <row r="46" spans="2:7" ht="15.75" thickBot="1">
      <c r="B46" s="253"/>
      <c r="C46" s="253"/>
      <c r="D46" s="253"/>
      <c r="E46" s="253"/>
      <c r="F46" s="253"/>
      <c r="G46" s="253"/>
    </row>
    <row r="47" spans="2:7" ht="94.5">
      <c r="B47" s="532" t="s">
        <v>361</v>
      </c>
      <c r="C47" s="533" t="s">
        <v>360</v>
      </c>
      <c r="D47" s="534" t="s">
        <v>359</v>
      </c>
      <c r="E47" s="534" t="s">
        <v>358</v>
      </c>
      <c r="F47" s="534" t="s">
        <v>357</v>
      </c>
      <c r="G47" s="535" t="s">
        <v>356</v>
      </c>
    </row>
    <row r="48" spans="2:7" ht="15.75">
      <c r="B48" s="549" t="s">
        <v>662</v>
      </c>
      <c r="C48" s="519">
        <f>C4</f>
        <v>240</v>
      </c>
      <c r="D48" s="520"/>
      <c r="E48" s="521">
        <f>$C$43/C48</f>
        <v>4</v>
      </c>
      <c r="F48" s="521">
        <f>E48*24</f>
        <v>96</v>
      </c>
      <c r="G48" s="523">
        <f>F48*9</f>
        <v>864</v>
      </c>
    </row>
    <row r="49" spans="2:7" ht="15.75">
      <c r="B49" s="549" t="s">
        <v>663</v>
      </c>
      <c r="C49" s="519">
        <f>C5</f>
        <v>240</v>
      </c>
      <c r="D49" s="520"/>
      <c r="E49" s="521">
        <f t="shared" ref="E49" si="9">$C$43/C49</f>
        <v>4</v>
      </c>
      <c r="F49" s="521">
        <f t="shared" ref="F49:F50" si="10">E49*24</f>
        <v>96</v>
      </c>
      <c r="G49" s="523">
        <f t="shared" ref="G49:G50" si="11">F49*12</f>
        <v>1152</v>
      </c>
    </row>
    <row r="50" spans="2:7" ht="16.5" thickBot="1">
      <c r="B50" s="550" t="s">
        <v>664</v>
      </c>
      <c r="C50" s="524">
        <f>C6</f>
        <v>0</v>
      </c>
      <c r="D50" s="525"/>
      <c r="E50" s="526">
        <v>0</v>
      </c>
      <c r="F50" s="526">
        <f t="shared" si="10"/>
        <v>0</v>
      </c>
      <c r="G50" s="527">
        <f t="shared" si="11"/>
        <v>0</v>
      </c>
    </row>
    <row r="51" spans="2:7" ht="15.75">
      <c r="B51" s="280"/>
      <c r="C51" s="529"/>
      <c r="D51" s="530"/>
      <c r="E51" s="531"/>
      <c r="F51" s="531"/>
      <c r="G51" s="531"/>
    </row>
    <row r="52" spans="2:7" ht="15.75">
      <c r="B52" s="280"/>
      <c r="C52" s="529"/>
      <c r="D52" s="530"/>
      <c r="E52" s="531"/>
      <c r="F52" s="531"/>
      <c r="G52" s="531"/>
    </row>
    <row r="54" spans="2:7" ht="15.75" thickBot="1"/>
    <row r="55" spans="2:7" ht="16.5" thickBot="1">
      <c r="B55" s="874" t="s">
        <v>572</v>
      </c>
      <c r="C55" s="875"/>
      <c r="D55" s="875"/>
      <c r="E55" s="875"/>
      <c r="F55" s="875"/>
      <c r="G55" s="876"/>
    </row>
    <row r="56" spans="2:7" ht="15.75" thickBot="1"/>
    <row r="57" spans="2:7">
      <c r="B57" s="309" t="str">
        <f>B4</f>
        <v>producto 1</v>
      </c>
      <c r="C57" s="308"/>
      <c r="D57" s="308"/>
      <c r="E57" s="308"/>
      <c r="F57" s="308"/>
      <c r="G57" s="307"/>
    </row>
    <row r="58" spans="2:7">
      <c r="B58" s="276"/>
      <c r="C58" s="423" t="s">
        <v>372</v>
      </c>
      <c r="D58" s="423" t="s">
        <v>371</v>
      </c>
      <c r="E58" s="423" t="s">
        <v>370</v>
      </c>
      <c r="F58" s="423" t="s">
        <v>369</v>
      </c>
      <c r="G58" s="545" t="s">
        <v>368</v>
      </c>
    </row>
    <row r="59" spans="2:7">
      <c r="B59" s="276" t="s">
        <v>461</v>
      </c>
      <c r="C59" s="275">
        <v>0</v>
      </c>
      <c r="D59" s="542">
        <v>633</v>
      </c>
      <c r="E59" s="542">
        <v>730</v>
      </c>
      <c r="F59" s="542">
        <v>910</v>
      </c>
      <c r="G59" s="546">
        <v>1003</v>
      </c>
    </row>
    <row r="60" spans="2:7">
      <c r="B60" s="276" t="s">
        <v>460</v>
      </c>
      <c r="C60" s="275">
        <v>0</v>
      </c>
      <c r="D60" s="542">
        <v>635</v>
      </c>
      <c r="E60" s="542">
        <v>730</v>
      </c>
      <c r="F60" s="542">
        <v>913</v>
      </c>
      <c r="G60" s="546">
        <v>1004</v>
      </c>
    </row>
    <row r="61" spans="2:7">
      <c r="B61" s="276" t="s">
        <v>459</v>
      </c>
      <c r="C61" s="275">
        <v>0</v>
      </c>
      <c r="D61" s="542">
        <v>1059</v>
      </c>
      <c r="E61" s="542">
        <v>1217</v>
      </c>
      <c r="F61" s="542">
        <v>1522</v>
      </c>
      <c r="G61" s="546">
        <v>1674</v>
      </c>
    </row>
    <row r="62" spans="2:7">
      <c r="B62" s="276" t="s">
        <v>458</v>
      </c>
      <c r="C62" s="543">
        <v>560</v>
      </c>
      <c r="D62" s="542">
        <v>1059</v>
      </c>
      <c r="E62" s="542">
        <v>1217</v>
      </c>
      <c r="F62" s="542">
        <v>1522</v>
      </c>
      <c r="G62" s="546">
        <v>1674</v>
      </c>
    </row>
    <row r="63" spans="2:7">
      <c r="B63" s="276" t="s">
        <v>457</v>
      </c>
      <c r="C63" s="543">
        <v>560</v>
      </c>
      <c r="D63" s="542">
        <v>1059</v>
      </c>
      <c r="E63" s="542">
        <v>1217</v>
      </c>
      <c r="F63" s="542">
        <v>1522</v>
      </c>
      <c r="G63" s="546">
        <v>1674</v>
      </c>
    </row>
    <row r="64" spans="2:7">
      <c r="B64" s="276" t="s">
        <v>456</v>
      </c>
      <c r="C64" s="543">
        <v>934</v>
      </c>
      <c r="D64" s="542">
        <v>1059</v>
      </c>
      <c r="E64" s="542">
        <v>1217</v>
      </c>
      <c r="F64" s="542">
        <v>1522</v>
      </c>
      <c r="G64" s="546">
        <v>1674</v>
      </c>
    </row>
    <row r="65" spans="2:7">
      <c r="B65" s="276" t="s">
        <v>455</v>
      </c>
      <c r="C65" s="543">
        <v>934</v>
      </c>
      <c r="D65" s="542">
        <v>1059</v>
      </c>
      <c r="E65" s="542">
        <v>1217</v>
      </c>
      <c r="F65" s="542">
        <v>1522</v>
      </c>
      <c r="G65" s="546">
        <v>1674</v>
      </c>
    </row>
    <row r="66" spans="2:7">
      <c r="B66" s="276" t="s">
        <v>454</v>
      </c>
      <c r="C66" s="543">
        <v>934</v>
      </c>
      <c r="D66" s="542">
        <v>1059</v>
      </c>
      <c r="E66" s="542">
        <v>1217</v>
      </c>
      <c r="F66" s="542">
        <v>1522</v>
      </c>
      <c r="G66" s="546">
        <v>1674</v>
      </c>
    </row>
    <row r="67" spans="2:7">
      <c r="B67" s="276" t="s">
        <v>453</v>
      </c>
      <c r="C67" s="543">
        <v>934</v>
      </c>
      <c r="D67" s="542">
        <v>1059</v>
      </c>
      <c r="E67" s="542">
        <v>1217</v>
      </c>
      <c r="F67" s="542">
        <v>1522</v>
      </c>
      <c r="G67" s="546">
        <v>1674</v>
      </c>
    </row>
    <row r="68" spans="2:7">
      <c r="B68" s="276" t="s">
        <v>452</v>
      </c>
      <c r="C68" s="543">
        <v>1308</v>
      </c>
      <c r="D68" s="542">
        <v>1482</v>
      </c>
      <c r="E68" s="542">
        <v>1704</v>
      </c>
      <c r="F68" s="542">
        <v>2130</v>
      </c>
      <c r="G68" s="546">
        <v>2343</v>
      </c>
    </row>
    <row r="69" spans="2:7">
      <c r="B69" s="276" t="s">
        <v>451</v>
      </c>
      <c r="C69" s="543">
        <v>1681</v>
      </c>
      <c r="D69" s="543">
        <v>1905</v>
      </c>
      <c r="E69" s="542">
        <v>2191</v>
      </c>
      <c r="F69" s="542">
        <v>2739</v>
      </c>
      <c r="G69" s="546">
        <v>3013</v>
      </c>
    </row>
    <row r="70" spans="2:7">
      <c r="B70" s="276" t="s">
        <v>450</v>
      </c>
      <c r="C70" s="543">
        <v>1682</v>
      </c>
      <c r="D70" s="543">
        <v>1905</v>
      </c>
      <c r="E70" s="542">
        <v>2194</v>
      </c>
      <c r="F70" s="542">
        <v>2739</v>
      </c>
      <c r="G70" s="546">
        <v>3013</v>
      </c>
    </row>
    <row r="71" spans="2:7">
      <c r="B71" s="276" t="s">
        <v>463</v>
      </c>
      <c r="C71" s="819">
        <f>SUM(C59:C70)</f>
        <v>9527</v>
      </c>
      <c r="D71" s="819">
        <f>SUM(D59:D70)</f>
        <v>13973</v>
      </c>
      <c r="E71" s="819">
        <f>SUM(E59:E70)</f>
        <v>16068</v>
      </c>
      <c r="F71" s="819">
        <f>SUM(F59:F70)</f>
        <v>20085</v>
      </c>
      <c r="G71" s="820">
        <f>SUM(G59:G70)</f>
        <v>22094</v>
      </c>
    </row>
    <row r="72" spans="2:7">
      <c r="B72" s="821" t="s">
        <v>650</v>
      </c>
      <c r="C72" s="544">
        <f>'PLAN DE VENTAS'!C30</f>
        <v>4603</v>
      </c>
      <c r="D72" s="544">
        <f>'PLAN DE VENTAS'!D30</f>
        <v>4764.1049999999996</v>
      </c>
      <c r="E72" s="544">
        <f>'PLAN DE VENTAS'!E30</f>
        <v>4930.8486749999993</v>
      </c>
      <c r="F72" s="544">
        <f>'PLAN DE VENTAS'!F30</f>
        <v>5103.4283786249989</v>
      </c>
      <c r="G72" s="544">
        <f>'PLAN DE VENTAS'!G30</f>
        <v>5282.0483718768737</v>
      </c>
    </row>
    <row r="73" spans="2:7" ht="15.75" thickBot="1">
      <c r="B73" s="822" t="s">
        <v>449</v>
      </c>
      <c r="C73" s="547">
        <f>C72*C71</f>
        <v>43852781</v>
      </c>
      <c r="D73" s="547">
        <f>D72*D71</f>
        <v>66568839.164999992</v>
      </c>
      <c r="E73" s="547">
        <f>E72*E71</f>
        <v>79228876.509899989</v>
      </c>
      <c r="F73" s="547">
        <f>F72*F71</f>
        <v>102502358.9846831</v>
      </c>
      <c r="G73" s="548">
        <f>G72*G71</f>
        <v>116701576.72824764</v>
      </c>
    </row>
    <row r="75" spans="2:7" ht="15.75" thickBot="1"/>
    <row r="76" spans="2:7">
      <c r="B76" s="309" t="str">
        <f>B5</f>
        <v>producto 2</v>
      </c>
      <c r="C76" s="308"/>
      <c r="D76" s="308"/>
      <c r="E76" s="308"/>
      <c r="F76" s="308"/>
      <c r="G76" s="307"/>
    </row>
    <row r="77" spans="2:7">
      <c r="B77" s="276"/>
      <c r="C77" s="423" t="s">
        <v>372</v>
      </c>
      <c r="D77" s="423" t="s">
        <v>371</v>
      </c>
      <c r="E77" s="423" t="s">
        <v>370</v>
      </c>
      <c r="F77" s="423" t="s">
        <v>369</v>
      </c>
      <c r="G77" s="545" t="s">
        <v>368</v>
      </c>
    </row>
    <row r="78" spans="2:7">
      <c r="B78" s="276" t="s">
        <v>461</v>
      </c>
      <c r="C78" s="275">
        <v>0</v>
      </c>
      <c r="D78" s="542">
        <v>794</v>
      </c>
      <c r="E78" s="542">
        <v>910</v>
      </c>
      <c r="F78" s="542">
        <v>1141</v>
      </c>
      <c r="G78" s="546">
        <v>1255</v>
      </c>
    </row>
    <row r="79" spans="2:7">
      <c r="B79" s="276" t="s">
        <v>460</v>
      </c>
      <c r="C79" s="275">
        <v>0</v>
      </c>
      <c r="D79" s="542">
        <v>794</v>
      </c>
      <c r="E79" s="542">
        <v>913</v>
      </c>
      <c r="F79" s="542">
        <v>1141</v>
      </c>
      <c r="G79" s="546">
        <v>1255</v>
      </c>
    </row>
    <row r="80" spans="2:7">
      <c r="B80" s="276" t="s">
        <v>459</v>
      </c>
      <c r="C80" s="275">
        <v>0</v>
      </c>
      <c r="D80" s="542">
        <v>1323</v>
      </c>
      <c r="E80" s="542">
        <v>1522</v>
      </c>
      <c r="F80" s="542">
        <v>1902</v>
      </c>
      <c r="G80" s="546">
        <v>2092</v>
      </c>
    </row>
    <row r="81" spans="2:7">
      <c r="B81" s="276" t="s">
        <v>458</v>
      </c>
      <c r="C81" s="543">
        <v>700</v>
      </c>
      <c r="D81" s="542">
        <v>1323</v>
      </c>
      <c r="E81" s="542">
        <v>1522</v>
      </c>
      <c r="F81" s="542">
        <v>1902</v>
      </c>
      <c r="G81" s="546">
        <v>2092</v>
      </c>
    </row>
    <row r="82" spans="2:7">
      <c r="B82" s="276" t="s">
        <v>457</v>
      </c>
      <c r="C82" s="543">
        <v>700</v>
      </c>
      <c r="D82" s="542">
        <v>1323</v>
      </c>
      <c r="E82" s="542">
        <v>1522</v>
      </c>
      <c r="F82" s="542">
        <v>1902</v>
      </c>
      <c r="G82" s="546">
        <v>2092</v>
      </c>
    </row>
    <row r="83" spans="2:7">
      <c r="B83" s="276" t="s">
        <v>456</v>
      </c>
      <c r="C83" s="543">
        <v>1167</v>
      </c>
      <c r="D83" s="542">
        <v>1323</v>
      </c>
      <c r="E83" s="542">
        <v>1522</v>
      </c>
      <c r="F83" s="542">
        <v>1902</v>
      </c>
      <c r="G83" s="546">
        <v>2092</v>
      </c>
    </row>
    <row r="84" spans="2:7">
      <c r="B84" s="276" t="s">
        <v>455</v>
      </c>
      <c r="C84" s="543">
        <v>1167</v>
      </c>
      <c r="D84" s="542">
        <v>1323</v>
      </c>
      <c r="E84" s="542">
        <v>1522</v>
      </c>
      <c r="F84" s="542">
        <v>1902</v>
      </c>
      <c r="G84" s="546">
        <v>2092</v>
      </c>
    </row>
    <row r="85" spans="2:7">
      <c r="B85" s="276" t="s">
        <v>454</v>
      </c>
      <c r="C85" s="543">
        <v>1167</v>
      </c>
      <c r="D85" s="542">
        <v>1323</v>
      </c>
      <c r="E85" s="542">
        <v>1522</v>
      </c>
      <c r="F85" s="542">
        <v>1902</v>
      </c>
      <c r="G85" s="546">
        <v>2092</v>
      </c>
    </row>
    <row r="86" spans="2:7">
      <c r="B86" s="276" t="s">
        <v>453</v>
      </c>
      <c r="C86" s="543">
        <v>1167</v>
      </c>
      <c r="D86" s="542">
        <v>1323</v>
      </c>
      <c r="E86" s="542">
        <v>1522</v>
      </c>
      <c r="F86" s="542">
        <v>1902</v>
      </c>
      <c r="G86" s="546">
        <v>2092</v>
      </c>
    </row>
    <row r="87" spans="2:7">
      <c r="B87" s="276" t="s">
        <v>452</v>
      </c>
      <c r="C87" s="543">
        <v>1634</v>
      </c>
      <c r="D87" s="542">
        <v>1852</v>
      </c>
      <c r="E87" s="542">
        <v>2130</v>
      </c>
      <c r="F87" s="542">
        <v>2663</v>
      </c>
      <c r="G87" s="546">
        <v>2929</v>
      </c>
    </row>
    <row r="88" spans="2:7">
      <c r="B88" s="276" t="s">
        <v>451</v>
      </c>
      <c r="C88" s="543">
        <v>2101</v>
      </c>
      <c r="D88" s="543">
        <v>2382</v>
      </c>
      <c r="E88" s="542">
        <v>2739</v>
      </c>
      <c r="F88" s="542">
        <v>3424</v>
      </c>
      <c r="G88" s="546">
        <v>3766</v>
      </c>
    </row>
    <row r="89" spans="2:7">
      <c r="B89" s="276" t="s">
        <v>450</v>
      </c>
      <c r="C89" s="543">
        <v>2105</v>
      </c>
      <c r="D89" s="543">
        <v>2383</v>
      </c>
      <c r="E89" s="542">
        <v>2739</v>
      </c>
      <c r="F89" s="542">
        <v>3424</v>
      </c>
      <c r="G89" s="546">
        <v>3769</v>
      </c>
    </row>
    <row r="90" spans="2:7">
      <c r="B90" s="276" t="s">
        <v>463</v>
      </c>
      <c r="C90" s="542">
        <f>SUM(C78:C89)</f>
        <v>11908</v>
      </c>
      <c r="D90" s="542">
        <f>SUM(D78:D89)</f>
        <v>17466</v>
      </c>
      <c r="E90" s="542">
        <f>SUM(E78:E89)</f>
        <v>20085</v>
      </c>
      <c r="F90" s="542">
        <f>SUM(F78:F89)</f>
        <v>25107</v>
      </c>
      <c r="G90" s="546">
        <f>SUM(G78:G89)</f>
        <v>27618</v>
      </c>
    </row>
    <row r="91" spans="2:7">
      <c r="B91" s="821" t="s">
        <v>650</v>
      </c>
      <c r="C91" s="544">
        <f>'PLAN DE VENTAS'!C31</f>
        <v>1616</v>
      </c>
      <c r="D91" s="544">
        <f>'PLAN DE VENTAS'!D31</f>
        <v>1672.56</v>
      </c>
      <c r="E91" s="544">
        <f>'PLAN DE VENTAS'!E31</f>
        <v>1731.0995999999998</v>
      </c>
      <c r="F91" s="544">
        <f>'PLAN DE VENTAS'!F31</f>
        <v>1791.6880859999997</v>
      </c>
      <c r="G91" s="544">
        <f>'PLAN DE VENTAS'!G31</f>
        <v>1854.3971690099995</v>
      </c>
    </row>
    <row r="92" spans="2:7" ht="15.75" thickBot="1">
      <c r="B92" s="822" t="s">
        <v>449</v>
      </c>
      <c r="C92" s="547">
        <f>C91*C90</f>
        <v>19243328</v>
      </c>
      <c r="D92" s="547">
        <f>D91*D90</f>
        <v>29212932.960000001</v>
      </c>
      <c r="E92" s="547">
        <f>E91*E90</f>
        <v>34769135.465999998</v>
      </c>
      <c r="F92" s="547">
        <f>F91*F90</f>
        <v>44983912.775201991</v>
      </c>
      <c r="G92" s="548">
        <f>G91*G90</f>
        <v>51214741.013718165</v>
      </c>
    </row>
    <row r="94" spans="2:7" ht="15.75" thickBot="1"/>
    <row r="95" spans="2:7">
      <c r="B95" s="309" t="str">
        <f>B6</f>
        <v>producto 3</v>
      </c>
      <c r="C95" s="308"/>
      <c r="D95" s="308"/>
      <c r="E95" s="308"/>
      <c r="F95" s="308"/>
      <c r="G95" s="307"/>
    </row>
    <row r="96" spans="2:7">
      <c r="B96" s="276" t="s">
        <v>461</v>
      </c>
      <c r="C96" s="275">
        <v>0</v>
      </c>
      <c r="D96" s="542">
        <v>0</v>
      </c>
      <c r="E96" s="542">
        <v>0</v>
      </c>
      <c r="F96" s="542">
        <v>0</v>
      </c>
      <c r="G96" s="546">
        <v>0</v>
      </c>
    </row>
    <row r="97" spans="2:7">
      <c r="B97" s="276" t="s">
        <v>460</v>
      </c>
      <c r="C97" s="275">
        <v>0</v>
      </c>
      <c r="D97" s="542">
        <v>0</v>
      </c>
      <c r="E97" s="542">
        <v>0</v>
      </c>
      <c r="F97" s="542">
        <v>0</v>
      </c>
      <c r="G97" s="546">
        <v>0</v>
      </c>
    </row>
    <row r="98" spans="2:7">
      <c r="B98" s="276" t="s">
        <v>459</v>
      </c>
      <c r="C98" s="275">
        <v>0</v>
      </c>
      <c r="D98" s="542">
        <v>0</v>
      </c>
      <c r="E98" s="542">
        <v>0</v>
      </c>
      <c r="F98" s="542">
        <v>0</v>
      </c>
      <c r="G98" s="546">
        <v>0</v>
      </c>
    </row>
    <row r="99" spans="2:7">
      <c r="B99" s="276" t="s">
        <v>458</v>
      </c>
      <c r="C99" s="275">
        <v>0</v>
      </c>
      <c r="D99" s="542">
        <v>0</v>
      </c>
      <c r="E99" s="542">
        <v>0</v>
      </c>
      <c r="F99" s="542">
        <v>0</v>
      </c>
      <c r="G99" s="546">
        <v>0</v>
      </c>
    </row>
    <row r="100" spans="2:7">
      <c r="B100" s="276" t="s">
        <v>457</v>
      </c>
      <c r="C100" s="275">
        <v>0</v>
      </c>
      <c r="D100" s="542">
        <v>0</v>
      </c>
      <c r="E100" s="542">
        <v>0</v>
      </c>
      <c r="F100" s="542">
        <v>0</v>
      </c>
      <c r="G100" s="546">
        <v>0</v>
      </c>
    </row>
    <row r="101" spans="2:7">
      <c r="B101" s="276" t="s">
        <v>456</v>
      </c>
      <c r="C101" s="275">
        <v>0</v>
      </c>
      <c r="D101" s="542">
        <v>0</v>
      </c>
      <c r="E101" s="542">
        <v>0</v>
      </c>
      <c r="F101" s="542">
        <v>0</v>
      </c>
      <c r="G101" s="546">
        <v>0</v>
      </c>
    </row>
    <row r="102" spans="2:7">
      <c r="B102" s="276" t="s">
        <v>455</v>
      </c>
      <c r="C102" s="275">
        <v>0</v>
      </c>
      <c r="D102" s="542">
        <v>0</v>
      </c>
      <c r="E102" s="542">
        <v>0</v>
      </c>
      <c r="F102" s="542">
        <v>0</v>
      </c>
      <c r="G102" s="546">
        <v>0</v>
      </c>
    </row>
    <row r="103" spans="2:7">
      <c r="B103" s="276" t="s">
        <v>454</v>
      </c>
      <c r="C103" s="275">
        <v>0</v>
      </c>
      <c r="D103" s="542">
        <v>0</v>
      </c>
      <c r="E103" s="542">
        <v>0</v>
      </c>
      <c r="F103" s="542">
        <v>0</v>
      </c>
      <c r="G103" s="546">
        <v>0</v>
      </c>
    </row>
    <row r="104" spans="2:7">
      <c r="B104" s="276" t="s">
        <v>453</v>
      </c>
      <c r="C104" s="275">
        <v>0</v>
      </c>
      <c r="D104" s="542">
        <v>0</v>
      </c>
      <c r="E104" s="542">
        <v>0</v>
      </c>
      <c r="F104" s="542">
        <v>0</v>
      </c>
      <c r="G104" s="546">
        <v>0</v>
      </c>
    </row>
    <row r="105" spans="2:7">
      <c r="B105" s="276" t="s">
        <v>452</v>
      </c>
      <c r="C105" s="275">
        <v>0</v>
      </c>
      <c r="D105" s="542">
        <v>0</v>
      </c>
      <c r="E105" s="542">
        <v>0</v>
      </c>
      <c r="F105" s="542">
        <v>0</v>
      </c>
      <c r="G105" s="546">
        <v>0</v>
      </c>
    </row>
    <row r="106" spans="2:7">
      <c r="B106" s="276" t="s">
        <v>451</v>
      </c>
      <c r="C106" s="275">
        <v>0</v>
      </c>
      <c r="D106" s="542">
        <v>0</v>
      </c>
      <c r="E106" s="542">
        <v>0</v>
      </c>
      <c r="F106" s="542">
        <v>0</v>
      </c>
      <c r="G106" s="546">
        <v>0</v>
      </c>
    </row>
    <row r="107" spans="2:7">
      <c r="B107" s="276" t="s">
        <v>450</v>
      </c>
      <c r="C107" s="275">
        <v>0</v>
      </c>
      <c r="D107" s="542">
        <v>0</v>
      </c>
      <c r="E107" s="542">
        <v>0</v>
      </c>
      <c r="F107" s="542">
        <v>0</v>
      </c>
      <c r="G107" s="546">
        <v>0</v>
      </c>
    </row>
    <row r="108" spans="2:7">
      <c r="B108" s="276" t="s">
        <v>463</v>
      </c>
      <c r="C108" s="542">
        <f>SUM(C96:C107)</f>
        <v>0</v>
      </c>
      <c r="D108" s="542">
        <f>SUM(D96:D107)</f>
        <v>0</v>
      </c>
      <c r="E108" s="542">
        <f>SUM(E96:E107)</f>
        <v>0</v>
      </c>
      <c r="F108" s="542">
        <f>SUM(F96:F107)</f>
        <v>0</v>
      </c>
      <c r="G108" s="546">
        <f>SUM(G96:G107)</f>
        <v>0</v>
      </c>
    </row>
    <row r="109" spans="2:7">
      <c r="B109" s="821" t="s">
        <v>650</v>
      </c>
      <c r="C109" s="544">
        <f>'PLAN DE VENTAS'!C32</f>
        <v>2969</v>
      </c>
      <c r="D109" s="544">
        <f>'PLAN DE VENTAS'!D32</f>
        <v>3072.915</v>
      </c>
      <c r="E109" s="544">
        <f>'PLAN DE VENTAS'!E32</f>
        <v>3180.4670249999999</v>
      </c>
      <c r="F109" s="544">
        <f>'PLAN DE VENTAS'!F32</f>
        <v>3291.7833708749995</v>
      </c>
      <c r="G109" s="544">
        <f>'PLAN DE VENTAS'!G32</f>
        <v>3406.9957888556241</v>
      </c>
    </row>
    <row r="110" spans="2:7" ht="15.75" thickBot="1">
      <c r="B110" s="822" t="s">
        <v>449</v>
      </c>
      <c r="C110" s="547">
        <f>C109*C108</f>
        <v>0</v>
      </c>
      <c r="D110" s="547">
        <f t="shared" ref="D110:G110" si="12">D109*D108</f>
        <v>0</v>
      </c>
      <c r="E110" s="547">
        <f t="shared" si="12"/>
        <v>0</v>
      </c>
      <c r="F110" s="547">
        <f t="shared" si="12"/>
        <v>0</v>
      </c>
      <c r="G110" s="547">
        <f t="shared" si="12"/>
        <v>0</v>
      </c>
    </row>
  </sheetData>
  <mergeCells count="16">
    <mergeCell ref="B55:G55"/>
    <mergeCell ref="B1:M1"/>
    <mergeCell ref="B39:G39"/>
    <mergeCell ref="G25:J25"/>
    <mergeCell ref="E4:E8"/>
    <mergeCell ref="F4:F8"/>
    <mergeCell ref="G4:G8"/>
    <mergeCell ref="H4:H8"/>
    <mergeCell ref="B24:F24"/>
    <mergeCell ref="B25:B26"/>
    <mergeCell ref="C25:C26"/>
    <mergeCell ref="D25:D26"/>
    <mergeCell ref="E25:E26"/>
    <mergeCell ref="F25:F26"/>
    <mergeCell ref="K24:O24"/>
    <mergeCell ref="K25:O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92"/>
  <sheetViews>
    <sheetView zoomScale="85" zoomScaleNormal="85" workbookViewId="0">
      <selection activeCell="C8" sqref="C8"/>
    </sheetView>
  </sheetViews>
  <sheetFormatPr baseColWidth="10" defaultRowHeight="15"/>
  <cols>
    <col min="1" max="1" width="14.140625" style="216" bestFit="1" customWidth="1"/>
    <col min="2" max="2" width="29.5703125" style="226" customWidth="1"/>
    <col min="3" max="3" width="16.42578125" style="226" customWidth="1"/>
    <col min="4" max="6" width="18.140625" style="226" customWidth="1"/>
    <col min="7" max="7" width="17.140625" style="226" customWidth="1"/>
    <col min="8" max="8" width="16.42578125" style="216" customWidth="1"/>
    <col min="9" max="10" width="11.42578125" style="216"/>
    <col min="11" max="11" width="20" style="216" customWidth="1"/>
    <col min="12" max="12" width="12.5703125" style="216" bestFit="1" customWidth="1"/>
    <col min="13" max="13" width="13.28515625" style="216" customWidth="1"/>
    <col min="14" max="16" width="14.28515625" style="216" customWidth="1"/>
    <col min="17" max="17" width="16.7109375" style="216" bestFit="1" customWidth="1"/>
    <col min="18" max="18" width="20" style="216" customWidth="1"/>
    <col min="19" max="19" width="16.7109375" style="216" bestFit="1" customWidth="1"/>
    <col min="20" max="20" width="17.28515625" style="216" customWidth="1"/>
    <col min="21" max="21" width="16" style="216" customWidth="1"/>
    <col min="22" max="22" width="15.5703125" style="216" customWidth="1"/>
    <col min="23" max="23" width="16.85546875" style="216" customWidth="1"/>
    <col min="24" max="16384" width="11.42578125" style="216"/>
  </cols>
  <sheetData>
    <row r="1" spans="1:23">
      <c r="A1" s="310"/>
    </row>
    <row r="2" spans="1:23">
      <c r="A2" s="306"/>
    </row>
    <row r="5" spans="1:23" ht="15.75" thickBot="1"/>
    <row r="6" spans="1:23" ht="16.5" thickBot="1">
      <c r="B6" s="912" t="s">
        <v>575</v>
      </c>
      <c r="C6" s="913"/>
      <c r="D6" s="913"/>
      <c r="E6" s="913"/>
      <c r="F6" s="913"/>
      <c r="G6" s="914"/>
      <c r="K6" s="909" t="s">
        <v>653</v>
      </c>
      <c r="L6" s="910"/>
      <c r="M6" s="910"/>
      <c r="N6" s="910"/>
      <c r="O6" s="910"/>
      <c r="P6" s="911"/>
      <c r="R6" s="909" t="s">
        <v>654</v>
      </c>
      <c r="S6" s="910"/>
      <c r="T6" s="910"/>
      <c r="U6" s="910"/>
      <c r="V6" s="910"/>
      <c r="W6" s="911"/>
    </row>
    <row r="7" spans="1:23" ht="15.75" thickBot="1">
      <c r="B7" s="564"/>
      <c r="C7" s="565" t="s">
        <v>327</v>
      </c>
      <c r="D7" s="565" t="s">
        <v>328</v>
      </c>
      <c r="E7" s="565" t="s">
        <v>329</v>
      </c>
      <c r="F7" s="565" t="s">
        <v>330</v>
      </c>
      <c r="G7" s="566" t="s">
        <v>331</v>
      </c>
    </row>
    <row r="8" spans="1:23">
      <c r="B8" s="564" t="str">
        <f>'PLAN DE PRODUCCCION'!B4</f>
        <v>producto 1</v>
      </c>
      <c r="C8" s="567">
        <f>'fij precios'!D96</f>
        <v>173033.02412271968</v>
      </c>
      <c r="D8" s="567">
        <f>'fij precios'!E96</f>
        <v>141337.23514540034</v>
      </c>
      <c r="E8" s="567">
        <f>'fij precios'!F96</f>
        <v>125470.85324862835</v>
      </c>
      <c r="F8" s="567">
        <f>'fij precios'!G96</f>
        <v>105410.15805685481</v>
      </c>
      <c r="G8" s="567">
        <f>'fij precios'!H96</f>
        <v>100046.16006615273</v>
      </c>
      <c r="K8" s="309" t="str">
        <f>B8</f>
        <v>producto 1</v>
      </c>
      <c r="L8" s="308"/>
      <c r="M8" s="308"/>
      <c r="N8" s="308"/>
      <c r="O8" s="308"/>
      <c r="P8" s="307"/>
      <c r="R8" s="309">
        <f>I8</f>
        <v>0</v>
      </c>
      <c r="S8" s="308"/>
      <c r="T8" s="308"/>
      <c r="U8" s="308"/>
      <c r="V8" s="308"/>
      <c r="W8" s="307"/>
    </row>
    <row r="9" spans="1:23">
      <c r="B9" s="564" t="str">
        <f>'PLAN DE PRODUCCCION'!B5</f>
        <v>producto 2</v>
      </c>
      <c r="C9" s="567">
        <f>'fij precios'!D97</f>
        <v>174022.26909983411</v>
      </c>
      <c r="D9" s="567">
        <f>'fij precios'!E97</f>
        <v>140022.92750379696</v>
      </c>
      <c r="E9" s="567">
        <f>'fij precios'!F97</f>
        <v>125820.40863979372</v>
      </c>
      <c r="F9" s="567">
        <f>'fij precios'!G97</f>
        <v>104943.06059669485</v>
      </c>
      <c r="G9" s="567">
        <f>'fij precios'!H97</f>
        <v>99255.820855134909</v>
      </c>
      <c r="K9" s="276"/>
      <c r="L9" s="423" t="s">
        <v>372</v>
      </c>
      <c r="M9" s="423" t="s">
        <v>371</v>
      </c>
      <c r="N9" s="423" t="s">
        <v>370</v>
      </c>
      <c r="O9" s="423" t="s">
        <v>369</v>
      </c>
      <c r="P9" s="545" t="s">
        <v>368</v>
      </c>
      <c r="R9" s="276"/>
      <c r="S9" s="423" t="s">
        <v>372</v>
      </c>
      <c r="T9" s="423" t="s">
        <v>371</v>
      </c>
      <c r="U9" s="423" t="s">
        <v>370</v>
      </c>
      <c r="V9" s="423" t="s">
        <v>369</v>
      </c>
      <c r="W9" s="545" t="s">
        <v>368</v>
      </c>
    </row>
    <row r="10" spans="1:23">
      <c r="B10" s="564" t="str">
        <f>'PLAN DE PRODUCCCION'!B6</f>
        <v>producto 3</v>
      </c>
      <c r="C10" s="567">
        <f>'fij precios'!D98</f>
        <v>70312.702750829179</v>
      </c>
      <c r="D10" s="567">
        <f>'fij precios'!E98</f>
        <v>60274.362377627178</v>
      </c>
      <c r="E10" s="567">
        <f>'fij precios'!F98</f>
        <v>54935.539859293749</v>
      </c>
      <c r="F10" s="567">
        <f>'fij precios'!G98</f>
        <v>46457.106335084594</v>
      </c>
      <c r="G10" s="567">
        <f>'fij precios'!H98</f>
        <v>44232.096462541507</v>
      </c>
      <c r="K10" s="826" t="s">
        <v>461</v>
      </c>
      <c r="L10" s="275">
        <v>0</v>
      </c>
      <c r="M10" s="542">
        <v>84</v>
      </c>
      <c r="N10" s="542">
        <v>120</v>
      </c>
      <c r="O10" s="542">
        <v>150</v>
      </c>
      <c r="P10" s="546">
        <v>200</v>
      </c>
      <c r="R10" s="826" t="s">
        <v>461</v>
      </c>
      <c r="S10" s="829">
        <f>L10*$L$23</f>
        <v>0</v>
      </c>
      <c r="T10" s="829">
        <f>M10*$M$23</f>
        <v>806988</v>
      </c>
      <c r="U10" s="829">
        <f>N10*$N$23</f>
        <v>1178520</v>
      </c>
      <c r="V10" s="829">
        <f>O10*$O$23</f>
        <v>1519500</v>
      </c>
      <c r="W10" s="830">
        <f>P10*$P$23</f>
        <v>2022200</v>
      </c>
    </row>
    <row r="11" spans="1:23" ht="15.75" thickBot="1">
      <c r="B11" s="600" t="s">
        <v>462</v>
      </c>
      <c r="C11" s="568"/>
      <c r="D11" s="568"/>
      <c r="E11" s="568"/>
      <c r="F11" s="568"/>
      <c r="G11" s="569"/>
      <c r="K11" s="826" t="s">
        <v>460</v>
      </c>
      <c r="L11" s="275">
        <v>0</v>
      </c>
      <c r="M11" s="542">
        <v>166</v>
      </c>
      <c r="N11" s="542">
        <v>70</v>
      </c>
      <c r="O11" s="542">
        <v>120</v>
      </c>
      <c r="P11" s="546">
        <v>250</v>
      </c>
      <c r="R11" s="826" t="s">
        <v>460</v>
      </c>
      <c r="S11" s="829">
        <f t="shared" ref="S11:S21" si="0">L11*$L$23</f>
        <v>0</v>
      </c>
      <c r="T11" s="829">
        <f t="shared" ref="T11:T21" si="1">M11*$M$23</f>
        <v>1594762</v>
      </c>
      <c r="U11" s="829">
        <f t="shared" ref="U11:U21" si="2">N11*$N$23</f>
        <v>687470</v>
      </c>
      <c r="V11" s="829">
        <f t="shared" ref="V11:V21" si="3">O11*$O$23</f>
        <v>1215600</v>
      </c>
      <c r="W11" s="830">
        <f t="shared" ref="W11:W21" si="4">P11*$P$23</f>
        <v>2527750</v>
      </c>
    </row>
    <row r="12" spans="1:23" ht="15.75" thickBot="1">
      <c r="K12" s="826" t="s">
        <v>459</v>
      </c>
      <c r="L12" s="275">
        <v>0</v>
      </c>
      <c r="M12" s="542">
        <v>226</v>
      </c>
      <c r="N12" s="542">
        <v>200</v>
      </c>
      <c r="O12" s="542">
        <v>80</v>
      </c>
      <c r="P12" s="546">
        <v>150</v>
      </c>
      <c r="R12" s="826" t="s">
        <v>459</v>
      </c>
      <c r="S12" s="829">
        <f t="shared" si="0"/>
        <v>0</v>
      </c>
      <c r="T12" s="829">
        <f t="shared" si="1"/>
        <v>2171182</v>
      </c>
      <c r="U12" s="829">
        <f t="shared" si="2"/>
        <v>1964200</v>
      </c>
      <c r="V12" s="829">
        <f t="shared" si="3"/>
        <v>810400</v>
      </c>
      <c r="W12" s="830">
        <f t="shared" si="4"/>
        <v>1516650</v>
      </c>
    </row>
    <row r="13" spans="1:23">
      <c r="B13" s="915" t="s">
        <v>464</v>
      </c>
      <c r="C13" s="916"/>
      <c r="D13" s="916"/>
      <c r="E13" s="916"/>
      <c r="F13" s="916"/>
      <c r="G13" s="917"/>
      <c r="K13" s="826" t="s">
        <v>458</v>
      </c>
      <c r="L13" s="543">
        <v>413</v>
      </c>
      <c r="M13" s="542">
        <v>350</v>
      </c>
      <c r="N13" s="542">
        <v>250</v>
      </c>
      <c r="O13" s="542">
        <v>80</v>
      </c>
      <c r="P13" s="546">
        <v>100</v>
      </c>
      <c r="R13" s="826" t="s">
        <v>458</v>
      </c>
      <c r="S13" s="829">
        <f t="shared" si="0"/>
        <v>3973473</v>
      </c>
      <c r="T13" s="829">
        <f t="shared" si="1"/>
        <v>3362450</v>
      </c>
      <c r="U13" s="829">
        <f t="shared" si="2"/>
        <v>2455250</v>
      </c>
      <c r="V13" s="829">
        <f t="shared" si="3"/>
        <v>810400</v>
      </c>
      <c r="W13" s="830">
        <f t="shared" si="4"/>
        <v>1011100</v>
      </c>
    </row>
    <row r="14" spans="1:23">
      <c r="A14" s="251"/>
      <c r="B14" s="570"/>
      <c r="C14" s="571" t="s">
        <v>327</v>
      </c>
      <c r="D14" s="571" t="s">
        <v>328</v>
      </c>
      <c r="E14" s="571" t="s">
        <v>329</v>
      </c>
      <c r="F14" s="571" t="s">
        <v>330</v>
      </c>
      <c r="G14" s="572" t="s">
        <v>331</v>
      </c>
      <c r="K14" s="826" t="s">
        <v>457</v>
      </c>
      <c r="L14" s="543">
        <v>131</v>
      </c>
      <c r="M14" s="542">
        <v>120</v>
      </c>
      <c r="N14" s="542">
        <v>110</v>
      </c>
      <c r="O14" s="542">
        <v>200</v>
      </c>
      <c r="P14" s="546">
        <v>320</v>
      </c>
      <c r="R14" s="826" t="s">
        <v>457</v>
      </c>
      <c r="S14" s="829">
        <f t="shared" si="0"/>
        <v>1260351</v>
      </c>
      <c r="T14" s="829">
        <f t="shared" si="1"/>
        <v>1152840</v>
      </c>
      <c r="U14" s="829">
        <f t="shared" si="2"/>
        <v>1080310</v>
      </c>
      <c r="V14" s="829">
        <f t="shared" si="3"/>
        <v>2026000</v>
      </c>
      <c r="W14" s="830">
        <f t="shared" si="4"/>
        <v>3235520</v>
      </c>
    </row>
    <row r="15" spans="1:23">
      <c r="A15" s="299"/>
      <c r="B15" s="570" t="str">
        <f>B8</f>
        <v>producto 1</v>
      </c>
      <c r="C15" s="573">
        <f>'PLAN DE PRODUCCCION'!E27</f>
        <v>289.44</v>
      </c>
      <c r="D15" s="573">
        <f>'PLAN DE PRODUCCCION'!L27</f>
        <v>424.51200000000006</v>
      </c>
      <c r="E15" s="573">
        <f>'PLAN DE PRODUCCCION'!M27</f>
        <v>488.18880000000001</v>
      </c>
      <c r="F15" s="573">
        <f>'PLAN DE PRODUCCCION'!N27</f>
        <v>610.23599999999999</v>
      </c>
      <c r="G15" s="574">
        <f>'PLAN DE PRODUCCCION'!O27</f>
        <v>671.25960000000009</v>
      </c>
      <c r="I15" s="299"/>
      <c r="K15" s="826" t="s">
        <v>456</v>
      </c>
      <c r="L15" s="543">
        <v>110</v>
      </c>
      <c r="M15" s="542">
        <v>120</v>
      </c>
      <c r="N15" s="542">
        <v>150</v>
      </c>
      <c r="O15" s="542">
        <v>120</v>
      </c>
      <c r="P15" s="546">
        <v>150</v>
      </c>
      <c r="R15" s="826" t="s">
        <v>456</v>
      </c>
      <c r="S15" s="829">
        <f t="shared" si="0"/>
        <v>1058310</v>
      </c>
      <c r="T15" s="829">
        <f t="shared" si="1"/>
        <v>1152840</v>
      </c>
      <c r="U15" s="829">
        <f t="shared" si="2"/>
        <v>1473150</v>
      </c>
      <c r="V15" s="829">
        <f t="shared" si="3"/>
        <v>1215600</v>
      </c>
      <c r="W15" s="830">
        <f t="shared" si="4"/>
        <v>1516650</v>
      </c>
    </row>
    <row r="16" spans="1:23">
      <c r="A16" s="302"/>
      <c r="B16" s="570" t="str">
        <f>B9</f>
        <v>producto 2</v>
      </c>
      <c r="C16" s="573">
        <f>'PLAN DE PRODUCCCION'!E28</f>
        <v>289.44</v>
      </c>
      <c r="D16" s="573">
        <f>'PLAN DE PRODUCCCION'!L28</f>
        <v>424.51200000000006</v>
      </c>
      <c r="E16" s="573">
        <f>'PLAN DE PRODUCCCION'!M28</f>
        <v>488.18880000000001</v>
      </c>
      <c r="F16" s="573">
        <f>'PLAN DE PRODUCCCION'!N28</f>
        <v>610.23599999999999</v>
      </c>
      <c r="G16" s="574">
        <f>'PLAN DE PRODUCCCION'!O28</f>
        <v>671.25960000000009</v>
      </c>
      <c r="I16" s="299"/>
      <c r="K16" s="826" t="s">
        <v>455</v>
      </c>
      <c r="L16" s="543">
        <v>173</v>
      </c>
      <c r="M16" s="542">
        <v>80</v>
      </c>
      <c r="N16" s="542">
        <v>150</v>
      </c>
      <c r="O16" s="542">
        <v>100</v>
      </c>
      <c r="P16" s="546">
        <v>100</v>
      </c>
      <c r="R16" s="826" t="s">
        <v>455</v>
      </c>
      <c r="S16" s="829">
        <f t="shared" si="0"/>
        <v>1664433</v>
      </c>
      <c r="T16" s="829">
        <f t="shared" si="1"/>
        <v>768560</v>
      </c>
      <c r="U16" s="829">
        <f t="shared" si="2"/>
        <v>1473150</v>
      </c>
      <c r="V16" s="829">
        <f t="shared" si="3"/>
        <v>1013000</v>
      </c>
      <c r="W16" s="830">
        <f t="shared" si="4"/>
        <v>1011100</v>
      </c>
    </row>
    <row r="17" spans="1:23">
      <c r="A17" s="299"/>
      <c r="B17" s="570" t="str">
        <f>B10</f>
        <v>producto 3</v>
      </c>
      <c r="C17" s="573">
        <f>'PLAN DE PRODUCCCION'!E29</f>
        <v>0</v>
      </c>
      <c r="D17" s="573">
        <f>'PLAN DE PRODUCCCION'!L29</f>
        <v>0</v>
      </c>
      <c r="E17" s="573">
        <f>'PLAN DE PRODUCCCION'!M29</f>
        <v>0</v>
      </c>
      <c r="F17" s="573">
        <f>'PLAN DE PRODUCCCION'!N29</f>
        <v>0</v>
      </c>
      <c r="G17" s="574">
        <f>'PLAN DE PRODUCCCION'!O29</f>
        <v>0</v>
      </c>
      <c r="I17" s="299"/>
      <c r="K17" s="826" t="s">
        <v>454</v>
      </c>
      <c r="L17" s="543">
        <v>458</v>
      </c>
      <c r="M17" s="542">
        <v>200</v>
      </c>
      <c r="N17" s="542">
        <v>300</v>
      </c>
      <c r="O17" s="542">
        <v>50</v>
      </c>
      <c r="P17" s="546">
        <v>120</v>
      </c>
      <c r="R17" s="826" t="s">
        <v>454</v>
      </c>
      <c r="S17" s="829">
        <f t="shared" si="0"/>
        <v>4406418</v>
      </c>
      <c r="T17" s="829">
        <f t="shared" si="1"/>
        <v>1921400</v>
      </c>
      <c r="U17" s="829">
        <f t="shared" si="2"/>
        <v>2946300</v>
      </c>
      <c r="V17" s="829">
        <f t="shared" si="3"/>
        <v>506500</v>
      </c>
      <c r="W17" s="830">
        <f t="shared" si="4"/>
        <v>1213320</v>
      </c>
    </row>
    <row r="18" spans="1:23" ht="15.75" thickBot="1">
      <c r="B18" s="596" t="s">
        <v>462</v>
      </c>
      <c r="C18" s="597">
        <f>SUM(C15:C17)</f>
        <v>578.88</v>
      </c>
      <c r="D18" s="597">
        <f>SUM(D15:D17)</f>
        <v>849.02400000000011</v>
      </c>
      <c r="E18" s="597">
        <f>SUM(E15:E17)</f>
        <v>976.37760000000003</v>
      </c>
      <c r="F18" s="597">
        <f>SUM(F15:F17)</f>
        <v>1220.472</v>
      </c>
      <c r="G18" s="598">
        <f>SUM(G15:G17)</f>
        <v>1342.5192000000002</v>
      </c>
      <c r="I18" s="251"/>
      <c r="K18" s="826" t="s">
        <v>453</v>
      </c>
      <c r="L18" s="543">
        <v>454</v>
      </c>
      <c r="M18" s="542">
        <v>350</v>
      </c>
      <c r="N18" s="542">
        <v>400</v>
      </c>
      <c r="O18" s="542">
        <v>60</v>
      </c>
      <c r="P18" s="546">
        <v>150</v>
      </c>
      <c r="R18" s="826" t="s">
        <v>453</v>
      </c>
      <c r="S18" s="829">
        <f t="shared" si="0"/>
        <v>4367934</v>
      </c>
      <c r="T18" s="829">
        <f t="shared" si="1"/>
        <v>3362450</v>
      </c>
      <c r="U18" s="829">
        <f t="shared" si="2"/>
        <v>3928400</v>
      </c>
      <c r="V18" s="829">
        <f t="shared" si="3"/>
        <v>607800</v>
      </c>
      <c r="W18" s="830">
        <f t="shared" si="4"/>
        <v>1516650</v>
      </c>
    </row>
    <row r="19" spans="1:23" ht="15.75" thickBot="1">
      <c r="I19" s="251"/>
      <c r="K19" s="826" t="s">
        <v>452</v>
      </c>
      <c r="L19" s="543">
        <v>365</v>
      </c>
      <c r="M19" s="542">
        <v>200</v>
      </c>
      <c r="N19" s="542">
        <v>350</v>
      </c>
      <c r="O19" s="542">
        <v>120</v>
      </c>
      <c r="P19" s="546">
        <v>200</v>
      </c>
      <c r="R19" s="826" t="s">
        <v>452</v>
      </c>
      <c r="S19" s="829">
        <f t="shared" si="0"/>
        <v>3511665</v>
      </c>
      <c r="T19" s="829">
        <f t="shared" si="1"/>
        <v>1921400</v>
      </c>
      <c r="U19" s="829">
        <f t="shared" si="2"/>
        <v>3437350</v>
      </c>
      <c r="V19" s="829">
        <f t="shared" si="3"/>
        <v>1215600</v>
      </c>
      <c r="W19" s="830">
        <f t="shared" si="4"/>
        <v>2022200</v>
      </c>
    </row>
    <row r="20" spans="1:23">
      <c r="B20" s="918" t="s">
        <v>574</v>
      </c>
      <c r="C20" s="919"/>
      <c r="D20" s="919"/>
      <c r="E20" s="919"/>
      <c r="F20" s="919"/>
      <c r="G20" s="920"/>
      <c r="K20" s="826" t="s">
        <v>451</v>
      </c>
      <c r="L20" s="543">
        <v>153</v>
      </c>
      <c r="M20" s="543">
        <v>90</v>
      </c>
      <c r="N20" s="542">
        <v>180</v>
      </c>
      <c r="O20" s="542">
        <v>150</v>
      </c>
      <c r="P20" s="546">
        <v>160</v>
      </c>
      <c r="R20" s="826" t="s">
        <v>451</v>
      </c>
      <c r="S20" s="829">
        <f t="shared" si="0"/>
        <v>1472013</v>
      </c>
      <c r="T20" s="829">
        <f t="shared" si="1"/>
        <v>864630</v>
      </c>
      <c r="U20" s="829">
        <f t="shared" si="2"/>
        <v>1767780</v>
      </c>
      <c r="V20" s="829">
        <f t="shared" si="3"/>
        <v>1519500</v>
      </c>
      <c r="W20" s="830">
        <f t="shared" si="4"/>
        <v>1617760</v>
      </c>
    </row>
    <row r="21" spans="1:23">
      <c r="B21" s="575"/>
      <c r="C21" s="576" t="s">
        <v>327</v>
      </c>
      <c r="D21" s="576" t="s">
        <v>328</v>
      </c>
      <c r="E21" s="576" t="s">
        <v>329</v>
      </c>
      <c r="F21" s="576" t="s">
        <v>330</v>
      </c>
      <c r="G21" s="577" t="s">
        <v>331</v>
      </c>
      <c r="K21" s="826" t="s">
        <v>450</v>
      </c>
      <c r="L21" s="543">
        <v>103</v>
      </c>
      <c r="M21" s="543">
        <v>70</v>
      </c>
      <c r="N21" s="542">
        <v>120</v>
      </c>
      <c r="O21" s="542">
        <v>150</v>
      </c>
      <c r="P21" s="546">
        <v>250</v>
      </c>
      <c r="R21" s="826" t="s">
        <v>450</v>
      </c>
      <c r="S21" s="829">
        <f t="shared" si="0"/>
        <v>990963</v>
      </c>
      <c r="T21" s="829">
        <f t="shared" si="1"/>
        <v>672490</v>
      </c>
      <c r="U21" s="829">
        <f t="shared" si="2"/>
        <v>1178520</v>
      </c>
      <c r="V21" s="829">
        <f t="shared" si="3"/>
        <v>1519500</v>
      </c>
      <c r="W21" s="830">
        <f t="shared" si="4"/>
        <v>2527750</v>
      </c>
    </row>
    <row r="22" spans="1:23">
      <c r="B22" s="575" t="str">
        <f>B15</f>
        <v>producto 1</v>
      </c>
      <c r="C22" s="578">
        <f t="shared" ref="C22:G24" si="5">C15*C8</f>
        <v>50082678.502079986</v>
      </c>
      <c r="D22" s="578">
        <f t="shared" si="5"/>
        <v>59999352.366044194</v>
      </c>
      <c r="E22" s="578">
        <f t="shared" si="5"/>
        <v>61253465.282423981</v>
      </c>
      <c r="F22" s="578">
        <f t="shared" si="5"/>
        <v>64325073.211982854</v>
      </c>
      <c r="G22" s="579">
        <f t="shared" si="5"/>
        <v>67156945.387541667</v>
      </c>
      <c r="K22" s="276" t="s">
        <v>463</v>
      </c>
      <c r="L22" s="819">
        <f>SUM(L10:L21)</f>
        <v>2360</v>
      </c>
      <c r="M22" s="819">
        <f>SUM(M10:M21)</f>
        <v>2056</v>
      </c>
      <c r="N22" s="819">
        <f>SUM(N10:N21)</f>
        <v>2400</v>
      </c>
      <c r="O22" s="819">
        <f>SUM(O10:O21)</f>
        <v>1380</v>
      </c>
      <c r="P22" s="820">
        <f>SUM(P10:P21)</f>
        <v>2150</v>
      </c>
      <c r="R22" s="276" t="s">
        <v>463</v>
      </c>
      <c r="S22" s="833">
        <v>9527</v>
      </c>
      <c r="T22" s="834">
        <v>13973</v>
      </c>
      <c r="U22" s="834">
        <v>16068</v>
      </c>
      <c r="V22" s="834">
        <v>20085</v>
      </c>
      <c r="W22" s="835">
        <v>22094</v>
      </c>
    </row>
    <row r="23" spans="1:23">
      <c r="B23" s="575" t="str">
        <f>B16</f>
        <v>producto 2</v>
      </c>
      <c r="C23" s="578">
        <f t="shared" si="5"/>
        <v>50369005.568255983</v>
      </c>
      <c r="D23" s="578">
        <f t="shared" si="5"/>
        <v>59441413.000491865</v>
      </c>
      <c r="E23" s="578">
        <f t="shared" si="5"/>
        <v>61424114.309370533</v>
      </c>
      <c r="F23" s="578">
        <f t="shared" si="5"/>
        <v>64040033.52628468</v>
      </c>
      <c r="G23" s="579">
        <f t="shared" si="5"/>
        <v>66626422.604889527</v>
      </c>
      <c r="K23" s="821" t="s">
        <v>651</v>
      </c>
      <c r="L23" s="823">
        <v>9621</v>
      </c>
      <c r="M23" s="824">
        <v>9607</v>
      </c>
      <c r="N23" s="824">
        <v>9821</v>
      </c>
      <c r="O23" s="824">
        <v>10130</v>
      </c>
      <c r="P23" s="824">
        <v>10111</v>
      </c>
      <c r="R23" s="821" t="s">
        <v>651</v>
      </c>
      <c r="S23" s="831">
        <v>9621</v>
      </c>
      <c r="T23" s="832">
        <v>9607</v>
      </c>
      <c r="U23" s="832">
        <v>9821</v>
      </c>
      <c r="V23" s="832">
        <v>10130</v>
      </c>
      <c r="W23" s="832">
        <v>10111</v>
      </c>
    </row>
    <row r="24" spans="1:23" ht="15.75" thickBot="1">
      <c r="B24" s="575" t="str">
        <f>B17</f>
        <v>producto 3</v>
      </c>
      <c r="C24" s="578">
        <f t="shared" si="5"/>
        <v>0</v>
      </c>
      <c r="D24" s="578">
        <f t="shared" si="5"/>
        <v>0</v>
      </c>
      <c r="E24" s="578">
        <f t="shared" si="5"/>
        <v>0</v>
      </c>
      <c r="F24" s="578">
        <f t="shared" si="5"/>
        <v>0</v>
      </c>
      <c r="G24" s="579">
        <f t="shared" si="5"/>
        <v>0</v>
      </c>
      <c r="K24" s="822" t="s">
        <v>652</v>
      </c>
      <c r="L24" s="825">
        <f>L23*L22</f>
        <v>22705560</v>
      </c>
      <c r="M24" s="825">
        <f t="shared" ref="M24:P24" si="6">M23*M22</f>
        <v>19751992</v>
      </c>
      <c r="N24" s="825">
        <f t="shared" si="6"/>
        <v>23570400</v>
      </c>
      <c r="O24" s="825">
        <f t="shared" si="6"/>
        <v>13979400</v>
      </c>
      <c r="P24" s="825">
        <f t="shared" si="6"/>
        <v>21738650</v>
      </c>
      <c r="R24" s="822" t="s">
        <v>652</v>
      </c>
      <c r="S24" s="825">
        <f>S23*S22</f>
        <v>91659267</v>
      </c>
      <c r="T24" s="825">
        <f t="shared" ref="T24" si="7">T23*T22</f>
        <v>134238611</v>
      </c>
      <c r="U24" s="825">
        <f t="shared" ref="U24" si="8">U23*U22</f>
        <v>157803828</v>
      </c>
      <c r="V24" s="825">
        <f t="shared" ref="V24" si="9">V23*V22</f>
        <v>203461050</v>
      </c>
      <c r="W24" s="825">
        <f t="shared" ref="W24" si="10">W23*W22</f>
        <v>223392434</v>
      </c>
    </row>
    <row r="25" spans="1:23" ht="15.75" thickBot="1">
      <c r="B25" s="599" t="s">
        <v>462</v>
      </c>
      <c r="C25" s="580">
        <f>SUM(C22:C24)</f>
        <v>100451684.07033597</v>
      </c>
      <c r="D25" s="580">
        <f>SUM(D22:D24)</f>
        <v>119440765.36653605</v>
      </c>
      <c r="E25" s="580">
        <f>SUM(E22:E24)</f>
        <v>122677579.59179452</v>
      </c>
      <c r="F25" s="580">
        <f>SUM(F22:F24)</f>
        <v>128365106.73826754</v>
      </c>
      <c r="G25" s="581">
        <f>SUM(G22:G24)</f>
        <v>133783367.99243119</v>
      </c>
    </row>
    <row r="26" spans="1:23" ht="15.75" thickBot="1"/>
    <row r="27" spans="1:23" ht="15.75" thickBot="1">
      <c r="A27" s="295"/>
      <c r="C27" s="552"/>
      <c r="K27" s="309" t="str">
        <f>B9</f>
        <v>producto 2</v>
      </c>
      <c r="L27" s="308"/>
      <c r="M27" s="308"/>
      <c r="N27" s="308"/>
      <c r="O27" s="308"/>
      <c r="P27" s="307"/>
      <c r="R27" s="309">
        <f>I9</f>
        <v>0</v>
      </c>
      <c r="S27" s="308"/>
      <c r="T27" s="308"/>
      <c r="U27" s="308"/>
      <c r="V27" s="308"/>
      <c r="W27" s="307"/>
    </row>
    <row r="28" spans="1:23">
      <c r="A28" s="295"/>
      <c r="B28" s="903" t="s">
        <v>573</v>
      </c>
      <c r="C28" s="904"/>
      <c r="D28" s="904"/>
      <c r="E28" s="904"/>
      <c r="F28" s="904"/>
      <c r="G28" s="905"/>
      <c r="K28" s="276"/>
      <c r="L28" s="423" t="s">
        <v>372</v>
      </c>
      <c r="M28" s="423" t="s">
        <v>371</v>
      </c>
      <c r="N28" s="423" t="s">
        <v>370</v>
      </c>
      <c r="O28" s="423" t="s">
        <v>369</v>
      </c>
      <c r="P28" s="545" t="s">
        <v>368</v>
      </c>
      <c r="R28" s="276"/>
      <c r="S28" s="423" t="s">
        <v>372</v>
      </c>
      <c r="T28" s="423" t="s">
        <v>371</v>
      </c>
      <c r="U28" s="423" t="s">
        <v>370</v>
      </c>
      <c r="V28" s="423" t="s">
        <v>369</v>
      </c>
      <c r="W28" s="545" t="s">
        <v>368</v>
      </c>
    </row>
    <row r="29" spans="1:23">
      <c r="A29" s="295"/>
      <c r="B29" s="582"/>
      <c r="C29" s="583" t="s">
        <v>327</v>
      </c>
      <c r="D29" s="583" t="s">
        <v>328</v>
      </c>
      <c r="E29" s="583" t="s">
        <v>329</v>
      </c>
      <c r="F29" s="583" t="s">
        <v>330</v>
      </c>
      <c r="G29" s="584" t="s">
        <v>331</v>
      </c>
      <c r="K29" s="826" t="s">
        <v>461</v>
      </c>
      <c r="L29" s="275">
        <v>0</v>
      </c>
      <c r="M29" s="542">
        <v>320</v>
      </c>
      <c r="N29" s="542">
        <v>240</v>
      </c>
      <c r="O29" s="542">
        <v>320</v>
      </c>
      <c r="P29" s="546">
        <v>180</v>
      </c>
      <c r="R29" s="826" t="s">
        <v>461</v>
      </c>
      <c r="S29" s="829">
        <f>L29*$L$42</f>
        <v>0</v>
      </c>
      <c r="T29" s="829">
        <f>M29*$M$42</f>
        <v>1862080</v>
      </c>
      <c r="U29" s="829">
        <f>N29*$N$42</f>
        <v>1420560</v>
      </c>
      <c r="V29" s="829">
        <f>O29*$O$42</f>
        <v>1941120</v>
      </c>
      <c r="W29" s="830">
        <f>P29*$P$42</f>
        <v>1066500</v>
      </c>
    </row>
    <row r="30" spans="1:23">
      <c r="A30" s="295"/>
      <c r="B30" s="582" t="str">
        <f>B22</f>
        <v>producto 1</v>
      </c>
      <c r="C30" s="585">
        <f>'COSTOS MATERIA PRIMA'!J15</f>
        <v>4603</v>
      </c>
      <c r="D30" s="585">
        <f>'COSTOS MATERIA PRIMA'!K15</f>
        <v>4764.1049999999996</v>
      </c>
      <c r="E30" s="585">
        <f>'COSTOS MATERIA PRIMA'!L15</f>
        <v>4930.8486749999993</v>
      </c>
      <c r="F30" s="585">
        <f>'COSTOS MATERIA PRIMA'!M15</f>
        <v>5103.4283786249989</v>
      </c>
      <c r="G30" s="585">
        <f>'COSTOS MATERIA PRIMA'!N15</f>
        <v>5282.0483718768737</v>
      </c>
      <c r="K30" s="826" t="s">
        <v>460</v>
      </c>
      <c r="L30" s="275">
        <v>0</v>
      </c>
      <c r="M30" s="542">
        <v>180</v>
      </c>
      <c r="N30" s="542">
        <v>340</v>
      </c>
      <c r="O30" s="542">
        <v>180</v>
      </c>
      <c r="P30" s="546">
        <v>120</v>
      </c>
      <c r="R30" s="826" t="s">
        <v>460</v>
      </c>
      <c r="S30" s="829">
        <f t="shared" ref="S30:S40" si="11">L30*$L$42</f>
        <v>0</v>
      </c>
      <c r="T30" s="829">
        <f t="shared" ref="T30:T40" si="12">M30*$M$42</f>
        <v>1047420</v>
      </c>
      <c r="U30" s="829">
        <f t="shared" ref="U30:U40" si="13">N30*$N$42</f>
        <v>2012460</v>
      </c>
      <c r="V30" s="829">
        <f t="shared" ref="V30:V40" si="14">O30*$O$42</f>
        <v>1091880</v>
      </c>
      <c r="W30" s="830">
        <f t="shared" ref="W30:W40" si="15">P30*$P$42</f>
        <v>711000</v>
      </c>
    </row>
    <row r="31" spans="1:23">
      <c r="B31" s="582" t="str">
        <f>B23</f>
        <v>producto 2</v>
      </c>
      <c r="C31" s="585">
        <f>'COSTOS MATERIA PRIMA'!J16</f>
        <v>1616</v>
      </c>
      <c r="D31" s="585">
        <f>'COSTOS MATERIA PRIMA'!K16</f>
        <v>1672.56</v>
      </c>
      <c r="E31" s="585">
        <f>'COSTOS MATERIA PRIMA'!L16</f>
        <v>1731.0995999999998</v>
      </c>
      <c r="F31" s="585">
        <f>'COSTOS MATERIA PRIMA'!M16</f>
        <v>1791.6880859999997</v>
      </c>
      <c r="G31" s="585">
        <f>'COSTOS MATERIA PRIMA'!N16</f>
        <v>1854.3971690099995</v>
      </c>
      <c r="K31" s="826" t="s">
        <v>459</v>
      </c>
      <c r="L31" s="275">
        <v>0</v>
      </c>
      <c r="M31" s="542">
        <v>500</v>
      </c>
      <c r="N31" s="542">
        <v>170</v>
      </c>
      <c r="O31" s="542">
        <v>450</v>
      </c>
      <c r="P31" s="546">
        <v>350</v>
      </c>
      <c r="R31" s="826" t="s">
        <v>459</v>
      </c>
      <c r="S31" s="829">
        <f t="shared" si="11"/>
        <v>0</v>
      </c>
      <c r="T31" s="829">
        <f t="shared" si="12"/>
        <v>2909500</v>
      </c>
      <c r="U31" s="829">
        <f t="shared" si="13"/>
        <v>1006230</v>
      </c>
      <c r="V31" s="829">
        <f t="shared" si="14"/>
        <v>2729700</v>
      </c>
      <c r="W31" s="830">
        <f t="shared" si="15"/>
        <v>2073750</v>
      </c>
    </row>
    <row r="32" spans="1:23">
      <c r="B32" s="582" t="str">
        <f>B24</f>
        <v>producto 3</v>
      </c>
      <c r="C32" s="585">
        <f>'COSTOS MATERIA PRIMA'!J17</f>
        <v>2969</v>
      </c>
      <c r="D32" s="585">
        <f>'COSTOS MATERIA PRIMA'!K17</f>
        <v>3072.915</v>
      </c>
      <c r="E32" s="585">
        <f>'COSTOS MATERIA PRIMA'!L17</f>
        <v>3180.4670249999999</v>
      </c>
      <c r="F32" s="585">
        <f>'COSTOS MATERIA PRIMA'!M17</f>
        <v>3291.7833708749995</v>
      </c>
      <c r="G32" s="585">
        <f>'COSTOS MATERIA PRIMA'!N17</f>
        <v>3406.9957888556241</v>
      </c>
      <c r="K32" s="826" t="s">
        <v>458</v>
      </c>
      <c r="L32" s="543">
        <v>120</v>
      </c>
      <c r="M32" s="542">
        <v>332</v>
      </c>
      <c r="N32" s="542">
        <v>238</v>
      </c>
      <c r="O32" s="542">
        <v>512</v>
      </c>
      <c r="P32" s="546">
        <v>320</v>
      </c>
      <c r="R32" s="826" t="s">
        <v>458</v>
      </c>
      <c r="S32" s="829">
        <f t="shared" si="11"/>
        <v>731520</v>
      </c>
      <c r="T32" s="829">
        <f t="shared" si="12"/>
        <v>1931908</v>
      </c>
      <c r="U32" s="829">
        <f t="shared" si="13"/>
        <v>1408722</v>
      </c>
      <c r="V32" s="829">
        <f t="shared" si="14"/>
        <v>3105792</v>
      </c>
      <c r="W32" s="830">
        <f t="shared" si="15"/>
        <v>1896000</v>
      </c>
    </row>
    <row r="33" spans="1:29" ht="15.75" thickBot="1">
      <c r="B33" s="596" t="s">
        <v>462</v>
      </c>
      <c r="C33" s="586"/>
      <c r="D33" s="586"/>
      <c r="E33" s="586"/>
      <c r="F33" s="586"/>
      <c r="G33" s="587"/>
      <c r="K33" s="826" t="s">
        <v>457</v>
      </c>
      <c r="L33" s="543">
        <v>200</v>
      </c>
      <c r="M33" s="542">
        <v>180</v>
      </c>
      <c r="N33" s="542">
        <v>430</v>
      </c>
      <c r="O33" s="542">
        <v>365</v>
      </c>
      <c r="P33" s="546">
        <v>450</v>
      </c>
      <c r="R33" s="826" t="s">
        <v>457</v>
      </c>
      <c r="S33" s="829">
        <f t="shared" si="11"/>
        <v>1219200</v>
      </c>
      <c r="T33" s="829">
        <f t="shared" si="12"/>
        <v>1047420</v>
      </c>
      <c r="U33" s="829">
        <f t="shared" si="13"/>
        <v>2545170</v>
      </c>
      <c r="V33" s="829">
        <f t="shared" si="14"/>
        <v>2214090</v>
      </c>
      <c r="W33" s="830">
        <f t="shared" si="15"/>
        <v>2666250</v>
      </c>
    </row>
    <row r="34" spans="1:29">
      <c r="B34" s="304"/>
      <c r="C34" s="224"/>
      <c r="D34" s="303"/>
      <c r="E34" s="302"/>
      <c r="K34" s="826" t="s">
        <v>456</v>
      </c>
      <c r="L34" s="543">
        <v>350</v>
      </c>
      <c r="M34" s="542">
        <v>370</v>
      </c>
      <c r="N34" s="542">
        <v>520</v>
      </c>
      <c r="O34" s="542">
        <v>458</v>
      </c>
      <c r="P34" s="546">
        <v>520</v>
      </c>
      <c r="R34" s="826" t="s">
        <v>456</v>
      </c>
      <c r="S34" s="829">
        <f t="shared" si="11"/>
        <v>2133600</v>
      </c>
      <c r="T34" s="829">
        <f t="shared" si="12"/>
        <v>2153030</v>
      </c>
      <c r="U34" s="829">
        <f t="shared" si="13"/>
        <v>3077880</v>
      </c>
      <c r="V34" s="829">
        <f t="shared" si="14"/>
        <v>2778228</v>
      </c>
      <c r="W34" s="830">
        <f t="shared" si="15"/>
        <v>3081000</v>
      </c>
    </row>
    <row r="35" spans="1:29">
      <c r="B35" s="305"/>
      <c r="C35" s="224"/>
      <c r="D35" s="303"/>
      <c r="E35" s="302"/>
      <c r="K35" s="826" t="s">
        <v>455</v>
      </c>
      <c r="L35" s="543">
        <v>500</v>
      </c>
      <c r="M35" s="542">
        <v>480</v>
      </c>
      <c r="N35" s="542">
        <v>250</v>
      </c>
      <c r="O35" s="542">
        <v>180</v>
      </c>
      <c r="P35" s="546">
        <v>310</v>
      </c>
      <c r="R35" s="826" t="s">
        <v>455</v>
      </c>
      <c r="S35" s="829">
        <f t="shared" si="11"/>
        <v>3048000</v>
      </c>
      <c r="T35" s="829">
        <f t="shared" si="12"/>
        <v>2793120</v>
      </c>
      <c r="U35" s="829">
        <f t="shared" si="13"/>
        <v>1479750</v>
      </c>
      <c r="V35" s="829">
        <f t="shared" si="14"/>
        <v>1091880</v>
      </c>
      <c r="W35" s="830">
        <f t="shared" si="15"/>
        <v>1836750</v>
      </c>
    </row>
    <row r="36" spans="1:29" ht="15.75" thickBot="1">
      <c r="B36" s="304"/>
      <c r="C36" s="224"/>
      <c r="D36" s="303"/>
      <c r="E36" s="302"/>
      <c r="K36" s="826" t="s">
        <v>454</v>
      </c>
      <c r="L36" s="543">
        <v>350</v>
      </c>
      <c r="M36" s="542">
        <v>520</v>
      </c>
      <c r="N36" s="542">
        <v>268</v>
      </c>
      <c r="O36" s="542">
        <v>312</v>
      </c>
      <c r="P36" s="546">
        <v>150</v>
      </c>
      <c r="R36" s="826" t="s">
        <v>454</v>
      </c>
      <c r="S36" s="829">
        <f t="shared" si="11"/>
        <v>2133600</v>
      </c>
      <c r="T36" s="829">
        <f t="shared" si="12"/>
        <v>3025880</v>
      </c>
      <c r="U36" s="829">
        <f t="shared" si="13"/>
        <v>1586292</v>
      </c>
      <c r="V36" s="829">
        <f t="shared" si="14"/>
        <v>1892592</v>
      </c>
      <c r="W36" s="830">
        <f t="shared" si="15"/>
        <v>888750</v>
      </c>
    </row>
    <row r="37" spans="1:29" ht="17.25">
      <c r="B37" s="906" t="s">
        <v>589</v>
      </c>
      <c r="C37" s="907"/>
      <c r="D37" s="907"/>
      <c r="E37" s="907"/>
      <c r="F37" s="907"/>
      <c r="G37" s="908"/>
      <c r="K37" s="826" t="s">
        <v>453</v>
      </c>
      <c r="L37" s="543">
        <v>430</v>
      </c>
      <c r="M37" s="542">
        <v>268</v>
      </c>
      <c r="N37" s="542">
        <v>320</v>
      </c>
      <c r="O37" s="542">
        <v>486</v>
      </c>
      <c r="P37" s="546">
        <v>320</v>
      </c>
      <c r="R37" s="826" t="s">
        <v>453</v>
      </c>
      <c r="S37" s="829">
        <f t="shared" si="11"/>
        <v>2621280</v>
      </c>
      <c r="T37" s="829">
        <f t="shared" si="12"/>
        <v>1559492</v>
      </c>
      <c r="U37" s="829">
        <f t="shared" si="13"/>
        <v>1894080</v>
      </c>
      <c r="V37" s="829">
        <f t="shared" si="14"/>
        <v>2948076</v>
      </c>
      <c r="W37" s="830">
        <f t="shared" si="15"/>
        <v>1896000</v>
      </c>
    </row>
    <row r="38" spans="1:29">
      <c r="B38" s="588"/>
      <c r="C38" s="589" t="s">
        <v>327</v>
      </c>
      <c r="D38" s="589" t="s">
        <v>328</v>
      </c>
      <c r="E38" s="589" t="s">
        <v>329</v>
      </c>
      <c r="F38" s="589" t="s">
        <v>330</v>
      </c>
      <c r="G38" s="590" t="s">
        <v>331</v>
      </c>
      <c r="K38" s="826" t="s">
        <v>452</v>
      </c>
      <c r="L38" s="543">
        <v>126</v>
      </c>
      <c r="M38" s="542">
        <v>350</v>
      </c>
      <c r="N38" s="542">
        <v>420</v>
      </c>
      <c r="O38" s="542">
        <v>170</v>
      </c>
      <c r="P38" s="546">
        <v>278</v>
      </c>
      <c r="R38" s="826" t="s">
        <v>452</v>
      </c>
      <c r="S38" s="829">
        <f t="shared" si="11"/>
        <v>768096</v>
      </c>
      <c r="T38" s="829">
        <f t="shared" si="12"/>
        <v>2036650</v>
      </c>
      <c r="U38" s="829">
        <f t="shared" si="13"/>
        <v>2485980</v>
      </c>
      <c r="V38" s="829">
        <f t="shared" si="14"/>
        <v>1031220</v>
      </c>
      <c r="W38" s="830">
        <f t="shared" si="15"/>
        <v>1647150</v>
      </c>
    </row>
    <row r="39" spans="1:29">
      <c r="B39" s="591" t="str">
        <f>B30</f>
        <v>producto 1</v>
      </c>
      <c r="C39" s="592">
        <f>C30*C15</f>
        <v>1332292.32</v>
      </c>
      <c r="D39" s="592">
        <f t="shared" ref="C39:G41" si="16">D30*D15</f>
        <v>2022419.7417600001</v>
      </c>
      <c r="E39" s="592">
        <f t="shared" si="16"/>
        <v>2407185.0976298396</v>
      </c>
      <c r="F39" s="592">
        <f t="shared" si="16"/>
        <v>3114295.7200586046</v>
      </c>
      <c r="G39" s="593">
        <f t="shared" si="16"/>
        <v>3545625.6772867218</v>
      </c>
      <c r="K39" s="826" t="s">
        <v>451</v>
      </c>
      <c r="L39" s="543">
        <v>325</v>
      </c>
      <c r="M39" s="543">
        <v>180</v>
      </c>
      <c r="N39" s="542">
        <v>520</v>
      </c>
      <c r="O39" s="542">
        <v>167</v>
      </c>
      <c r="P39" s="546">
        <v>350</v>
      </c>
      <c r="R39" s="826" t="s">
        <v>451</v>
      </c>
      <c r="S39" s="829">
        <f t="shared" si="11"/>
        <v>1981200</v>
      </c>
      <c r="T39" s="829">
        <f t="shared" si="12"/>
        <v>1047420</v>
      </c>
      <c r="U39" s="829">
        <f t="shared" si="13"/>
        <v>3077880</v>
      </c>
      <c r="V39" s="829">
        <f t="shared" si="14"/>
        <v>1013022</v>
      </c>
      <c r="W39" s="830">
        <f t="shared" si="15"/>
        <v>2073750</v>
      </c>
    </row>
    <row r="40" spans="1:29">
      <c r="B40" s="591" t="str">
        <f t="shared" ref="B40:B41" si="17">B31</f>
        <v>producto 2</v>
      </c>
      <c r="C40" s="592">
        <f t="shared" si="16"/>
        <v>467735.03999999998</v>
      </c>
      <c r="D40" s="592">
        <f t="shared" si="16"/>
        <v>710021.79072000005</v>
      </c>
      <c r="E40" s="592">
        <f t="shared" si="16"/>
        <v>845103.4364044799</v>
      </c>
      <c r="F40" s="592">
        <f t="shared" si="16"/>
        <v>1093352.5708482957</v>
      </c>
      <c r="G40" s="593">
        <f t="shared" si="16"/>
        <v>1244781.9019107849</v>
      </c>
      <c r="K40" s="826" t="s">
        <v>450</v>
      </c>
      <c r="L40" s="543">
        <v>400</v>
      </c>
      <c r="M40" s="543">
        <v>430</v>
      </c>
      <c r="N40" s="542">
        <v>310</v>
      </c>
      <c r="O40" s="542">
        <v>348</v>
      </c>
      <c r="P40" s="546">
        <v>167</v>
      </c>
      <c r="R40" s="826" t="s">
        <v>450</v>
      </c>
      <c r="S40" s="829">
        <f t="shared" si="11"/>
        <v>2438400</v>
      </c>
      <c r="T40" s="829">
        <f t="shared" si="12"/>
        <v>2502170</v>
      </c>
      <c r="U40" s="829">
        <f t="shared" si="13"/>
        <v>1834890</v>
      </c>
      <c r="V40" s="829">
        <f t="shared" si="14"/>
        <v>2110968</v>
      </c>
      <c r="W40" s="830">
        <f t="shared" si="15"/>
        <v>989475</v>
      </c>
    </row>
    <row r="41" spans="1:29">
      <c r="B41" s="591" t="str">
        <f t="shared" si="17"/>
        <v>producto 3</v>
      </c>
      <c r="C41" s="592">
        <f t="shared" si="16"/>
        <v>0</v>
      </c>
      <c r="D41" s="592">
        <f t="shared" si="16"/>
        <v>0</v>
      </c>
      <c r="E41" s="592">
        <f t="shared" si="16"/>
        <v>0</v>
      </c>
      <c r="F41" s="592">
        <f t="shared" si="16"/>
        <v>0</v>
      </c>
      <c r="G41" s="593">
        <f t="shared" si="16"/>
        <v>0</v>
      </c>
      <c r="K41" s="276" t="s">
        <v>463</v>
      </c>
      <c r="L41" s="542">
        <f>SUM(L29:L40)</f>
        <v>2801</v>
      </c>
      <c r="M41" s="542">
        <f>SUM(M29:M40)</f>
        <v>4110</v>
      </c>
      <c r="N41" s="542">
        <f>SUM(N29:N40)</f>
        <v>4026</v>
      </c>
      <c r="O41" s="542">
        <f>SUM(O29:O40)</f>
        <v>3948</v>
      </c>
      <c r="P41" s="546">
        <f>SUM(P29:P40)</f>
        <v>3515</v>
      </c>
      <c r="R41" s="276" t="s">
        <v>463</v>
      </c>
      <c r="S41" s="833">
        <v>11908</v>
      </c>
      <c r="T41" s="834">
        <v>17466</v>
      </c>
      <c r="U41" s="834">
        <v>20085</v>
      </c>
      <c r="V41" s="834">
        <v>25107</v>
      </c>
      <c r="W41" s="835">
        <v>27618</v>
      </c>
    </row>
    <row r="42" spans="1:29" ht="15.75" thickBot="1">
      <c r="B42" s="596" t="s">
        <v>462</v>
      </c>
      <c r="C42" s="594">
        <f>SUM(C39:C41)</f>
        <v>1800027.36</v>
      </c>
      <c r="D42" s="594">
        <f>SUM(D39:D41)</f>
        <v>2732441.5324800001</v>
      </c>
      <c r="E42" s="594">
        <f>SUM(E39:E41)</f>
        <v>3252288.5340343192</v>
      </c>
      <c r="F42" s="594">
        <f>SUM(F39:F41)</f>
        <v>4207648.2909069005</v>
      </c>
      <c r="G42" s="595">
        <f>SUM(G39:G41)</f>
        <v>4790407.5791975064</v>
      </c>
      <c r="K42" s="821" t="s">
        <v>651</v>
      </c>
      <c r="L42" s="823">
        <v>6096</v>
      </c>
      <c r="M42" s="824">
        <v>5819</v>
      </c>
      <c r="N42" s="824">
        <v>5919</v>
      </c>
      <c r="O42" s="824">
        <v>6066</v>
      </c>
      <c r="P42" s="824">
        <v>5925</v>
      </c>
      <c r="R42" s="821" t="s">
        <v>651</v>
      </c>
      <c r="S42" s="823">
        <v>6096</v>
      </c>
      <c r="T42" s="824">
        <v>5819</v>
      </c>
      <c r="U42" s="824">
        <v>5919</v>
      </c>
      <c r="V42" s="824">
        <v>6066</v>
      </c>
      <c r="W42" s="824">
        <v>5925</v>
      </c>
    </row>
    <row r="43" spans="1:29" ht="15.75" thickBot="1">
      <c r="K43" s="822" t="s">
        <v>652</v>
      </c>
      <c r="L43" s="825">
        <f>L41*L42</f>
        <v>17074896</v>
      </c>
      <c r="M43" s="825">
        <f t="shared" ref="M43:P43" si="18">M41*M42</f>
        <v>23916090</v>
      </c>
      <c r="N43" s="825">
        <f t="shared" si="18"/>
        <v>23829894</v>
      </c>
      <c r="O43" s="825">
        <f t="shared" si="18"/>
        <v>23948568</v>
      </c>
      <c r="P43" s="825">
        <f t="shared" si="18"/>
        <v>20826375</v>
      </c>
      <c r="R43" s="822" t="s">
        <v>652</v>
      </c>
      <c r="S43" s="825">
        <f>S41*S42</f>
        <v>72591168</v>
      </c>
      <c r="T43" s="825">
        <f t="shared" ref="T43" si="19">T41*T42</f>
        <v>101634654</v>
      </c>
      <c r="U43" s="825">
        <f t="shared" ref="U43" si="20">U41*U42</f>
        <v>118883115</v>
      </c>
      <c r="V43" s="825">
        <f t="shared" ref="V43" si="21">V41*V42</f>
        <v>152299062</v>
      </c>
      <c r="W43" s="825">
        <f t="shared" ref="W43" si="22">W41*W42</f>
        <v>163636650</v>
      </c>
    </row>
    <row r="44" spans="1:29">
      <c r="A44" s="225"/>
      <c r="B44" s="225"/>
      <c r="C44" s="556"/>
      <c r="D44" s="225"/>
      <c r="E44" s="225"/>
      <c r="F44" s="225"/>
      <c r="G44" s="225"/>
      <c r="H44" s="225"/>
      <c r="I44" s="225"/>
      <c r="J44" s="225"/>
      <c r="Q44" s="225"/>
      <c r="X44" s="225"/>
      <c r="Y44" s="225"/>
      <c r="Z44" s="225"/>
      <c r="AA44" s="225"/>
      <c r="AB44" s="225"/>
      <c r="AC44" s="225"/>
    </row>
    <row r="45" spans="1:29" ht="15.75" thickBot="1">
      <c r="A45" s="225"/>
      <c r="B45" s="556"/>
      <c r="C45" s="225"/>
      <c r="D45" s="225"/>
      <c r="E45" s="225"/>
      <c r="F45" s="225"/>
      <c r="G45" s="225"/>
      <c r="H45" s="225"/>
      <c r="I45" s="225"/>
      <c r="J45" s="225"/>
      <c r="Q45" s="225"/>
      <c r="X45" s="225"/>
      <c r="Y45" s="225"/>
      <c r="Z45" s="225"/>
      <c r="AA45" s="225"/>
      <c r="AB45" s="225"/>
      <c r="AC45" s="225"/>
    </row>
    <row r="46" spans="1:29">
      <c r="A46" s="225"/>
      <c r="B46" s="556"/>
      <c r="C46" s="225"/>
      <c r="D46" s="225"/>
      <c r="E46" s="225"/>
      <c r="F46" s="225"/>
      <c r="G46" s="225"/>
      <c r="H46" s="225"/>
      <c r="I46" s="225"/>
      <c r="J46" s="225"/>
      <c r="K46" s="309" t="str">
        <f>B10</f>
        <v>producto 3</v>
      </c>
      <c r="L46" s="308"/>
      <c r="M46" s="308"/>
      <c r="N46" s="308"/>
      <c r="O46" s="308"/>
      <c r="P46" s="307"/>
      <c r="Q46" s="225"/>
      <c r="R46" s="309">
        <f>I10</f>
        <v>0</v>
      </c>
      <c r="S46" s="308"/>
      <c r="T46" s="308"/>
      <c r="U46" s="308"/>
      <c r="V46" s="308"/>
      <c r="W46" s="307"/>
      <c r="X46" s="225"/>
      <c r="Y46" s="225"/>
      <c r="Z46" s="225"/>
      <c r="AA46" s="225"/>
      <c r="AB46" s="225"/>
      <c r="AC46" s="225"/>
    </row>
    <row r="47" spans="1:29">
      <c r="A47" s="301"/>
      <c r="B47" s="551"/>
      <c r="C47" s="557"/>
      <c r="D47" s="557"/>
      <c r="E47" s="557"/>
      <c r="F47" s="557"/>
      <c r="G47" s="557"/>
      <c r="H47" s="557"/>
      <c r="I47" s="557"/>
      <c r="J47" s="557"/>
      <c r="K47" s="826" t="s">
        <v>461</v>
      </c>
      <c r="L47" s="275">
        <v>0</v>
      </c>
      <c r="M47" s="542">
        <v>0</v>
      </c>
      <c r="N47" s="542">
        <v>0</v>
      </c>
      <c r="O47" s="542">
        <v>0</v>
      </c>
      <c r="P47" s="546">
        <v>0</v>
      </c>
      <c r="Q47" s="225"/>
      <c r="R47" s="826" t="s">
        <v>461</v>
      </c>
      <c r="S47" s="829">
        <f>L47*$L$60</f>
        <v>0</v>
      </c>
      <c r="T47" s="829">
        <f>M47*$M$60</f>
        <v>0</v>
      </c>
      <c r="U47" s="829">
        <f>N47*$N$60</f>
        <v>0</v>
      </c>
      <c r="V47" s="829">
        <f>O47*$O$60</f>
        <v>0</v>
      </c>
      <c r="W47" s="830">
        <f>P47*$P$60</f>
        <v>0</v>
      </c>
      <c r="X47" s="225"/>
      <c r="Y47" s="225"/>
      <c r="Z47" s="225"/>
      <c r="AA47" s="225"/>
      <c r="AB47" s="225"/>
      <c r="AC47" s="225"/>
    </row>
    <row r="48" spans="1:29">
      <c r="A48" s="225"/>
      <c r="B48" s="553"/>
      <c r="C48" s="225"/>
      <c r="D48" s="225"/>
      <c r="E48" s="225"/>
      <c r="F48" s="225"/>
      <c r="G48" s="225"/>
      <c r="H48" s="225"/>
      <c r="I48" s="225"/>
      <c r="J48" s="225"/>
      <c r="K48" s="826" t="s">
        <v>460</v>
      </c>
      <c r="L48" s="275">
        <v>0</v>
      </c>
      <c r="M48" s="542">
        <v>0</v>
      </c>
      <c r="N48" s="542">
        <v>0</v>
      </c>
      <c r="O48" s="542">
        <v>0</v>
      </c>
      <c r="P48" s="546">
        <v>0</v>
      </c>
      <c r="Q48" s="225"/>
      <c r="R48" s="826" t="s">
        <v>460</v>
      </c>
      <c r="S48" s="829">
        <f t="shared" ref="S48:S58" si="23">L48*$L$60</f>
        <v>0</v>
      </c>
      <c r="T48" s="829">
        <f t="shared" ref="T48:T58" si="24">M48*$M$60</f>
        <v>0</v>
      </c>
      <c r="U48" s="829">
        <f t="shared" ref="U48:U58" si="25">N48*$N$60</f>
        <v>0</v>
      </c>
      <c r="V48" s="829">
        <f t="shared" ref="V48:V58" si="26">O48*$O$60</f>
        <v>0</v>
      </c>
      <c r="W48" s="830">
        <f t="shared" ref="W48:W58" si="27">P48*$P$60</f>
        <v>0</v>
      </c>
      <c r="X48" s="225"/>
      <c r="Y48" s="225"/>
      <c r="Z48" s="225"/>
      <c r="AA48" s="225"/>
      <c r="AB48" s="225"/>
      <c r="AC48" s="225"/>
    </row>
    <row r="49" spans="1:29">
      <c r="A49" s="554"/>
      <c r="B49" s="551"/>
      <c r="C49" s="225"/>
      <c r="D49" s="225"/>
      <c r="E49" s="225"/>
      <c r="F49" s="225"/>
      <c r="G49" s="225"/>
      <c r="H49" s="225"/>
      <c r="I49" s="225"/>
      <c r="J49" s="225"/>
      <c r="K49" s="826" t="s">
        <v>459</v>
      </c>
      <c r="L49" s="275">
        <v>0</v>
      </c>
      <c r="M49" s="542">
        <v>0</v>
      </c>
      <c r="N49" s="542">
        <v>0</v>
      </c>
      <c r="O49" s="542">
        <v>0</v>
      </c>
      <c r="P49" s="546">
        <v>0</v>
      </c>
      <c r="Q49" s="225"/>
      <c r="R49" s="826" t="s">
        <v>459</v>
      </c>
      <c r="S49" s="829">
        <f t="shared" si="23"/>
        <v>0</v>
      </c>
      <c r="T49" s="829">
        <f t="shared" si="24"/>
        <v>0</v>
      </c>
      <c r="U49" s="829">
        <f t="shared" si="25"/>
        <v>0</v>
      </c>
      <c r="V49" s="829">
        <f t="shared" si="26"/>
        <v>0</v>
      </c>
      <c r="W49" s="830">
        <f t="shared" si="27"/>
        <v>0</v>
      </c>
      <c r="X49" s="225"/>
      <c r="Y49" s="225"/>
      <c r="Z49" s="225"/>
      <c r="AA49" s="225"/>
      <c r="AB49" s="225"/>
      <c r="AC49" s="225"/>
    </row>
    <row r="50" spans="1:29">
      <c r="A50" s="225"/>
      <c r="B50" s="553"/>
      <c r="C50" s="559"/>
      <c r="D50" s="559"/>
      <c r="E50" s="559"/>
      <c r="F50" s="559"/>
      <c r="G50" s="559"/>
      <c r="H50" s="225"/>
      <c r="I50" s="225"/>
      <c r="J50" s="225"/>
      <c r="K50" s="826" t="s">
        <v>458</v>
      </c>
      <c r="L50" s="275">
        <v>0</v>
      </c>
      <c r="M50" s="542">
        <v>0</v>
      </c>
      <c r="N50" s="542">
        <v>0</v>
      </c>
      <c r="O50" s="542">
        <v>0</v>
      </c>
      <c r="P50" s="546">
        <v>0</v>
      </c>
      <c r="Q50" s="225"/>
      <c r="R50" s="826" t="s">
        <v>458</v>
      </c>
      <c r="S50" s="829">
        <f t="shared" si="23"/>
        <v>0</v>
      </c>
      <c r="T50" s="829">
        <f t="shared" si="24"/>
        <v>0</v>
      </c>
      <c r="U50" s="829">
        <f t="shared" si="25"/>
        <v>0</v>
      </c>
      <c r="V50" s="829">
        <f t="shared" si="26"/>
        <v>0</v>
      </c>
      <c r="W50" s="830">
        <f t="shared" si="27"/>
        <v>0</v>
      </c>
      <c r="X50" s="225"/>
      <c r="Y50" s="225"/>
      <c r="Z50" s="225"/>
      <c r="AA50" s="225"/>
      <c r="AB50" s="225"/>
      <c r="AC50" s="225"/>
    </row>
    <row r="51" spans="1:29">
      <c r="A51" s="302"/>
      <c r="B51" s="553"/>
      <c r="C51" s="559"/>
      <c r="D51" s="559"/>
      <c r="E51" s="559"/>
      <c r="F51" s="559"/>
      <c r="G51" s="559"/>
      <c r="H51" s="225"/>
      <c r="I51" s="225"/>
      <c r="J51" s="225"/>
      <c r="K51" s="826" t="s">
        <v>457</v>
      </c>
      <c r="L51" s="275">
        <v>0</v>
      </c>
      <c r="M51" s="542">
        <v>0</v>
      </c>
      <c r="N51" s="542">
        <v>0</v>
      </c>
      <c r="O51" s="542">
        <v>0</v>
      </c>
      <c r="P51" s="546">
        <v>0</v>
      </c>
      <c r="Q51" s="225"/>
      <c r="R51" s="826" t="s">
        <v>457</v>
      </c>
      <c r="S51" s="829">
        <f t="shared" si="23"/>
        <v>0</v>
      </c>
      <c r="T51" s="829">
        <f t="shared" si="24"/>
        <v>0</v>
      </c>
      <c r="U51" s="829">
        <f t="shared" si="25"/>
        <v>0</v>
      </c>
      <c r="V51" s="829">
        <f t="shared" si="26"/>
        <v>0</v>
      </c>
      <c r="W51" s="830">
        <f t="shared" si="27"/>
        <v>0</v>
      </c>
      <c r="X51" s="225"/>
      <c r="Y51" s="225"/>
      <c r="Z51" s="225"/>
      <c r="AA51" s="225"/>
      <c r="AB51" s="225"/>
      <c r="AC51" s="225"/>
    </row>
    <row r="52" spans="1:29">
      <c r="A52" s="225"/>
      <c r="B52" s="225"/>
      <c r="C52" s="559"/>
      <c r="D52" s="559"/>
      <c r="E52" s="559"/>
      <c r="F52" s="559"/>
      <c r="G52" s="559"/>
      <c r="H52" s="225"/>
      <c r="I52" s="225"/>
      <c r="J52" s="225"/>
      <c r="K52" s="826" t="s">
        <v>456</v>
      </c>
      <c r="L52" s="275">
        <v>0</v>
      </c>
      <c r="M52" s="542">
        <v>0</v>
      </c>
      <c r="N52" s="542">
        <v>0</v>
      </c>
      <c r="O52" s="542">
        <v>0</v>
      </c>
      <c r="P52" s="546">
        <v>0</v>
      </c>
      <c r="Q52" s="225"/>
      <c r="R52" s="826" t="s">
        <v>456</v>
      </c>
      <c r="S52" s="829">
        <f t="shared" si="23"/>
        <v>0</v>
      </c>
      <c r="T52" s="829">
        <f t="shared" si="24"/>
        <v>0</v>
      </c>
      <c r="U52" s="829">
        <f t="shared" si="25"/>
        <v>0</v>
      </c>
      <c r="V52" s="829">
        <f t="shared" si="26"/>
        <v>0</v>
      </c>
      <c r="W52" s="830">
        <f t="shared" si="27"/>
        <v>0</v>
      </c>
      <c r="X52" s="225"/>
      <c r="Y52" s="225"/>
      <c r="Z52" s="225"/>
      <c r="AA52" s="225"/>
      <c r="AB52" s="225"/>
      <c r="AC52" s="225"/>
    </row>
    <row r="53" spans="1:29">
      <c r="A53" s="225"/>
      <c r="B53" s="225"/>
      <c r="C53" s="559"/>
      <c r="D53" s="559"/>
      <c r="E53" s="559"/>
      <c r="F53" s="559"/>
      <c r="G53" s="559"/>
      <c r="H53" s="225"/>
      <c r="I53" s="225"/>
      <c r="J53" s="225"/>
      <c r="K53" s="826" t="s">
        <v>455</v>
      </c>
      <c r="L53" s="275">
        <v>0</v>
      </c>
      <c r="M53" s="542">
        <v>0</v>
      </c>
      <c r="N53" s="542">
        <v>0</v>
      </c>
      <c r="O53" s="542">
        <v>0</v>
      </c>
      <c r="P53" s="546">
        <v>0</v>
      </c>
      <c r="Q53" s="225"/>
      <c r="R53" s="826" t="s">
        <v>455</v>
      </c>
      <c r="S53" s="829">
        <f t="shared" si="23"/>
        <v>0</v>
      </c>
      <c r="T53" s="829">
        <f t="shared" si="24"/>
        <v>0</v>
      </c>
      <c r="U53" s="829">
        <f t="shared" si="25"/>
        <v>0</v>
      </c>
      <c r="V53" s="829">
        <f t="shared" si="26"/>
        <v>0</v>
      </c>
      <c r="W53" s="830">
        <f t="shared" si="27"/>
        <v>0</v>
      </c>
      <c r="X53" s="225"/>
      <c r="Y53" s="225"/>
      <c r="Z53" s="225"/>
      <c r="AA53" s="225"/>
      <c r="AB53" s="225"/>
      <c r="AC53" s="225"/>
    </row>
    <row r="54" spans="1:29">
      <c r="A54" s="225"/>
      <c r="B54" s="225"/>
      <c r="C54" s="559"/>
      <c r="D54" s="559"/>
      <c r="E54" s="559"/>
      <c r="F54" s="559"/>
      <c r="G54" s="559"/>
      <c r="H54" s="225"/>
      <c r="I54" s="225"/>
      <c r="J54" s="225"/>
      <c r="K54" s="826" t="s">
        <v>454</v>
      </c>
      <c r="L54" s="275">
        <v>0</v>
      </c>
      <c r="M54" s="542">
        <v>0</v>
      </c>
      <c r="N54" s="542">
        <v>0</v>
      </c>
      <c r="O54" s="542">
        <v>0</v>
      </c>
      <c r="P54" s="546">
        <v>0</v>
      </c>
      <c r="Q54" s="225"/>
      <c r="R54" s="826" t="s">
        <v>454</v>
      </c>
      <c r="S54" s="829">
        <f t="shared" si="23"/>
        <v>0</v>
      </c>
      <c r="T54" s="829">
        <f t="shared" si="24"/>
        <v>0</v>
      </c>
      <c r="U54" s="829">
        <f t="shared" si="25"/>
        <v>0</v>
      </c>
      <c r="V54" s="829">
        <f t="shared" si="26"/>
        <v>0</v>
      </c>
      <c r="W54" s="830">
        <f t="shared" si="27"/>
        <v>0</v>
      </c>
      <c r="X54" s="225"/>
      <c r="Y54" s="225"/>
      <c r="Z54" s="225"/>
      <c r="AA54" s="225"/>
      <c r="AB54" s="225"/>
      <c r="AC54" s="225"/>
    </row>
    <row r="55" spans="1:29">
      <c r="A55" s="225"/>
      <c r="B55" s="225"/>
      <c r="C55" s="559"/>
      <c r="D55" s="559"/>
      <c r="E55" s="559"/>
      <c r="F55" s="559"/>
      <c r="G55" s="559"/>
      <c r="H55" s="225"/>
      <c r="I55" s="225"/>
      <c r="J55" s="225"/>
      <c r="K55" s="826" t="s">
        <v>453</v>
      </c>
      <c r="L55" s="275">
        <v>0</v>
      </c>
      <c r="M55" s="542">
        <v>0</v>
      </c>
      <c r="N55" s="542">
        <v>0</v>
      </c>
      <c r="O55" s="542">
        <v>0</v>
      </c>
      <c r="P55" s="546">
        <v>0</v>
      </c>
      <c r="Q55" s="225"/>
      <c r="R55" s="826" t="s">
        <v>453</v>
      </c>
      <c r="S55" s="829">
        <f t="shared" si="23"/>
        <v>0</v>
      </c>
      <c r="T55" s="829">
        <f t="shared" si="24"/>
        <v>0</v>
      </c>
      <c r="U55" s="829">
        <f t="shared" si="25"/>
        <v>0</v>
      </c>
      <c r="V55" s="829">
        <f t="shared" si="26"/>
        <v>0</v>
      </c>
      <c r="W55" s="830">
        <f t="shared" si="27"/>
        <v>0</v>
      </c>
      <c r="X55" s="225"/>
      <c r="Y55" s="225"/>
      <c r="Z55" s="225"/>
      <c r="AA55" s="225"/>
      <c r="AB55" s="225"/>
      <c r="AC55" s="225"/>
    </row>
    <row r="56" spans="1:29">
      <c r="A56" s="225"/>
      <c r="B56" s="225"/>
      <c r="C56" s="559"/>
      <c r="D56" s="562"/>
      <c r="E56" s="225"/>
      <c r="F56" s="225"/>
      <c r="G56" s="225"/>
      <c r="H56" s="225"/>
      <c r="I56" s="225"/>
      <c r="J56" s="225"/>
      <c r="K56" s="826" t="s">
        <v>452</v>
      </c>
      <c r="L56" s="275">
        <v>0</v>
      </c>
      <c r="M56" s="542">
        <v>0</v>
      </c>
      <c r="N56" s="542">
        <v>0</v>
      </c>
      <c r="O56" s="542">
        <v>0</v>
      </c>
      <c r="P56" s="546">
        <v>0</v>
      </c>
      <c r="Q56" s="225"/>
      <c r="R56" s="826" t="s">
        <v>452</v>
      </c>
      <c r="S56" s="829">
        <f t="shared" si="23"/>
        <v>0</v>
      </c>
      <c r="T56" s="829">
        <f t="shared" si="24"/>
        <v>0</v>
      </c>
      <c r="U56" s="829">
        <f t="shared" si="25"/>
        <v>0</v>
      </c>
      <c r="V56" s="829">
        <f t="shared" si="26"/>
        <v>0</v>
      </c>
      <c r="W56" s="830">
        <f t="shared" si="27"/>
        <v>0</v>
      </c>
      <c r="X56" s="225"/>
      <c r="Y56" s="225"/>
      <c r="Z56" s="225"/>
      <c r="AA56" s="225"/>
      <c r="AB56" s="225"/>
      <c r="AC56" s="225"/>
    </row>
    <row r="57" spans="1:29">
      <c r="A57" s="225"/>
      <c r="B57" s="225"/>
      <c r="C57" s="562"/>
      <c r="D57" s="562"/>
      <c r="E57" s="562"/>
      <c r="F57" s="562"/>
      <c r="G57" s="562"/>
      <c r="H57" s="225"/>
      <c r="I57" s="225"/>
      <c r="J57" s="225"/>
      <c r="K57" s="826" t="s">
        <v>451</v>
      </c>
      <c r="L57" s="275">
        <v>0</v>
      </c>
      <c r="M57" s="542">
        <v>0</v>
      </c>
      <c r="N57" s="542">
        <v>0</v>
      </c>
      <c r="O57" s="542">
        <v>0</v>
      </c>
      <c r="P57" s="546">
        <v>0</v>
      </c>
      <c r="Q57" s="225"/>
      <c r="R57" s="826" t="s">
        <v>451</v>
      </c>
      <c r="S57" s="829">
        <f t="shared" si="23"/>
        <v>0</v>
      </c>
      <c r="T57" s="829">
        <f t="shared" si="24"/>
        <v>0</v>
      </c>
      <c r="U57" s="829">
        <f t="shared" si="25"/>
        <v>0</v>
      </c>
      <c r="V57" s="829">
        <f t="shared" si="26"/>
        <v>0</v>
      </c>
      <c r="W57" s="830">
        <f t="shared" si="27"/>
        <v>0</v>
      </c>
      <c r="X57" s="225"/>
      <c r="Y57" s="225"/>
      <c r="Z57" s="225"/>
      <c r="AA57" s="225"/>
      <c r="AB57" s="225"/>
      <c r="AC57" s="225"/>
    </row>
    <row r="58" spans="1:29">
      <c r="A58" s="225"/>
      <c r="B58" s="225"/>
      <c r="C58" s="225"/>
      <c r="D58" s="225"/>
      <c r="E58" s="225"/>
      <c r="F58" s="225"/>
      <c r="G58" s="225"/>
      <c r="H58" s="225"/>
      <c r="I58" s="225"/>
      <c r="J58" s="225"/>
      <c r="K58" s="826" t="s">
        <v>450</v>
      </c>
      <c r="L58" s="275">
        <v>0</v>
      </c>
      <c r="M58" s="542">
        <v>0</v>
      </c>
      <c r="N58" s="542">
        <v>0</v>
      </c>
      <c r="O58" s="542">
        <v>0</v>
      </c>
      <c r="P58" s="546">
        <v>0</v>
      </c>
      <c r="Q58" s="225"/>
      <c r="R58" s="826" t="s">
        <v>450</v>
      </c>
      <c r="S58" s="829">
        <f t="shared" si="23"/>
        <v>0</v>
      </c>
      <c r="T58" s="829">
        <f t="shared" si="24"/>
        <v>0</v>
      </c>
      <c r="U58" s="829">
        <f t="shared" si="25"/>
        <v>0</v>
      </c>
      <c r="V58" s="829">
        <f t="shared" si="26"/>
        <v>0</v>
      </c>
      <c r="W58" s="830">
        <f t="shared" si="27"/>
        <v>0</v>
      </c>
      <c r="X58" s="225"/>
      <c r="Y58" s="225"/>
      <c r="Z58" s="225"/>
      <c r="AA58" s="225"/>
      <c r="AB58" s="225"/>
      <c r="AC58" s="225"/>
    </row>
    <row r="59" spans="1:29">
      <c r="A59" s="225"/>
      <c r="B59" s="225"/>
      <c r="C59" s="225"/>
      <c r="D59" s="225"/>
      <c r="E59" s="225"/>
      <c r="F59" s="225"/>
      <c r="G59" s="225"/>
      <c r="H59" s="225"/>
      <c r="I59" s="225"/>
      <c r="J59" s="225"/>
      <c r="K59" s="276" t="s">
        <v>463</v>
      </c>
      <c r="L59" s="542">
        <f>SUM(L47:L58)</f>
        <v>0</v>
      </c>
      <c r="M59" s="542">
        <v>0</v>
      </c>
      <c r="N59" s="542">
        <f>SUM(N47:N58)</f>
        <v>0</v>
      </c>
      <c r="O59" s="542">
        <v>0</v>
      </c>
      <c r="P59" s="546">
        <v>0</v>
      </c>
      <c r="Q59" s="225"/>
      <c r="R59" s="276" t="s">
        <v>463</v>
      </c>
      <c r="S59" s="833">
        <v>2382</v>
      </c>
      <c r="T59" s="834">
        <v>3493</v>
      </c>
      <c r="U59" s="834">
        <v>4017</v>
      </c>
      <c r="V59" s="834">
        <v>5021</v>
      </c>
      <c r="W59" s="835">
        <v>5524</v>
      </c>
      <c r="X59" s="225"/>
      <c r="Y59" s="225"/>
      <c r="Z59" s="225"/>
      <c r="AA59" s="225"/>
      <c r="AB59" s="225"/>
      <c r="AC59" s="225"/>
    </row>
    <row r="60" spans="1:29">
      <c r="A60" s="225"/>
      <c r="B60" s="225"/>
      <c r="C60" s="225"/>
      <c r="D60" s="225"/>
      <c r="E60" s="225"/>
      <c r="F60" s="225"/>
      <c r="G60" s="225"/>
      <c r="H60" s="225"/>
      <c r="I60" s="225"/>
      <c r="J60" s="225"/>
      <c r="K60" s="821" t="s">
        <v>651</v>
      </c>
      <c r="L60" s="823">
        <v>11043</v>
      </c>
      <c r="M60" s="824">
        <v>10712</v>
      </c>
      <c r="N60" s="824">
        <v>11761</v>
      </c>
      <c r="O60" s="824">
        <v>12382</v>
      </c>
      <c r="P60" s="824">
        <v>12069</v>
      </c>
      <c r="Q60" s="225"/>
      <c r="R60" s="821" t="s">
        <v>651</v>
      </c>
      <c r="S60" s="831">
        <v>11043</v>
      </c>
      <c r="T60" s="832">
        <v>10712</v>
      </c>
      <c r="U60" s="832">
        <v>11761</v>
      </c>
      <c r="V60" s="832">
        <v>12382</v>
      </c>
      <c r="W60" s="832">
        <v>12069</v>
      </c>
      <c r="X60" s="225"/>
      <c r="Y60" s="225"/>
      <c r="Z60" s="225"/>
      <c r="AA60" s="225"/>
      <c r="AB60" s="225"/>
      <c r="AC60" s="225"/>
    </row>
    <row r="61" spans="1:29" ht="15.75" thickBot="1">
      <c r="A61" s="225"/>
      <c r="B61" s="225"/>
      <c r="C61" s="225"/>
      <c r="D61" s="225"/>
      <c r="E61" s="225"/>
      <c r="F61" s="225"/>
      <c r="G61" s="225"/>
      <c r="H61" s="225"/>
      <c r="I61" s="225"/>
      <c r="J61" s="225"/>
      <c r="K61" s="822" t="s">
        <v>652</v>
      </c>
      <c r="L61" s="825">
        <f>L60*L59</f>
        <v>0</v>
      </c>
      <c r="M61" s="825">
        <f t="shared" ref="M61:P61" si="28">M60*M59</f>
        <v>0</v>
      </c>
      <c r="N61" s="825">
        <f t="shared" si="28"/>
        <v>0</v>
      </c>
      <c r="O61" s="825">
        <f t="shared" si="28"/>
        <v>0</v>
      </c>
      <c r="P61" s="825">
        <f t="shared" si="28"/>
        <v>0</v>
      </c>
      <c r="Q61" s="225"/>
      <c r="R61" s="822" t="s">
        <v>652</v>
      </c>
      <c r="S61" s="836">
        <v>26304426</v>
      </c>
      <c r="T61" s="837">
        <v>37417016</v>
      </c>
      <c r="U61" s="837">
        <v>47243937</v>
      </c>
      <c r="V61" s="837">
        <v>62170022</v>
      </c>
      <c r="W61" s="837">
        <v>66669156</v>
      </c>
      <c r="X61" s="225"/>
      <c r="Y61" s="225"/>
      <c r="Z61" s="225"/>
      <c r="AA61" s="225"/>
      <c r="AB61" s="225"/>
      <c r="AC61" s="225"/>
    </row>
    <row r="62" spans="1:29">
      <c r="A62" s="225"/>
      <c r="B62" s="225"/>
      <c r="C62" s="827"/>
      <c r="D62" s="827"/>
      <c r="E62" s="827"/>
      <c r="F62" s="827"/>
      <c r="G62" s="827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</row>
    <row r="63" spans="1:29">
      <c r="A63" s="225"/>
      <c r="B63" s="225"/>
      <c r="C63" s="828"/>
      <c r="D63" s="828"/>
      <c r="E63" s="828"/>
      <c r="F63" s="828"/>
      <c r="G63" s="828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</row>
    <row r="64" spans="1:29">
      <c r="A64" s="225"/>
      <c r="B64" s="225"/>
      <c r="C64" s="223"/>
      <c r="D64" s="223"/>
      <c r="E64" s="223"/>
      <c r="F64" s="223"/>
      <c r="G64" s="223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</row>
    <row r="65" spans="1:29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</row>
    <row r="66" spans="1:29">
      <c r="A66" s="225"/>
      <c r="B66" s="302"/>
      <c r="C66" s="225"/>
      <c r="D66" s="225"/>
      <c r="E66" s="225"/>
      <c r="F66" s="225"/>
      <c r="G66" s="225"/>
      <c r="H66" s="225"/>
      <c r="I66" s="225"/>
      <c r="J66" s="225"/>
      <c r="K66" s="225"/>
      <c r="L66" s="557"/>
      <c r="M66" s="225"/>
      <c r="N66" s="225"/>
      <c r="O66" s="225"/>
      <c r="P66" s="225"/>
      <c r="Q66" s="225"/>
      <c r="R66" s="225"/>
      <c r="S66" s="557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</row>
    <row r="67" spans="1:29">
      <c r="A67" s="225"/>
      <c r="B67" s="302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</row>
    <row r="68" spans="1:29">
      <c r="A68" s="225"/>
      <c r="B68" s="302"/>
      <c r="C68" s="225"/>
      <c r="D68" s="225"/>
      <c r="E68" s="225"/>
      <c r="F68" s="225"/>
      <c r="G68" s="225"/>
      <c r="H68" s="555"/>
      <c r="I68" s="225"/>
      <c r="J68" s="225"/>
      <c r="K68" s="555"/>
      <c r="L68" s="225"/>
      <c r="M68" s="225"/>
      <c r="N68" s="555"/>
      <c r="O68" s="225"/>
      <c r="P68" s="225"/>
      <c r="Q68" s="555"/>
      <c r="R68" s="555"/>
      <c r="S68" s="225"/>
      <c r="T68" s="225"/>
      <c r="U68" s="555"/>
      <c r="V68" s="225"/>
      <c r="W68" s="225"/>
      <c r="X68" s="225"/>
      <c r="Y68" s="225"/>
      <c r="Z68" s="225"/>
      <c r="AA68" s="225"/>
      <c r="AB68" s="225"/>
      <c r="AC68" s="225"/>
    </row>
    <row r="69" spans="1:29">
      <c r="A69" s="225"/>
      <c r="B69" s="302"/>
      <c r="C69" s="225"/>
      <c r="D69" s="225"/>
      <c r="E69" s="225"/>
      <c r="F69" s="302"/>
      <c r="G69" s="225"/>
      <c r="H69" s="558"/>
      <c r="I69" s="225"/>
      <c r="J69" s="225"/>
      <c r="K69" s="559"/>
      <c r="L69" s="225"/>
      <c r="M69" s="225"/>
      <c r="N69" s="559"/>
      <c r="O69" s="225"/>
      <c r="P69" s="225"/>
      <c r="Q69" s="559"/>
      <c r="R69" s="559"/>
      <c r="S69" s="225"/>
      <c r="T69" s="225"/>
      <c r="U69" s="559"/>
      <c r="V69" s="225"/>
      <c r="W69" s="225"/>
      <c r="X69" s="225"/>
      <c r="Y69" s="225"/>
      <c r="Z69" s="225"/>
      <c r="AA69" s="225"/>
      <c r="AB69" s="225"/>
      <c r="AC69" s="225"/>
    </row>
    <row r="70" spans="1:29">
      <c r="A70" s="225"/>
      <c r="B70" s="302"/>
      <c r="C70" s="225"/>
      <c r="D70" s="225"/>
      <c r="E70" s="225"/>
      <c r="F70" s="302"/>
      <c r="G70" s="560"/>
      <c r="H70" s="561"/>
      <c r="I70" s="562"/>
      <c r="J70" s="225"/>
      <c r="K70" s="559"/>
      <c r="L70" s="562"/>
      <c r="M70" s="225"/>
      <c r="N70" s="559"/>
      <c r="O70" s="562"/>
      <c r="P70" s="225"/>
      <c r="Q70" s="559"/>
      <c r="R70" s="559"/>
      <c r="S70" s="562"/>
      <c r="T70" s="225"/>
      <c r="U70" s="559"/>
      <c r="V70" s="562"/>
      <c r="W70" s="225"/>
      <c r="X70" s="225"/>
      <c r="Y70" s="225"/>
      <c r="Z70" s="225"/>
      <c r="AA70" s="225"/>
      <c r="AB70" s="225"/>
      <c r="AC70" s="225"/>
    </row>
    <row r="71" spans="1:29">
      <c r="A71" s="225"/>
      <c r="B71" s="302"/>
      <c r="C71" s="225"/>
      <c r="D71" s="225"/>
      <c r="E71" s="225"/>
      <c r="F71" s="302"/>
      <c r="G71" s="560"/>
      <c r="H71" s="559"/>
      <c r="I71" s="562"/>
      <c r="J71" s="225"/>
      <c r="K71" s="223"/>
      <c r="L71" s="562"/>
      <c r="M71" s="225"/>
      <c r="N71" s="559"/>
      <c r="O71" s="562"/>
      <c r="P71" s="225"/>
      <c r="Q71" s="559"/>
      <c r="R71" s="223"/>
      <c r="S71" s="562"/>
      <c r="T71" s="225"/>
      <c r="U71" s="559"/>
      <c r="V71" s="562"/>
      <c r="W71" s="225"/>
      <c r="X71" s="225"/>
      <c r="Y71" s="225"/>
      <c r="Z71" s="225"/>
      <c r="AA71" s="225"/>
      <c r="AB71" s="225"/>
      <c r="AC71" s="225"/>
    </row>
    <row r="72" spans="1:29">
      <c r="A72" s="225"/>
      <c r="B72" s="302"/>
      <c r="C72" s="225"/>
      <c r="D72" s="225"/>
      <c r="E72" s="225"/>
      <c r="F72" s="302"/>
      <c r="G72" s="560"/>
      <c r="H72" s="559"/>
      <c r="I72" s="562"/>
      <c r="J72" s="225"/>
      <c r="K72" s="559"/>
      <c r="L72" s="562"/>
      <c r="M72" s="225"/>
      <c r="N72" s="559"/>
      <c r="O72" s="562"/>
      <c r="P72" s="225"/>
      <c r="Q72" s="559"/>
      <c r="R72" s="852"/>
      <c r="S72" s="853" t="s">
        <v>372</v>
      </c>
      <c r="T72" s="852"/>
      <c r="U72" s="853" t="s">
        <v>372</v>
      </c>
      <c r="V72" s="856" t="s">
        <v>461</v>
      </c>
      <c r="W72" s="857" t="s">
        <v>659</v>
      </c>
      <c r="X72" s="225"/>
      <c r="Y72" s="225"/>
      <c r="Z72" s="225"/>
      <c r="AA72" s="225"/>
      <c r="AB72" s="225"/>
      <c r="AC72" s="225"/>
    </row>
    <row r="73" spans="1:29">
      <c r="A73" s="225"/>
      <c r="B73" s="302"/>
      <c r="C73" s="225"/>
      <c r="D73" s="225"/>
      <c r="E73" s="225"/>
      <c r="F73" s="302"/>
      <c r="G73" s="560"/>
      <c r="H73" s="559"/>
      <c r="I73" s="562"/>
      <c r="J73" s="225"/>
      <c r="K73" s="559"/>
      <c r="L73" s="562"/>
      <c r="M73" s="225"/>
      <c r="N73" s="559"/>
      <c r="O73" s="562"/>
      <c r="P73" s="225"/>
      <c r="Q73" s="559"/>
      <c r="R73" s="854" t="s">
        <v>461</v>
      </c>
      <c r="S73" s="855" t="s">
        <v>659</v>
      </c>
      <c r="T73" s="854" t="s">
        <v>461</v>
      </c>
      <c r="U73" s="855" t="s">
        <v>659</v>
      </c>
      <c r="V73" s="854" t="s">
        <v>460</v>
      </c>
      <c r="W73" s="855" t="s">
        <v>659</v>
      </c>
      <c r="X73" s="225"/>
      <c r="Y73" s="225"/>
      <c r="Z73" s="225"/>
      <c r="AA73" s="225"/>
      <c r="AB73" s="225"/>
      <c r="AC73" s="225"/>
    </row>
    <row r="74" spans="1:29">
      <c r="A74" s="225"/>
      <c r="B74" s="302"/>
      <c r="C74" s="225"/>
      <c r="D74" s="225"/>
      <c r="E74" s="225"/>
      <c r="F74" s="302"/>
      <c r="G74" s="225"/>
      <c r="H74" s="559"/>
      <c r="I74" s="562"/>
      <c r="J74" s="225"/>
      <c r="K74" s="223"/>
      <c r="L74" s="562"/>
      <c r="M74" s="225"/>
      <c r="N74" s="559"/>
      <c r="O74" s="562"/>
      <c r="P74" s="225"/>
      <c r="Q74" s="559"/>
      <c r="R74" s="854" t="s">
        <v>460</v>
      </c>
      <c r="S74" s="855" t="s">
        <v>659</v>
      </c>
      <c r="T74" s="854" t="s">
        <v>460</v>
      </c>
      <c r="U74" s="855" t="s">
        <v>659</v>
      </c>
      <c r="V74" s="854" t="s">
        <v>459</v>
      </c>
      <c r="W74" s="855" t="s">
        <v>659</v>
      </c>
      <c r="X74" s="225"/>
      <c r="Y74" s="225"/>
      <c r="Z74" s="225"/>
      <c r="AA74" s="225"/>
      <c r="AB74" s="225"/>
      <c r="AC74" s="225"/>
    </row>
    <row r="75" spans="1:29">
      <c r="A75" s="225"/>
      <c r="B75" s="556"/>
      <c r="C75" s="225"/>
      <c r="D75" s="225"/>
      <c r="E75" s="555"/>
      <c r="F75" s="556"/>
      <c r="G75" s="225"/>
      <c r="H75" s="559"/>
      <c r="I75" s="559"/>
      <c r="J75" s="559"/>
      <c r="K75" s="559"/>
      <c r="L75" s="559"/>
      <c r="M75" s="559"/>
      <c r="N75" s="559"/>
      <c r="O75" s="559"/>
      <c r="P75" s="559"/>
      <c r="Q75" s="559"/>
      <c r="R75" s="854" t="s">
        <v>459</v>
      </c>
      <c r="S75" s="855" t="s">
        <v>659</v>
      </c>
      <c r="T75" s="854" t="s">
        <v>459</v>
      </c>
      <c r="U75" s="855" t="s">
        <v>659</v>
      </c>
      <c r="V75" s="854" t="s">
        <v>458</v>
      </c>
      <c r="W75" s="855">
        <v>1534977</v>
      </c>
      <c r="X75" s="225"/>
      <c r="Y75" s="225"/>
      <c r="Z75" s="225"/>
      <c r="AA75" s="225"/>
      <c r="AB75" s="225"/>
      <c r="AC75" s="225"/>
    </row>
    <row r="76" spans="1:29">
      <c r="A76" s="225"/>
      <c r="B76" s="225"/>
      <c r="C76" s="225"/>
      <c r="D76" s="225"/>
      <c r="E76" s="225"/>
      <c r="F76" s="225"/>
      <c r="G76" s="563"/>
      <c r="H76" s="559"/>
      <c r="I76" s="225"/>
      <c r="J76" s="225"/>
      <c r="K76" s="225"/>
      <c r="L76" s="225"/>
      <c r="M76" s="225"/>
      <c r="N76" s="225"/>
      <c r="O76" s="225"/>
      <c r="P76" s="225"/>
      <c r="Q76" s="225"/>
      <c r="R76" s="854" t="s">
        <v>458</v>
      </c>
      <c r="S76" s="855">
        <v>5387760</v>
      </c>
      <c r="T76" s="854" t="s">
        <v>458</v>
      </c>
      <c r="U76" s="855">
        <v>4267200</v>
      </c>
      <c r="V76" s="854" t="s">
        <v>457</v>
      </c>
      <c r="W76" s="855">
        <v>1546020</v>
      </c>
      <c r="X76" s="225"/>
      <c r="Y76" s="225"/>
      <c r="Z76" s="225"/>
      <c r="AA76" s="225"/>
      <c r="AB76" s="225"/>
      <c r="AC76" s="225"/>
    </row>
    <row r="77" spans="1:29">
      <c r="A77" s="299"/>
      <c r="B77" s="225"/>
      <c r="C77" s="225"/>
      <c r="D77" s="225"/>
      <c r="E77" s="225"/>
      <c r="F77" s="556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854" t="s">
        <v>457</v>
      </c>
      <c r="S77" s="855">
        <v>5387760</v>
      </c>
      <c r="T77" s="854" t="s">
        <v>457</v>
      </c>
      <c r="U77" s="855">
        <v>4267200</v>
      </c>
      <c r="V77" s="854" t="s">
        <v>456</v>
      </c>
      <c r="W77" s="855">
        <v>2584062</v>
      </c>
      <c r="X77" s="225"/>
      <c r="Y77" s="225"/>
      <c r="Z77" s="225"/>
      <c r="AA77" s="225"/>
      <c r="AB77" s="225"/>
      <c r="AC77" s="225"/>
    </row>
    <row r="78" spans="1:29">
      <c r="A78" s="299"/>
      <c r="B78" s="556"/>
      <c r="C78" s="225"/>
      <c r="D78" s="225"/>
      <c r="E78" s="225"/>
      <c r="F78" s="225"/>
      <c r="G78" s="225"/>
      <c r="H78" s="225"/>
      <c r="I78" s="225"/>
      <c r="J78" s="225"/>
      <c r="K78" s="225"/>
      <c r="L78" s="563"/>
      <c r="M78" s="225"/>
      <c r="N78" s="225"/>
      <c r="O78" s="225"/>
      <c r="P78" s="225"/>
      <c r="Q78" s="225"/>
      <c r="R78" s="854" t="s">
        <v>456</v>
      </c>
      <c r="S78" s="855">
        <v>8986014</v>
      </c>
      <c r="T78" s="854" t="s">
        <v>456</v>
      </c>
      <c r="U78" s="855">
        <v>7114032</v>
      </c>
      <c r="V78" s="854" t="s">
        <v>455</v>
      </c>
      <c r="W78" s="855">
        <v>2584062</v>
      </c>
      <c r="X78" s="225"/>
      <c r="Y78" s="225"/>
      <c r="Z78" s="225"/>
      <c r="AA78" s="225"/>
      <c r="AB78" s="225"/>
      <c r="AC78" s="225"/>
    </row>
    <row r="79" spans="1:29">
      <c r="A79" s="299"/>
      <c r="B79" s="556"/>
      <c r="C79" s="225"/>
      <c r="D79" s="225"/>
      <c r="E79" s="225"/>
      <c r="F79" s="225"/>
      <c r="G79" s="225"/>
      <c r="H79" s="223"/>
      <c r="I79" s="225"/>
      <c r="J79" s="225"/>
      <c r="K79" s="225"/>
      <c r="L79" s="562"/>
      <c r="M79" s="225"/>
      <c r="N79" s="225"/>
      <c r="O79" s="225"/>
      <c r="P79" s="225"/>
      <c r="Q79" s="225"/>
      <c r="R79" s="854" t="s">
        <v>455</v>
      </c>
      <c r="S79" s="855">
        <v>8986014</v>
      </c>
      <c r="T79" s="854" t="s">
        <v>455</v>
      </c>
      <c r="U79" s="855">
        <v>7114032</v>
      </c>
      <c r="V79" s="854" t="s">
        <v>454</v>
      </c>
      <c r="W79" s="855">
        <v>2584062</v>
      </c>
      <c r="X79" s="225"/>
      <c r="Y79" s="225"/>
      <c r="Z79" s="225"/>
      <c r="AA79" s="225"/>
      <c r="AB79" s="225"/>
      <c r="AC79" s="225"/>
    </row>
    <row r="80" spans="1:29">
      <c r="A80" s="299"/>
      <c r="B80" s="556"/>
      <c r="C80" s="225"/>
      <c r="D80" s="225"/>
      <c r="E80" s="225"/>
      <c r="F80" s="225"/>
      <c r="G80" s="556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854" t="s">
        <v>454</v>
      </c>
      <c r="S80" s="855">
        <v>8986014</v>
      </c>
      <c r="T80" s="854" t="s">
        <v>454</v>
      </c>
      <c r="U80" s="855">
        <v>7114032</v>
      </c>
      <c r="V80" s="854" t="s">
        <v>453</v>
      </c>
      <c r="W80" s="855">
        <v>2584062</v>
      </c>
      <c r="X80" s="225"/>
      <c r="Y80" s="225"/>
      <c r="Z80" s="225"/>
      <c r="AA80" s="225"/>
      <c r="AB80" s="225"/>
      <c r="AC80" s="225"/>
    </row>
    <row r="81" spans="1:29">
      <c r="A81" s="225"/>
      <c r="B81" s="225"/>
      <c r="C81" s="225"/>
      <c r="D81" s="225"/>
      <c r="E81" s="225"/>
      <c r="F81" s="225"/>
      <c r="G81" s="556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854" t="s">
        <v>453</v>
      </c>
      <c r="S81" s="855">
        <v>8986014</v>
      </c>
      <c r="T81" s="854" t="s">
        <v>453</v>
      </c>
      <c r="U81" s="855">
        <v>7114032</v>
      </c>
      <c r="V81" s="854" t="s">
        <v>452</v>
      </c>
      <c r="W81" s="855">
        <v>3611061</v>
      </c>
      <c r="X81" s="225"/>
      <c r="Y81" s="225"/>
      <c r="Z81" s="225"/>
      <c r="AA81" s="225"/>
      <c r="AB81" s="225"/>
      <c r="AC81" s="225"/>
    </row>
    <row r="82" spans="1:29">
      <c r="A82" s="225"/>
      <c r="B82" s="225"/>
      <c r="C82" s="225"/>
      <c r="D82" s="225"/>
      <c r="E82" s="225"/>
      <c r="F82" s="225"/>
      <c r="G82" s="225"/>
      <c r="H82" s="225"/>
      <c r="I82" s="225"/>
      <c r="J82" s="225"/>
      <c r="K82" s="223"/>
      <c r="L82" s="225"/>
      <c r="M82" s="225"/>
      <c r="N82" s="225"/>
      <c r="O82" s="225"/>
      <c r="P82" s="225"/>
      <c r="Q82" s="225"/>
      <c r="R82" s="854" t="s">
        <v>452</v>
      </c>
      <c r="S82" s="855">
        <v>12584268</v>
      </c>
      <c r="T82" s="854" t="s">
        <v>452</v>
      </c>
      <c r="U82" s="855">
        <v>9960864</v>
      </c>
      <c r="V82" s="854" t="s">
        <v>451</v>
      </c>
      <c r="W82" s="855">
        <v>4638060</v>
      </c>
      <c r="X82" s="225"/>
      <c r="Y82" s="225"/>
      <c r="Z82" s="225"/>
      <c r="AA82" s="225"/>
      <c r="AB82" s="225"/>
      <c r="AC82" s="225"/>
    </row>
    <row r="83" spans="1:29">
      <c r="A83" s="225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854" t="s">
        <v>451</v>
      </c>
      <c r="S83" s="855">
        <v>16172901</v>
      </c>
      <c r="T83" s="854" t="s">
        <v>451</v>
      </c>
      <c r="U83" s="855">
        <v>12807696</v>
      </c>
      <c r="V83" s="854" t="s">
        <v>450</v>
      </c>
      <c r="W83" s="855">
        <v>4638060</v>
      </c>
      <c r="X83" s="225"/>
      <c r="Y83" s="225"/>
      <c r="Z83" s="225"/>
      <c r="AA83" s="225"/>
      <c r="AB83" s="225"/>
      <c r="AC83" s="225"/>
    </row>
    <row r="84" spans="1:29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854" t="s">
        <v>450</v>
      </c>
      <c r="S84" s="855">
        <v>16182522</v>
      </c>
      <c r="T84" s="854" t="s">
        <v>450</v>
      </c>
      <c r="U84" s="855">
        <v>12832080</v>
      </c>
      <c r="V84" s="225"/>
      <c r="W84" s="225"/>
      <c r="X84" s="225"/>
      <c r="Y84" s="225"/>
      <c r="Z84" s="225"/>
      <c r="AA84" s="225"/>
      <c r="AB84" s="225"/>
      <c r="AC84" s="225"/>
    </row>
    <row r="85" spans="1:29">
      <c r="A85" s="225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</row>
    <row r="86" spans="1:29">
      <c r="A86" s="225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</row>
    <row r="87" spans="1:29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</row>
    <row r="88" spans="1:29">
      <c r="A88" s="225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3">
        <f>S76+S77+U76+U77+W75+W76</f>
        <v>22390917</v>
      </c>
      <c r="T88" s="225"/>
      <c r="U88" s="225"/>
      <c r="V88" s="225"/>
      <c r="W88" s="225"/>
      <c r="X88" s="225"/>
      <c r="Y88" s="225"/>
      <c r="Z88" s="225"/>
      <c r="AA88" s="225"/>
      <c r="AB88" s="225"/>
      <c r="AC88" s="225"/>
    </row>
    <row r="89" spans="1:29">
      <c r="A89" s="225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3">
        <f>S78+S79+S80+S81+S82+U78+U79+U80+U81+U82+W77+W78+W79+W80+W81</f>
        <v>100892625</v>
      </c>
      <c r="T89" s="225"/>
      <c r="U89" s="225"/>
      <c r="V89" s="225"/>
      <c r="W89" s="225"/>
      <c r="X89" s="225"/>
      <c r="Y89" s="225"/>
      <c r="Z89" s="225"/>
      <c r="AA89" s="225"/>
      <c r="AB89" s="225"/>
      <c r="AC89" s="225"/>
    </row>
    <row r="90" spans="1:29">
      <c r="A90" s="225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3">
        <f>S83+S84+U83+U84+W83+W82</f>
        <v>67271319</v>
      </c>
      <c r="T90" s="225"/>
      <c r="U90" s="225"/>
      <c r="V90" s="225"/>
      <c r="W90" s="225"/>
      <c r="X90" s="225"/>
      <c r="Y90" s="225"/>
      <c r="Z90" s="225"/>
      <c r="AA90" s="225"/>
      <c r="AB90" s="225"/>
      <c r="AC90" s="225"/>
    </row>
    <row r="91" spans="1:29">
      <c r="A91" s="225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3">
        <f>SUM(S88:S90)</f>
        <v>190554861</v>
      </c>
      <c r="T91" s="225"/>
      <c r="U91" s="225"/>
      <c r="V91" s="225"/>
      <c r="W91" s="225"/>
      <c r="X91" s="225"/>
      <c r="Y91" s="225"/>
      <c r="Z91" s="225"/>
      <c r="AA91" s="225"/>
      <c r="AB91" s="225"/>
      <c r="AC91" s="225"/>
    </row>
    <row r="92" spans="1:29">
      <c r="A92" s="225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</row>
  </sheetData>
  <mergeCells count="7">
    <mergeCell ref="B28:G28"/>
    <mergeCell ref="B37:G37"/>
    <mergeCell ref="K6:P6"/>
    <mergeCell ref="R6:W6"/>
    <mergeCell ref="B6:G6"/>
    <mergeCell ref="B13:G13"/>
    <mergeCell ref="B20:G20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K40"/>
  <sheetViews>
    <sheetView workbookViewId="0">
      <selection activeCell="E16" sqref="E16"/>
    </sheetView>
  </sheetViews>
  <sheetFormatPr baseColWidth="10" defaultRowHeight="15"/>
  <cols>
    <col min="1" max="1" width="42.5703125" style="216" customWidth="1"/>
    <col min="2" max="2" width="11.42578125" style="216"/>
    <col min="3" max="3" width="22.28515625" style="216" customWidth="1"/>
    <col min="4" max="4" width="17.140625" style="216" customWidth="1"/>
    <col min="5" max="5" width="18.5703125" style="216" customWidth="1"/>
    <col min="6" max="6" width="37.7109375" style="216" customWidth="1"/>
    <col min="7" max="7" width="11.140625" style="216" customWidth="1"/>
    <col min="8" max="8" width="22.28515625" style="216" customWidth="1"/>
    <col min="9" max="9" width="23.5703125" style="219" customWidth="1"/>
    <col min="10" max="10" width="18.28515625" style="216" customWidth="1"/>
    <col min="11" max="11" width="15.5703125" style="216" customWidth="1"/>
    <col min="12" max="16384" width="11.42578125" style="216"/>
  </cols>
  <sheetData>
    <row r="2" spans="1:11">
      <c r="A2" s="921" t="s">
        <v>660</v>
      </c>
      <c r="B2" s="921"/>
      <c r="C2" s="921"/>
      <c r="D2" s="921"/>
      <c r="F2" s="921" t="s">
        <v>473</v>
      </c>
      <c r="G2" s="921"/>
      <c r="H2" s="921"/>
      <c r="I2" s="921"/>
    </row>
    <row r="3" spans="1:11" ht="15.75" thickBot="1"/>
    <row r="4" spans="1:11">
      <c r="A4" s="325" t="s">
        <v>354</v>
      </c>
      <c r="B4" s="324" t="s">
        <v>347</v>
      </c>
      <c r="C4" s="324" t="s">
        <v>468</v>
      </c>
      <c r="D4" s="323" t="s">
        <v>446</v>
      </c>
      <c r="F4" s="341" t="s">
        <v>349</v>
      </c>
      <c r="G4" s="324" t="s">
        <v>347</v>
      </c>
      <c r="H4" s="324" t="s">
        <v>468</v>
      </c>
      <c r="I4" s="323" t="s">
        <v>446</v>
      </c>
    </row>
    <row r="5" spans="1:11">
      <c r="A5" s="867"/>
      <c r="B5" s="275"/>
      <c r="C5" s="321"/>
      <c r="D5" s="339"/>
      <c r="E5" s="351"/>
      <c r="F5" s="340" t="s">
        <v>472</v>
      </c>
      <c r="G5" s="275">
        <v>2</v>
      </c>
      <c r="H5" s="321">
        <v>1500000</v>
      </c>
      <c r="I5" s="339">
        <f>G5*H5</f>
        <v>3000000</v>
      </c>
    </row>
    <row r="6" spans="1:11">
      <c r="A6" s="466"/>
      <c r="B6" s="275"/>
      <c r="C6" s="321"/>
      <c r="D6" s="339"/>
      <c r="E6" s="351"/>
      <c r="F6" s="355" t="s">
        <v>471</v>
      </c>
      <c r="G6" s="354">
        <v>1</v>
      </c>
      <c r="H6" s="353">
        <v>500000</v>
      </c>
      <c r="I6" s="352">
        <v>500000</v>
      </c>
    </row>
    <row r="7" spans="1:11" ht="15.75" thickBot="1">
      <c r="A7" s="349"/>
      <c r="B7" s="275"/>
      <c r="C7" s="321"/>
      <c r="D7" s="339"/>
      <c r="E7" s="351"/>
      <c r="F7" s="337" t="s">
        <v>352</v>
      </c>
      <c r="G7" s="317"/>
      <c r="H7" s="327"/>
      <c r="I7" s="316">
        <f>SUM(I5:I6)</f>
        <v>3500000</v>
      </c>
      <c r="K7" s="219"/>
    </row>
    <row r="8" spans="1:11">
      <c r="A8" s="349"/>
      <c r="B8" s="275"/>
      <c r="C8" s="348"/>
      <c r="D8" s="319"/>
      <c r="F8" s="331" t="s">
        <v>348</v>
      </c>
      <c r="G8" s="324" t="s">
        <v>347</v>
      </c>
      <c r="H8" s="324" t="s">
        <v>468</v>
      </c>
      <c r="I8" s="323" t="s">
        <v>446</v>
      </c>
      <c r="J8" s="350"/>
      <c r="K8" s="298"/>
    </row>
    <row r="9" spans="1:11">
      <c r="A9" s="349"/>
      <c r="B9" s="275"/>
      <c r="C9" s="348"/>
      <c r="D9" s="319"/>
      <c r="F9" s="276" t="s">
        <v>470</v>
      </c>
      <c r="G9" s="275">
        <v>1</v>
      </c>
      <c r="H9" s="329">
        <v>250000</v>
      </c>
      <c r="I9" s="330">
        <f>H9*G9</f>
        <v>250000</v>
      </c>
      <c r="K9" s="302"/>
    </row>
    <row r="10" spans="1:11" ht="15.75" thickBot="1">
      <c r="A10" s="347" t="s">
        <v>355</v>
      </c>
      <c r="B10" s="346"/>
      <c r="C10" s="346"/>
      <c r="D10" s="345">
        <f>SUM(D5:D9)</f>
        <v>0</v>
      </c>
      <c r="F10" s="276"/>
      <c r="G10" s="275"/>
      <c r="H10" s="329"/>
      <c r="I10" s="328"/>
      <c r="K10" s="302"/>
    </row>
    <row r="11" spans="1:11" ht="15.75" thickBot="1">
      <c r="A11" s="344"/>
      <c r="B11" s="343"/>
      <c r="C11" s="343"/>
      <c r="D11" s="342"/>
      <c r="E11" s="289"/>
      <c r="F11" s="276"/>
      <c r="G11" s="275"/>
      <c r="H11" s="329"/>
      <c r="I11" s="328"/>
      <c r="K11" s="219"/>
    </row>
    <row r="12" spans="1:11" ht="15.75" thickBot="1">
      <c r="A12" s="341" t="s">
        <v>349</v>
      </c>
      <c r="B12" s="324" t="s">
        <v>347</v>
      </c>
      <c r="C12" s="324" t="s">
        <v>468</v>
      </c>
      <c r="D12" s="323" t="s">
        <v>446</v>
      </c>
      <c r="E12" s="289"/>
      <c r="F12" s="318" t="s">
        <v>353</v>
      </c>
      <c r="G12" s="317"/>
      <c r="H12" s="327"/>
      <c r="I12" s="316">
        <f>SUM(I9:I11)</f>
        <v>250000</v>
      </c>
      <c r="K12" s="286"/>
    </row>
    <row r="13" spans="1:11">
      <c r="A13" s="1030"/>
      <c r="B13" s="275"/>
      <c r="C13" s="321"/>
      <c r="D13" s="339"/>
      <c r="E13" s="289"/>
      <c r="G13" s="338"/>
    </row>
    <row r="14" spans="1:11">
      <c r="A14" s="873"/>
      <c r="B14" s="354"/>
      <c r="C14" s="353"/>
      <c r="D14" s="339"/>
      <c r="E14" s="289"/>
      <c r="G14" s="338"/>
    </row>
    <row r="15" spans="1:11">
      <c r="A15" s="866"/>
      <c r="B15" s="354"/>
      <c r="C15" s="353"/>
      <c r="D15" s="352"/>
      <c r="E15" s="289"/>
      <c r="G15" s="338"/>
    </row>
    <row r="16" spans="1:11" ht="15.75" thickBot="1">
      <c r="A16" s="337" t="s">
        <v>352</v>
      </c>
      <c r="B16" s="317"/>
      <c r="C16" s="327"/>
      <c r="D16" s="316">
        <f>SUM(D13:D15)</f>
        <v>0</v>
      </c>
      <c r="E16" s="221">
        <f>D16+I7</f>
        <v>3500000</v>
      </c>
      <c r="F16" s="295"/>
    </row>
    <row r="17" spans="1:10" s="234" customFormat="1" ht="15.75" thickBot="1">
      <c r="A17" s="336"/>
      <c r="B17" s="335"/>
      <c r="C17" s="334"/>
      <c r="D17" s="333"/>
      <c r="E17" s="332"/>
      <c r="F17" s="300"/>
      <c r="I17" s="284"/>
    </row>
    <row r="18" spans="1:10">
      <c r="A18" s="331" t="s">
        <v>348</v>
      </c>
      <c r="B18" s="324" t="s">
        <v>347</v>
      </c>
      <c r="C18" s="324" t="s">
        <v>468</v>
      </c>
      <c r="D18" s="323" t="s">
        <v>446</v>
      </c>
      <c r="E18" s="286">
        <f>D22+I12</f>
        <v>250000</v>
      </c>
      <c r="G18" s="311"/>
      <c r="H18" s="253"/>
      <c r="I18" s="298"/>
      <c r="J18" s="255"/>
    </row>
    <row r="19" spans="1:10">
      <c r="A19" s="276"/>
      <c r="B19" s="275"/>
      <c r="C19" s="329"/>
      <c r="D19" s="330"/>
      <c r="E19" s="253"/>
    </row>
    <row r="20" spans="1:10">
      <c r="A20" s="276"/>
      <c r="B20" s="275"/>
      <c r="C20" s="329"/>
      <c r="D20" s="328"/>
      <c r="E20" s="313"/>
    </row>
    <row r="21" spans="1:10">
      <c r="A21" s="276"/>
      <c r="B21" s="275"/>
      <c r="C21" s="329"/>
      <c r="D21" s="328"/>
      <c r="E21" s="313"/>
    </row>
    <row r="22" spans="1:10" ht="15.75" thickBot="1">
      <c r="A22" s="318" t="s">
        <v>353</v>
      </c>
      <c r="B22" s="317"/>
      <c r="C22" s="327"/>
      <c r="D22" s="316">
        <f>SUM(D19:D21)</f>
        <v>0</v>
      </c>
      <c r="E22" s="253"/>
    </row>
    <row r="23" spans="1:10">
      <c r="A23" s="326"/>
      <c r="B23" s="253"/>
      <c r="C23" s="255"/>
      <c r="D23" s="313"/>
      <c r="E23" s="253"/>
      <c r="G23" s="326"/>
      <c r="H23" s="253"/>
      <c r="I23" s="298"/>
      <c r="J23" s="253"/>
    </row>
    <row r="24" spans="1:10" ht="15.75" thickBot="1">
      <c r="A24" s="326"/>
      <c r="B24" s="253"/>
      <c r="C24" s="253"/>
      <c r="D24" s="313"/>
      <c r="E24" s="253"/>
      <c r="G24" s="253"/>
      <c r="H24" s="253"/>
      <c r="I24" s="298"/>
      <c r="J24" s="253"/>
    </row>
    <row r="25" spans="1:10">
      <c r="A25" s="325" t="s">
        <v>469</v>
      </c>
      <c r="B25" s="324" t="s">
        <v>347</v>
      </c>
      <c r="C25" s="324" t="s">
        <v>468</v>
      </c>
      <c r="D25" s="323" t="s">
        <v>446</v>
      </c>
      <c r="E25" s="255"/>
      <c r="G25" s="253"/>
      <c r="H25" s="253"/>
      <c r="I25" s="298"/>
      <c r="J25" s="253"/>
    </row>
    <row r="26" spans="1:10">
      <c r="A26" s="322"/>
      <c r="B26" s="275"/>
      <c r="C26" s="321"/>
      <c r="D26" s="319"/>
      <c r="E26" s="313"/>
      <c r="G26" s="320"/>
      <c r="H26" s="253"/>
      <c r="I26" s="298"/>
      <c r="J26" s="298"/>
    </row>
    <row r="27" spans="1:10">
      <c r="A27" s="276"/>
      <c r="B27" s="275"/>
      <c r="C27" s="275"/>
      <c r="D27" s="319"/>
      <c r="E27" s="313"/>
      <c r="G27" s="253"/>
      <c r="H27" s="253"/>
      <c r="I27" s="298"/>
      <c r="J27" s="314"/>
    </row>
    <row r="28" spans="1:10" ht="15.75" thickBot="1">
      <c r="A28" s="318" t="s">
        <v>467</v>
      </c>
      <c r="B28" s="317"/>
      <c r="C28" s="317"/>
      <c r="D28" s="316">
        <f>SUM(D26:D27)</f>
        <v>0</v>
      </c>
      <c r="E28" s="313"/>
      <c r="G28" s="253"/>
      <c r="H28" s="253"/>
      <c r="I28" s="298"/>
      <c r="J28" s="314"/>
    </row>
    <row r="29" spans="1:10">
      <c r="A29" s="253"/>
      <c r="B29" s="253"/>
      <c r="C29" s="253"/>
      <c r="D29" s="255"/>
      <c r="E29" s="253"/>
      <c r="G29" s="253"/>
      <c r="H29" s="253"/>
      <c r="I29" s="298"/>
      <c r="J29" s="314"/>
    </row>
    <row r="30" spans="1:10" ht="15.75" thickBot="1">
      <c r="A30" s="253"/>
      <c r="B30" s="253"/>
      <c r="C30" s="253"/>
      <c r="D30" s="253"/>
      <c r="E30" s="253"/>
      <c r="G30" s="253"/>
      <c r="H30" s="253"/>
      <c r="I30" s="298"/>
      <c r="J30" s="298"/>
    </row>
    <row r="31" spans="1:10" ht="15.75" thickBot="1">
      <c r="A31" s="922" t="s">
        <v>466</v>
      </c>
      <c r="B31" s="923"/>
      <c r="C31" s="924"/>
      <c r="D31" s="315">
        <f>D10+D16+D22+D28</f>
        <v>0</v>
      </c>
      <c r="E31" s="253"/>
      <c r="F31" s="922" t="s">
        <v>465</v>
      </c>
      <c r="G31" s="923"/>
      <c r="H31" s="924"/>
      <c r="I31" s="315">
        <f>I12+I7</f>
        <v>3750000</v>
      </c>
      <c r="J31" s="314"/>
    </row>
    <row r="32" spans="1:10">
      <c r="E32" s="313"/>
      <c r="G32" s="253"/>
      <c r="H32" s="253"/>
      <c r="I32" s="298"/>
      <c r="J32" s="253"/>
    </row>
    <row r="33" spans="4:10" s="253" customFormat="1">
      <c r="I33" s="298"/>
      <c r="J33" s="314"/>
    </row>
    <row r="34" spans="4:10" s="253" customFormat="1">
      <c r="I34" s="298"/>
    </row>
    <row r="35" spans="4:10">
      <c r="D35" s="286"/>
      <c r="E35" s="313"/>
      <c r="G35" s="295"/>
    </row>
    <row r="36" spans="4:10">
      <c r="E36" s="255"/>
    </row>
    <row r="37" spans="4:10">
      <c r="E37" s="253"/>
      <c r="G37" s="253"/>
      <c r="H37" s="253"/>
      <c r="I37" s="298"/>
      <c r="J37" s="253"/>
    </row>
    <row r="38" spans="4:10">
      <c r="E38" s="312"/>
      <c r="G38" s="311"/>
      <c r="H38" s="253"/>
      <c r="I38" s="298"/>
      <c r="J38" s="255"/>
    </row>
    <row r="39" spans="4:10">
      <c r="E39" s="253"/>
      <c r="G39" s="311"/>
      <c r="H39" s="253"/>
      <c r="I39" s="298"/>
      <c r="J39" s="255"/>
    </row>
    <row r="40" spans="4:10">
      <c r="G40" s="311"/>
      <c r="H40" s="253"/>
      <c r="I40" s="298"/>
      <c r="J40" s="255"/>
    </row>
  </sheetData>
  <mergeCells count="4">
    <mergeCell ref="A2:D2"/>
    <mergeCell ref="F2:I2"/>
    <mergeCell ref="A31:C31"/>
    <mergeCell ref="F31:H3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1"/>
  <sheetViews>
    <sheetView topLeftCell="C1" zoomScaleNormal="100" workbookViewId="0">
      <selection activeCell="Y8" sqref="Y8"/>
    </sheetView>
  </sheetViews>
  <sheetFormatPr baseColWidth="10" defaultRowHeight="12.75"/>
  <cols>
    <col min="1" max="1" width="4.5703125" style="356" customWidth="1"/>
    <col min="2" max="2" width="16.42578125" style="356" customWidth="1"/>
    <col min="3" max="3" width="11.7109375" style="356" customWidth="1"/>
    <col min="4" max="4" width="45.85546875" style="356" customWidth="1"/>
    <col min="5" max="5" width="4.5703125" style="356" customWidth="1"/>
    <col min="6" max="6" width="6.28515625" style="356" customWidth="1"/>
    <col min="7" max="8" width="11.5703125" style="356" customWidth="1"/>
    <col min="9" max="9" width="11.28515625" style="356" customWidth="1"/>
    <col min="10" max="10" width="10.5703125" style="356" customWidth="1"/>
    <col min="11" max="11" width="7.5703125" style="356" customWidth="1"/>
    <col min="12" max="12" width="6.5703125" style="356" customWidth="1"/>
    <col min="13" max="13" width="6.140625" style="356" customWidth="1"/>
    <col min="14" max="14" width="7" style="356" customWidth="1"/>
    <col min="15" max="15" width="7.28515625" style="356" customWidth="1"/>
    <col min="16" max="16" width="9.85546875" style="356" customWidth="1"/>
    <col min="17" max="18" width="9.140625" style="356" customWidth="1"/>
    <col min="19" max="19" width="8.7109375" style="356" customWidth="1"/>
    <col min="20" max="21" width="6.5703125" style="356" customWidth="1"/>
    <col min="22" max="22" width="12.85546875" style="356" customWidth="1"/>
    <col min="23" max="23" width="12.5703125" style="356" customWidth="1"/>
    <col min="24" max="24" width="7.5703125" style="356" customWidth="1"/>
    <col min="25" max="29" width="16.85546875" style="356" customWidth="1"/>
    <col min="30" max="259" width="11.42578125" style="356"/>
    <col min="260" max="260" width="4.5703125" style="356" bestFit="1" customWidth="1"/>
    <col min="261" max="261" width="18" style="356" bestFit="1" customWidth="1"/>
    <col min="262" max="262" width="4.5703125" style="356" bestFit="1" customWidth="1"/>
    <col min="263" max="263" width="6.28515625" style="356" bestFit="1" customWidth="1"/>
    <col min="264" max="264" width="11.5703125" style="356" customWidth="1"/>
    <col min="265" max="265" width="11.28515625" style="356" bestFit="1" customWidth="1"/>
    <col min="266" max="266" width="10.5703125" style="356" customWidth="1"/>
    <col min="267" max="267" width="7.5703125" style="356" bestFit="1" customWidth="1"/>
    <col min="268" max="268" width="6.5703125" style="356" bestFit="1" customWidth="1"/>
    <col min="269" max="269" width="6.140625" style="356" customWidth="1"/>
    <col min="270" max="270" width="7" style="356" customWidth="1"/>
    <col min="271" max="271" width="7.28515625" style="356" customWidth="1"/>
    <col min="272" max="272" width="9.85546875" style="356" customWidth="1"/>
    <col min="273" max="274" width="9.140625" style="356" bestFit="1" customWidth="1"/>
    <col min="275" max="275" width="8.7109375" style="356" customWidth="1"/>
    <col min="276" max="277" width="6.5703125" style="356" bestFit="1" customWidth="1"/>
    <col min="278" max="278" width="12.85546875" style="356" bestFit="1" customWidth="1"/>
    <col min="279" max="279" width="9.5703125" style="356" customWidth="1"/>
    <col min="280" max="280" width="7.5703125" style="356" customWidth="1"/>
    <col min="281" max="515" width="11.42578125" style="356"/>
    <col min="516" max="516" width="4.5703125" style="356" bestFit="1" customWidth="1"/>
    <col min="517" max="517" width="18" style="356" bestFit="1" customWidth="1"/>
    <col min="518" max="518" width="4.5703125" style="356" bestFit="1" customWidth="1"/>
    <col min="519" max="519" width="6.28515625" style="356" bestFit="1" customWidth="1"/>
    <col min="520" max="520" width="11.5703125" style="356" customWidth="1"/>
    <col min="521" max="521" width="11.28515625" style="356" bestFit="1" customWidth="1"/>
    <col min="522" max="522" width="10.5703125" style="356" customWidth="1"/>
    <col min="523" max="523" width="7.5703125" style="356" bestFit="1" customWidth="1"/>
    <col min="524" max="524" width="6.5703125" style="356" bestFit="1" customWidth="1"/>
    <col min="525" max="525" width="6.140625" style="356" customWidth="1"/>
    <col min="526" max="526" width="7" style="356" customWidth="1"/>
    <col min="527" max="527" width="7.28515625" style="356" customWidth="1"/>
    <col min="528" max="528" width="9.85546875" style="356" customWidth="1"/>
    <col min="529" max="530" width="9.140625" style="356" bestFit="1" customWidth="1"/>
    <col min="531" max="531" width="8.7109375" style="356" customWidth="1"/>
    <col min="532" max="533" width="6.5703125" style="356" bestFit="1" customWidth="1"/>
    <col min="534" max="534" width="12.85546875" style="356" bestFit="1" customWidth="1"/>
    <col min="535" max="535" width="9.5703125" style="356" customWidth="1"/>
    <col min="536" max="536" width="7.5703125" style="356" customWidth="1"/>
    <col min="537" max="771" width="11.42578125" style="356"/>
    <col min="772" max="772" width="4.5703125" style="356" bestFit="1" customWidth="1"/>
    <col min="773" max="773" width="18" style="356" bestFit="1" customWidth="1"/>
    <col min="774" max="774" width="4.5703125" style="356" bestFit="1" customWidth="1"/>
    <col min="775" max="775" width="6.28515625" style="356" bestFit="1" customWidth="1"/>
    <col min="776" max="776" width="11.5703125" style="356" customWidth="1"/>
    <col min="777" max="777" width="11.28515625" style="356" bestFit="1" customWidth="1"/>
    <col min="778" max="778" width="10.5703125" style="356" customWidth="1"/>
    <col min="779" max="779" width="7.5703125" style="356" bestFit="1" customWidth="1"/>
    <col min="780" max="780" width="6.5703125" style="356" bestFit="1" customWidth="1"/>
    <col min="781" max="781" width="6.140625" style="356" customWidth="1"/>
    <col min="782" max="782" width="7" style="356" customWidth="1"/>
    <col min="783" max="783" width="7.28515625" style="356" customWidth="1"/>
    <col min="784" max="784" width="9.85546875" style="356" customWidth="1"/>
    <col min="785" max="786" width="9.140625" style="356" bestFit="1" customWidth="1"/>
    <col min="787" max="787" width="8.7109375" style="356" customWidth="1"/>
    <col min="788" max="789" width="6.5703125" style="356" bestFit="1" customWidth="1"/>
    <col min="790" max="790" width="12.85546875" style="356" bestFit="1" customWidth="1"/>
    <col min="791" max="791" width="9.5703125" style="356" customWidth="1"/>
    <col min="792" max="792" width="7.5703125" style="356" customWidth="1"/>
    <col min="793" max="1027" width="11.42578125" style="356"/>
    <col min="1028" max="1028" width="4.5703125" style="356" bestFit="1" customWidth="1"/>
    <col min="1029" max="1029" width="18" style="356" bestFit="1" customWidth="1"/>
    <col min="1030" max="1030" width="4.5703125" style="356" bestFit="1" customWidth="1"/>
    <col min="1031" max="1031" width="6.28515625" style="356" bestFit="1" customWidth="1"/>
    <col min="1032" max="1032" width="11.5703125" style="356" customWidth="1"/>
    <col min="1033" max="1033" width="11.28515625" style="356" bestFit="1" customWidth="1"/>
    <col min="1034" max="1034" width="10.5703125" style="356" customWidth="1"/>
    <col min="1035" max="1035" width="7.5703125" style="356" bestFit="1" customWidth="1"/>
    <col min="1036" max="1036" width="6.5703125" style="356" bestFit="1" customWidth="1"/>
    <col min="1037" max="1037" width="6.140625" style="356" customWidth="1"/>
    <col min="1038" max="1038" width="7" style="356" customWidth="1"/>
    <col min="1039" max="1039" width="7.28515625" style="356" customWidth="1"/>
    <col min="1040" max="1040" width="9.85546875" style="356" customWidth="1"/>
    <col min="1041" max="1042" width="9.140625" style="356" bestFit="1" customWidth="1"/>
    <col min="1043" max="1043" width="8.7109375" style="356" customWidth="1"/>
    <col min="1044" max="1045" width="6.5703125" style="356" bestFit="1" customWidth="1"/>
    <col min="1046" max="1046" width="12.85546875" style="356" bestFit="1" customWidth="1"/>
    <col min="1047" max="1047" width="9.5703125" style="356" customWidth="1"/>
    <col min="1048" max="1048" width="7.5703125" style="356" customWidth="1"/>
    <col min="1049" max="1283" width="11.42578125" style="356"/>
    <col min="1284" max="1284" width="4.5703125" style="356" bestFit="1" customWidth="1"/>
    <col min="1285" max="1285" width="18" style="356" bestFit="1" customWidth="1"/>
    <col min="1286" max="1286" width="4.5703125" style="356" bestFit="1" customWidth="1"/>
    <col min="1287" max="1287" width="6.28515625" style="356" bestFit="1" customWidth="1"/>
    <col min="1288" max="1288" width="11.5703125" style="356" customWidth="1"/>
    <col min="1289" max="1289" width="11.28515625" style="356" bestFit="1" customWidth="1"/>
    <col min="1290" max="1290" width="10.5703125" style="356" customWidth="1"/>
    <col min="1291" max="1291" width="7.5703125" style="356" bestFit="1" customWidth="1"/>
    <col min="1292" max="1292" width="6.5703125" style="356" bestFit="1" customWidth="1"/>
    <col min="1293" max="1293" width="6.140625" style="356" customWidth="1"/>
    <col min="1294" max="1294" width="7" style="356" customWidth="1"/>
    <col min="1295" max="1295" width="7.28515625" style="356" customWidth="1"/>
    <col min="1296" max="1296" width="9.85546875" style="356" customWidth="1"/>
    <col min="1297" max="1298" width="9.140625" style="356" bestFit="1" customWidth="1"/>
    <col min="1299" max="1299" width="8.7109375" style="356" customWidth="1"/>
    <col min="1300" max="1301" width="6.5703125" style="356" bestFit="1" customWidth="1"/>
    <col min="1302" max="1302" width="12.85546875" style="356" bestFit="1" customWidth="1"/>
    <col min="1303" max="1303" width="9.5703125" style="356" customWidth="1"/>
    <col min="1304" max="1304" width="7.5703125" style="356" customWidth="1"/>
    <col min="1305" max="1539" width="11.42578125" style="356"/>
    <col min="1540" max="1540" width="4.5703125" style="356" bestFit="1" customWidth="1"/>
    <col min="1541" max="1541" width="18" style="356" bestFit="1" customWidth="1"/>
    <col min="1542" max="1542" width="4.5703125" style="356" bestFit="1" customWidth="1"/>
    <col min="1543" max="1543" width="6.28515625" style="356" bestFit="1" customWidth="1"/>
    <col min="1544" max="1544" width="11.5703125" style="356" customWidth="1"/>
    <col min="1545" max="1545" width="11.28515625" style="356" bestFit="1" customWidth="1"/>
    <col min="1546" max="1546" width="10.5703125" style="356" customWidth="1"/>
    <col min="1547" max="1547" width="7.5703125" style="356" bestFit="1" customWidth="1"/>
    <col min="1548" max="1548" width="6.5703125" style="356" bestFit="1" customWidth="1"/>
    <col min="1549" max="1549" width="6.140625" style="356" customWidth="1"/>
    <col min="1550" max="1550" width="7" style="356" customWidth="1"/>
    <col min="1551" max="1551" width="7.28515625" style="356" customWidth="1"/>
    <col min="1552" max="1552" width="9.85546875" style="356" customWidth="1"/>
    <col min="1553" max="1554" width="9.140625" style="356" bestFit="1" customWidth="1"/>
    <col min="1555" max="1555" width="8.7109375" style="356" customWidth="1"/>
    <col min="1556" max="1557" width="6.5703125" style="356" bestFit="1" customWidth="1"/>
    <col min="1558" max="1558" width="12.85546875" style="356" bestFit="1" customWidth="1"/>
    <col min="1559" max="1559" width="9.5703125" style="356" customWidth="1"/>
    <col min="1560" max="1560" width="7.5703125" style="356" customWidth="1"/>
    <col min="1561" max="1795" width="11.42578125" style="356"/>
    <col min="1796" max="1796" width="4.5703125" style="356" bestFit="1" customWidth="1"/>
    <col min="1797" max="1797" width="18" style="356" bestFit="1" customWidth="1"/>
    <col min="1798" max="1798" width="4.5703125" style="356" bestFit="1" customWidth="1"/>
    <col min="1799" max="1799" width="6.28515625" style="356" bestFit="1" customWidth="1"/>
    <col min="1800" max="1800" width="11.5703125" style="356" customWidth="1"/>
    <col min="1801" max="1801" width="11.28515625" style="356" bestFit="1" customWidth="1"/>
    <col min="1802" max="1802" width="10.5703125" style="356" customWidth="1"/>
    <col min="1803" max="1803" width="7.5703125" style="356" bestFit="1" customWidth="1"/>
    <col min="1804" max="1804" width="6.5703125" style="356" bestFit="1" customWidth="1"/>
    <col min="1805" max="1805" width="6.140625" style="356" customWidth="1"/>
    <col min="1806" max="1806" width="7" style="356" customWidth="1"/>
    <col min="1807" max="1807" width="7.28515625" style="356" customWidth="1"/>
    <col min="1808" max="1808" width="9.85546875" style="356" customWidth="1"/>
    <col min="1809" max="1810" width="9.140625" style="356" bestFit="1" customWidth="1"/>
    <col min="1811" max="1811" width="8.7109375" style="356" customWidth="1"/>
    <col min="1812" max="1813" width="6.5703125" style="356" bestFit="1" customWidth="1"/>
    <col min="1814" max="1814" width="12.85546875" style="356" bestFit="1" customWidth="1"/>
    <col min="1815" max="1815" width="9.5703125" style="356" customWidth="1"/>
    <col min="1816" max="1816" width="7.5703125" style="356" customWidth="1"/>
    <col min="1817" max="2051" width="11.42578125" style="356"/>
    <col min="2052" max="2052" width="4.5703125" style="356" bestFit="1" customWidth="1"/>
    <col min="2053" max="2053" width="18" style="356" bestFit="1" customWidth="1"/>
    <col min="2054" max="2054" width="4.5703125" style="356" bestFit="1" customWidth="1"/>
    <col min="2055" max="2055" width="6.28515625" style="356" bestFit="1" customWidth="1"/>
    <col min="2056" max="2056" width="11.5703125" style="356" customWidth="1"/>
    <col min="2057" max="2057" width="11.28515625" style="356" bestFit="1" customWidth="1"/>
    <col min="2058" max="2058" width="10.5703125" style="356" customWidth="1"/>
    <col min="2059" max="2059" width="7.5703125" style="356" bestFit="1" customWidth="1"/>
    <col min="2060" max="2060" width="6.5703125" style="356" bestFit="1" customWidth="1"/>
    <col min="2061" max="2061" width="6.140625" style="356" customWidth="1"/>
    <col min="2062" max="2062" width="7" style="356" customWidth="1"/>
    <col min="2063" max="2063" width="7.28515625" style="356" customWidth="1"/>
    <col min="2064" max="2064" width="9.85546875" style="356" customWidth="1"/>
    <col min="2065" max="2066" width="9.140625" style="356" bestFit="1" customWidth="1"/>
    <col min="2067" max="2067" width="8.7109375" style="356" customWidth="1"/>
    <col min="2068" max="2069" width="6.5703125" style="356" bestFit="1" customWidth="1"/>
    <col min="2070" max="2070" width="12.85546875" style="356" bestFit="1" customWidth="1"/>
    <col min="2071" max="2071" width="9.5703125" style="356" customWidth="1"/>
    <col min="2072" max="2072" width="7.5703125" style="356" customWidth="1"/>
    <col min="2073" max="2307" width="11.42578125" style="356"/>
    <col min="2308" max="2308" width="4.5703125" style="356" bestFit="1" customWidth="1"/>
    <col min="2309" max="2309" width="18" style="356" bestFit="1" customWidth="1"/>
    <col min="2310" max="2310" width="4.5703125" style="356" bestFit="1" customWidth="1"/>
    <col min="2311" max="2311" width="6.28515625" style="356" bestFit="1" customWidth="1"/>
    <col min="2312" max="2312" width="11.5703125" style="356" customWidth="1"/>
    <col min="2313" max="2313" width="11.28515625" style="356" bestFit="1" customWidth="1"/>
    <col min="2314" max="2314" width="10.5703125" style="356" customWidth="1"/>
    <col min="2315" max="2315" width="7.5703125" style="356" bestFit="1" customWidth="1"/>
    <col min="2316" max="2316" width="6.5703125" style="356" bestFit="1" customWidth="1"/>
    <col min="2317" max="2317" width="6.140625" style="356" customWidth="1"/>
    <col min="2318" max="2318" width="7" style="356" customWidth="1"/>
    <col min="2319" max="2319" width="7.28515625" style="356" customWidth="1"/>
    <col min="2320" max="2320" width="9.85546875" style="356" customWidth="1"/>
    <col min="2321" max="2322" width="9.140625" style="356" bestFit="1" customWidth="1"/>
    <col min="2323" max="2323" width="8.7109375" style="356" customWidth="1"/>
    <col min="2324" max="2325" width="6.5703125" style="356" bestFit="1" customWidth="1"/>
    <col min="2326" max="2326" width="12.85546875" style="356" bestFit="1" customWidth="1"/>
    <col min="2327" max="2327" width="9.5703125" style="356" customWidth="1"/>
    <col min="2328" max="2328" width="7.5703125" style="356" customWidth="1"/>
    <col min="2329" max="2563" width="11.42578125" style="356"/>
    <col min="2564" max="2564" width="4.5703125" style="356" bestFit="1" customWidth="1"/>
    <col min="2565" max="2565" width="18" style="356" bestFit="1" customWidth="1"/>
    <col min="2566" max="2566" width="4.5703125" style="356" bestFit="1" customWidth="1"/>
    <col min="2567" max="2567" width="6.28515625" style="356" bestFit="1" customWidth="1"/>
    <col min="2568" max="2568" width="11.5703125" style="356" customWidth="1"/>
    <col min="2569" max="2569" width="11.28515625" style="356" bestFit="1" customWidth="1"/>
    <col min="2570" max="2570" width="10.5703125" style="356" customWidth="1"/>
    <col min="2571" max="2571" width="7.5703125" style="356" bestFit="1" customWidth="1"/>
    <col min="2572" max="2572" width="6.5703125" style="356" bestFit="1" customWidth="1"/>
    <col min="2573" max="2573" width="6.140625" style="356" customWidth="1"/>
    <col min="2574" max="2574" width="7" style="356" customWidth="1"/>
    <col min="2575" max="2575" width="7.28515625" style="356" customWidth="1"/>
    <col min="2576" max="2576" width="9.85546875" style="356" customWidth="1"/>
    <col min="2577" max="2578" width="9.140625" style="356" bestFit="1" customWidth="1"/>
    <col min="2579" max="2579" width="8.7109375" style="356" customWidth="1"/>
    <col min="2580" max="2581" width="6.5703125" style="356" bestFit="1" customWidth="1"/>
    <col min="2582" max="2582" width="12.85546875" style="356" bestFit="1" customWidth="1"/>
    <col min="2583" max="2583" width="9.5703125" style="356" customWidth="1"/>
    <col min="2584" max="2584" width="7.5703125" style="356" customWidth="1"/>
    <col min="2585" max="2819" width="11.42578125" style="356"/>
    <col min="2820" max="2820" width="4.5703125" style="356" bestFit="1" customWidth="1"/>
    <col min="2821" max="2821" width="18" style="356" bestFit="1" customWidth="1"/>
    <col min="2822" max="2822" width="4.5703125" style="356" bestFit="1" customWidth="1"/>
    <col min="2823" max="2823" width="6.28515625" style="356" bestFit="1" customWidth="1"/>
    <col min="2824" max="2824" width="11.5703125" style="356" customWidth="1"/>
    <col min="2825" max="2825" width="11.28515625" style="356" bestFit="1" customWidth="1"/>
    <col min="2826" max="2826" width="10.5703125" style="356" customWidth="1"/>
    <col min="2827" max="2827" width="7.5703125" style="356" bestFit="1" customWidth="1"/>
    <col min="2828" max="2828" width="6.5703125" style="356" bestFit="1" customWidth="1"/>
    <col min="2829" max="2829" width="6.140625" style="356" customWidth="1"/>
    <col min="2830" max="2830" width="7" style="356" customWidth="1"/>
    <col min="2831" max="2831" width="7.28515625" style="356" customWidth="1"/>
    <col min="2832" max="2832" width="9.85546875" style="356" customWidth="1"/>
    <col min="2833" max="2834" width="9.140625" style="356" bestFit="1" customWidth="1"/>
    <col min="2835" max="2835" width="8.7109375" style="356" customWidth="1"/>
    <col min="2836" max="2837" width="6.5703125" style="356" bestFit="1" customWidth="1"/>
    <col min="2838" max="2838" width="12.85546875" style="356" bestFit="1" customWidth="1"/>
    <col min="2839" max="2839" width="9.5703125" style="356" customWidth="1"/>
    <col min="2840" max="2840" width="7.5703125" style="356" customWidth="1"/>
    <col min="2841" max="3075" width="11.42578125" style="356"/>
    <col min="3076" max="3076" width="4.5703125" style="356" bestFit="1" customWidth="1"/>
    <col min="3077" max="3077" width="18" style="356" bestFit="1" customWidth="1"/>
    <col min="3078" max="3078" width="4.5703125" style="356" bestFit="1" customWidth="1"/>
    <col min="3079" max="3079" width="6.28515625" style="356" bestFit="1" customWidth="1"/>
    <col min="3080" max="3080" width="11.5703125" style="356" customWidth="1"/>
    <col min="3081" max="3081" width="11.28515625" style="356" bestFit="1" customWidth="1"/>
    <col min="3082" max="3082" width="10.5703125" style="356" customWidth="1"/>
    <col min="3083" max="3083" width="7.5703125" style="356" bestFit="1" customWidth="1"/>
    <col min="3084" max="3084" width="6.5703125" style="356" bestFit="1" customWidth="1"/>
    <col min="3085" max="3085" width="6.140625" style="356" customWidth="1"/>
    <col min="3086" max="3086" width="7" style="356" customWidth="1"/>
    <col min="3087" max="3087" width="7.28515625" style="356" customWidth="1"/>
    <col min="3088" max="3088" width="9.85546875" style="356" customWidth="1"/>
    <col min="3089" max="3090" width="9.140625" style="356" bestFit="1" customWidth="1"/>
    <col min="3091" max="3091" width="8.7109375" style="356" customWidth="1"/>
    <col min="3092" max="3093" width="6.5703125" style="356" bestFit="1" customWidth="1"/>
    <col min="3094" max="3094" width="12.85546875" style="356" bestFit="1" customWidth="1"/>
    <col min="3095" max="3095" width="9.5703125" style="356" customWidth="1"/>
    <col min="3096" max="3096" width="7.5703125" style="356" customWidth="1"/>
    <col min="3097" max="3331" width="11.42578125" style="356"/>
    <col min="3332" max="3332" width="4.5703125" style="356" bestFit="1" customWidth="1"/>
    <col min="3333" max="3333" width="18" style="356" bestFit="1" customWidth="1"/>
    <col min="3334" max="3334" width="4.5703125" style="356" bestFit="1" customWidth="1"/>
    <col min="3335" max="3335" width="6.28515625" style="356" bestFit="1" customWidth="1"/>
    <col min="3336" max="3336" width="11.5703125" style="356" customWidth="1"/>
    <col min="3337" max="3337" width="11.28515625" style="356" bestFit="1" customWidth="1"/>
    <col min="3338" max="3338" width="10.5703125" style="356" customWidth="1"/>
    <col min="3339" max="3339" width="7.5703125" style="356" bestFit="1" customWidth="1"/>
    <col min="3340" max="3340" width="6.5703125" style="356" bestFit="1" customWidth="1"/>
    <col min="3341" max="3341" width="6.140625" style="356" customWidth="1"/>
    <col min="3342" max="3342" width="7" style="356" customWidth="1"/>
    <col min="3343" max="3343" width="7.28515625" style="356" customWidth="1"/>
    <col min="3344" max="3344" width="9.85546875" style="356" customWidth="1"/>
    <col min="3345" max="3346" width="9.140625" style="356" bestFit="1" customWidth="1"/>
    <col min="3347" max="3347" width="8.7109375" style="356" customWidth="1"/>
    <col min="3348" max="3349" width="6.5703125" style="356" bestFit="1" customWidth="1"/>
    <col min="3350" max="3350" width="12.85546875" style="356" bestFit="1" customWidth="1"/>
    <col min="3351" max="3351" width="9.5703125" style="356" customWidth="1"/>
    <col min="3352" max="3352" width="7.5703125" style="356" customWidth="1"/>
    <col min="3353" max="3587" width="11.42578125" style="356"/>
    <col min="3588" max="3588" width="4.5703125" style="356" bestFit="1" customWidth="1"/>
    <col min="3589" max="3589" width="18" style="356" bestFit="1" customWidth="1"/>
    <col min="3590" max="3590" width="4.5703125" style="356" bestFit="1" customWidth="1"/>
    <col min="3591" max="3591" width="6.28515625" style="356" bestFit="1" customWidth="1"/>
    <col min="3592" max="3592" width="11.5703125" style="356" customWidth="1"/>
    <col min="3593" max="3593" width="11.28515625" style="356" bestFit="1" customWidth="1"/>
    <col min="3594" max="3594" width="10.5703125" style="356" customWidth="1"/>
    <col min="3595" max="3595" width="7.5703125" style="356" bestFit="1" customWidth="1"/>
    <col min="3596" max="3596" width="6.5703125" style="356" bestFit="1" customWidth="1"/>
    <col min="3597" max="3597" width="6.140625" style="356" customWidth="1"/>
    <col min="3598" max="3598" width="7" style="356" customWidth="1"/>
    <col min="3599" max="3599" width="7.28515625" style="356" customWidth="1"/>
    <col min="3600" max="3600" width="9.85546875" style="356" customWidth="1"/>
    <col min="3601" max="3602" width="9.140625" style="356" bestFit="1" customWidth="1"/>
    <col min="3603" max="3603" width="8.7109375" style="356" customWidth="1"/>
    <col min="3604" max="3605" width="6.5703125" style="356" bestFit="1" customWidth="1"/>
    <col min="3606" max="3606" width="12.85546875" style="356" bestFit="1" customWidth="1"/>
    <col min="3607" max="3607" width="9.5703125" style="356" customWidth="1"/>
    <col min="3608" max="3608" width="7.5703125" style="356" customWidth="1"/>
    <col min="3609" max="3843" width="11.42578125" style="356"/>
    <col min="3844" max="3844" width="4.5703125" style="356" bestFit="1" customWidth="1"/>
    <col min="3845" max="3845" width="18" style="356" bestFit="1" customWidth="1"/>
    <col min="3846" max="3846" width="4.5703125" style="356" bestFit="1" customWidth="1"/>
    <col min="3847" max="3847" width="6.28515625" style="356" bestFit="1" customWidth="1"/>
    <col min="3848" max="3848" width="11.5703125" style="356" customWidth="1"/>
    <col min="3849" max="3849" width="11.28515625" style="356" bestFit="1" customWidth="1"/>
    <col min="3850" max="3850" width="10.5703125" style="356" customWidth="1"/>
    <col min="3851" max="3851" width="7.5703125" style="356" bestFit="1" customWidth="1"/>
    <col min="3852" max="3852" width="6.5703125" style="356" bestFit="1" customWidth="1"/>
    <col min="3853" max="3853" width="6.140625" style="356" customWidth="1"/>
    <col min="3854" max="3854" width="7" style="356" customWidth="1"/>
    <col min="3855" max="3855" width="7.28515625" style="356" customWidth="1"/>
    <col min="3856" max="3856" width="9.85546875" style="356" customWidth="1"/>
    <col min="3857" max="3858" width="9.140625" style="356" bestFit="1" customWidth="1"/>
    <col min="3859" max="3859" width="8.7109375" style="356" customWidth="1"/>
    <col min="3860" max="3861" width="6.5703125" style="356" bestFit="1" customWidth="1"/>
    <col min="3862" max="3862" width="12.85546875" style="356" bestFit="1" customWidth="1"/>
    <col min="3863" max="3863" width="9.5703125" style="356" customWidth="1"/>
    <col min="3864" max="3864" width="7.5703125" style="356" customWidth="1"/>
    <col min="3865" max="4099" width="11.42578125" style="356"/>
    <col min="4100" max="4100" width="4.5703125" style="356" bestFit="1" customWidth="1"/>
    <col min="4101" max="4101" width="18" style="356" bestFit="1" customWidth="1"/>
    <col min="4102" max="4102" width="4.5703125" style="356" bestFit="1" customWidth="1"/>
    <col min="4103" max="4103" width="6.28515625" style="356" bestFit="1" customWidth="1"/>
    <col min="4104" max="4104" width="11.5703125" style="356" customWidth="1"/>
    <col min="4105" max="4105" width="11.28515625" style="356" bestFit="1" customWidth="1"/>
    <col min="4106" max="4106" width="10.5703125" style="356" customWidth="1"/>
    <col min="4107" max="4107" width="7.5703125" style="356" bestFit="1" customWidth="1"/>
    <col min="4108" max="4108" width="6.5703125" style="356" bestFit="1" customWidth="1"/>
    <col min="4109" max="4109" width="6.140625" style="356" customWidth="1"/>
    <col min="4110" max="4110" width="7" style="356" customWidth="1"/>
    <col min="4111" max="4111" width="7.28515625" style="356" customWidth="1"/>
    <col min="4112" max="4112" width="9.85546875" style="356" customWidth="1"/>
    <col min="4113" max="4114" width="9.140625" style="356" bestFit="1" customWidth="1"/>
    <col min="4115" max="4115" width="8.7109375" style="356" customWidth="1"/>
    <col min="4116" max="4117" width="6.5703125" style="356" bestFit="1" customWidth="1"/>
    <col min="4118" max="4118" width="12.85546875" style="356" bestFit="1" customWidth="1"/>
    <col min="4119" max="4119" width="9.5703125" style="356" customWidth="1"/>
    <col min="4120" max="4120" width="7.5703125" style="356" customWidth="1"/>
    <col min="4121" max="4355" width="11.42578125" style="356"/>
    <col min="4356" max="4356" width="4.5703125" style="356" bestFit="1" customWidth="1"/>
    <col min="4357" max="4357" width="18" style="356" bestFit="1" customWidth="1"/>
    <col min="4358" max="4358" width="4.5703125" style="356" bestFit="1" customWidth="1"/>
    <col min="4359" max="4359" width="6.28515625" style="356" bestFit="1" customWidth="1"/>
    <col min="4360" max="4360" width="11.5703125" style="356" customWidth="1"/>
    <col min="4361" max="4361" width="11.28515625" style="356" bestFit="1" customWidth="1"/>
    <col min="4362" max="4362" width="10.5703125" style="356" customWidth="1"/>
    <col min="4363" max="4363" width="7.5703125" style="356" bestFit="1" customWidth="1"/>
    <col min="4364" max="4364" width="6.5703125" style="356" bestFit="1" customWidth="1"/>
    <col min="4365" max="4365" width="6.140625" style="356" customWidth="1"/>
    <col min="4366" max="4366" width="7" style="356" customWidth="1"/>
    <col min="4367" max="4367" width="7.28515625" style="356" customWidth="1"/>
    <col min="4368" max="4368" width="9.85546875" style="356" customWidth="1"/>
    <col min="4369" max="4370" width="9.140625" style="356" bestFit="1" customWidth="1"/>
    <col min="4371" max="4371" width="8.7109375" style="356" customWidth="1"/>
    <col min="4372" max="4373" width="6.5703125" style="356" bestFit="1" customWidth="1"/>
    <col min="4374" max="4374" width="12.85546875" style="356" bestFit="1" customWidth="1"/>
    <col min="4375" max="4375" width="9.5703125" style="356" customWidth="1"/>
    <col min="4376" max="4376" width="7.5703125" style="356" customWidth="1"/>
    <col min="4377" max="4611" width="11.42578125" style="356"/>
    <col min="4612" max="4612" width="4.5703125" style="356" bestFit="1" customWidth="1"/>
    <col min="4613" max="4613" width="18" style="356" bestFit="1" customWidth="1"/>
    <col min="4614" max="4614" width="4.5703125" style="356" bestFit="1" customWidth="1"/>
    <col min="4615" max="4615" width="6.28515625" style="356" bestFit="1" customWidth="1"/>
    <col min="4616" max="4616" width="11.5703125" style="356" customWidth="1"/>
    <col min="4617" max="4617" width="11.28515625" style="356" bestFit="1" customWidth="1"/>
    <col min="4618" max="4618" width="10.5703125" style="356" customWidth="1"/>
    <col min="4619" max="4619" width="7.5703125" style="356" bestFit="1" customWidth="1"/>
    <col min="4620" max="4620" width="6.5703125" style="356" bestFit="1" customWidth="1"/>
    <col min="4621" max="4621" width="6.140625" style="356" customWidth="1"/>
    <col min="4622" max="4622" width="7" style="356" customWidth="1"/>
    <col min="4623" max="4623" width="7.28515625" style="356" customWidth="1"/>
    <col min="4624" max="4624" width="9.85546875" style="356" customWidth="1"/>
    <col min="4625" max="4626" width="9.140625" style="356" bestFit="1" customWidth="1"/>
    <col min="4627" max="4627" width="8.7109375" style="356" customWidth="1"/>
    <col min="4628" max="4629" width="6.5703125" style="356" bestFit="1" customWidth="1"/>
    <col min="4630" max="4630" width="12.85546875" style="356" bestFit="1" customWidth="1"/>
    <col min="4631" max="4631" width="9.5703125" style="356" customWidth="1"/>
    <col min="4632" max="4632" width="7.5703125" style="356" customWidth="1"/>
    <col min="4633" max="4867" width="11.42578125" style="356"/>
    <col min="4868" max="4868" width="4.5703125" style="356" bestFit="1" customWidth="1"/>
    <col min="4869" max="4869" width="18" style="356" bestFit="1" customWidth="1"/>
    <col min="4870" max="4870" width="4.5703125" style="356" bestFit="1" customWidth="1"/>
    <col min="4871" max="4871" width="6.28515625" style="356" bestFit="1" customWidth="1"/>
    <col min="4872" max="4872" width="11.5703125" style="356" customWidth="1"/>
    <col min="4873" max="4873" width="11.28515625" style="356" bestFit="1" customWidth="1"/>
    <col min="4874" max="4874" width="10.5703125" style="356" customWidth="1"/>
    <col min="4875" max="4875" width="7.5703125" style="356" bestFit="1" customWidth="1"/>
    <col min="4876" max="4876" width="6.5703125" style="356" bestFit="1" customWidth="1"/>
    <col min="4877" max="4877" width="6.140625" style="356" customWidth="1"/>
    <col min="4878" max="4878" width="7" style="356" customWidth="1"/>
    <col min="4879" max="4879" width="7.28515625" style="356" customWidth="1"/>
    <col min="4880" max="4880" width="9.85546875" style="356" customWidth="1"/>
    <col min="4881" max="4882" width="9.140625" style="356" bestFit="1" customWidth="1"/>
    <col min="4883" max="4883" width="8.7109375" style="356" customWidth="1"/>
    <col min="4884" max="4885" width="6.5703125" style="356" bestFit="1" customWidth="1"/>
    <col min="4886" max="4886" width="12.85546875" style="356" bestFit="1" customWidth="1"/>
    <col min="4887" max="4887" width="9.5703125" style="356" customWidth="1"/>
    <col min="4888" max="4888" width="7.5703125" style="356" customWidth="1"/>
    <col min="4889" max="5123" width="11.42578125" style="356"/>
    <col min="5124" max="5124" width="4.5703125" style="356" bestFit="1" customWidth="1"/>
    <col min="5125" max="5125" width="18" style="356" bestFit="1" customWidth="1"/>
    <col min="5126" max="5126" width="4.5703125" style="356" bestFit="1" customWidth="1"/>
    <col min="5127" max="5127" width="6.28515625" style="356" bestFit="1" customWidth="1"/>
    <col min="5128" max="5128" width="11.5703125" style="356" customWidth="1"/>
    <col min="5129" max="5129" width="11.28515625" style="356" bestFit="1" customWidth="1"/>
    <col min="5130" max="5130" width="10.5703125" style="356" customWidth="1"/>
    <col min="5131" max="5131" width="7.5703125" style="356" bestFit="1" customWidth="1"/>
    <col min="5132" max="5132" width="6.5703125" style="356" bestFit="1" customWidth="1"/>
    <col min="5133" max="5133" width="6.140625" style="356" customWidth="1"/>
    <col min="5134" max="5134" width="7" style="356" customWidth="1"/>
    <col min="5135" max="5135" width="7.28515625" style="356" customWidth="1"/>
    <col min="5136" max="5136" width="9.85546875" style="356" customWidth="1"/>
    <col min="5137" max="5138" width="9.140625" style="356" bestFit="1" customWidth="1"/>
    <col min="5139" max="5139" width="8.7109375" style="356" customWidth="1"/>
    <col min="5140" max="5141" width="6.5703125" style="356" bestFit="1" customWidth="1"/>
    <col min="5142" max="5142" width="12.85546875" style="356" bestFit="1" customWidth="1"/>
    <col min="5143" max="5143" width="9.5703125" style="356" customWidth="1"/>
    <col min="5144" max="5144" width="7.5703125" style="356" customWidth="1"/>
    <col min="5145" max="5379" width="11.42578125" style="356"/>
    <col min="5380" max="5380" width="4.5703125" style="356" bestFit="1" customWidth="1"/>
    <col min="5381" max="5381" width="18" style="356" bestFit="1" customWidth="1"/>
    <col min="5382" max="5382" width="4.5703125" style="356" bestFit="1" customWidth="1"/>
    <col min="5383" max="5383" width="6.28515625" style="356" bestFit="1" customWidth="1"/>
    <col min="5384" max="5384" width="11.5703125" style="356" customWidth="1"/>
    <col min="5385" max="5385" width="11.28515625" style="356" bestFit="1" customWidth="1"/>
    <col min="5386" max="5386" width="10.5703125" style="356" customWidth="1"/>
    <col min="5387" max="5387" width="7.5703125" style="356" bestFit="1" customWidth="1"/>
    <col min="5388" max="5388" width="6.5703125" style="356" bestFit="1" customWidth="1"/>
    <col min="5389" max="5389" width="6.140625" style="356" customWidth="1"/>
    <col min="5390" max="5390" width="7" style="356" customWidth="1"/>
    <col min="5391" max="5391" width="7.28515625" style="356" customWidth="1"/>
    <col min="5392" max="5392" width="9.85546875" style="356" customWidth="1"/>
    <col min="5393" max="5394" width="9.140625" style="356" bestFit="1" customWidth="1"/>
    <col min="5395" max="5395" width="8.7109375" style="356" customWidth="1"/>
    <col min="5396" max="5397" width="6.5703125" style="356" bestFit="1" customWidth="1"/>
    <col min="5398" max="5398" width="12.85546875" style="356" bestFit="1" customWidth="1"/>
    <col min="5399" max="5399" width="9.5703125" style="356" customWidth="1"/>
    <col min="5400" max="5400" width="7.5703125" style="356" customWidth="1"/>
    <col min="5401" max="5635" width="11.42578125" style="356"/>
    <col min="5636" max="5636" width="4.5703125" style="356" bestFit="1" customWidth="1"/>
    <col min="5637" max="5637" width="18" style="356" bestFit="1" customWidth="1"/>
    <col min="5638" max="5638" width="4.5703125" style="356" bestFit="1" customWidth="1"/>
    <col min="5639" max="5639" width="6.28515625" style="356" bestFit="1" customWidth="1"/>
    <col min="5640" max="5640" width="11.5703125" style="356" customWidth="1"/>
    <col min="5641" max="5641" width="11.28515625" style="356" bestFit="1" customWidth="1"/>
    <col min="5642" max="5642" width="10.5703125" style="356" customWidth="1"/>
    <col min="5643" max="5643" width="7.5703125" style="356" bestFit="1" customWidth="1"/>
    <col min="5644" max="5644" width="6.5703125" style="356" bestFit="1" customWidth="1"/>
    <col min="5645" max="5645" width="6.140625" style="356" customWidth="1"/>
    <col min="5646" max="5646" width="7" style="356" customWidth="1"/>
    <col min="5647" max="5647" width="7.28515625" style="356" customWidth="1"/>
    <col min="5648" max="5648" width="9.85546875" style="356" customWidth="1"/>
    <col min="5649" max="5650" width="9.140625" style="356" bestFit="1" customWidth="1"/>
    <col min="5651" max="5651" width="8.7109375" style="356" customWidth="1"/>
    <col min="5652" max="5653" width="6.5703125" style="356" bestFit="1" customWidth="1"/>
    <col min="5654" max="5654" width="12.85546875" style="356" bestFit="1" customWidth="1"/>
    <col min="5655" max="5655" width="9.5703125" style="356" customWidth="1"/>
    <col min="5656" max="5656" width="7.5703125" style="356" customWidth="1"/>
    <col min="5657" max="5891" width="11.42578125" style="356"/>
    <col min="5892" max="5892" width="4.5703125" style="356" bestFit="1" customWidth="1"/>
    <col min="5893" max="5893" width="18" style="356" bestFit="1" customWidth="1"/>
    <col min="5894" max="5894" width="4.5703125" style="356" bestFit="1" customWidth="1"/>
    <col min="5895" max="5895" width="6.28515625" style="356" bestFit="1" customWidth="1"/>
    <col min="5896" max="5896" width="11.5703125" style="356" customWidth="1"/>
    <col min="5897" max="5897" width="11.28515625" style="356" bestFit="1" customWidth="1"/>
    <col min="5898" max="5898" width="10.5703125" style="356" customWidth="1"/>
    <col min="5899" max="5899" width="7.5703125" style="356" bestFit="1" customWidth="1"/>
    <col min="5900" max="5900" width="6.5703125" style="356" bestFit="1" customWidth="1"/>
    <col min="5901" max="5901" width="6.140625" style="356" customWidth="1"/>
    <col min="5902" max="5902" width="7" style="356" customWidth="1"/>
    <col min="5903" max="5903" width="7.28515625" style="356" customWidth="1"/>
    <col min="5904" max="5904" width="9.85546875" style="356" customWidth="1"/>
    <col min="5905" max="5906" width="9.140625" style="356" bestFit="1" customWidth="1"/>
    <col min="5907" max="5907" width="8.7109375" style="356" customWidth="1"/>
    <col min="5908" max="5909" width="6.5703125" style="356" bestFit="1" customWidth="1"/>
    <col min="5910" max="5910" width="12.85546875" style="356" bestFit="1" customWidth="1"/>
    <col min="5911" max="5911" width="9.5703125" style="356" customWidth="1"/>
    <col min="5912" max="5912" width="7.5703125" style="356" customWidth="1"/>
    <col min="5913" max="6147" width="11.42578125" style="356"/>
    <col min="6148" max="6148" width="4.5703125" style="356" bestFit="1" customWidth="1"/>
    <col min="6149" max="6149" width="18" style="356" bestFit="1" customWidth="1"/>
    <col min="6150" max="6150" width="4.5703125" style="356" bestFit="1" customWidth="1"/>
    <col min="6151" max="6151" width="6.28515625" style="356" bestFit="1" customWidth="1"/>
    <col min="6152" max="6152" width="11.5703125" style="356" customWidth="1"/>
    <col min="6153" max="6153" width="11.28515625" style="356" bestFit="1" customWidth="1"/>
    <col min="6154" max="6154" width="10.5703125" style="356" customWidth="1"/>
    <col min="6155" max="6155" width="7.5703125" style="356" bestFit="1" customWidth="1"/>
    <col min="6156" max="6156" width="6.5703125" style="356" bestFit="1" customWidth="1"/>
    <col min="6157" max="6157" width="6.140625" style="356" customWidth="1"/>
    <col min="6158" max="6158" width="7" style="356" customWidth="1"/>
    <col min="6159" max="6159" width="7.28515625" style="356" customWidth="1"/>
    <col min="6160" max="6160" width="9.85546875" style="356" customWidth="1"/>
    <col min="6161" max="6162" width="9.140625" style="356" bestFit="1" customWidth="1"/>
    <col min="6163" max="6163" width="8.7109375" style="356" customWidth="1"/>
    <col min="6164" max="6165" width="6.5703125" style="356" bestFit="1" customWidth="1"/>
    <col min="6166" max="6166" width="12.85546875" style="356" bestFit="1" customWidth="1"/>
    <col min="6167" max="6167" width="9.5703125" style="356" customWidth="1"/>
    <col min="6168" max="6168" width="7.5703125" style="356" customWidth="1"/>
    <col min="6169" max="6403" width="11.42578125" style="356"/>
    <col min="6404" max="6404" width="4.5703125" style="356" bestFit="1" customWidth="1"/>
    <col min="6405" max="6405" width="18" style="356" bestFit="1" customWidth="1"/>
    <col min="6406" max="6406" width="4.5703125" style="356" bestFit="1" customWidth="1"/>
    <col min="6407" max="6407" width="6.28515625" style="356" bestFit="1" customWidth="1"/>
    <col min="6408" max="6408" width="11.5703125" style="356" customWidth="1"/>
    <col min="6409" max="6409" width="11.28515625" style="356" bestFit="1" customWidth="1"/>
    <col min="6410" max="6410" width="10.5703125" style="356" customWidth="1"/>
    <col min="6411" max="6411" width="7.5703125" style="356" bestFit="1" customWidth="1"/>
    <col min="6412" max="6412" width="6.5703125" style="356" bestFit="1" customWidth="1"/>
    <col min="6413" max="6413" width="6.140625" style="356" customWidth="1"/>
    <col min="6414" max="6414" width="7" style="356" customWidth="1"/>
    <col min="6415" max="6415" width="7.28515625" style="356" customWidth="1"/>
    <col min="6416" max="6416" width="9.85546875" style="356" customWidth="1"/>
    <col min="6417" max="6418" width="9.140625" style="356" bestFit="1" customWidth="1"/>
    <col min="6419" max="6419" width="8.7109375" style="356" customWidth="1"/>
    <col min="6420" max="6421" width="6.5703125" style="356" bestFit="1" customWidth="1"/>
    <col min="6422" max="6422" width="12.85546875" style="356" bestFit="1" customWidth="1"/>
    <col min="6423" max="6423" width="9.5703125" style="356" customWidth="1"/>
    <col min="6424" max="6424" width="7.5703125" style="356" customWidth="1"/>
    <col min="6425" max="6659" width="11.42578125" style="356"/>
    <col min="6660" max="6660" width="4.5703125" style="356" bestFit="1" customWidth="1"/>
    <col min="6661" max="6661" width="18" style="356" bestFit="1" customWidth="1"/>
    <col min="6662" max="6662" width="4.5703125" style="356" bestFit="1" customWidth="1"/>
    <col min="6663" max="6663" width="6.28515625" style="356" bestFit="1" customWidth="1"/>
    <col min="6664" max="6664" width="11.5703125" style="356" customWidth="1"/>
    <col min="6665" max="6665" width="11.28515625" style="356" bestFit="1" customWidth="1"/>
    <col min="6666" max="6666" width="10.5703125" style="356" customWidth="1"/>
    <col min="6667" max="6667" width="7.5703125" style="356" bestFit="1" customWidth="1"/>
    <col min="6668" max="6668" width="6.5703125" style="356" bestFit="1" customWidth="1"/>
    <col min="6669" max="6669" width="6.140625" style="356" customWidth="1"/>
    <col min="6670" max="6670" width="7" style="356" customWidth="1"/>
    <col min="6671" max="6671" width="7.28515625" style="356" customWidth="1"/>
    <col min="6672" max="6672" width="9.85546875" style="356" customWidth="1"/>
    <col min="6673" max="6674" width="9.140625" style="356" bestFit="1" customWidth="1"/>
    <col min="6675" max="6675" width="8.7109375" style="356" customWidth="1"/>
    <col min="6676" max="6677" width="6.5703125" style="356" bestFit="1" customWidth="1"/>
    <col min="6678" max="6678" width="12.85546875" style="356" bestFit="1" customWidth="1"/>
    <col min="6679" max="6679" width="9.5703125" style="356" customWidth="1"/>
    <col min="6680" max="6680" width="7.5703125" style="356" customWidth="1"/>
    <col min="6681" max="6915" width="11.42578125" style="356"/>
    <col min="6916" max="6916" width="4.5703125" style="356" bestFit="1" customWidth="1"/>
    <col min="6917" max="6917" width="18" style="356" bestFit="1" customWidth="1"/>
    <col min="6918" max="6918" width="4.5703125" style="356" bestFit="1" customWidth="1"/>
    <col min="6919" max="6919" width="6.28515625" style="356" bestFit="1" customWidth="1"/>
    <col min="6920" max="6920" width="11.5703125" style="356" customWidth="1"/>
    <col min="6921" max="6921" width="11.28515625" style="356" bestFit="1" customWidth="1"/>
    <col min="6922" max="6922" width="10.5703125" style="356" customWidth="1"/>
    <col min="6923" max="6923" width="7.5703125" style="356" bestFit="1" customWidth="1"/>
    <col min="6924" max="6924" width="6.5703125" style="356" bestFit="1" customWidth="1"/>
    <col min="6925" max="6925" width="6.140625" style="356" customWidth="1"/>
    <col min="6926" max="6926" width="7" style="356" customWidth="1"/>
    <col min="6927" max="6927" width="7.28515625" style="356" customWidth="1"/>
    <col min="6928" max="6928" width="9.85546875" style="356" customWidth="1"/>
    <col min="6929" max="6930" width="9.140625" style="356" bestFit="1" customWidth="1"/>
    <col min="6931" max="6931" width="8.7109375" style="356" customWidth="1"/>
    <col min="6932" max="6933" width="6.5703125" style="356" bestFit="1" customWidth="1"/>
    <col min="6934" max="6934" width="12.85546875" style="356" bestFit="1" customWidth="1"/>
    <col min="6935" max="6935" width="9.5703125" style="356" customWidth="1"/>
    <col min="6936" max="6936" width="7.5703125" style="356" customWidth="1"/>
    <col min="6937" max="7171" width="11.42578125" style="356"/>
    <col min="7172" max="7172" width="4.5703125" style="356" bestFit="1" customWidth="1"/>
    <col min="7173" max="7173" width="18" style="356" bestFit="1" customWidth="1"/>
    <col min="7174" max="7174" width="4.5703125" style="356" bestFit="1" customWidth="1"/>
    <col min="7175" max="7175" width="6.28515625" style="356" bestFit="1" customWidth="1"/>
    <col min="7176" max="7176" width="11.5703125" style="356" customWidth="1"/>
    <col min="7177" max="7177" width="11.28515625" style="356" bestFit="1" customWidth="1"/>
    <col min="7178" max="7178" width="10.5703125" style="356" customWidth="1"/>
    <col min="7179" max="7179" width="7.5703125" style="356" bestFit="1" customWidth="1"/>
    <col min="7180" max="7180" width="6.5703125" style="356" bestFit="1" customWidth="1"/>
    <col min="7181" max="7181" width="6.140625" style="356" customWidth="1"/>
    <col min="7182" max="7182" width="7" style="356" customWidth="1"/>
    <col min="7183" max="7183" width="7.28515625" style="356" customWidth="1"/>
    <col min="7184" max="7184" width="9.85546875" style="356" customWidth="1"/>
    <col min="7185" max="7186" width="9.140625" style="356" bestFit="1" customWidth="1"/>
    <col min="7187" max="7187" width="8.7109375" style="356" customWidth="1"/>
    <col min="7188" max="7189" width="6.5703125" style="356" bestFit="1" customWidth="1"/>
    <col min="7190" max="7190" width="12.85546875" style="356" bestFit="1" customWidth="1"/>
    <col min="7191" max="7191" width="9.5703125" style="356" customWidth="1"/>
    <col min="7192" max="7192" width="7.5703125" style="356" customWidth="1"/>
    <col min="7193" max="7427" width="11.42578125" style="356"/>
    <col min="7428" max="7428" width="4.5703125" style="356" bestFit="1" customWidth="1"/>
    <col min="7429" max="7429" width="18" style="356" bestFit="1" customWidth="1"/>
    <col min="7430" max="7430" width="4.5703125" style="356" bestFit="1" customWidth="1"/>
    <col min="7431" max="7431" width="6.28515625" style="356" bestFit="1" customWidth="1"/>
    <col min="7432" max="7432" width="11.5703125" style="356" customWidth="1"/>
    <col min="7433" max="7433" width="11.28515625" style="356" bestFit="1" customWidth="1"/>
    <col min="7434" max="7434" width="10.5703125" style="356" customWidth="1"/>
    <col min="7435" max="7435" width="7.5703125" style="356" bestFit="1" customWidth="1"/>
    <col min="7436" max="7436" width="6.5703125" style="356" bestFit="1" customWidth="1"/>
    <col min="7437" max="7437" width="6.140625" style="356" customWidth="1"/>
    <col min="7438" max="7438" width="7" style="356" customWidth="1"/>
    <col min="7439" max="7439" width="7.28515625" style="356" customWidth="1"/>
    <col min="7440" max="7440" width="9.85546875" style="356" customWidth="1"/>
    <col min="7441" max="7442" width="9.140625" style="356" bestFit="1" customWidth="1"/>
    <col min="7443" max="7443" width="8.7109375" style="356" customWidth="1"/>
    <col min="7444" max="7445" width="6.5703125" style="356" bestFit="1" customWidth="1"/>
    <col min="7446" max="7446" width="12.85546875" style="356" bestFit="1" customWidth="1"/>
    <col min="7447" max="7447" width="9.5703125" style="356" customWidth="1"/>
    <col min="7448" max="7448" width="7.5703125" style="356" customWidth="1"/>
    <col min="7449" max="7683" width="11.42578125" style="356"/>
    <col min="7684" max="7684" width="4.5703125" style="356" bestFit="1" customWidth="1"/>
    <col min="7685" max="7685" width="18" style="356" bestFit="1" customWidth="1"/>
    <col min="7686" max="7686" width="4.5703125" style="356" bestFit="1" customWidth="1"/>
    <col min="7687" max="7687" width="6.28515625" style="356" bestFit="1" customWidth="1"/>
    <col min="7688" max="7688" width="11.5703125" style="356" customWidth="1"/>
    <col min="7689" max="7689" width="11.28515625" style="356" bestFit="1" customWidth="1"/>
    <col min="7690" max="7690" width="10.5703125" style="356" customWidth="1"/>
    <col min="7691" max="7691" width="7.5703125" style="356" bestFit="1" customWidth="1"/>
    <col min="7692" max="7692" width="6.5703125" style="356" bestFit="1" customWidth="1"/>
    <col min="7693" max="7693" width="6.140625" style="356" customWidth="1"/>
    <col min="7694" max="7694" width="7" style="356" customWidth="1"/>
    <col min="7695" max="7695" width="7.28515625" style="356" customWidth="1"/>
    <col min="7696" max="7696" width="9.85546875" style="356" customWidth="1"/>
    <col min="7697" max="7698" width="9.140625" style="356" bestFit="1" customWidth="1"/>
    <col min="7699" max="7699" width="8.7109375" style="356" customWidth="1"/>
    <col min="7700" max="7701" width="6.5703125" style="356" bestFit="1" customWidth="1"/>
    <col min="7702" max="7702" width="12.85546875" style="356" bestFit="1" customWidth="1"/>
    <col min="7703" max="7703" width="9.5703125" style="356" customWidth="1"/>
    <col min="7704" max="7704" width="7.5703125" style="356" customWidth="1"/>
    <col min="7705" max="7939" width="11.42578125" style="356"/>
    <col min="7940" max="7940" width="4.5703125" style="356" bestFit="1" customWidth="1"/>
    <col min="7941" max="7941" width="18" style="356" bestFit="1" customWidth="1"/>
    <col min="7942" max="7942" width="4.5703125" style="356" bestFit="1" customWidth="1"/>
    <col min="7943" max="7943" width="6.28515625" style="356" bestFit="1" customWidth="1"/>
    <col min="7944" max="7944" width="11.5703125" style="356" customWidth="1"/>
    <col min="7945" max="7945" width="11.28515625" style="356" bestFit="1" customWidth="1"/>
    <col min="7946" max="7946" width="10.5703125" style="356" customWidth="1"/>
    <col min="7947" max="7947" width="7.5703125" style="356" bestFit="1" customWidth="1"/>
    <col min="7948" max="7948" width="6.5703125" style="356" bestFit="1" customWidth="1"/>
    <col min="7949" max="7949" width="6.140625" style="356" customWidth="1"/>
    <col min="7950" max="7950" width="7" style="356" customWidth="1"/>
    <col min="7951" max="7951" width="7.28515625" style="356" customWidth="1"/>
    <col min="7952" max="7952" width="9.85546875" style="356" customWidth="1"/>
    <col min="7953" max="7954" width="9.140625" style="356" bestFit="1" customWidth="1"/>
    <col min="7955" max="7955" width="8.7109375" style="356" customWidth="1"/>
    <col min="7956" max="7957" width="6.5703125" style="356" bestFit="1" customWidth="1"/>
    <col min="7958" max="7958" width="12.85546875" style="356" bestFit="1" customWidth="1"/>
    <col min="7959" max="7959" width="9.5703125" style="356" customWidth="1"/>
    <col min="7960" max="7960" width="7.5703125" style="356" customWidth="1"/>
    <col min="7961" max="8195" width="11.42578125" style="356"/>
    <col min="8196" max="8196" width="4.5703125" style="356" bestFit="1" customWidth="1"/>
    <col min="8197" max="8197" width="18" style="356" bestFit="1" customWidth="1"/>
    <col min="8198" max="8198" width="4.5703125" style="356" bestFit="1" customWidth="1"/>
    <col min="8199" max="8199" width="6.28515625" style="356" bestFit="1" customWidth="1"/>
    <col min="8200" max="8200" width="11.5703125" style="356" customWidth="1"/>
    <col min="8201" max="8201" width="11.28515625" style="356" bestFit="1" customWidth="1"/>
    <col min="8202" max="8202" width="10.5703125" style="356" customWidth="1"/>
    <col min="8203" max="8203" width="7.5703125" style="356" bestFit="1" customWidth="1"/>
    <col min="8204" max="8204" width="6.5703125" style="356" bestFit="1" customWidth="1"/>
    <col min="8205" max="8205" width="6.140625" style="356" customWidth="1"/>
    <col min="8206" max="8206" width="7" style="356" customWidth="1"/>
    <col min="8207" max="8207" width="7.28515625" style="356" customWidth="1"/>
    <col min="8208" max="8208" width="9.85546875" style="356" customWidth="1"/>
    <col min="8209" max="8210" width="9.140625" style="356" bestFit="1" customWidth="1"/>
    <col min="8211" max="8211" width="8.7109375" style="356" customWidth="1"/>
    <col min="8212" max="8213" width="6.5703125" style="356" bestFit="1" customWidth="1"/>
    <col min="8214" max="8214" width="12.85546875" style="356" bestFit="1" customWidth="1"/>
    <col min="8215" max="8215" width="9.5703125" style="356" customWidth="1"/>
    <col min="8216" max="8216" width="7.5703125" style="356" customWidth="1"/>
    <col min="8217" max="8451" width="11.42578125" style="356"/>
    <col min="8452" max="8452" width="4.5703125" style="356" bestFit="1" customWidth="1"/>
    <col min="8453" max="8453" width="18" style="356" bestFit="1" customWidth="1"/>
    <col min="8454" max="8454" width="4.5703125" style="356" bestFit="1" customWidth="1"/>
    <col min="8455" max="8455" width="6.28515625" style="356" bestFit="1" customWidth="1"/>
    <col min="8456" max="8456" width="11.5703125" style="356" customWidth="1"/>
    <col min="8457" max="8457" width="11.28515625" style="356" bestFit="1" customWidth="1"/>
    <col min="8458" max="8458" width="10.5703125" style="356" customWidth="1"/>
    <col min="8459" max="8459" width="7.5703125" style="356" bestFit="1" customWidth="1"/>
    <col min="8460" max="8460" width="6.5703125" style="356" bestFit="1" customWidth="1"/>
    <col min="8461" max="8461" width="6.140625" style="356" customWidth="1"/>
    <col min="8462" max="8462" width="7" style="356" customWidth="1"/>
    <col min="8463" max="8463" width="7.28515625" style="356" customWidth="1"/>
    <col min="8464" max="8464" width="9.85546875" style="356" customWidth="1"/>
    <col min="8465" max="8466" width="9.140625" style="356" bestFit="1" customWidth="1"/>
    <col min="8467" max="8467" width="8.7109375" style="356" customWidth="1"/>
    <col min="8468" max="8469" width="6.5703125" style="356" bestFit="1" customWidth="1"/>
    <col min="8470" max="8470" width="12.85546875" style="356" bestFit="1" customWidth="1"/>
    <col min="8471" max="8471" width="9.5703125" style="356" customWidth="1"/>
    <col min="8472" max="8472" width="7.5703125" style="356" customWidth="1"/>
    <col min="8473" max="8707" width="11.42578125" style="356"/>
    <col min="8708" max="8708" width="4.5703125" style="356" bestFit="1" customWidth="1"/>
    <col min="8709" max="8709" width="18" style="356" bestFit="1" customWidth="1"/>
    <col min="8710" max="8710" width="4.5703125" style="356" bestFit="1" customWidth="1"/>
    <col min="8711" max="8711" width="6.28515625" style="356" bestFit="1" customWidth="1"/>
    <col min="8712" max="8712" width="11.5703125" style="356" customWidth="1"/>
    <col min="8713" max="8713" width="11.28515625" style="356" bestFit="1" customWidth="1"/>
    <col min="8714" max="8714" width="10.5703125" style="356" customWidth="1"/>
    <col min="8715" max="8715" width="7.5703125" style="356" bestFit="1" customWidth="1"/>
    <col min="8716" max="8716" width="6.5703125" style="356" bestFit="1" customWidth="1"/>
    <col min="8717" max="8717" width="6.140625" style="356" customWidth="1"/>
    <col min="8718" max="8718" width="7" style="356" customWidth="1"/>
    <col min="8719" max="8719" width="7.28515625" style="356" customWidth="1"/>
    <col min="8720" max="8720" width="9.85546875" style="356" customWidth="1"/>
    <col min="8721" max="8722" width="9.140625" style="356" bestFit="1" customWidth="1"/>
    <col min="8723" max="8723" width="8.7109375" style="356" customWidth="1"/>
    <col min="8724" max="8725" width="6.5703125" style="356" bestFit="1" customWidth="1"/>
    <col min="8726" max="8726" width="12.85546875" style="356" bestFit="1" customWidth="1"/>
    <col min="8727" max="8727" width="9.5703125" style="356" customWidth="1"/>
    <col min="8728" max="8728" width="7.5703125" style="356" customWidth="1"/>
    <col min="8729" max="8963" width="11.42578125" style="356"/>
    <col min="8964" max="8964" width="4.5703125" style="356" bestFit="1" customWidth="1"/>
    <col min="8965" max="8965" width="18" style="356" bestFit="1" customWidth="1"/>
    <col min="8966" max="8966" width="4.5703125" style="356" bestFit="1" customWidth="1"/>
    <col min="8967" max="8967" width="6.28515625" style="356" bestFit="1" customWidth="1"/>
    <col min="8968" max="8968" width="11.5703125" style="356" customWidth="1"/>
    <col min="8969" max="8969" width="11.28515625" style="356" bestFit="1" customWidth="1"/>
    <col min="8970" max="8970" width="10.5703125" style="356" customWidth="1"/>
    <col min="8971" max="8971" width="7.5703125" style="356" bestFit="1" customWidth="1"/>
    <col min="8972" max="8972" width="6.5703125" style="356" bestFit="1" customWidth="1"/>
    <col min="8973" max="8973" width="6.140625" style="356" customWidth="1"/>
    <col min="8974" max="8974" width="7" style="356" customWidth="1"/>
    <col min="8975" max="8975" width="7.28515625" style="356" customWidth="1"/>
    <col min="8976" max="8976" width="9.85546875" style="356" customWidth="1"/>
    <col min="8977" max="8978" width="9.140625" style="356" bestFit="1" customWidth="1"/>
    <col min="8979" max="8979" width="8.7109375" style="356" customWidth="1"/>
    <col min="8980" max="8981" width="6.5703125" style="356" bestFit="1" customWidth="1"/>
    <col min="8982" max="8982" width="12.85546875" style="356" bestFit="1" customWidth="1"/>
    <col min="8983" max="8983" width="9.5703125" style="356" customWidth="1"/>
    <col min="8984" max="8984" width="7.5703125" style="356" customWidth="1"/>
    <col min="8985" max="9219" width="11.42578125" style="356"/>
    <col min="9220" max="9220" width="4.5703125" style="356" bestFit="1" customWidth="1"/>
    <col min="9221" max="9221" width="18" style="356" bestFit="1" customWidth="1"/>
    <col min="9222" max="9222" width="4.5703125" style="356" bestFit="1" customWidth="1"/>
    <col min="9223" max="9223" width="6.28515625" style="356" bestFit="1" customWidth="1"/>
    <col min="9224" max="9224" width="11.5703125" style="356" customWidth="1"/>
    <col min="9225" max="9225" width="11.28515625" style="356" bestFit="1" customWidth="1"/>
    <col min="9226" max="9226" width="10.5703125" style="356" customWidth="1"/>
    <col min="9227" max="9227" width="7.5703125" style="356" bestFit="1" customWidth="1"/>
    <col min="9228" max="9228" width="6.5703125" style="356" bestFit="1" customWidth="1"/>
    <col min="9229" max="9229" width="6.140625" style="356" customWidth="1"/>
    <col min="9230" max="9230" width="7" style="356" customWidth="1"/>
    <col min="9231" max="9231" width="7.28515625" style="356" customWidth="1"/>
    <col min="9232" max="9232" width="9.85546875" style="356" customWidth="1"/>
    <col min="9233" max="9234" width="9.140625" style="356" bestFit="1" customWidth="1"/>
    <col min="9235" max="9235" width="8.7109375" style="356" customWidth="1"/>
    <col min="9236" max="9237" width="6.5703125" style="356" bestFit="1" customWidth="1"/>
    <col min="9238" max="9238" width="12.85546875" style="356" bestFit="1" customWidth="1"/>
    <col min="9239" max="9239" width="9.5703125" style="356" customWidth="1"/>
    <col min="9240" max="9240" width="7.5703125" style="356" customWidth="1"/>
    <col min="9241" max="9475" width="11.42578125" style="356"/>
    <col min="9476" max="9476" width="4.5703125" style="356" bestFit="1" customWidth="1"/>
    <col min="9477" max="9477" width="18" style="356" bestFit="1" customWidth="1"/>
    <col min="9478" max="9478" width="4.5703125" style="356" bestFit="1" customWidth="1"/>
    <col min="9479" max="9479" width="6.28515625" style="356" bestFit="1" customWidth="1"/>
    <col min="9480" max="9480" width="11.5703125" style="356" customWidth="1"/>
    <col min="9481" max="9481" width="11.28515625" style="356" bestFit="1" customWidth="1"/>
    <col min="9482" max="9482" width="10.5703125" style="356" customWidth="1"/>
    <col min="9483" max="9483" width="7.5703125" style="356" bestFit="1" customWidth="1"/>
    <col min="9484" max="9484" width="6.5703125" style="356" bestFit="1" customWidth="1"/>
    <col min="9485" max="9485" width="6.140625" style="356" customWidth="1"/>
    <col min="9486" max="9486" width="7" style="356" customWidth="1"/>
    <col min="9487" max="9487" width="7.28515625" style="356" customWidth="1"/>
    <col min="9488" max="9488" width="9.85546875" style="356" customWidth="1"/>
    <col min="9489" max="9490" width="9.140625" style="356" bestFit="1" customWidth="1"/>
    <col min="9491" max="9491" width="8.7109375" style="356" customWidth="1"/>
    <col min="9492" max="9493" width="6.5703125" style="356" bestFit="1" customWidth="1"/>
    <col min="9494" max="9494" width="12.85546875" style="356" bestFit="1" customWidth="1"/>
    <col min="9495" max="9495" width="9.5703125" style="356" customWidth="1"/>
    <col min="9496" max="9496" width="7.5703125" style="356" customWidth="1"/>
    <col min="9497" max="9731" width="11.42578125" style="356"/>
    <col min="9732" max="9732" width="4.5703125" style="356" bestFit="1" customWidth="1"/>
    <col min="9733" max="9733" width="18" style="356" bestFit="1" customWidth="1"/>
    <col min="9734" max="9734" width="4.5703125" style="356" bestFit="1" customWidth="1"/>
    <col min="9735" max="9735" width="6.28515625" style="356" bestFit="1" customWidth="1"/>
    <col min="9736" max="9736" width="11.5703125" style="356" customWidth="1"/>
    <col min="9737" max="9737" width="11.28515625" style="356" bestFit="1" customWidth="1"/>
    <col min="9738" max="9738" width="10.5703125" style="356" customWidth="1"/>
    <col min="9739" max="9739" width="7.5703125" style="356" bestFit="1" customWidth="1"/>
    <col min="9740" max="9740" width="6.5703125" style="356" bestFit="1" customWidth="1"/>
    <col min="9741" max="9741" width="6.140625" style="356" customWidth="1"/>
    <col min="9742" max="9742" width="7" style="356" customWidth="1"/>
    <col min="9743" max="9743" width="7.28515625" style="356" customWidth="1"/>
    <col min="9744" max="9744" width="9.85546875" style="356" customWidth="1"/>
    <col min="9745" max="9746" width="9.140625" style="356" bestFit="1" customWidth="1"/>
    <col min="9747" max="9747" width="8.7109375" style="356" customWidth="1"/>
    <col min="9748" max="9749" width="6.5703125" style="356" bestFit="1" customWidth="1"/>
    <col min="9750" max="9750" width="12.85546875" style="356" bestFit="1" customWidth="1"/>
    <col min="9751" max="9751" width="9.5703125" style="356" customWidth="1"/>
    <col min="9752" max="9752" width="7.5703125" style="356" customWidth="1"/>
    <col min="9753" max="9987" width="11.42578125" style="356"/>
    <col min="9988" max="9988" width="4.5703125" style="356" bestFit="1" customWidth="1"/>
    <col min="9989" max="9989" width="18" style="356" bestFit="1" customWidth="1"/>
    <col min="9990" max="9990" width="4.5703125" style="356" bestFit="1" customWidth="1"/>
    <col min="9991" max="9991" width="6.28515625" style="356" bestFit="1" customWidth="1"/>
    <col min="9992" max="9992" width="11.5703125" style="356" customWidth="1"/>
    <col min="9993" max="9993" width="11.28515625" style="356" bestFit="1" customWidth="1"/>
    <col min="9994" max="9994" width="10.5703125" style="356" customWidth="1"/>
    <col min="9995" max="9995" width="7.5703125" style="356" bestFit="1" customWidth="1"/>
    <col min="9996" max="9996" width="6.5703125" style="356" bestFit="1" customWidth="1"/>
    <col min="9997" max="9997" width="6.140625" style="356" customWidth="1"/>
    <col min="9998" max="9998" width="7" style="356" customWidth="1"/>
    <col min="9999" max="9999" width="7.28515625" style="356" customWidth="1"/>
    <col min="10000" max="10000" width="9.85546875" style="356" customWidth="1"/>
    <col min="10001" max="10002" width="9.140625" style="356" bestFit="1" customWidth="1"/>
    <col min="10003" max="10003" width="8.7109375" style="356" customWidth="1"/>
    <col min="10004" max="10005" width="6.5703125" style="356" bestFit="1" customWidth="1"/>
    <col min="10006" max="10006" width="12.85546875" style="356" bestFit="1" customWidth="1"/>
    <col min="10007" max="10007" width="9.5703125" style="356" customWidth="1"/>
    <col min="10008" max="10008" width="7.5703125" style="356" customWidth="1"/>
    <col min="10009" max="10243" width="11.42578125" style="356"/>
    <col min="10244" max="10244" width="4.5703125" style="356" bestFit="1" customWidth="1"/>
    <col min="10245" max="10245" width="18" style="356" bestFit="1" customWidth="1"/>
    <col min="10246" max="10246" width="4.5703125" style="356" bestFit="1" customWidth="1"/>
    <col min="10247" max="10247" width="6.28515625" style="356" bestFit="1" customWidth="1"/>
    <col min="10248" max="10248" width="11.5703125" style="356" customWidth="1"/>
    <col min="10249" max="10249" width="11.28515625" style="356" bestFit="1" customWidth="1"/>
    <col min="10250" max="10250" width="10.5703125" style="356" customWidth="1"/>
    <col min="10251" max="10251" width="7.5703125" style="356" bestFit="1" customWidth="1"/>
    <col min="10252" max="10252" width="6.5703125" style="356" bestFit="1" customWidth="1"/>
    <col min="10253" max="10253" width="6.140625" style="356" customWidth="1"/>
    <col min="10254" max="10254" width="7" style="356" customWidth="1"/>
    <col min="10255" max="10255" width="7.28515625" style="356" customWidth="1"/>
    <col min="10256" max="10256" width="9.85546875" style="356" customWidth="1"/>
    <col min="10257" max="10258" width="9.140625" style="356" bestFit="1" customWidth="1"/>
    <col min="10259" max="10259" width="8.7109375" style="356" customWidth="1"/>
    <col min="10260" max="10261" width="6.5703125" style="356" bestFit="1" customWidth="1"/>
    <col min="10262" max="10262" width="12.85546875" style="356" bestFit="1" customWidth="1"/>
    <col min="10263" max="10263" width="9.5703125" style="356" customWidth="1"/>
    <col min="10264" max="10264" width="7.5703125" style="356" customWidth="1"/>
    <col min="10265" max="10499" width="11.42578125" style="356"/>
    <col min="10500" max="10500" width="4.5703125" style="356" bestFit="1" customWidth="1"/>
    <col min="10501" max="10501" width="18" style="356" bestFit="1" customWidth="1"/>
    <col min="10502" max="10502" width="4.5703125" style="356" bestFit="1" customWidth="1"/>
    <col min="10503" max="10503" width="6.28515625" style="356" bestFit="1" customWidth="1"/>
    <col min="10504" max="10504" width="11.5703125" style="356" customWidth="1"/>
    <col min="10505" max="10505" width="11.28515625" style="356" bestFit="1" customWidth="1"/>
    <col min="10506" max="10506" width="10.5703125" style="356" customWidth="1"/>
    <col min="10507" max="10507" width="7.5703125" style="356" bestFit="1" customWidth="1"/>
    <col min="10508" max="10508" width="6.5703125" style="356" bestFit="1" customWidth="1"/>
    <col min="10509" max="10509" width="6.140625" style="356" customWidth="1"/>
    <col min="10510" max="10510" width="7" style="356" customWidth="1"/>
    <col min="10511" max="10511" width="7.28515625" style="356" customWidth="1"/>
    <col min="10512" max="10512" width="9.85546875" style="356" customWidth="1"/>
    <col min="10513" max="10514" width="9.140625" style="356" bestFit="1" customWidth="1"/>
    <col min="10515" max="10515" width="8.7109375" style="356" customWidth="1"/>
    <col min="10516" max="10517" width="6.5703125" style="356" bestFit="1" customWidth="1"/>
    <col min="10518" max="10518" width="12.85546875" style="356" bestFit="1" customWidth="1"/>
    <col min="10519" max="10519" width="9.5703125" style="356" customWidth="1"/>
    <col min="10520" max="10520" width="7.5703125" style="356" customWidth="1"/>
    <col min="10521" max="10755" width="11.42578125" style="356"/>
    <col min="10756" max="10756" width="4.5703125" style="356" bestFit="1" customWidth="1"/>
    <col min="10757" max="10757" width="18" style="356" bestFit="1" customWidth="1"/>
    <col min="10758" max="10758" width="4.5703125" style="356" bestFit="1" customWidth="1"/>
    <col min="10759" max="10759" width="6.28515625" style="356" bestFit="1" customWidth="1"/>
    <col min="10760" max="10760" width="11.5703125" style="356" customWidth="1"/>
    <col min="10761" max="10761" width="11.28515625" style="356" bestFit="1" customWidth="1"/>
    <col min="10762" max="10762" width="10.5703125" style="356" customWidth="1"/>
    <col min="10763" max="10763" width="7.5703125" style="356" bestFit="1" customWidth="1"/>
    <col min="10764" max="10764" width="6.5703125" style="356" bestFit="1" customWidth="1"/>
    <col min="10765" max="10765" width="6.140625" style="356" customWidth="1"/>
    <col min="10766" max="10766" width="7" style="356" customWidth="1"/>
    <col min="10767" max="10767" width="7.28515625" style="356" customWidth="1"/>
    <col min="10768" max="10768" width="9.85546875" style="356" customWidth="1"/>
    <col min="10769" max="10770" width="9.140625" style="356" bestFit="1" customWidth="1"/>
    <col min="10771" max="10771" width="8.7109375" style="356" customWidth="1"/>
    <col min="10772" max="10773" width="6.5703125" style="356" bestFit="1" customWidth="1"/>
    <col min="10774" max="10774" width="12.85546875" style="356" bestFit="1" customWidth="1"/>
    <col min="10775" max="10775" width="9.5703125" style="356" customWidth="1"/>
    <col min="10776" max="10776" width="7.5703125" style="356" customWidth="1"/>
    <col min="10777" max="11011" width="11.42578125" style="356"/>
    <col min="11012" max="11012" width="4.5703125" style="356" bestFit="1" customWidth="1"/>
    <col min="11013" max="11013" width="18" style="356" bestFit="1" customWidth="1"/>
    <col min="11014" max="11014" width="4.5703125" style="356" bestFit="1" customWidth="1"/>
    <col min="11015" max="11015" width="6.28515625" style="356" bestFit="1" customWidth="1"/>
    <col min="11016" max="11016" width="11.5703125" style="356" customWidth="1"/>
    <col min="11017" max="11017" width="11.28515625" style="356" bestFit="1" customWidth="1"/>
    <col min="11018" max="11018" width="10.5703125" style="356" customWidth="1"/>
    <col min="11019" max="11019" width="7.5703125" style="356" bestFit="1" customWidth="1"/>
    <col min="11020" max="11020" width="6.5703125" style="356" bestFit="1" customWidth="1"/>
    <col min="11021" max="11021" width="6.140625" style="356" customWidth="1"/>
    <col min="11022" max="11022" width="7" style="356" customWidth="1"/>
    <col min="11023" max="11023" width="7.28515625" style="356" customWidth="1"/>
    <col min="11024" max="11024" width="9.85546875" style="356" customWidth="1"/>
    <col min="11025" max="11026" width="9.140625" style="356" bestFit="1" customWidth="1"/>
    <col min="11027" max="11027" width="8.7109375" style="356" customWidth="1"/>
    <col min="11028" max="11029" width="6.5703125" style="356" bestFit="1" customWidth="1"/>
    <col min="11030" max="11030" width="12.85546875" style="356" bestFit="1" customWidth="1"/>
    <col min="11031" max="11031" width="9.5703125" style="356" customWidth="1"/>
    <col min="11032" max="11032" width="7.5703125" style="356" customWidth="1"/>
    <col min="11033" max="11267" width="11.42578125" style="356"/>
    <col min="11268" max="11268" width="4.5703125" style="356" bestFit="1" customWidth="1"/>
    <col min="11269" max="11269" width="18" style="356" bestFit="1" customWidth="1"/>
    <col min="11270" max="11270" width="4.5703125" style="356" bestFit="1" customWidth="1"/>
    <col min="11271" max="11271" width="6.28515625" style="356" bestFit="1" customWidth="1"/>
    <col min="11272" max="11272" width="11.5703125" style="356" customWidth="1"/>
    <col min="11273" max="11273" width="11.28515625" style="356" bestFit="1" customWidth="1"/>
    <col min="11274" max="11274" width="10.5703125" style="356" customWidth="1"/>
    <col min="11275" max="11275" width="7.5703125" style="356" bestFit="1" customWidth="1"/>
    <col min="11276" max="11276" width="6.5703125" style="356" bestFit="1" customWidth="1"/>
    <col min="11277" max="11277" width="6.140625" style="356" customWidth="1"/>
    <col min="11278" max="11278" width="7" style="356" customWidth="1"/>
    <col min="11279" max="11279" width="7.28515625" style="356" customWidth="1"/>
    <col min="11280" max="11280" width="9.85546875" style="356" customWidth="1"/>
    <col min="11281" max="11282" width="9.140625" style="356" bestFit="1" customWidth="1"/>
    <col min="11283" max="11283" width="8.7109375" style="356" customWidth="1"/>
    <col min="11284" max="11285" width="6.5703125" style="356" bestFit="1" customWidth="1"/>
    <col min="11286" max="11286" width="12.85546875" style="356" bestFit="1" customWidth="1"/>
    <col min="11287" max="11287" width="9.5703125" style="356" customWidth="1"/>
    <col min="11288" max="11288" width="7.5703125" style="356" customWidth="1"/>
    <col min="11289" max="11523" width="11.42578125" style="356"/>
    <col min="11524" max="11524" width="4.5703125" style="356" bestFit="1" customWidth="1"/>
    <col min="11525" max="11525" width="18" style="356" bestFit="1" customWidth="1"/>
    <col min="11526" max="11526" width="4.5703125" style="356" bestFit="1" customWidth="1"/>
    <col min="11527" max="11527" width="6.28515625" style="356" bestFit="1" customWidth="1"/>
    <col min="11528" max="11528" width="11.5703125" style="356" customWidth="1"/>
    <col min="11529" max="11529" width="11.28515625" style="356" bestFit="1" customWidth="1"/>
    <col min="11530" max="11530" width="10.5703125" style="356" customWidth="1"/>
    <col min="11531" max="11531" width="7.5703125" style="356" bestFit="1" customWidth="1"/>
    <col min="11532" max="11532" width="6.5703125" style="356" bestFit="1" customWidth="1"/>
    <col min="11533" max="11533" width="6.140625" style="356" customWidth="1"/>
    <col min="11534" max="11534" width="7" style="356" customWidth="1"/>
    <col min="11535" max="11535" width="7.28515625" style="356" customWidth="1"/>
    <col min="11536" max="11536" width="9.85546875" style="356" customWidth="1"/>
    <col min="11537" max="11538" width="9.140625" style="356" bestFit="1" customWidth="1"/>
    <col min="11539" max="11539" width="8.7109375" style="356" customWidth="1"/>
    <col min="11540" max="11541" width="6.5703125" style="356" bestFit="1" customWidth="1"/>
    <col min="11542" max="11542" width="12.85546875" style="356" bestFit="1" customWidth="1"/>
    <col min="11543" max="11543" width="9.5703125" style="356" customWidth="1"/>
    <col min="11544" max="11544" width="7.5703125" style="356" customWidth="1"/>
    <col min="11545" max="11779" width="11.42578125" style="356"/>
    <col min="11780" max="11780" width="4.5703125" style="356" bestFit="1" customWidth="1"/>
    <col min="11781" max="11781" width="18" style="356" bestFit="1" customWidth="1"/>
    <col min="11782" max="11782" width="4.5703125" style="356" bestFit="1" customWidth="1"/>
    <col min="11783" max="11783" width="6.28515625" style="356" bestFit="1" customWidth="1"/>
    <col min="11784" max="11784" width="11.5703125" style="356" customWidth="1"/>
    <col min="11785" max="11785" width="11.28515625" style="356" bestFit="1" customWidth="1"/>
    <col min="11786" max="11786" width="10.5703125" style="356" customWidth="1"/>
    <col min="11787" max="11787" width="7.5703125" style="356" bestFit="1" customWidth="1"/>
    <col min="11788" max="11788" width="6.5703125" style="356" bestFit="1" customWidth="1"/>
    <col min="11789" max="11789" width="6.140625" style="356" customWidth="1"/>
    <col min="11790" max="11790" width="7" style="356" customWidth="1"/>
    <col min="11791" max="11791" width="7.28515625" style="356" customWidth="1"/>
    <col min="11792" max="11792" width="9.85546875" style="356" customWidth="1"/>
    <col min="11793" max="11794" width="9.140625" style="356" bestFit="1" customWidth="1"/>
    <col min="11795" max="11795" width="8.7109375" style="356" customWidth="1"/>
    <col min="11796" max="11797" width="6.5703125" style="356" bestFit="1" customWidth="1"/>
    <col min="11798" max="11798" width="12.85546875" style="356" bestFit="1" customWidth="1"/>
    <col min="11799" max="11799" width="9.5703125" style="356" customWidth="1"/>
    <col min="11800" max="11800" width="7.5703125" style="356" customWidth="1"/>
    <col min="11801" max="12035" width="11.42578125" style="356"/>
    <col min="12036" max="12036" width="4.5703125" style="356" bestFit="1" customWidth="1"/>
    <col min="12037" max="12037" width="18" style="356" bestFit="1" customWidth="1"/>
    <col min="12038" max="12038" width="4.5703125" style="356" bestFit="1" customWidth="1"/>
    <col min="12039" max="12039" width="6.28515625" style="356" bestFit="1" customWidth="1"/>
    <col min="12040" max="12040" width="11.5703125" style="356" customWidth="1"/>
    <col min="12041" max="12041" width="11.28515625" style="356" bestFit="1" customWidth="1"/>
    <col min="12042" max="12042" width="10.5703125" style="356" customWidth="1"/>
    <col min="12043" max="12043" width="7.5703125" style="356" bestFit="1" customWidth="1"/>
    <col min="12044" max="12044" width="6.5703125" style="356" bestFit="1" customWidth="1"/>
    <col min="12045" max="12045" width="6.140625" style="356" customWidth="1"/>
    <col min="12046" max="12046" width="7" style="356" customWidth="1"/>
    <col min="12047" max="12047" width="7.28515625" style="356" customWidth="1"/>
    <col min="12048" max="12048" width="9.85546875" style="356" customWidth="1"/>
    <col min="12049" max="12050" width="9.140625" style="356" bestFit="1" customWidth="1"/>
    <col min="12051" max="12051" width="8.7109375" style="356" customWidth="1"/>
    <col min="12052" max="12053" width="6.5703125" style="356" bestFit="1" customWidth="1"/>
    <col min="12054" max="12054" width="12.85546875" style="356" bestFit="1" customWidth="1"/>
    <col min="12055" max="12055" width="9.5703125" style="356" customWidth="1"/>
    <col min="12056" max="12056" width="7.5703125" style="356" customWidth="1"/>
    <col min="12057" max="12291" width="11.42578125" style="356"/>
    <col min="12292" max="12292" width="4.5703125" style="356" bestFit="1" customWidth="1"/>
    <col min="12293" max="12293" width="18" style="356" bestFit="1" customWidth="1"/>
    <col min="12294" max="12294" width="4.5703125" style="356" bestFit="1" customWidth="1"/>
    <col min="12295" max="12295" width="6.28515625" style="356" bestFit="1" customWidth="1"/>
    <col min="12296" max="12296" width="11.5703125" style="356" customWidth="1"/>
    <col min="12297" max="12297" width="11.28515625" style="356" bestFit="1" customWidth="1"/>
    <col min="12298" max="12298" width="10.5703125" style="356" customWidth="1"/>
    <col min="12299" max="12299" width="7.5703125" style="356" bestFit="1" customWidth="1"/>
    <col min="12300" max="12300" width="6.5703125" style="356" bestFit="1" customWidth="1"/>
    <col min="12301" max="12301" width="6.140625" style="356" customWidth="1"/>
    <col min="12302" max="12302" width="7" style="356" customWidth="1"/>
    <col min="12303" max="12303" width="7.28515625" style="356" customWidth="1"/>
    <col min="12304" max="12304" width="9.85546875" style="356" customWidth="1"/>
    <col min="12305" max="12306" width="9.140625" style="356" bestFit="1" customWidth="1"/>
    <col min="12307" max="12307" width="8.7109375" style="356" customWidth="1"/>
    <col min="12308" max="12309" width="6.5703125" style="356" bestFit="1" customWidth="1"/>
    <col min="12310" max="12310" width="12.85546875" style="356" bestFit="1" customWidth="1"/>
    <col min="12311" max="12311" width="9.5703125" style="356" customWidth="1"/>
    <col min="12312" max="12312" width="7.5703125" style="356" customWidth="1"/>
    <col min="12313" max="12547" width="11.42578125" style="356"/>
    <col min="12548" max="12548" width="4.5703125" style="356" bestFit="1" customWidth="1"/>
    <col min="12549" max="12549" width="18" style="356" bestFit="1" customWidth="1"/>
    <col min="12550" max="12550" width="4.5703125" style="356" bestFit="1" customWidth="1"/>
    <col min="12551" max="12551" width="6.28515625" style="356" bestFit="1" customWidth="1"/>
    <col min="12552" max="12552" width="11.5703125" style="356" customWidth="1"/>
    <col min="12553" max="12553" width="11.28515625" style="356" bestFit="1" customWidth="1"/>
    <col min="12554" max="12554" width="10.5703125" style="356" customWidth="1"/>
    <col min="12555" max="12555" width="7.5703125" style="356" bestFit="1" customWidth="1"/>
    <col min="12556" max="12556" width="6.5703125" style="356" bestFit="1" customWidth="1"/>
    <col min="12557" max="12557" width="6.140625" style="356" customWidth="1"/>
    <col min="12558" max="12558" width="7" style="356" customWidth="1"/>
    <col min="12559" max="12559" width="7.28515625" style="356" customWidth="1"/>
    <col min="12560" max="12560" width="9.85546875" style="356" customWidth="1"/>
    <col min="12561" max="12562" width="9.140625" style="356" bestFit="1" customWidth="1"/>
    <col min="12563" max="12563" width="8.7109375" style="356" customWidth="1"/>
    <col min="12564" max="12565" width="6.5703125" style="356" bestFit="1" customWidth="1"/>
    <col min="12566" max="12566" width="12.85546875" style="356" bestFit="1" customWidth="1"/>
    <col min="12567" max="12567" width="9.5703125" style="356" customWidth="1"/>
    <col min="12568" max="12568" width="7.5703125" style="356" customWidth="1"/>
    <col min="12569" max="12803" width="11.42578125" style="356"/>
    <col min="12804" max="12804" width="4.5703125" style="356" bestFit="1" customWidth="1"/>
    <col min="12805" max="12805" width="18" style="356" bestFit="1" customWidth="1"/>
    <col min="12806" max="12806" width="4.5703125" style="356" bestFit="1" customWidth="1"/>
    <col min="12807" max="12807" width="6.28515625" style="356" bestFit="1" customWidth="1"/>
    <col min="12808" max="12808" width="11.5703125" style="356" customWidth="1"/>
    <col min="12809" max="12809" width="11.28515625" style="356" bestFit="1" customWidth="1"/>
    <col min="12810" max="12810" width="10.5703125" style="356" customWidth="1"/>
    <col min="12811" max="12811" width="7.5703125" style="356" bestFit="1" customWidth="1"/>
    <col min="12812" max="12812" width="6.5703125" style="356" bestFit="1" customWidth="1"/>
    <col min="12813" max="12813" width="6.140625" style="356" customWidth="1"/>
    <col min="12814" max="12814" width="7" style="356" customWidth="1"/>
    <col min="12815" max="12815" width="7.28515625" style="356" customWidth="1"/>
    <col min="12816" max="12816" width="9.85546875" style="356" customWidth="1"/>
    <col min="12817" max="12818" width="9.140625" style="356" bestFit="1" customWidth="1"/>
    <col min="12819" max="12819" width="8.7109375" style="356" customWidth="1"/>
    <col min="12820" max="12821" width="6.5703125" style="356" bestFit="1" customWidth="1"/>
    <col min="12822" max="12822" width="12.85546875" style="356" bestFit="1" customWidth="1"/>
    <col min="12823" max="12823" width="9.5703125" style="356" customWidth="1"/>
    <col min="12824" max="12824" width="7.5703125" style="356" customWidth="1"/>
    <col min="12825" max="13059" width="11.42578125" style="356"/>
    <col min="13060" max="13060" width="4.5703125" style="356" bestFit="1" customWidth="1"/>
    <col min="13061" max="13061" width="18" style="356" bestFit="1" customWidth="1"/>
    <col min="13062" max="13062" width="4.5703125" style="356" bestFit="1" customWidth="1"/>
    <col min="13063" max="13063" width="6.28515625" style="356" bestFit="1" customWidth="1"/>
    <col min="13064" max="13064" width="11.5703125" style="356" customWidth="1"/>
    <col min="13065" max="13065" width="11.28515625" style="356" bestFit="1" customWidth="1"/>
    <col min="13066" max="13066" width="10.5703125" style="356" customWidth="1"/>
    <col min="13067" max="13067" width="7.5703125" style="356" bestFit="1" customWidth="1"/>
    <col min="13068" max="13068" width="6.5703125" style="356" bestFit="1" customWidth="1"/>
    <col min="13069" max="13069" width="6.140625" style="356" customWidth="1"/>
    <col min="13070" max="13070" width="7" style="356" customWidth="1"/>
    <col min="13071" max="13071" width="7.28515625" style="356" customWidth="1"/>
    <col min="13072" max="13072" width="9.85546875" style="356" customWidth="1"/>
    <col min="13073" max="13074" width="9.140625" style="356" bestFit="1" customWidth="1"/>
    <col min="13075" max="13075" width="8.7109375" style="356" customWidth="1"/>
    <col min="13076" max="13077" width="6.5703125" style="356" bestFit="1" customWidth="1"/>
    <col min="13078" max="13078" width="12.85546875" style="356" bestFit="1" customWidth="1"/>
    <col min="13079" max="13079" width="9.5703125" style="356" customWidth="1"/>
    <col min="13080" max="13080" width="7.5703125" style="356" customWidth="1"/>
    <col min="13081" max="13315" width="11.42578125" style="356"/>
    <col min="13316" max="13316" width="4.5703125" style="356" bestFit="1" customWidth="1"/>
    <col min="13317" max="13317" width="18" style="356" bestFit="1" customWidth="1"/>
    <col min="13318" max="13318" width="4.5703125" style="356" bestFit="1" customWidth="1"/>
    <col min="13319" max="13319" width="6.28515625" style="356" bestFit="1" customWidth="1"/>
    <col min="13320" max="13320" width="11.5703125" style="356" customWidth="1"/>
    <col min="13321" max="13321" width="11.28515625" style="356" bestFit="1" customWidth="1"/>
    <col min="13322" max="13322" width="10.5703125" style="356" customWidth="1"/>
    <col min="13323" max="13323" width="7.5703125" style="356" bestFit="1" customWidth="1"/>
    <col min="13324" max="13324" width="6.5703125" style="356" bestFit="1" customWidth="1"/>
    <col min="13325" max="13325" width="6.140625" style="356" customWidth="1"/>
    <col min="13326" max="13326" width="7" style="356" customWidth="1"/>
    <col min="13327" max="13327" width="7.28515625" style="356" customWidth="1"/>
    <col min="13328" max="13328" width="9.85546875" style="356" customWidth="1"/>
    <col min="13329" max="13330" width="9.140625" style="356" bestFit="1" customWidth="1"/>
    <col min="13331" max="13331" width="8.7109375" style="356" customWidth="1"/>
    <col min="13332" max="13333" width="6.5703125" style="356" bestFit="1" customWidth="1"/>
    <col min="13334" max="13334" width="12.85546875" style="356" bestFit="1" customWidth="1"/>
    <col min="13335" max="13335" width="9.5703125" style="356" customWidth="1"/>
    <col min="13336" max="13336" width="7.5703125" style="356" customWidth="1"/>
    <col min="13337" max="13571" width="11.42578125" style="356"/>
    <col min="13572" max="13572" width="4.5703125" style="356" bestFit="1" customWidth="1"/>
    <col min="13573" max="13573" width="18" style="356" bestFit="1" customWidth="1"/>
    <col min="13574" max="13574" width="4.5703125" style="356" bestFit="1" customWidth="1"/>
    <col min="13575" max="13575" width="6.28515625" style="356" bestFit="1" customWidth="1"/>
    <col min="13576" max="13576" width="11.5703125" style="356" customWidth="1"/>
    <col min="13577" max="13577" width="11.28515625" style="356" bestFit="1" customWidth="1"/>
    <col min="13578" max="13578" width="10.5703125" style="356" customWidth="1"/>
    <col min="13579" max="13579" width="7.5703125" style="356" bestFit="1" customWidth="1"/>
    <col min="13580" max="13580" width="6.5703125" style="356" bestFit="1" customWidth="1"/>
    <col min="13581" max="13581" width="6.140625" style="356" customWidth="1"/>
    <col min="13582" max="13582" width="7" style="356" customWidth="1"/>
    <col min="13583" max="13583" width="7.28515625" style="356" customWidth="1"/>
    <col min="13584" max="13584" width="9.85546875" style="356" customWidth="1"/>
    <col min="13585" max="13586" width="9.140625" style="356" bestFit="1" customWidth="1"/>
    <col min="13587" max="13587" width="8.7109375" style="356" customWidth="1"/>
    <col min="13588" max="13589" width="6.5703125" style="356" bestFit="1" customWidth="1"/>
    <col min="13590" max="13590" width="12.85546875" style="356" bestFit="1" customWidth="1"/>
    <col min="13591" max="13591" width="9.5703125" style="356" customWidth="1"/>
    <col min="13592" max="13592" width="7.5703125" style="356" customWidth="1"/>
    <col min="13593" max="13827" width="11.42578125" style="356"/>
    <col min="13828" max="13828" width="4.5703125" style="356" bestFit="1" customWidth="1"/>
    <col min="13829" max="13829" width="18" style="356" bestFit="1" customWidth="1"/>
    <col min="13830" max="13830" width="4.5703125" style="356" bestFit="1" customWidth="1"/>
    <col min="13831" max="13831" width="6.28515625" style="356" bestFit="1" customWidth="1"/>
    <col min="13832" max="13832" width="11.5703125" style="356" customWidth="1"/>
    <col min="13833" max="13833" width="11.28515625" style="356" bestFit="1" customWidth="1"/>
    <col min="13834" max="13834" width="10.5703125" style="356" customWidth="1"/>
    <col min="13835" max="13835" width="7.5703125" style="356" bestFit="1" customWidth="1"/>
    <col min="13836" max="13836" width="6.5703125" style="356" bestFit="1" customWidth="1"/>
    <col min="13837" max="13837" width="6.140625" style="356" customWidth="1"/>
    <col min="13838" max="13838" width="7" style="356" customWidth="1"/>
    <col min="13839" max="13839" width="7.28515625" style="356" customWidth="1"/>
    <col min="13840" max="13840" width="9.85546875" style="356" customWidth="1"/>
    <col min="13841" max="13842" width="9.140625" style="356" bestFit="1" customWidth="1"/>
    <col min="13843" max="13843" width="8.7109375" style="356" customWidth="1"/>
    <col min="13844" max="13845" width="6.5703125" style="356" bestFit="1" customWidth="1"/>
    <col min="13846" max="13846" width="12.85546875" style="356" bestFit="1" customWidth="1"/>
    <col min="13847" max="13847" width="9.5703125" style="356" customWidth="1"/>
    <col min="13848" max="13848" width="7.5703125" style="356" customWidth="1"/>
    <col min="13849" max="14083" width="11.42578125" style="356"/>
    <col min="14084" max="14084" width="4.5703125" style="356" bestFit="1" customWidth="1"/>
    <col min="14085" max="14085" width="18" style="356" bestFit="1" customWidth="1"/>
    <col min="14086" max="14086" width="4.5703125" style="356" bestFit="1" customWidth="1"/>
    <col min="14087" max="14087" width="6.28515625" style="356" bestFit="1" customWidth="1"/>
    <col min="14088" max="14088" width="11.5703125" style="356" customWidth="1"/>
    <col min="14089" max="14089" width="11.28515625" style="356" bestFit="1" customWidth="1"/>
    <col min="14090" max="14090" width="10.5703125" style="356" customWidth="1"/>
    <col min="14091" max="14091" width="7.5703125" style="356" bestFit="1" customWidth="1"/>
    <col min="14092" max="14092" width="6.5703125" style="356" bestFit="1" customWidth="1"/>
    <col min="14093" max="14093" width="6.140625" style="356" customWidth="1"/>
    <col min="14094" max="14094" width="7" style="356" customWidth="1"/>
    <col min="14095" max="14095" width="7.28515625" style="356" customWidth="1"/>
    <col min="14096" max="14096" width="9.85546875" style="356" customWidth="1"/>
    <col min="14097" max="14098" width="9.140625" style="356" bestFit="1" customWidth="1"/>
    <col min="14099" max="14099" width="8.7109375" style="356" customWidth="1"/>
    <col min="14100" max="14101" width="6.5703125" style="356" bestFit="1" customWidth="1"/>
    <col min="14102" max="14102" width="12.85546875" style="356" bestFit="1" customWidth="1"/>
    <col min="14103" max="14103" width="9.5703125" style="356" customWidth="1"/>
    <col min="14104" max="14104" width="7.5703125" style="356" customWidth="1"/>
    <col min="14105" max="14339" width="11.42578125" style="356"/>
    <col min="14340" max="14340" width="4.5703125" style="356" bestFit="1" customWidth="1"/>
    <col min="14341" max="14341" width="18" style="356" bestFit="1" customWidth="1"/>
    <col min="14342" max="14342" width="4.5703125" style="356" bestFit="1" customWidth="1"/>
    <col min="14343" max="14343" width="6.28515625" style="356" bestFit="1" customWidth="1"/>
    <col min="14344" max="14344" width="11.5703125" style="356" customWidth="1"/>
    <col min="14345" max="14345" width="11.28515625" style="356" bestFit="1" customWidth="1"/>
    <col min="14346" max="14346" width="10.5703125" style="356" customWidth="1"/>
    <col min="14347" max="14347" width="7.5703125" style="356" bestFit="1" customWidth="1"/>
    <col min="14348" max="14348" width="6.5703125" style="356" bestFit="1" customWidth="1"/>
    <col min="14349" max="14349" width="6.140625" style="356" customWidth="1"/>
    <col min="14350" max="14350" width="7" style="356" customWidth="1"/>
    <col min="14351" max="14351" width="7.28515625" style="356" customWidth="1"/>
    <col min="14352" max="14352" width="9.85546875" style="356" customWidth="1"/>
    <col min="14353" max="14354" width="9.140625" style="356" bestFit="1" customWidth="1"/>
    <col min="14355" max="14355" width="8.7109375" style="356" customWidth="1"/>
    <col min="14356" max="14357" width="6.5703125" style="356" bestFit="1" customWidth="1"/>
    <col min="14358" max="14358" width="12.85546875" style="356" bestFit="1" customWidth="1"/>
    <col min="14359" max="14359" width="9.5703125" style="356" customWidth="1"/>
    <col min="14360" max="14360" width="7.5703125" style="356" customWidth="1"/>
    <col min="14361" max="14595" width="11.42578125" style="356"/>
    <col min="14596" max="14596" width="4.5703125" style="356" bestFit="1" customWidth="1"/>
    <col min="14597" max="14597" width="18" style="356" bestFit="1" customWidth="1"/>
    <col min="14598" max="14598" width="4.5703125" style="356" bestFit="1" customWidth="1"/>
    <col min="14599" max="14599" width="6.28515625" style="356" bestFit="1" customWidth="1"/>
    <col min="14600" max="14600" width="11.5703125" style="356" customWidth="1"/>
    <col min="14601" max="14601" width="11.28515625" style="356" bestFit="1" customWidth="1"/>
    <col min="14602" max="14602" width="10.5703125" style="356" customWidth="1"/>
    <col min="14603" max="14603" width="7.5703125" style="356" bestFit="1" customWidth="1"/>
    <col min="14604" max="14604" width="6.5703125" style="356" bestFit="1" customWidth="1"/>
    <col min="14605" max="14605" width="6.140625" style="356" customWidth="1"/>
    <col min="14606" max="14606" width="7" style="356" customWidth="1"/>
    <col min="14607" max="14607" width="7.28515625" style="356" customWidth="1"/>
    <col min="14608" max="14608" width="9.85546875" style="356" customWidth="1"/>
    <col min="14609" max="14610" width="9.140625" style="356" bestFit="1" customWidth="1"/>
    <col min="14611" max="14611" width="8.7109375" style="356" customWidth="1"/>
    <col min="14612" max="14613" width="6.5703125" style="356" bestFit="1" customWidth="1"/>
    <col min="14614" max="14614" width="12.85546875" style="356" bestFit="1" customWidth="1"/>
    <col min="14615" max="14615" width="9.5703125" style="356" customWidth="1"/>
    <col min="14616" max="14616" width="7.5703125" style="356" customWidth="1"/>
    <col min="14617" max="14851" width="11.42578125" style="356"/>
    <col min="14852" max="14852" width="4.5703125" style="356" bestFit="1" customWidth="1"/>
    <col min="14853" max="14853" width="18" style="356" bestFit="1" customWidth="1"/>
    <col min="14854" max="14854" width="4.5703125" style="356" bestFit="1" customWidth="1"/>
    <col min="14855" max="14855" width="6.28515625" style="356" bestFit="1" customWidth="1"/>
    <col min="14856" max="14856" width="11.5703125" style="356" customWidth="1"/>
    <col min="14857" max="14857" width="11.28515625" style="356" bestFit="1" customWidth="1"/>
    <col min="14858" max="14858" width="10.5703125" style="356" customWidth="1"/>
    <col min="14859" max="14859" width="7.5703125" style="356" bestFit="1" customWidth="1"/>
    <col min="14860" max="14860" width="6.5703125" style="356" bestFit="1" customWidth="1"/>
    <col min="14861" max="14861" width="6.140625" style="356" customWidth="1"/>
    <col min="14862" max="14862" width="7" style="356" customWidth="1"/>
    <col min="14863" max="14863" width="7.28515625" style="356" customWidth="1"/>
    <col min="14864" max="14864" width="9.85546875" style="356" customWidth="1"/>
    <col min="14865" max="14866" width="9.140625" style="356" bestFit="1" customWidth="1"/>
    <col min="14867" max="14867" width="8.7109375" style="356" customWidth="1"/>
    <col min="14868" max="14869" width="6.5703125" style="356" bestFit="1" customWidth="1"/>
    <col min="14870" max="14870" width="12.85546875" style="356" bestFit="1" customWidth="1"/>
    <col min="14871" max="14871" width="9.5703125" style="356" customWidth="1"/>
    <col min="14872" max="14872" width="7.5703125" style="356" customWidth="1"/>
    <col min="14873" max="15107" width="11.42578125" style="356"/>
    <col min="15108" max="15108" width="4.5703125" style="356" bestFit="1" customWidth="1"/>
    <col min="15109" max="15109" width="18" style="356" bestFit="1" customWidth="1"/>
    <col min="15110" max="15110" width="4.5703125" style="356" bestFit="1" customWidth="1"/>
    <col min="15111" max="15111" width="6.28515625" style="356" bestFit="1" customWidth="1"/>
    <col min="15112" max="15112" width="11.5703125" style="356" customWidth="1"/>
    <col min="15113" max="15113" width="11.28515625" style="356" bestFit="1" customWidth="1"/>
    <col min="15114" max="15114" width="10.5703125" style="356" customWidth="1"/>
    <col min="15115" max="15115" width="7.5703125" style="356" bestFit="1" customWidth="1"/>
    <col min="15116" max="15116" width="6.5703125" style="356" bestFit="1" customWidth="1"/>
    <col min="15117" max="15117" width="6.140625" style="356" customWidth="1"/>
    <col min="15118" max="15118" width="7" style="356" customWidth="1"/>
    <col min="15119" max="15119" width="7.28515625" style="356" customWidth="1"/>
    <col min="15120" max="15120" width="9.85546875" style="356" customWidth="1"/>
    <col min="15121" max="15122" width="9.140625" style="356" bestFit="1" customWidth="1"/>
    <col min="15123" max="15123" width="8.7109375" style="356" customWidth="1"/>
    <col min="15124" max="15125" width="6.5703125" style="356" bestFit="1" customWidth="1"/>
    <col min="15126" max="15126" width="12.85546875" style="356" bestFit="1" customWidth="1"/>
    <col min="15127" max="15127" width="9.5703125" style="356" customWidth="1"/>
    <col min="15128" max="15128" width="7.5703125" style="356" customWidth="1"/>
    <col min="15129" max="15363" width="11.42578125" style="356"/>
    <col min="15364" max="15364" width="4.5703125" style="356" bestFit="1" customWidth="1"/>
    <col min="15365" max="15365" width="18" style="356" bestFit="1" customWidth="1"/>
    <col min="15366" max="15366" width="4.5703125" style="356" bestFit="1" customWidth="1"/>
    <col min="15367" max="15367" width="6.28515625" style="356" bestFit="1" customWidth="1"/>
    <col min="15368" max="15368" width="11.5703125" style="356" customWidth="1"/>
    <col min="15369" max="15369" width="11.28515625" style="356" bestFit="1" customWidth="1"/>
    <col min="15370" max="15370" width="10.5703125" style="356" customWidth="1"/>
    <col min="15371" max="15371" width="7.5703125" style="356" bestFit="1" customWidth="1"/>
    <col min="15372" max="15372" width="6.5703125" style="356" bestFit="1" customWidth="1"/>
    <col min="15373" max="15373" width="6.140625" style="356" customWidth="1"/>
    <col min="15374" max="15374" width="7" style="356" customWidth="1"/>
    <col min="15375" max="15375" width="7.28515625" style="356" customWidth="1"/>
    <col min="15376" max="15376" width="9.85546875" style="356" customWidth="1"/>
    <col min="15377" max="15378" width="9.140625" style="356" bestFit="1" customWidth="1"/>
    <col min="15379" max="15379" width="8.7109375" style="356" customWidth="1"/>
    <col min="15380" max="15381" width="6.5703125" style="356" bestFit="1" customWidth="1"/>
    <col min="15382" max="15382" width="12.85546875" style="356" bestFit="1" customWidth="1"/>
    <col min="15383" max="15383" width="9.5703125" style="356" customWidth="1"/>
    <col min="15384" max="15384" width="7.5703125" style="356" customWidth="1"/>
    <col min="15385" max="15619" width="11.42578125" style="356"/>
    <col min="15620" max="15620" width="4.5703125" style="356" bestFit="1" customWidth="1"/>
    <col min="15621" max="15621" width="18" style="356" bestFit="1" customWidth="1"/>
    <col min="15622" max="15622" width="4.5703125" style="356" bestFit="1" customWidth="1"/>
    <col min="15623" max="15623" width="6.28515625" style="356" bestFit="1" customWidth="1"/>
    <col min="15624" max="15624" width="11.5703125" style="356" customWidth="1"/>
    <col min="15625" max="15625" width="11.28515625" style="356" bestFit="1" customWidth="1"/>
    <col min="15626" max="15626" width="10.5703125" style="356" customWidth="1"/>
    <col min="15627" max="15627" width="7.5703125" style="356" bestFit="1" customWidth="1"/>
    <col min="15628" max="15628" width="6.5703125" style="356" bestFit="1" customWidth="1"/>
    <col min="15629" max="15629" width="6.140625" style="356" customWidth="1"/>
    <col min="15630" max="15630" width="7" style="356" customWidth="1"/>
    <col min="15631" max="15631" width="7.28515625" style="356" customWidth="1"/>
    <col min="15632" max="15632" width="9.85546875" style="356" customWidth="1"/>
    <col min="15633" max="15634" width="9.140625" style="356" bestFit="1" customWidth="1"/>
    <col min="15635" max="15635" width="8.7109375" style="356" customWidth="1"/>
    <col min="15636" max="15637" width="6.5703125" style="356" bestFit="1" customWidth="1"/>
    <col min="15638" max="15638" width="12.85546875" style="356" bestFit="1" customWidth="1"/>
    <col min="15639" max="15639" width="9.5703125" style="356" customWidth="1"/>
    <col min="15640" max="15640" width="7.5703125" style="356" customWidth="1"/>
    <col min="15641" max="15875" width="11.42578125" style="356"/>
    <col min="15876" max="15876" width="4.5703125" style="356" bestFit="1" customWidth="1"/>
    <col min="15877" max="15877" width="18" style="356" bestFit="1" customWidth="1"/>
    <col min="15878" max="15878" width="4.5703125" style="356" bestFit="1" customWidth="1"/>
    <col min="15879" max="15879" width="6.28515625" style="356" bestFit="1" customWidth="1"/>
    <col min="15880" max="15880" width="11.5703125" style="356" customWidth="1"/>
    <col min="15881" max="15881" width="11.28515625" style="356" bestFit="1" customWidth="1"/>
    <col min="15882" max="15882" width="10.5703125" style="356" customWidth="1"/>
    <col min="15883" max="15883" width="7.5703125" style="356" bestFit="1" customWidth="1"/>
    <col min="15884" max="15884" width="6.5703125" style="356" bestFit="1" customWidth="1"/>
    <col min="15885" max="15885" width="6.140625" style="356" customWidth="1"/>
    <col min="15886" max="15886" width="7" style="356" customWidth="1"/>
    <col min="15887" max="15887" width="7.28515625" style="356" customWidth="1"/>
    <col min="15888" max="15888" width="9.85546875" style="356" customWidth="1"/>
    <col min="15889" max="15890" width="9.140625" style="356" bestFit="1" customWidth="1"/>
    <col min="15891" max="15891" width="8.7109375" style="356" customWidth="1"/>
    <col min="15892" max="15893" width="6.5703125" style="356" bestFit="1" customWidth="1"/>
    <col min="15894" max="15894" width="12.85546875" style="356" bestFit="1" customWidth="1"/>
    <col min="15895" max="15895" width="9.5703125" style="356" customWidth="1"/>
    <col min="15896" max="15896" width="7.5703125" style="356" customWidth="1"/>
    <col min="15897" max="16131" width="11.42578125" style="356"/>
    <col min="16132" max="16132" width="4.5703125" style="356" bestFit="1" customWidth="1"/>
    <col min="16133" max="16133" width="18" style="356" bestFit="1" customWidth="1"/>
    <col min="16134" max="16134" width="4.5703125" style="356" bestFit="1" customWidth="1"/>
    <col min="16135" max="16135" width="6.28515625" style="356" bestFit="1" customWidth="1"/>
    <col min="16136" max="16136" width="11.5703125" style="356" customWidth="1"/>
    <col min="16137" max="16137" width="11.28515625" style="356" bestFit="1" customWidth="1"/>
    <col min="16138" max="16138" width="10.5703125" style="356" customWidth="1"/>
    <col min="16139" max="16139" width="7.5703125" style="356" bestFit="1" customWidth="1"/>
    <col min="16140" max="16140" width="6.5703125" style="356" bestFit="1" customWidth="1"/>
    <col min="16141" max="16141" width="6.140625" style="356" customWidth="1"/>
    <col min="16142" max="16142" width="7" style="356" customWidth="1"/>
    <col min="16143" max="16143" width="7.28515625" style="356" customWidth="1"/>
    <col min="16144" max="16144" width="9.85546875" style="356" customWidth="1"/>
    <col min="16145" max="16146" width="9.140625" style="356" bestFit="1" customWidth="1"/>
    <col min="16147" max="16147" width="8.7109375" style="356" customWidth="1"/>
    <col min="16148" max="16149" width="6.5703125" style="356" bestFit="1" customWidth="1"/>
    <col min="16150" max="16150" width="12.85546875" style="356" bestFit="1" customWidth="1"/>
    <col min="16151" max="16151" width="9.5703125" style="356" customWidth="1"/>
    <col min="16152" max="16152" width="7.5703125" style="356" customWidth="1"/>
    <col min="16153" max="16384" width="11.42578125" style="356"/>
  </cols>
  <sheetData>
    <row r="1" spans="1:29" ht="13.5" thickBot="1"/>
    <row r="2" spans="1:29" ht="13.5" thickBot="1">
      <c r="A2" s="925" t="s">
        <v>585</v>
      </c>
      <c r="B2" s="926"/>
      <c r="C2" s="926"/>
      <c r="D2" s="926"/>
      <c r="E2" s="926"/>
      <c r="F2" s="926"/>
      <c r="G2" s="926"/>
      <c r="H2" s="926"/>
      <c r="I2" s="926"/>
      <c r="J2" s="926"/>
      <c r="K2" s="926"/>
      <c r="L2" s="926"/>
      <c r="M2" s="926"/>
      <c r="N2" s="926"/>
      <c r="O2" s="926"/>
      <c r="P2" s="926"/>
      <c r="Q2" s="926"/>
      <c r="R2" s="926"/>
      <c r="S2" s="926"/>
      <c r="T2" s="926"/>
      <c r="U2" s="926"/>
      <c r="V2" s="926"/>
      <c r="W2" s="926"/>
      <c r="X2" s="926"/>
      <c r="Y2" s="927"/>
    </row>
    <row r="3" spans="1:29" ht="13.5" thickBot="1">
      <c r="A3" s="928" t="s">
        <v>500</v>
      </c>
      <c r="B3" s="929"/>
      <c r="C3" s="929"/>
      <c r="D3" s="929"/>
      <c r="E3" s="929"/>
      <c r="F3" s="929"/>
      <c r="G3" s="929"/>
      <c r="H3" s="929"/>
      <c r="I3" s="929"/>
      <c r="J3" s="929"/>
      <c r="K3" s="929" t="s">
        <v>499</v>
      </c>
      <c r="L3" s="929"/>
      <c r="M3" s="929"/>
      <c r="N3" s="929"/>
      <c r="O3" s="929"/>
      <c r="P3" s="929"/>
      <c r="Q3" s="929"/>
      <c r="R3" s="929"/>
      <c r="S3" s="938" t="s">
        <v>498</v>
      </c>
      <c r="T3" s="939"/>
      <c r="U3" s="939"/>
      <c r="V3" s="940"/>
      <c r="W3" s="949" t="s">
        <v>497</v>
      </c>
      <c r="X3" s="952" t="s">
        <v>496</v>
      </c>
      <c r="Y3" s="941" t="s">
        <v>580</v>
      </c>
      <c r="Z3" s="941" t="s">
        <v>581</v>
      </c>
      <c r="AA3" s="941" t="s">
        <v>582</v>
      </c>
      <c r="AB3" s="941" t="s">
        <v>583</v>
      </c>
      <c r="AC3" s="941" t="s">
        <v>584</v>
      </c>
    </row>
    <row r="4" spans="1:29" ht="23.25" customHeight="1">
      <c r="A4" s="935" t="s">
        <v>495</v>
      </c>
      <c r="B4" s="936" t="s">
        <v>577</v>
      </c>
      <c r="C4" s="414" t="s">
        <v>494</v>
      </c>
      <c r="D4" s="944" t="s">
        <v>493</v>
      </c>
      <c r="E4" s="944" t="s">
        <v>492</v>
      </c>
      <c r="F4" s="944"/>
      <c r="G4" s="930" t="s">
        <v>578</v>
      </c>
      <c r="H4" s="690"/>
      <c r="I4" s="930" t="s">
        <v>491</v>
      </c>
      <c r="J4" s="945" t="s">
        <v>490</v>
      </c>
      <c r="K4" s="413" t="s">
        <v>489</v>
      </c>
      <c r="L4" s="418" t="s">
        <v>488</v>
      </c>
      <c r="M4" s="418" t="s">
        <v>487</v>
      </c>
      <c r="N4" s="418" t="s">
        <v>486</v>
      </c>
      <c r="O4" s="418" t="s">
        <v>485</v>
      </c>
      <c r="P4" s="413" t="s">
        <v>484</v>
      </c>
      <c r="Q4" s="413" t="s">
        <v>483</v>
      </c>
      <c r="R4" s="946" t="s">
        <v>482</v>
      </c>
      <c r="S4" s="417" t="s">
        <v>481</v>
      </c>
      <c r="T4" s="416" t="s">
        <v>480</v>
      </c>
      <c r="U4" s="415" t="s">
        <v>479</v>
      </c>
      <c r="V4" s="947" t="s">
        <v>478</v>
      </c>
      <c r="W4" s="950"/>
      <c r="X4" s="953"/>
      <c r="Y4" s="942"/>
      <c r="Z4" s="942"/>
      <c r="AA4" s="942"/>
      <c r="AB4" s="942"/>
      <c r="AC4" s="942"/>
    </row>
    <row r="5" spans="1:29" ht="21.75" customHeight="1" thickBot="1">
      <c r="A5" s="935"/>
      <c r="B5" s="937"/>
      <c r="C5" s="414"/>
      <c r="D5" s="944"/>
      <c r="E5" s="413" t="s">
        <v>477</v>
      </c>
      <c r="F5" s="413" t="s">
        <v>476</v>
      </c>
      <c r="G5" s="930"/>
      <c r="H5" s="690" t="s">
        <v>623</v>
      </c>
      <c r="I5" s="930"/>
      <c r="J5" s="945"/>
      <c r="K5" s="412">
        <v>8.5000000000000006E-2</v>
      </c>
      <c r="L5" s="409">
        <v>0.12</v>
      </c>
      <c r="M5" s="411">
        <v>0.01</v>
      </c>
      <c r="N5" s="410">
        <v>4.2000000000000003E-2</v>
      </c>
      <c r="O5" s="408">
        <v>8.3299999999999999E-2</v>
      </c>
      <c r="P5" s="409">
        <v>0.01</v>
      </c>
      <c r="Q5" s="408">
        <v>8.3299999999999999E-2</v>
      </c>
      <c r="R5" s="946"/>
      <c r="S5" s="407">
        <v>0.04</v>
      </c>
      <c r="T5" s="407">
        <v>0</v>
      </c>
      <c r="U5" s="406">
        <v>0</v>
      </c>
      <c r="V5" s="948"/>
      <c r="W5" s="951"/>
      <c r="X5" s="954"/>
      <c r="Y5" s="943"/>
      <c r="Z5" s="943"/>
      <c r="AA5" s="943"/>
      <c r="AB5" s="943"/>
      <c r="AC5" s="943"/>
    </row>
    <row r="6" spans="1:29" ht="12.75" customHeight="1">
      <c r="A6" s="624">
        <v>1</v>
      </c>
      <c r="B6" s="633">
        <v>1</v>
      </c>
      <c r="C6" s="394" t="s">
        <v>475</v>
      </c>
      <c r="D6" s="405" t="s">
        <v>673</v>
      </c>
      <c r="E6" s="404"/>
      <c r="F6" s="404"/>
      <c r="G6" s="397">
        <v>1600000</v>
      </c>
      <c r="H6" s="397"/>
      <c r="I6" s="397"/>
      <c r="J6" s="400">
        <f t="shared" ref="J6:J9" si="0">G6+I6</f>
        <v>1600000</v>
      </c>
      <c r="K6" s="397"/>
      <c r="L6" s="397"/>
      <c r="M6" s="397"/>
      <c r="N6" s="398"/>
      <c r="O6" s="398"/>
      <c r="P6" s="399"/>
      <c r="Q6" s="398"/>
      <c r="R6" s="386">
        <f t="shared" ref="R6:R9" si="1">SUM(J6:Q6)</f>
        <v>1600000</v>
      </c>
      <c r="S6" s="397"/>
      <c r="T6" s="397">
        <f t="shared" ref="T6:T9" si="2">R6*$T$5</f>
        <v>0</v>
      </c>
      <c r="U6" s="396">
        <f t="shared" ref="U6:U9" si="3">R6*$U$5</f>
        <v>0</v>
      </c>
      <c r="V6" s="383">
        <f t="shared" ref="V6:V9" si="4">S6+T6+U6</f>
        <v>0</v>
      </c>
      <c r="W6" s="403">
        <f t="shared" ref="W6:W9" si="5">R6+V6</f>
        <v>1600000</v>
      </c>
      <c r="X6" s="402">
        <v>12</v>
      </c>
      <c r="Y6" s="628">
        <f>W6*X6</f>
        <v>19200000</v>
      </c>
      <c r="Z6" s="628">
        <f>Y6*1.0383</f>
        <v>19935360</v>
      </c>
      <c r="AA6" s="628">
        <f t="shared" ref="AA6:AC6" si="6">Z6*1.0383</f>
        <v>20698884.287999999</v>
      </c>
      <c r="AB6" s="628">
        <f t="shared" si="6"/>
        <v>21491651.5562304</v>
      </c>
      <c r="AC6" s="628">
        <f t="shared" si="6"/>
        <v>22314781.810834024</v>
      </c>
    </row>
    <row r="7" spans="1:29" ht="12.75" customHeight="1">
      <c r="A7" s="625">
        <f>A6+1</f>
        <v>2</v>
      </c>
      <c r="B7" s="633">
        <v>1</v>
      </c>
      <c r="C7" s="394" t="s">
        <v>475</v>
      </c>
      <c r="D7" s="282" t="s">
        <v>579</v>
      </c>
      <c r="E7" s="401"/>
      <c r="F7" s="401"/>
      <c r="G7" s="397">
        <v>400000</v>
      </c>
      <c r="H7" s="397"/>
      <c r="I7" s="397"/>
      <c r="J7" s="400">
        <f t="shared" si="0"/>
        <v>400000</v>
      </c>
      <c r="K7" s="397"/>
      <c r="L7" s="397"/>
      <c r="M7" s="397"/>
      <c r="N7" s="398"/>
      <c r="O7" s="398"/>
      <c r="P7" s="399"/>
      <c r="Q7" s="398"/>
      <c r="R7" s="386">
        <f t="shared" si="1"/>
        <v>400000</v>
      </c>
      <c r="S7" s="397"/>
      <c r="T7" s="397">
        <f t="shared" si="2"/>
        <v>0</v>
      </c>
      <c r="U7" s="396">
        <f t="shared" si="3"/>
        <v>0</v>
      </c>
      <c r="V7" s="383">
        <f t="shared" si="4"/>
        <v>0</v>
      </c>
      <c r="W7" s="382">
        <f t="shared" si="5"/>
        <v>400000</v>
      </c>
      <c r="X7" s="395">
        <v>12</v>
      </c>
      <c r="Y7" s="628">
        <f t="shared" ref="Y7:Y9" si="7">W7*X7</f>
        <v>4800000</v>
      </c>
      <c r="Z7" s="628">
        <f>Y7*1.0383</f>
        <v>4983840</v>
      </c>
      <c r="AA7" s="628">
        <f>Z7*1.0383</f>
        <v>5174721.0719999997</v>
      </c>
      <c r="AB7" s="628">
        <f>AA7*1.0383</f>
        <v>5372912.8890575999</v>
      </c>
      <c r="AC7" s="628">
        <f>AB7*1.0383</f>
        <v>5578695.452708506</v>
      </c>
    </row>
    <row r="8" spans="1:29" ht="12.75" customHeight="1">
      <c r="A8" s="625">
        <f t="shared" ref="A8:A11" si="8">A7+1</f>
        <v>3</v>
      </c>
      <c r="B8" s="634">
        <v>1</v>
      </c>
      <c r="C8" s="389" t="s">
        <v>18</v>
      </c>
      <c r="D8" s="282" t="s">
        <v>674</v>
      </c>
      <c r="E8" s="393">
        <v>30</v>
      </c>
      <c r="F8" s="393">
        <v>192</v>
      </c>
      <c r="G8" s="385">
        <v>800000</v>
      </c>
      <c r="H8" s="385">
        <v>100000</v>
      </c>
      <c r="I8" s="385">
        <v>83140</v>
      </c>
      <c r="J8" s="392">
        <f>G8+I8+H8</f>
        <v>983140</v>
      </c>
      <c r="K8" s="385">
        <f t="shared" ref="K8:K11" si="9">G8*$K$5</f>
        <v>68000</v>
      </c>
      <c r="L8" s="385">
        <f t="shared" ref="L8:L11" si="10">G8*$L$5</f>
        <v>96000</v>
      </c>
      <c r="M8" s="385">
        <f t="shared" ref="M8:M11" si="11">G8*$M$5</f>
        <v>8000</v>
      </c>
      <c r="N8" s="387">
        <f t="shared" ref="N8:N11" si="12">G8*$N$5</f>
        <v>33600</v>
      </c>
      <c r="O8" s="387">
        <f t="shared" ref="O8:O11" si="13">J8*$O$5</f>
        <v>81895.562000000005</v>
      </c>
      <c r="P8" s="388">
        <f t="shared" ref="P8:P11" si="14">J8*$P$5</f>
        <v>9831.4</v>
      </c>
      <c r="Q8" s="387">
        <f t="shared" ref="Q8:Q11" si="15">J8*$Q$5</f>
        <v>81895.562000000005</v>
      </c>
      <c r="R8" s="391">
        <f t="shared" si="1"/>
        <v>1362362.5239999997</v>
      </c>
      <c r="S8" s="385">
        <f t="shared" ref="S8:S11" si="16">R8*$S$5</f>
        <v>54494.50095999999</v>
      </c>
      <c r="T8" s="385">
        <f t="shared" si="2"/>
        <v>0</v>
      </c>
      <c r="U8" s="384">
        <f t="shared" si="3"/>
        <v>0</v>
      </c>
      <c r="V8" s="383">
        <f t="shared" si="4"/>
        <v>54494.50095999999</v>
      </c>
      <c r="W8" s="383">
        <f t="shared" si="5"/>
        <v>1416857.0249599998</v>
      </c>
      <c r="X8" s="390">
        <v>7</v>
      </c>
      <c r="Y8" s="629">
        <f t="shared" si="7"/>
        <v>9917999.1747199986</v>
      </c>
      <c r="Z8" s="629">
        <f>(W8*12)*1.0383</f>
        <v>17653471.788191613</v>
      </c>
      <c r="AA8" s="629">
        <f>Z8*1.0383</f>
        <v>18329599.757679351</v>
      </c>
      <c r="AB8" s="629">
        <f t="shared" ref="AB8:AC10" si="17">AA8*1.0383</f>
        <v>19031623.428398471</v>
      </c>
      <c r="AC8" s="629">
        <f t="shared" si="17"/>
        <v>19760534.605706133</v>
      </c>
    </row>
    <row r="9" spans="1:29" ht="12.75" customHeight="1">
      <c r="A9" s="625">
        <f t="shared" si="8"/>
        <v>4</v>
      </c>
      <c r="B9" s="634">
        <v>1</v>
      </c>
      <c r="C9" s="389" t="s">
        <v>32</v>
      </c>
      <c r="D9" s="282" t="s">
        <v>675</v>
      </c>
      <c r="E9" s="393">
        <v>30</v>
      </c>
      <c r="F9" s="393">
        <v>192</v>
      </c>
      <c r="G9" s="385">
        <v>1300000</v>
      </c>
      <c r="H9" s="385"/>
      <c r="I9" s="385">
        <v>83140</v>
      </c>
      <c r="J9" s="392">
        <f t="shared" si="0"/>
        <v>1383140</v>
      </c>
      <c r="K9" s="385">
        <f t="shared" si="9"/>
        <v>110500.00000000001</v>
      </c>
      <c r="L9" s="385">
        <f t="shared" si="10"/>
        <v>156000</v>
      </c>
      <c r="M9" s="385">
        <f t="shared" si="11"/>
        <v>13000</v>
      </c>
      <c r="N9" s="387">
        <f t="shared" si="12"/>
        <v>54600</v>
      </c>
      <c r="O9" s="387">
        <f t="shared" si="13"/>
        <v>115215.56200000001</v>
      </c>
      <c r="P9" s="388">
        <f t="shared" si="14"/>
        <v>13831.4</v>
      </c>
      <c r="Q9" s="387">
        <f t="shared" si="15"/>
        <v>115215.56200000001</v>
      </c>
      <c r="R9" s="391">
        <f t="shared" si="1"/>
        <v>1961502.5239999997</v>
      </c>
      <c r="S9" s="385">
        <f t="shared" si="16"/>
        <v>78460.100959999996</v>
      </c>
      <c r="T9" s="385">
        <f t="shared" si="2"/>
        <v>0</v>
      </c>
      <c r="U9" s="384">
        <f t="shared" si="3"/>
        <v>0</v>
      </c>
      <c r="V9" s="383">
        <f t="shared" si="4"/>
        <v>78460.100959999996</v>
      </c>
      <c r="W9" s="383">
        <f t="shared" si="5"/>
        <v>2039962.6249599997</v>
      </c>
      <c r="X9" s="390">
        <v>12</v>
      </c>
      <c r="Y9" s="629">
        <f t="shared" si="7"/>
        <v>24479551.499519996</v>
      </c>
      <c r="Z9" s="629">
        <f>(W9*12)*1.0383</f>
        <v>25417118.321951613</v>
      </c>
      <c r="AA9" s="629">
        <f>Z9*1.0383</f>
        <v>26390593.953682359</v>
      </c>
      <c r="AB9" s="629">
        <f t="shared" si="17"/>
        <v>27401353.702108394</v>
      </c>
      <c r="AC9" s="629">
        <f t="shared" si="17"/>
        <v>28450825.548899148</v>
      </c>
    </row>
    <row r="10" spans="1:29" ht="12.75" customHeight="1">
      <c r="A10" s="625">
        <f t="shared" si="8"/>
        <v>5</v>
      </c>
      <c r="B10" s="634">
        <v>1</v>
      </c>
      <c r="C10" s="389" t="s">
        <v>32</v>
      </c>
      <c r="D10" s="282" t="s">
        <v>676</v>
      </c>
      <c r="E10" s="393">
        <v>30</v>
      </c>
      <c r="F10" s="393">
        <v>192</v>
      </c>
      <c r="G10" s="385">
        <v>800000</v>
      </c>
      <c r="H10" s="385"/>
      <c r="I10" s="385">
        <v>83140</v>
      </c>
      <c r="J10" s="392">
        <f t="shared" ref="J10:J11" si="18">G10+I10</f>
        <v>883140</v>
      </c>
      <c r="K10" s="385">
        <f t="shared" si="9"/>
        <v>68000</v>
      </c>
      <c r="L10" s="385">
        <f t="shared" si="10"/>
        <v>96000</v>
      </c>
      <c r="M10" s="385">
        <f t="shared" si="11"/>
        <v>8000</v>
      </c>
      <c r="N10" s="387">
        <f t="shared" si="12"/>
        <v>33600</v>
      </c>
      <c r="O10" s="387">
        <f t="shared" si="13"/>
        <v>73565.562000000005</v>
      </c>
      <c r="P10" s="388">
        <f t="shared" si="14"/>
        <v>8831.4</v>
      </c>
      <c r="Q10" s="387">
        <f t="shared" si="15"/>
        <v>73565.562000000005</v>
      </c>
      <c r="R10" s="391">
        <f t="shared" ref="R10:R11" si="19">SUM(J10:Q10)</f>
        <v>1244702.5239999997</v>
      </c>
      <c r="S10" s="385">
        <f t="shared" si="16"/>
        <v>49788.100959999989</v>
      </c>
      <c r="T10" s="385">
        <f t="shared" ref="T10:T11" si="20">R10*$T$5</f>
        <v>0</v>
      </c>
      <c r="U10" s="384">
        <f t="shared" ref="U10:U11" si="21">R10*$U$5</f>
        <v>0</v>
      </c>
      <c r="V10" s="383">
        <f t="shared" ref="V10:V11" si="22">S10+T10+U10</f>
        <v>49788.100959999989</v>
      </c>
      <c r="W10" s="383">
        <f t="shared" ref="W10:W11" si="23">R10+V10</f>
        <v>1294490.6249599997</v>
      </c>
      <c r="X10" s="390">
        <v>12</v>
      </c>
      <c r="Y10" s="629">
        <f t="shared" ref="Y10:Y11" si="24">W10*X10</f>
        <v>15533887.499519996</v>
      </c>
      <c r="Z10" s="629">
        <f>(W10*12)*1.0383</f>
        <v>16128835.390751611</v>
      </c>
      <c r="AA10" s="629">
        <f>Z10*1.0383</f>
        <v>16746569.786217399</v>
      </c>
      <c r="AB10" s="629">
        <f t="shared" si="17"/>
        <v>17387963.409029525</v>
      </c>
      <c r="AC10" s="629">
        <f t="shared" si="17"/>
        <v>18053922.407595355</v>
      </c>
    </row>
    <row r="11" spans="1:29" ht="12.75" customHeight="1" thickBot="1">
      <c r="A11" s="625">
        <f t="shared" si="8"/>
        <v>6</v>
      </c>
      <c r="B11" s="634">
        <v>3</v>
      </c>
      <c r="C11" s="389" t="s">
        <v>32</v>
      </c>
      <c r="D11" s="282" t="s">
        <v>681</v>
      </c>
      <c r="E11" s="393">
        <v>30</v>
      </c>
      <c r="F11" s="393">
        <v>192</v>
      </c>
      <c r="G11" s="385">
        <v>800000</v>
      </c>
      <c r="H11" s="385"/>
      <c r="I11" s="385">
        <v>83140</v>
      </c>
      <c r="J11" s="392">
        <f t="shared" si="18"/>
        <v>883140</v>
      </c>
      <c r="K11" s="385">
        <f t="shared" si="9"/>
        <v>68000</v>
      </c>
      <c r="L11" s="385">
        <f t="shared" si="10"/>
        <v>96000</v>
      </c>
      <c r="M11" s="385">
        <f t="shared" si="11"/>
        <v>8000</v>
      </c>
      <c r="N11" s="387">
        <f t="shared" si="12"/>
        <v>33600</v>
      </c>
      <c r="O11" s="387">
        <f t="shared" si="13"/>
        <v>73565.562000000005</v>
      </c>
      <c r="P11" s="388">
        <f t="shared" si="14"/>
        <v>8831.4</v>
      </c>
      <c r="Q11" s="387">
        <f t="shared" si="15"/>
        <v>73565.562000000005</v>
      </c>
      <c r="R11" s="391">
        <f t="shared" si="19"/>
        <v>1244702.5239999997</v>
      </c>
      <c r="S11" s="385">
        <f t="shared" si="16"/>
        <v>49788.100959999989</v>
      </c>
      <c r="T11" s="385">
        <f t="shared" si="20"/>
        <v>0</v>
      </c>
      <c r="U11" s="384">
        <f t="shared" si="21"/>
        <v>0</v>
      </c>
      <c r="V11" s="383">
        <f t="shared" si="22"/>
        <v>49788.100959999989</v>
      </c>
      <c r="W11" s="383">
        <f t="shared" si="23"/>
        <v>1294490.6249599997</v>
      </c>
      <c r="X11" s="390">
        <v>9</v>
      </c>
      <c r="Y11" s="629">
        <f t="shared" si="24"/>
        <v>11650415.624639997</v>
      </c>
      <c r="Z11" s="629"/>
      <c r="AA11" s="631">
        <v>15550710.789999999</v>
      </c>
      <c r="AB11" s="632">
        <v>16146303.01</v>
      </c>
      <c r="AC11" s="632">
        <v>16764706.42</v>
      </c>
    </row>
    <row r="12" spans="1:29" ht="18.75" thickBot="1">
      <c r="A12" s="932" t="s">
        <v>344</v>
      </c>
      <c r="B12" s="933"/>
      <c r="C12" s="933"/>
      <c r="D12" s="933"/>
      <c r="E12" s="933"/>
      <c r="F12" s="934"/>
      <c r="G12" s="381">
        <f>SUM(G6:G11)</f>
        <v>5700000</v>
      </c>
      <c r="H12" s="380"/>
      <c r="I12" s="380">
        <f t="shared" ref="I12:W12" si="25">SUM(I6:I11)</f>
        <v>332560</v>
      </c>
      <c r="J12" s="379">
        <f t="shared" si="25"/>
        <v>6132560</v>
      </c>
      <c r="K12" s="378">
        <f t="shared" si="25"/>
        <v>314500</v>
      </c>
      <c r="L12" s="378">
        <f t="shared" si="25"/>
        <v>444000</v>
      </c>
      <c r="M12" s="378">
        <f t="shared" si="25"/>
        <v>37000</v>
      </c>
      <c r="N12" s="378">
        <f t="shared" si="25"/>
        <v>155400</v>
      </c>
      <c r="O12" s="378">
        <f t="shared" si="25"/>
        <v>344242.24800000002</v>
      </c>
      <c r="P12" s="378">
        <f t="shared" si="25"/>
        <v>41325.599999999999</v>
      </c>
      <c r="Q12" s="378">
        <f t="shared" si="25"/>
        <v>344242.24800000002</v>
      </c>
      <c r="R12" s="377">
        <f t="shared" si="25"/>
        <v>7813270.095999999</v>
      </c>
      <c r="S12" s="378">
        <f t="shared" si="25"/>
        <v>232530.80383999995</v>
      </c>
      <c r="T12" s="378">
        <f t="shared" si="25"/>
        <v>0</v>
      </c>
      <c r="U12" s="378">
        <f t="shared" si="25"/>
        <v>0</v>
      </c>
      <c r="V12" s="377">
        <f t="shared" si="25"/>
        <v>232530.80383999995</v>
      </c>
      <c r="W12" s="376">
        <f t="shared" si="25"/>
        <v>8045800.8998399992</v>
      </c>
      <c r="X12" s="375">
        <v>12</v>
      </c>
      <c r="Y12" s="630">
        <f>SUM(Y6:Y11)</f>
        <v>85581853.7984</v>
      </c>
      <c r="Z12" s="630">
        <f>SUM(Z6:Z11)</f>
        <v>84118625.500894845</v>
      </c>
      <c r="AA12" s="630">
        <f>SUM(AA6:AA11)</f>
        <v>102891079.6475791</v>
      </c>
      <c r="AB12" s="630">
        <f>SUM(AB6:AB11)</f>
        <v>106831807.99482439</v>
      </c>
      <c r="AC12" s="630">
        <f>SUM(AC6:AC11)</f>
        <v>110923466.24574316</v>
      </c>
    </row>
    <row r="13" spans="1:29" s="373" customFormat="1" ht="18.75" customHeight="1">
      <c r="A13" s="374"/>
      <c r="B13" s="374"/>
      <c r="C13" s="374"/>
      <c r="D13" s="374"/>
      <c r="E13" s="374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</row>
    <row r="14" spans="1:29">
      <c r="N14" s="372"/>
      <c r="Y14" s="367"/>
    </row>
    <row r="15" spans="1:29">
      <c r="W15" s="367"/>
    </row>
    <row r="17" spans="7:29">
      <c r="K17" s="367"/>
    </row>
    <row r="18" spans="7:29" ht="22.5" customHeight="1">
      <c r="P18" s="367"/>
    </row>
    <row r="20" spans="7:29" ht="15" customHeight="1">
      <c r="G20" s="363"/>
      <c r="H20" s="363"/>
      <c r="I20" s="369"/>
      <c r="P20" s="367"/>
      <c r="S20" s="369"/>
      <c r="V20" s="369"/>
      <c r="W20" s="367"/>
      <c r="AB20" s="931"/>
      <c r="AC20" s="931"/>
    </row>
    <row r="21" spans="7:29" ht="33.75" customHeight="1">
      <c r="G21" s="363"/>
      <c r="H21" s="363"/>
      <c r="I21" s="371"/>
      <c r="J21" s="367"/>
      <c r="P21" s="367"/>
      <c r="S21" s="371"/>
      <c r="AB21" s="931"/>
      <c r="AC21" s="931"/>
    </row>
    <row r="22" spans="7:29" ht="15">
      <c r="G22" s="363"/>
      <c r="H22" s="363"/>
      <c r="I22" s="369"/>
      <c r="P22" s="367"/>
      <c r="AB22" s="370"/>
      <c r="AC22" s="365"/>
    </row>
    <row r="23" spans="7:29" ht="15">
      <c r="G23" s="363"/>
      <c r="H23" s="363"/>
      <c r="I23" s="369"/>
      <c r="P23" s="367"/>
      <c r="V23" s="367"/>
      <c r="AB23" s="366"/>
      <c r="AC23" s="365"/>
    </row>
    <row r="24" spans="7:29" ht="15">
      <c r="G24" s="357"/>
      <c r="H24" s="357"/>
      <c r="I24" s="368"/>
      <c r="P24" s="367"/>
      <c r="AB24" s="366"/>
      <c r="AC24" s="365"/>
    </row>
    <row r="25" spans="7:29" ht="15">
      <c r="G25" s="357"/>
      <c r="H25" s="357"/>
      <c r="P25" s="367"/>
      <c r="Z25" s="360"/>
      <c r="AB25" s="366"/>
      <c r="AC25" s="365"/>
    </row>
    <row r="26" spans="7:29" ht="16.5">
      <c r="G26" s="357"/>
      <c r="H26" s="357"/>
      <c r="P26" s="367"/>
      <c r="Z26" s="364"/>
      <c r="AB26" s="366"/>
      <c r="AC26" s="365"/>
    </row>
    <row r="27" spans="7:29" ht="16.5">
      <c r="P27" s="367"/>
      <c r="Z27" s="364"/>
      <c r="AB27" s="366"/>
      <c r="AC27" s="365"/>
    </row>
    <row r="28" spans="7:29" ht="14.25">
      <c r="Z28" s="364"/>
      <c r="AA28" s="363"/>
      <c r="AB28" s="362"/>
      <c r="AC28" s="361"/>
    </row>
    <row r="29" spans="7:29" ht="18.75" customHeight="1">
      <c r="G29" s="357"/>
      <c r="H29" s="357"/>
      <c r="Z29" s="360"/>
      <c r="AB29" s="359"/>
      <c r="AC29" s="359"/>
    </row>
    <row r="30" spans="7:29">
      <c r="G30" s="357"/>
      <c r="H30" s="357"/>
      <c r="Z30" s="358"/>
    </row>
    <row r="31" spans="7:29">
      <c r="G31" s="357"/>
      <c r="H31" s="357"/>
    </row>
  </sheetData>
  <mergeCells count="23">
    <mergeCell ref="AC20:AC21"/>
    <mergeCell ref="S3:V3"/>
    <mergeCell ref="Y3:Y5"/>
    <mergeCell ref="D4:D5"/>
    <mergeCell ref="E4:F4"/>
    <mergeCell ref="J4:J5"/>
    <mergeCell ref="R4:R5"/>
    <mergeCell ref="V4:V5"/>
    <mergeCell ref="W3:W5"/>
    <mergeCell ref="X3:X5"/>
    <mergeCell ref="Z3:Z5"/>
    <mergeCell ref="AA3:AA5"/>
    <mergeCell ref="AB3:AB5"/>
    <mergeCell ref="AC3:AC5"/>
    <mergeCell ref="A2:Y2"/>
    <mergeCell ref="A3:J3"/>
    <mergeCell ref="K3:R3"/>
    <mergeCell ref="I4:I5"/>
    <mergeCell ref="AB20:AB21"/>
    <mergeCell ref="A12:F12"/>
    <mergeCell ref="A4:A5"/>
    <mergeCell ref="G4:G5"/>
    <mergeCell ref="B4:B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BB86"/>
  <sheetViews>
    <sheetView zoomScale="90" zoomScaleNormal="90" workbookViewId="0">
      <selection activeCell="H94" sqref="H94"/>
    </sheetView>
  </sheetViews>
  <sheetFormatPr baseColWidth="10" defaultRowHeight="15"/>
  <cols>
    <col min="1" max="1" width="16.85546875" style="216" customWidth="1"/>
    <col min="2" max="2" width="36.28515625" style="216" customWidth="1"/>
    <col min="3" max="3" width="17.42578125" style="216" customWidth="1"/>
    <col min="4" max="4" width="27.42578125" style="216" customWidth="1"/>
    <col min="5" max="5" width="26.7109375" style="216" customWidth="1"/>
    <col min="6" max="6" width="24.7109375" style="216" customWidth="1"/>
    <col min="7" max="8" width="11.42578125" style="234"/>
    <col min="9" max="9" width="30.85546875" style="234" customWidth="1"/>
    <col min="10" max="14" width="15.7109375" style="234" customWidth="1"/>
    <col min="15" max="15" width="11.42578125" style="234"/>
    <col min="16" max="16" width="26.140625" style="234" customWidth="1"/>
    <col min="17" max="18" width="15.5703125" style="234" customWidth="1"/>
    <col min="19" max="19" width="16.85546875" style="234" customWidth="1"/>
    <col min="20" max="20" width="18.5703125" style="234" customWidth="1"/>
    <col min="21" max="21" width="18.140625" style="234" customWidth="1"/>
    <col min="22" max="54" width="11.42578125" style="234"/>
    <col min="55" max="16384" width="11.42578125" style="216"/>
  </cols>
  <sheetData>
    <row r="2" spans="2:54" s="296" customFormat="1" ht="44.25" customHeight="1">
      <c r="B2" s="962" t="str">
        <f>'PLAN DE PRODUCCCION'!B4</f>
        <v>producto 1</v>
      </c>
      <c r="C2" s="962"/>
      <c r="D2" s="962"/>
      <c r="E2" s="962"/>
      <c r="F2" s="962"/>
      <c r="H2" s="297"/>
      <c r="I2" s="297"/>
      <c r="J2" s="297"/>
      <c r="K2" s="955" t="s">
        <v>656</v>
      </c>
      <c r="L2" s="955"/>
      <c r="M2" s="955"/>
      <c r="N2" s="955"/>
      <c r="O2" s="955"/>
      <c r="P2" s="955"/>
      <c r="Q2" s="955"/>
      <c r="R2" s="955"/>
      <c r="S2" s="955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</row>
    <row r="3" spans="2:54">
      <c r="G3" s="216"/>
    </row>
    <row r="4" spans="2:54" ht="16.5" thickBot="1">
      <c r="B4" s="279" t="s">
        <v>448</v>
      </c>
      <c r="C4" s="279"/>
      <c r="D4" s="279"/>
      <c r="E4" s="279"/>
      <c r="G4" s="216"/>
    </row>
    <row r="5" spans="2:54" ht="15.75">
      <c r="B5" s="287" t="s">
        <v>409</v>
      </c>
      <c r="C5" s="287" t="s">
        <v>408</v>
      </c>
      <c r="D5" s="287" t="s">
        <v>447</v>
      </c>
      <c r="E5" s="287" t="s">
        <v>446</v>
      </c>
      <c r="F5" s="275"/>
      <c r="G5" s="216"/>
      <c r="I5" s="915" t="s">
        <v>464</v>
      </c>
      <c r="J5" s="916"/>
      <c r="K5" s="916"/>
      <c r="L5" s="916"/>
      <c r="M5" s="916"/>
      <c r="N5" s="917"/>
    </row>
    <row r="6" spans="2:54" ht="15.75">
      <c r="B6" s="282" t="s">
        <v>445</v>
      </c>
      <c r="C6" s="278">
        <v>1.82</v>
      </c>
      <c r="D6" s="278" t="s">
        <v>444</v>
      </c>
      <c r="E6" s="291">
        <f>C6*1840</f>
        <v>3348.8</v>
      </c>
      <c r="F6" s="275"/>
      <c r="G6" s="216"/>
      <c r="I6" s="570"/>
      <c r="J6" s="571" t="s">
        <v>327</v>
      </c>
      <c r="K6" s="571" t="s">
        <v>328</v>
      </c>
      <c r="L6" s="571" t="s">
        <v>329</v>
      </c>
      <c r="M6" s="571" t="s">
        <v>330</v>
      </c>
      <c r="N6" s="572" t="s">
        <v>331</v>
      </c>
    </row>
    <row r="7" spans="2:54" ht="15.75">
      <c r="B7" s="282" t="s">
        <v>413</v>
      </c>
      <c r="C7" s="278" t="s">
        <v>438</v>
      </c>
      <c r="D7" s="278" t="s">
        <v>412</v>
      </c>
      <c r="E7" s="278">
        <v>23</v>
      </c>
      <c r="F7" s="275"/>
      <c r="G7" s="216"/>
      <c r="I7" s="570" t="str">
        <f>'PLAN DE PRODUCCCION'!B4</f>
        <v>producto 1</v>
      </c>
      <c r="J7" s="573">
        <f>'PLAN DE VENTAS'!C15</f>
        <v>289.44</v>
      </c>
      <c r="K7" s="573">
        <f>'PLAN DE VENTAS'!D15</f>
        <v>424.51200000000006</v>
      </c>
      <c r="L7" s="573">
        <f>'PLAN DE VENTAS'!E15</f>
        <v>488.18880000000001</v>
      </c>
      <c r="M7" s="573">
        <f>'PLAN DE VENTAS'!F15</f>
        <v>610.23599999999999</v>
      </c>
      <c r="N7" s="573">
        <f>'PLAN DE VENTAS'!G15</f>
        <v>671.25960000000009</v>
      </c>
      <c r="Q7" s="818"/>
    </row>
    <row r="8" spans="2:54" ht="15.75">
      <c r="B8" s="282" t="s">
        <v>443</v>
      </c>
      <c r="C8" s="291" t="s">
        <v>428</v>
      </c>
      <c r="D8" s="278" t="s">
        <v>442</v>
      </c>
      <c r="E8" s="278">
        <v>200</v>
      </c>
      <c r="F8" s="275"/>
      <c r="G8" s="216"/>
      <c r="I8" s="570" t="str">
        <f>'PLAN DE PRODUCCCION'!B5</f>
        <v>producto 2</v>
      </c>
      <c r="J8" s="573">
        <f>'PLAN DE VENTAS'!C16</f>
        <v>289.44</v>
      </c>
      <c r="K8" s="573">
        <f>'PLAN DE VENTAS'!D16</f>
        <v>424.51200000000006</v>
      </c>
      <c r="L8" s="573">
        <f>'PLAN DE VENTAS'!E16</f>
        <v>488.18880000000001</v>
      </c>
      <c r="M8" s="573">
        <f>'PLAN DE VENTAS'!F16</f>
        <v>610.23599999999999</v>
      </c>
      <c r="N8" s="573">
        <f>'PLAN DE VENTAS'!G16</f>
        <v>671.25960000000009</v>
      </c>
      <c r="Q8" s="818"/>
    </row>
    <row r="9" spans="2:54" ht="15.75">
      <c r="B9" s="282" t="s">
        <v>441</v>
      </c>
      <c r="C9" s="291">
        <v>5</v>
      </c>
      <c r="D9" s="278" t="s">
        <v>433</v>
      </c>
      <c r="E9" s="278">
        <f>5*2</f>
        <v>10</v>
      </c>
      <c r="F9" s="275"/>
      <c r="G9" s="216"/>
      <c r="I9" s="570" t="str">
        <f>'PLAN DE PRODUCCCION'!B6</f>
        <v>producto 3</v>
      </c>
      <c r="J9" s="573">
        <f>'PLAN DE VENTAS'!C17</f>
        <v>0</v>
      </c>
      <c r="K9" s="573">
        <f>'PLAN DE VENTAS'!D17</f>
        <v>0</v>
      </c>
      <c r="L9" s="573">
        <f>'PLAN DE VENTAS'!E17</f>
        <v>0</v>
      </c>
      <c r="M9" s="573">
        <f>'PLAN DE VENTAS'!F17</f>
        <v>0</v>
      </c>
      <c r="N9" s="573">
        <f>'PLAN DE VENTAS'!G17</f>
        <v>0</v>
      </c>
      <c r="Q9" s="818"/>
    </row>
    <row r="10" spans="2:54" ht="16.5" thickBot="1">
      <c r="B10" s="282" t="s">
        <v>440</v>
      </c>
      <c r="C10" s="291">
        <v>5</v>
      </c>
      <c r="D10" s="278" t="s">
        <v>433</v>
      </c>
      <c r="E10" s="278">
        <v>29</v>
      </c>
      <c r="F10" s="275"/>
      <c r="G10" s="216"/>
      <c r="I10" s="596" t="s">
        <v>462</v>
      </c>
      <c r="J10" s="597">
        <f>SUM(J7:J9)</f>
        <v>578.88</v>
      </c>
      <c r="K10" s="597">
        <f>SUM(K7:K9)</f>
        <v>849.02400000000011</v>
      </c>
      <c r="L10" s="597">
        <f>SUM(L7:L9)</f>
        <v>976.37760000000003</v>
      </c>
      <c r="M10" s="597">
        <f>SUM(M7:M9)</f>
        <v>1220.472</v>
      </c>
      <c r="N10" s="598">
        <f>SUM(N7:N9)</f>
        <v>1342.5192000000002</v>
      </c>
      <c r="Q10" s="818"/>
    </row>
    <row r="11" spans="2:54" ht="15.75">
      <c r="B11" s="282" t="s">
        <v>439</v>
      </c>
      <c r="C11" s="278" t="s">
        <v>438</v>
      </c>
      <c r="D11" s="278" t="s">
        <v>412</v>
      </c>
      <c r="E11" s="278">
        <v>2.5</v>
      </c>
      <c r="F11" s="275"/>
      <c r="G11" s="216"/>
    </row>
    <row r="12" spans="2:54" ht="16.5" thickBot="1">
      <c r="B12" s="282" t="s">
        <v>437</v>
      </c>
      <c r="C12" s="278" t="s">
        <v>419</v>
      </c>
      <c r="D12" s="278" t="s">
        <v>419</v>
      </c>
      <c r="E12" s="278">
        <f>25000/1000</f>
        <v>25</v>
      </c>
      <c r="F12" s="275"/>
      <c r="G12" s="216"/>
    </row>
    <row r="13" spans="2:54" ht="15.75">
      <c r="B13" s="282" t="s">
        <v>436</v>
      </c>
      <c r="C13" s="278" t="s">
        <v>435</v>
      </c>
      <c r="D13" s="278" t="s">
        <v>434</v>
      </c>
      <c r="E13" s="278">
        <f>75000/1000</f>
        <v>75</v>
      </c>
      <c r="F13" s="275"/>
      <c r="G13" s="216"/>
      <c r="I13" s="903" t="s">
        <v>573</v>
      </c>
      <c r="J13" s="904"/>
      <c r="K13" s="904"/>
      <c r="L13" s="904"/>
      <c r="M13" s="904"/>
      <c r="N13" s="905"/>
    </row>
    <row r="14" spans="2:54" ht="15.75">
      <c r="B14" s="282"/>
      <c r="C14" s="278"/>
      <c r="D14" s="278"/>
      <c r="E14" s="278"/>
      <c r="F14" s="275"/>
      <c r="G14" s="216"/>
      <c r="I14" s="582"/>
      <c r="J14" s="583" t="s">
        <v>327</v>
      </c>
      <c r="K14" s="583" t="s">
        <v>328</v>
      </c>
      <c r="L14" s="583" t="s">
        <v>329</v>
      </c>
      <c r="M14" s="583" t="s">
        <v>330</v>
      </c>
      <c r="N14" s="584" t="s">
        <v>331</v>
      </c>
    </row>
    <row r="15" spans="2:54" ht="15.75">
      <c r="B15" s="282"/>
      <c r="C15" s="278"/>
      <c r="D15" s="278"/>
      <c r="E15" s="278"/>
      <c r="F15" s="275"/>
      <c r="G15" s="216"/>
      <c r="I15" s="582" t="str">
        <f>I7</f>
        <v>producto 1</v>
      </c>
      <c r="J15" s="585">
        <f>F25</f>
        <v>4603</v>
      </c>
      <c r="K15" s="585">
        <f>J15*1.035</f>
        <v>4764.1049999999996</v>
      </c>
      <c r="L15" s="585">
        <f t="shared" ref="L15:N15" si="0">K15*1.035</f>
        <v>4930.8486749999993</v>
      </c>
      <c r="M15" s="585">
        <f t="shared" si="0"/>
        <v>5103.4283786249989</v>
      </c>
      <c r="N15" s="585">
        <f t="shared" si="0"/>
        <v>5282.0483718768737</v>
      </c>
    </row>
    <row r="16" spans="2:54" ht="15.75">
      <c r="B16" s="264" t="s">
        <v>400</v>
      </c>
      <c r="C16" s="609">
        <v>1</v>
      </c>
      <c r="D16" s="609">
        <v>1</v>
      </c>
      <c r="E16" s="609">
        <v>155</v>
      </c>
      <c r="F16" s="275"/>
      <c r="G16" s="216"/>
      <c r="I16" s="582" t="str">
        <f>I8</f>
        <v>producto 2</v>
      </c>
      <c r="J16" s="585">
        <f>F46</f>
        <v>1616</v>
      </c>
      <c r="K16" s="585">
        <f t="shared" ref="K16:N16" si="1">J16*1.035</f>
        <v>1672.56</v>
      </c>
      <c r="L16" s="585">
        <f t="shared" si="1"/>
        <v>1731.0995999999998</v>
      </c>
      <c r="M16" s="585">
        <f t="shared" si="1"/>
        <v>1791.6880859999997</v>
      </c>
      <c r="N16" s="585">
        <f t="shared" si="1"/>
        <v>1854.3971690099995</v>
      </c>
    </row>
    <row r="17" spans="2:21" ht="15.75">
      <c r="B17" s="282"/>
      <c r="C17" s="278"/>
      <c r="D17" s="278"/>
      <c r="E17" s="291"/>
      <c r="F17" s="275"/>
      <c r="G17" s="216"/>
      <c r="I17" s="582" t="str">
        <f>I9</f>
        <v>producto 3</v>
      </c>
      <c r="J17" s="585">
        <f>F73</f>
        <v>2969</v>
      </c>
      <c r="K17" s="585">
        <f t="shared" ref="K17:N17" si="2">J17*1.035</f>
        <v>3072.915</v>
      </c>
      <c r="L17" s="585">
        <f t="shared" si="2"/>
        <v>3180.4670249999999</v>
      </c>
      <c r="M17" s="585">
        <f t="shared" si="2"/>
        <v>3291.7833708749995</v>
      </c>
      <c r="N17" s="585">
        <f t="shared" si="2"/>
        <v>3406.9957888556241</v>
      </c>
    </row>
    <row r="18" spans="2:21" ht="16.5" thickBot="1">
      <c r="B18" s="273"/>
      <c r="C18" s="608"/>
      <c r="D18" s="608"/>
      <c r="E18" s="608"/>
      <c r="G18" s="216"/>
      <c r="I18" s="596" t="s">
        <v>462</v>
      </c>
      <c r="J18" s="586"/>
      <c r="K18" s="586"/>
      <c r="L18" s="586"/>
      <c r="M18" s="586"/>
      <c r="N18" s="587"/>
    </row>
    <row r="19" spans="2:21" ht="30.75" thickBot="1">
      <c r="B19" s="605" t="s">
        <v>399</v>
      </c>
      <c r="C19" s="606"/>
      <c r="D19" s="606"/>
      <c r="E19" s="607">
        <f>SUM(E6:E18)</f>
        <v>3868.3</v>
      </c>
      <c r="F19" s="601">
        <f>E19*1.19</f>
        <v>4603.277</v>
      </c>
      <c r="G19" s="216"/>
    </row>
    <row r="20" spans="2:21" ht="17.25">
      <c r="B20" s="279"/>
      <c r="C20" s="279"/>
      <c r="D20" s="279"/>
      <c r="E20" s="294"/>
      <c r="G20" s="216"/>
      <c r="I20" s="959" t="s">
        <v>590</v>
      </c>
      <c r="J20" s="960"/>
      <c r="K20" s="960"/>
      <c r="L20" s="960"/>
      <c r="M20" s="960"/>
      <c r="N20" s="961"/>
    </row>
    <row r="21" spans="2:21" ht="16.5" thickBot="1">
      <c r="B21" s="279"/>
      <c r="C21" s="279"/>
      <c r="D21" s="279"/>
      <c r="E21" s="279"/>
      <c r="G21" s="216"/>
      <c r="I21" s="588"/>
      <c r="J21" s="589" t="s">
        <v>327</v>
      </c>
      <c r="K21" s="589" t="s">
        <v>328</v>
      </c>
      <c r="L21" s="589" t="s">
        <v>329</v>
      </c>
      <c r="M21" s="589" t="s">
        <v>330</v>
      </c>
      <c r="N21" s="590" t="s">
        <v>331</v>
      </c>
    </row>
    <row r="22" spans="2:21" ht="16.5" thickBot="1">
      <c r="B22" s="602" t="s">
        <v>398</v>
      </c>
      <c r="C22" s="603"/>
      <c r="D22" s="603"/>
      <c r="E22" s="247"/>
      <c r="F22" s="604">
        <f>'COSTOS MANO DE OBRA'!J96</f>
        <v>0</v>
      </c>
      <c r="G22" s="216"/>
      <c r="I22" s="591" t="str">
        <f>I7</f>
        <v>producto 1</v>
      </c>
      <c r="J22" s="592">
        <f>J7*J15</f>
        <v>1332292.32</v>
      </c>
      <c r="K22" s="592">
        <f t="shared" ref="K22:N22" si="3">K7*K15</f>
        <v>2022419.7417600001</v>
      </c>
      <c r="L22" s="592">
        <f t="shared" si="3"/>
        <v>2407185.0976298396</v>
      </c>
      <c r="M22" s="592">
        <f t="shared" si="3"/>
        <v>3114295.7200586046</v>
      </c>
      <c r="N22" s="592">
        <f t="shared" si="3"/>
        <v>3545625.6772867218</v>
      </c>
    </row>
    <row r="23" spans="2:21">
      <c r="G23" s="216"/>
      <c r="I23" s="591" t="str">
        <f t="shared" ref="I23:I24" si="4">I8</f>
        <v>producto 2</v>
      </c>
      <c r="J23" s="592">
        <f t="shared" ref="J23:N23" si="5">J8*J16</f>
        <v>467735.03999999998</v>
      </c>
      <c r="K23" s="592">
        <f t="shared" si="5"/>
        <v>710021.79072000005</v>
      </c>
      <c r="L23" s="592">
        <f t="shared" si="5"/>
        <v>845103.4364044799</v>
      </c>
      <c r="M23" s="592">
        <f t="shared" si="5"/>
        <v>1093352.5708482957</v>
      </c>
      <c r="N23" s="592">
        <f t="shared" si="5"/>
        <v>1244781.9019107849</v>
      </c>
    </row>
    <row r="24" spans="2:21" ht="15.75" thickBot="1">
      <c r="G24" s="216"/>
      <c r="I24" s="591" t="str">
        <f t="shared" si="4"/>
        <v>producto 3</v>
      </c>
      <c r="J24" s="592">
        <f t="shared" ref="J24:N24" si="6">J9*J17</f>
        <v>0</v>
      </c>
      <c r="K24" s="592">
        <f t="shared" si="6"/>
        <v>0</v>
      </c>
      <c r="L24" s="592">
        <f t="shared" si="6"/>
        <v>0</v>
      </c>
      <c r="M24" s="592">
        <f t="shared" si="6"/>
        <v>0</v>
      </c>
      <c r="N24" s="592">
        <f t="shared" si="6"/>
        <v>0</v>
      </c>
    </row>
    <row r="25" spans="2:21" ht="30.75" customHeight="1" thickBot="1">
      <c r="B25" s="963" t="s">
        <v>576</v>
      </c>
      <c r="C25" s="964"/>
      <c r="D25" s="965"/>
      <c r="E25" s="610" t="s">
        <v>420</v>
      </c>
      <c r="F25" s="611">
        <v>4603</v>
      </c>
      <c r="I25" s="596" t="s">
        <v>462</v>
      </c>
      <c r="J25" s="739">
        <f>SUM(J22:J24)</f>
        <v>1800027.36</v>
      </c>
      <c r="K25" s="739">
        <f>SUM(K22:K24)</f>
        <v>2732441.5324800001</v>
      </c>
      <c r="L25" s="739">
        <f>SUM(L22:L24)</f>
        <v>3252288.5340343192</v>
      </c>
      <c r="M25" s="739">
        <f>SUM(M22:M24)</f>
        <v>4207648.2909069005</v>
      </c>
      <c r="N25" s="740">
        <f>SUM(N22:N24)</f>
        <v>4790407.5791975064</v>
      </c>
    </row>
    <row r="28" spans="2:21" ht="36" customHeight="1">
      <c r="B28" s="966" t="str">
        <f>'PLAN DE PRODUCCCION'!B5</f>
        <v>producto 2</v>
      </c>
      <c r="C28" s="966"/>
      <c r="D28" s="966"/>
      <c r="E28" s="966"/>
      <c r="F28" s="966"/>
    </row>
    <row r="29" spans="2:21" ht="15.75" thickBot="1">
      <c r="I29" s="741"/>
      <c r="J29" s="741"/>
      <c r="K29" s="741"/>
      <c r="L29" s="741"/>
      <c r="M29" s="741"/>
    </row>
    <row r="30" spans="2:21" ht="16.5" thickBot="1">
      <c r="B30" s="279" t="s">
        <v>432</v>
      </c>
      <c r="C30" s="279"/>
      <c r="D30" s="279"/>
      <c r="E30" s="279"/>
      <c r="I30" s="874" t="s">
        <v>572</v>
      </c>
      <c r="J30" s="875"/>
      <c r="K30" s="875"/>
      <c r="L30" s="875"/>
      <c r="M30" s="875"/>
      <c r="N30" s="876"/>
      <c r="P30" s="874" t="s">
        <v>655</v>
      </c>
      <c r="Q30" s="875"/>
      <c r="R30" s="875"/>
      <c r="S30" s="875"/>
      <c r="T30" s="875"/>
      <c r="U30" s="876"/>
    </row>
    <row r="31" spans="2:21" ht="16.5" thickBot="1">
      <c r="B31" s="287" t="s">
        <v>409</v>
      </c>
      <c r="C31" s="287" t="s">
        <v>408</v>
      </c>
      <c r="D31" s="287" t="s">
        <v>345</v>
      </c>
      <c r="E31" s="287" t="s">
        <v>350</v>
      </c>
      <c r="F31" s="275"/>
      <c r="I31" s="216"/>
      <c r="J31" s="216"/>
      <c r="K31" s="216"/>
      <c r="L31" s="216"/>
      <c r="M31" s="216"/>
      <c r="N31" s="216"/>
      <c r="P31" s="216"/>
      <c r="Q31" s="216"/>
      <c r="R31" s="216"/>
      <c r="S31" s="216"/>
      <c r="T31" s="216"/>
      <c r="U31" s="216"/>
    </row>
    <row r="32" spans="2:21" ht="15.75">
      <c r="B32" s="282" t="s">
        <v>431</v>
      </c>
      <c r="C32" s="278">
        <f>0.63*0.75</f>
        <v>0.47250000000000003</v>
      </c>
      <c r="D32" s="278" t="s">
        <v>405</v>
      </c>
      <c r="E32" s="285">
        <v>738</v>
      </c>
      <c r="F32" s="612"/>
      <c r="I32" s="309" t="str">
        <f>I7</f>
        <v>producto 1</v>
      </c>
      <c r="J32" s="308"/>
      <c r="K32" s="308"/>
      <c r="L32" s="308"/>
      <c r="M32" s="308"/>
      <c r="N32" s="307"/>
      <c r="P32" s="309" t="s">
        <v>662</v>
      </c>
      <c r="Q32" s="308"/>
      <c r="R32" s="308"/>
      <c r="S32" s="308"/>
      <c r="T32" s="308"/>
      <c r="U32" s="307"/>
    </row>
    <row r="33" spans="2:21" ht="15.75">
      <c r="B33" s="282" t="s">
        <v>424</v>
      </c>
      <c r="C33" s="277" t="s">
        <v>430</v>
      </c>
      <c r="D33" s="277" t="s">
        <v>423</v>
      </c>
      <c r="E33" s="283">
        <v>210</v>
      </c>
      <c r="F33" s="612"/>
      <c r="I33" s="276"/>
      <c r="J33" s="423" t="s">
        <v>372</v>
      </c>
      <c r="K33" s="423" t="s">
        <v>371</v>
      </c>
      <c r="L33" s="423" t="s">
        <v>370</v>
      </c>
      <c r="M33" s="423" t="s">
        <v>369</v>
      </c>
      <c r="N33" s="545" t="s">
        <v>368</v>
      </c>
      <c r="P33" s="276"/>
      <c r="Q33" s="423" t="s">
        <v>372</v>
      </c>
      <c r="R33" s="423" t="s">
        <v>371</v>
      </c>
      <c r="S33" s="423" t="s">
        <v>370</v>
      </c>
      <c r="T33" s="423" t="s">
        <v>369</v>
      </c>
      <c r="U33" s="545" t="s">
        <v>368</v>
      </c>
    </row>
    <row r="34" spans="2:21" ht="15.75">
      <c r="B34" s="282" t="s">
        <v>422</v>
      </c>
      <c r="C34" s="278" t="s">
        <v>428</v>
      </c>
      <c r="D34" s="278" t="s">
        <v>429</v>
      </c>
      <c r="E34" s="281">
        <v>182</v>
      </c>
      <c r="F34" s="612"/>
      <c r="I34" s="276" t="s">
        <v>461</v>
      </c>
      <c r="J34" s="275">
        <v>0</v>
      </c>
      <c r="K34" s="542">
        <v>633</v>
      </c>
      <c r="L34" s="542">
        <v>730</v>
      </c>
      <c r="M34" s="542">
        <v>910</v>
      </c>
      <c r="N34" s="546">
        <v>1003</v>
      </c>
      <c r="P34" s="276" t="s">
        <v>461</v>
      </c>
      <c r="Q34" s="829">
        <f>J34*$J$47</f>
        <v>0</v>
      </c>
      <c r="R34" s="829">
        <f>K34*$K$47</f>
        <v>3015678.4649999999</v>
      </c>
      <c r="S34" s="829">
        <f>L34*$L$47</f>
        <v>3599519.5327499993</v>
      </c>
      <c r="T34" s="829">
        <f>M34*$M$47</f>
        <v>4644119.8245487493</v>
      </c>
      <c r="U34" s="830">
        <f>N34*$N$47</f>
        <v>5297894.5169925047</v>
      </c>
    </row>
    <row r="35" spans="2:21" ht="15.75">
      <c r="B35" s="282" t="s">
        <v>427</v>
      </c>
      <c r="C35" s="291">
        <v>1</v>
      </c>
      <c r="D35" s="278" t="s">
        <v>426</v>
      </c>
      <c r="E35" s="290">
        <v>20</v>
      </c>
      <c r="F35" s="612"/>
      <c r="I35" s="276" t="s">
        <v>460</v>
      </c>
      <c r="J35" s="275">
        <v>0</v>
      </c>
      <c r="K35" s="542">
        <v>635</v>
      </c>
      <c r="L35" s="542">
        <v>730</v>
      </c>
      <c r="M35" s="542">
        <v>913</v>
      </c>
      <c r="N35" s="546">
        <v>1004</v>
      </c>
      <c r="P35" s="276" t="s">
        <v>460</v>
      </c>
      <c r="Q35" s="829">
        <f t="shared" ref="Q35:Q45" si="7">J35*$J$47</f>
        <v>0</v>
      </c>
      <c r="R35" s="829">
        <f t="shared" ref="R35:R45" si="8">K35*$K$47</f>
        <v>3025206.6749999998</v>
      </c>
      <c r="S35" s="829">
        <f t="shared" ref="S35:S45" si="9">L35*$L$47</f>
        <v>3599519.5327499993</v>
      </c>
      <c r="T35" s="829">
        <f t="shared" ref="T35:T45" si="10">M35*$M$47</f>
        <v>4659430.1096846238</v>
      </c>
      <c r="U35" s="830">
        <f t="shared" ref="U35:U45" si="11">N35*$N$47</f>
        <v>5303176.5653643813</v>
      </c>
    </row>
    <row r="36" spans="2:21" ht="15.75">
      <c r="B36" s="282" t="s">
        <v>425</v>
      </c>
      <c r="C36" s="278">
        <v>1</v>
      </c>
      <c r="D36" s="278" t="s">
        <v>403</v>
      </c>
      <c r="E36" s="281">
        <v>50</v>
      </c>
      <c r="F36" s="612"/>
      <c r="I36" s="276" t="s">
        <v>459</v>
      </c>
      <c r="J36" s="275">
        <v>0</v>
      </c>
      <c r="K36" s="542">
        <v>1059</v>
      </c>
      <c r="L36" s="542">
        <v>1217</v>
      </c>
      <c r="M36" s="542">
        <v>1522</v>
      </c>
      <c r="N36" s="546">
        <v>1674</v>
      </c>
      <c r="P36" s="276" t="s">
        <v>459</v>
      </c>
      <c r="Q36" s="829">
        <f t="shared" si="7"/>
        <v>0</v>
      </c>
      <c r="R36" s="829">
        <f t="shared" si="8"/>
        <v>5045187.1949999994</v>
      </c>
      <c r="S36" s="829">
        <f t="shared" si="9"/>
        <v>6000842.837474999</v>
      </c>
      <c r="T36" s="829">
        <f t="shared" si="10"/>
        <v>7767417.9922672482</v>
      </c>
      <c r="U36" s="830">
        <f t="shared" si="11"/>
        <v>8842148.9745218866</v>
      </c>
    </row>
    <row r="37" spans="2:21" ht="15.75">
      <c r="B37" s="282" t="s">
        <v>413</v>
      </c>
      <c r="C37" s="278">
        <v>0.01</v>
      </c>
      <c r="D37" s="278" t="s">
        <v>401</v>
      </c>
      <c r="E37" s="281">
        <v>3</v>
      </c>
      <c r="F37" s="612"/>
      <c r="I37" s="276" t="s">
        <v>458</v>
      </c>
      <c r="J37" s="543">
        <v>560</v>
      </c>
      <c r="K37" s="542">
        <v>1059</v>
      </c>
      <c r="L37" s="542">
        <v>1217</v>
      </c>
      <c r="M37" s="542">
        <v>1522</v>
      </c>
      <c r="N37" s="546">
        <v>1674</v>
      </c>
      <c r="P37" s="276" t="s">
        <v>458</v>
      </c>
      <c r="Q37" s="829">
        <f t="shared" si="7"/>
        <v>2577680</v>
      </c>
      <c r="R37" s="829">
        <f t="shared" si="8"/>
        <v>5045187.1949999994</v>
      </c>
      <c r="S37" s="829">
        <f t="shared" si="9"/>
        <v>6000842.837474999</v>
      </c>
      <c r="T37" s="829">
        <f t="shared" si="10"/>
        <v>7767417.9922672482</v>
      </c>
      <c r="U37" s="830">
        <f t="shared" si="11"/>
        <v>8842148.9745218866</v>
      </c>
    </row>
    <row r="38" spans="2:21" ht="15.75">
      <c r="B38" s="264" t="s">
        <v>400</v>
      </c>
      <c r="C38" s="609">
        <v>1</v>
      </c>
      <c r="D38" s="609">
        <v>1</v>
      </c>
      <c r="E38" s="613">
        <v>155</v>
      </c>
      <c r="F38" s="612"/>
      <c r="I38" s="276" t="s">
        <v>457</v>
      </c>
      <c r="J38" s="543">
        <v>560</v>
      </c>
      <c r="K38" s="542">
        <v>1059</v>
      </c>
      <c r="L38" s="542">
        <v>1217</v>
      </c>
      <c r="M38" s="542">
        <v>1522</v>
      </c>
      <c r="N38" s="546">
        <v>1674</v>
      </c>
      <c r="P38" s="276" t="s">
        <v>457</v>
      </c>
      <c r="Q38" s="829">
        <f t="shared" si="7"/>
        <v>2577680</v>
      </c>
      <c r="R38" s="829">
        <f t="shared" si="8"/>
        <v>5045187.1949999994</v>
      </c>
      <c r="S38" s="829">
        <f t="shared" si="9"/>
        <v>6000842.837474999</v>
      </c>
      <c r="T38" s="829">
        <f t="shared" si="10"/>
        <v>7767417.9922672482</v>
      </c>
      <c r="U38" s="830">
        <f t="shared" si="11"/>
        <v>8842148.9745218866</v>
      </c>
    </row>
    <row r="39" spans="2:21" ht="16.5" thickBot="1">
      <c r="B39" s="273"/>
      <c r="C39" s="293"/>
      <c r="D39" s="293"/>
      <c r="E39" s="292"/>
      <c r="I39" s="276" t="s">
        <v>456</v>
      </c>
      <c r="J39" s="543">
        <v>934</v>
      </c>
      <c r="K39" s="542">
        <v>1059</v>
      </c>
      <c r="L39" s="542">
        <v>1217</v>
      </c>
      <c r="M39" s="542">
        <v>1522</v>
      </c>
      <c r="N39" s="546">
        <v>1674</v>
      </c>
      <c r="P39" s="276" t="s">
        <v>456</v>
      </c>
      <c r="Q39" s="829">
        <f t="shared" si="7"/>
        <v>4299202</v>
      </c>
      <c r="R39" s="829">
        <f t="shared" si="8"/>
        <v>5045187.1949999994</v>
      </c>
      <c r="S39" s="829">
        <f t="shared" si="9"/>
        <v>6000842.837474999</v>
      </c>
      <c r="T39" s="829">
        <f t="shared" si="10"/>
        <v>7767417.9922672482</v>
      </c>
      <c r="U39" s="830">
        <f t="shared" si="11"/>
        <v>8842148.9745218866</v>
      </c>
    </row>
    <row r="40" spans="2:21" ht="23.25" customHeight="1" thickBot="1">
      <c r="B40" s="605" t="s">
        <v>399</v>
      </c>
      <c r="C40" s="606"/>
      <c r="D40" s="606"/>
      <c r="E40" s="607">
        <f>SUM(E32:E39)</f>
        <v>1358</v>
      </c>
      <c r="F40" s="601">
        <f>E40*1.19</f>
        <v>1616.02</v>
      </c>
      <c r="I40" s="276" t="s">
        <v>455</v>
      </c>
      <c r="J40" s="543">
        <v>934</v>
      </c>
      <c r="K40" s="542">
        <v>1059</v>
      </c>
      <c r="L40" s="542">
        <v>1217</v>
      </c>
      <c r="M40" s="542">
        <v>1522</v>
      </c>
      <c r="N40" s="546">
        <v>1674</v>
      </c>
      <c r="P40" s="276" t="s">
        <v>455</v>
      </c>
      <c r="Q40" s="829">
        <f t="shared" si="7"/>
        <v>4299202</v>
      </c>
      <c r="R40" s="829">
        <f t="shared" si="8"/>
        <v>5045187.1949999994</v>
      </c>
      <c r="S40" s="829">
        <f t="shared" si="9"/>
        <v>6000842.837474999</v>
      </c>
      <c r="T40" s="829">
        <f t="shared" si="10"/>
        <v>7767417.9922672482</v>
      </c>
      <c r="U40" s="830">
        <f t="shared" si="11"/>
        <v>8842148.9745218866</v>
      </c>
    </row>
    <row r="41" spans="2:21" ht="16.5" thickBot="1">
      <c r="B41" s="279"/>
      <c r="C41" s="279"/>
      <c r="D41" s="279"/>
      <c r="E41" s="279"/>
      <c r="I41" s="276" t="s">
        <v>454</v>
      </c>
      <c r="J41" s="543">
        <v>934</v>
      </c>
      <c r="K41" s="542">
        <v>1059</v>
      </c>
      <c r="L41" s="542">
        <v>1217</v>
      </c>
      <c r="M41" s="542">
        <v>1522</v>
      </c>
      <c r="N41" s="546">
        <v>1674</v>
      </c>
      <c r="P41" s="276" t="s">
        <v>454</v>
      </c>
      <c r="Q41" s="829">
        <f t="shared" si="7"/>
        <v>4299202</v>
      </c>
      <c r="R41" s="829">
        <f t="shared" si="8"/>
        <v>5045187.1949999994</v>
      </c>
      <c r="S41" s="829">
        <f t="shared" si="9"/>
        <v>6000842.837474999</v>
      </c>
      <c r="T41" s="829">
        <f t="shared" si="10"/>
        <v>7767417.9922672482</v>
      </c>
      <c r="U41" s="830">
        <f t="shared" si="11"/>
        <v>8842148.9745218866</v>
      </c>
    </row>
    <row r="42" spans="2:21" ht="16.5" thickBot="1">
      <c r="B42" s="602" t="s">
        <v>398</v>
      </c>
      <c r="C42" s="603"/>
      <c r="D42" s="603"/>
      <c r="E42" s="247"/>
      <c r="F42" s="604">
        <f>'COSTOS MANO DE OBRA'!J98</f>
        <v>0</v>
      </c>
      <c r="I42" s="276" t="s">
        <v>453</v>
      </c>
      <c r="J42" s="543">
        <v>934</v>
      </c>
      <c r="K42" s="542">
        <v>1059</v>
      </c>
      <c r="L42" s="542">
        <v>1217</v>
      </c>
      <c r="M42" s="542">
        <v>1522</v>
      </c>
      <c r="N42" s="546">
        <v>1674</v>
      </c>
      <c r="P42" s="276" t="s">
        <v>453</v>
      </c>
      <c r="Q42" s="829">
        <f t="shared" si="7"/>
        <v>4299202</v>
      </c>
      <c r="R42" s="829">
        <f t="shared" si="8"/>
        <v>5045187.1949999994</v>
      </c>
      <c r="S42" s="829">
        <f t="shared" si="9"/>
        <v>6000842.837474999</v>
      </c>
      <c r="T42" s="829">
        <f t="shared" si="10"/>
        <v>7767417.9922672482</v>
      </c>
      <c r="U42" s="830">
        <f t="shared" si="11"/>
        <v>8842148.9745218866</v>
      </c>
    </row>
    <row r="43" spans="2:21">
      <c r="I43" s="276" t="s">
        <v>452</v>
      </c>
      <c r="J43" s="543">
        <v>1308</v>
      </c>
      <c r="K43" s="542">
        <v>1482</v>
      </c>
      <c r="L43" s="542">
        <v>1704</v>
      </c>
      <c r="M43" s="542">
        <v>2130</v>
      </c>
      <c r="N43" s="546">
        <v>2343</v>
      </c>
      <c r="P43" s="276" t="s">
        <v>452</v>
      </c>
      <c r="Q43" s="829">
        <f t="shared" si="7"/>
        <v>6020724</v>
      </c>
      <c r="R43" s="829">
        <f t="shared" si="8"/>
        <v>7060403.6099999994</v>
      </c>
      <c r="S43" s="829">
        <f t="shared" si="9"/>
        <v>8402166.1421999987</v>
      </c>
      <c r="T43" s="829">
        <f t="shared" si="10"/>
        <v>10870302.446471248</v>
      </c>
      <c r="U43" s="830">
        <f t="shared" si="11"/>
        <v>12375839.335307514</v>
      </c>
    </row>
    <row r="44" spans="2:21">
      <c r="B44" s="225"/>
      <c r="C44" s="225"/>
      <c r="D44" s="225"/>
      <c r="E44" s="225"/>
      <c r="I44" s="276" t="s">
        <v>451</v>
      </c>
      <c r="J44" s="543">
        <v>1681</v>
      </c>
      <c r="K44" s="543">
        <v>1905</v>
      </c>
      <c r="L44" s="542">
        <v>2191</v>
      </c>
      <c r="M44" s="542">
        <v>2739</v>
      </c>
      <c r="N44" s="546">
        <v>3013</v>
      </c>
      <c r="P44" s="276" t="s">
        <v>451</v>
      </c>
      <c r="Q44" s="829">
        <f t="shared" si="7"/>
        <v>7737643</v>
      </c>
      <c r="R44" s="829">
        <f t="shared" si="8"/>
        <v>9075620.0249999985</v>
      </c>
      <c r="S44" s="829">
        <f t="shared" si="9"/>
        <v>10803489.446924997</v>
      </c>
      <c r="T44" s="829">
        <f t="shared" si="10"/>
        <v>13978290.329053871</v>
      </c>
      <c r="U44" s="830">
        <f t="shared" si="11"/>
        <v>15914811.744465021</v>
      </c>
    </row>
    <row r="45" spans="2:21" ht="15.75" thickBot="1">
      <c r="B45" s="225"/>
      <c r="C45" s="225"/>
      <c r="D45" s="225"/>
      <c r="E45" s="225"/>
      <c r="I45" s="276" t="s">
        <v>450</v>
      </c>
      <c r="J45" s="543">
        <v>1682</v>
      </c>
      <c r="K45" s="543">
        <v>1905</v>
      </c>
      <c r="L45" s="542">
        <v>2194</v>
      </c>
      <c r="M45" s="542">
        <v>2739</v>
      </c>
      <c r="N45" s="546">
        <v>3013</v>
      </c>
      <c r="P45" s="276" t="s">
        <v>450</v>
      </c>
      <c r="Q45" s="829">
        <f t="shared" si="7"/>
        <v>7742246</v>
      </c>
      <c r="R45" s="829">
        <f t="shared" si="8"/>
        <v>9075620.0249999985</v>
      </c>
      <c r="S45" s="829">
        <f t="shared" si="9"/>
        <v>10818281.992949998</v>
      </c>
      <c r="T45" s="829">
        <f t="shared" si="10"/>
        <v>13978290.329053871</v>
      </c>
      <c r="U45" s="830">
        <f t="shared" si="11"/>
        <v>15914811.744465021</v>
      </c>
    </row>
    <row r="46" spans="2:21" ht="31.5" customHeight="1" thickBot="1">
      <c r="B46" s="963" t="s">
        <v>421</v>
      </c>
      <c r="C46" s="964"/>
      <c r="D46" s="965"/>
      <c r="E46" s="288" t="s">
        <v>420</v>
      </c>
      <c r="F46" s="614">
        <v>1616</v>
      </c>
      <c r="I46" s="276" t="s">
        <v>463</v>
      </c>
      <c r="J46" s="819">
        <f>SUM(J34:J45)</f>
        <v>9527</v>
      </c>
      <c r="K46" s="819">
        <f>SUM(K34:K45)</f>
        <v>13973</v>
      </c>
      <c r="L46" s="819">
        <f>SUM(L34:L45)</f>
        <v>16068</v>
      </c>
      <c r="M46" s="819">
        <f>SUM(M34:M45)</f>
        <v>20085</v>
      </c>
      <c r="N46" s="820">
        <f>SUM(N34:N45)</f>
        <v>22094</v>
      </c>
      <c r="P46" s="276" t="s">
        <v>463</v>
      </c>
      <c r="Q46" s="833">
        <v>9527</v>
      </c>
      <c r="R46" s="834">
        <v>13973</v>
      </c>
      <c r="S46" s="834">
        <v>16068</v>
      </c>
      <c r="T46" s="834">
        <v>20085</v>
      </c>
      <c r="U46" s="835">
        <v>22094</v>
      </c>
    </row>
    <row r="47" spans="2:21">
      <c r="B47" s="225"/>
      <c r="C47" s="225"/>
      <c r="D47" s="225"/>
      <c r="E47" s="225"/>
      <c r="I47" s="821" t="s">
        <v>650</v>
      </c>
      <c r="J47" s="544">
        <f>'PLAN DE VENTAS'!C30</f>
        <v>4603</v>
      </c>
      <c r="K47" s="544">
        <f>'PLAN DE VENTAS'!D30</f>
        <v>4764.1049999999996</v>
      </c>
      <c r="L47" s="544">
        <f>'PLAN DE VENTAS'!E30</f>
        <v>4930.8486749999993</v>
      </c>
      <c r="M47" s="544">
        <f>'PLAN DE VENTAS'!F30</f>
        <v>5103.4283786249989</v>
      </c>
      <c r="N47" s="544">
        <f>'PLAN DE VENTAS'!G30</f>
        <v>5282.0483718768737</v>
      </c>
      <c r="P47" s="821" t="s">
        <v>650</v>
      </c>
      <c r="Q47" s="838">
        <v>4603</v>
      </c>
      <c r="R47" s="839">
        <v>4764</v>
      </c>
      <c r="S47" s="839">
        <v>4931</v>
      </c>
      <c r="T47" s="839">
        <v>5103</v>
      </c>
      <c r="U47" s="839">
        <v>5282</v>
      </c>
    </row>
    <row r="48" spans="2:21" ht="15.75" thickBot="1">
      <c r="I48" s="822" t="s">
        <v>449</v>
      </c>
      <c r="J48" s="547">
        <f>J47*J46</f>
        <v>43852781</v>
      </c>
      <c r="K48" s="547">
        <f>K47*K46</f>
        <v>66568839.164999992</v>
      </c>
      <c r="L48" s="547">
        <f>L47*L46</f>
        <v>79228876.509899989</v>
      </c>
      <c r="M48" s="547">
        <f>M47*M46</f>
        <v>102502358.9846831</v>
      </c>
      <c r="N48" s="548">
        <f>N47*N46</f>
        <v>116701576.72824764</v>
      </c>
      <c r="P48" s="822" t="s">
        <v>449</v>
      </c>
      <c r="Q48" s="547">
        <f>Q47*Q46</f>
        <v>43852781</v>
      </c>
      <c r="R48" s="547">
        <f>R47*R46</f>
        <v>66567372</v>
      </c>
      <c r="S48" s="547">
        <f>S47*S46</f>
        <v>79231308</v>
      </c>
      <c r="T48" s="547">
        <f>T47*T46</f>
        <v>102493755</v>
      </c>
      <c r="U48" s="548">
        <f>U47*U46</f>
        <v>116700508</v>
      </c>
    </row>
    <row r="49" spans="2:21">
      <c r="I49" s="216"/>
      <c r="J49" s="216"/>
      <c r="K49" s="216"/>
      <c r="L49" s="216"/>
      <c r="M49" s="216"/>
      <c r="N49" s="216"/>
      <c r="P49" s="216"/>
      <c r="Q49" s="216"/>
      <c r="R49" s="216"/>
      <c r="S49" s="216"/>
      <c r="T49" s="216"/>
      <c r="U49" s="216"/>
    </row>
    <row r="50" spans="2:21" ht="31.5" customHeight="1" thickBot="1">
      <c r="B50" s="967" t="str">
        <f>'PLAN DE PRODUCCCION'!B6</f>
        <v>producto 3</v>
      </c>
      <c r="C50" s="967"/>
      <c r="D50" s="967"/>
      <c r="E50" s="967"/>
      <c r="F50" s="967"/>
      <c r="I50" s="216"/>
      <c r="J50" s="216"/>
      <c r="K50" s="216"/>
      <c r="L50" s="216"/>
      <c r="M50" s="216"/>
      <c r="N50" s="216"/>
      <c r="P50" s="216"/>
      <c r="Q50" s="216"/>
      <c r="R50" s="216"/>
      <c r="S50" s="216"/>
      <c r="T50" s="216"/>
      <c r="U50" s="216"/>
    </row>
    <row r="51" spans="2:21" ht="15.75">
      <c r="B51" s="279"/>
      <c r="C51" s="279"/>
      <c r="D51" s="279"/>
      <c r="E51" s="279"/>
      <c r="F51" s="274"/>
      <c r="I51" s="309" t="str">
        <f>I8</f>
        <v>producto 2</v>
      </c>
      <c r="J51" s="308"/>
      <c r="K51" s="308"/>
      <c r="L51" s="308"/>
      <c r="M51" s="308"/>
      <c r="N51" s="307"/>
      <c r="P51" s="309" t="s">
        <v>663</v>
      </c>
      <c r="Q51" s="308"/>
      <c r="R51" s="308"/>
      <c r="S51" s="308"/>
      <c r="T51" s="308"/>
      <c r="U51" s="307"/>
    </row>
    <row r="52" spans="2:21" ht="15.75">
      <c r="B52" s="279" t="s">
        <v>418</v>
      </c>
      <c r="C52" s="279"/>
      <c r="D52" s="279"/>
      <c r="E52" s="279"/>
      <c r="F52" s="274"/>
      <c r="I52" s="276"/>
      <c r="J52" s="423" t="s">
        <v>372</v>
      </c>
      <c r="K52" s="423" t="s">
        <v>371</v>
      </c>
      <c r="L52" s="423" t="s">
        <v>370</v>
      </c>
      <c r="M52" s="423" t="s">
        <v>369</v>
      </c>
      <c r="N52" s="545" t="s">
        <v>368</v>
      </c>
      <c r="P52" s="276"/>
      <c r="Q52" s="423" t="s">
        <v>372</v>
      </c>
      <c r="R52" s="423" t="s">
        <v>371</v>
      </c>
      <c r="S52" s="423" t="s">
        <v>370</v>
      </c>
      <c r="T52" s="423" t="s">
        <v>369</v>
      </c>
      <c r="U52" s="545" t="s">
        <v>368</v>
      </c>
    </row>
    <row r="53" spans="2:21" ht="15.75">
      <c r="B53" s="287" t="s">
        <v>409</v>
      </c>
      <c r="C53" s="287" t="s">
        <v>408</v>
      </c>
      <c r="D53" s="287" t="s">
        <v>345</v>
      </c>
      <c r="E53" s="287" t="s">
        <v>350</v>
      </c>
      <c r="F53" s="615"/>
      <c r="I53" s="276" t="s">
        <v>461</v>
      </c>
      <c r="J53" s="275">
        <v>0</v>
      </c>
      <c r="K53" s="542">
        <v>794</v>
      </c>
      <c r="L53" s="542">
        <v>910</v>
      </c>
      <c r="M53" s="542">
        <v>1141</v>
      </c>
      <c r="N53" s="546">
        <v>1255</v>
      </c>
      <c r="P53" s="276" t="s">
        <v>461</v>
      </c>
      <c r="Q53" s="829">
        <f>J53*$J$66</f>
        <v>0</v>
      </c>
      <c r="R53" s="829">
        <f>K53*$K$66</f>
        <v>1328012.6399999999</v>
      </c>
      <c r="S53" s="829">
        <f>L53*$L$66</f>
        <v>1575300.6359999997</v>
      </c>
      <c r="T53" s="829">
        <f>M53*$M$66</f>
        <v>2044316.1061259997</v>
      </c>
      <c r="U53" s="830">
        <f>N53*$N$66</f>
        <v>2327268.4471075493</v>
      </c>
    </row>
    <row r="54" spans="2:21" ht="15.75">
      <c r="B54" s="282" t="s">
        <v>417</v>
      </c>
      <c r="C54" s="278">
        <f>0.4*0.45</f>
        <v>0.18000000000000002</v>
      </c>
      <c r="D54" s="278" t="s">
        <v>405</v>
      </c>
      <c r="E54" s="285">
        <v>260</v>
      </c>
      <c r="F54" s="615"/>
      <c r="I54" s="276" t="s">
        <v>460</v>
      </c>
      <c r="J54" s="275">
        <v>0</v>
      </c>
      <c r="K54" s="542">
        <v>794</v>
      </c>
      <c r="L54" s="542">
        <v>913</v>
      </c>
      <c r="M54" s="542">
        <v>1141</v>
      </c>
      <c r="N54" s="546">
        <v>1255</v>
      </c>
      <c r="P54" s="276" t="s">
        <v>460</v>
      </c>
      <c r="Q54" s="829">
        <f t="shared" ref="Q54:Q64" si="12">J54*$J$66</f>
        <v>0</v>
      </c>
      <c r="R54" s="829">
        <f t="shared" ref="R54:R64" si="13">K54*$K$66</f>
        <v>1328012.6399999999</v>
      </c>
      <c r="S54" s="829">
        <f t="shared" ref="S54:S64" si="14">L54*$L$66</f>
        <v>1580493.9347999997</v>
      </c>
      <c r="T54" s="829">
        <f t="shared" ref="T54:T64" si="15">M54*$M$66</f>
        <v>2044316.1061259997</v>
      </c>
      <c r="U54" s="830">
        <f t="shared" ref="U54:U64" si="16">N54*$N$66</f>
        <v>2327268.4471075493</v>
      </c>
    </row>
    <row r="55" spans="2:21" ht="15.75">
      <c r="B55" s="282" t="s">
        <v>416</v>
      </c>
      <c r="C55" s="278">
        <f>0.7*0.6</f>
        <v>0.42</v>
      </c>
      <c r="D55" s="278" t="s">
        <v>405</v>
      </c>
      <c r="E55" s="285">
        <v>700</v>
      </c>
      <c r="F55" s="615"/>
      <c r="I55" s="276" t="s">
        <v>459</v>
      </c>
      <c r="J55" s="275">
        <v>0</v>
      </c>
      <c r="K55" s="542">
        <v>1323</v>
      </c>
      <c r="L55" s="542">
        <v>1522</v>
      </c>
      <c r="M55" s="542">
        <v>1902</v>
      </c>
      <c r="N55" s="546">
        <v>2092</v>
      </c>
      <c r="P55" s="276" t="s">
        <v>459</v>
      </c>
      <c r="Q55" s="829">
        <f t="shared" si="12"/>
        <v>0</v>
      </c>
      <c r="R55" s="829">
        <f t="shared" si="13"/>
        <v>2212796.88</v>
      </c>
      <c r="S55" s="829">
        <f t="shared" si="14"/>
        <v>2634733.5911999997</v>
      </c>
      <c r="T55" s="829">
        <f t="shared" si="15"/>
        <v>3407790.7395719993</v>
      </c>
      <c r="U55" s="830">
        <f t="shared" si="16"/>
        <v>3879398.8775689192</v>
      </c>
    </row>
    <row r="56" spans="2:21" ht="15.75">
      <c r="B56" s="282" t="s">
        <v>415</v>
      </c>
      <c r="C56" s="277">
        <f>80000/500</f>
        <v>160</v>
      </c>
      <c r="D56" s="278" t="s">
        <v>407</v>
      </c>
      <c r="E56" s="283">
        <v>200</v>
      </c>
      <c r="F56" s="615"/>
      <c r="I56" s="276" t="s">
        <v>458</v>
      </c>
      <c r="J56" s="543">
        <v>700</v>
      </c>
      <c r="K56" s="542">
        <v>1323</v>
      </c>
      <c r="L56" s="542">
        <v>1522</v>
      </c>
      <c r="M56" s="542">
        <v>1902</v>
      </c>
      <c r="N56" s="546">
        <v>2092</v>
      </c>
      <c r="P56" s="276" t="s">
        <v>458</v>
      </c>
      <c r="Q56" s="829">
        <f t="shared" si="12"/>
        <v>1131200</v>
      </c>
      <c r="R56" s="829">
        <f t="shared" si="13"/>
        <v>2212796.88</v>
      </c>
      <c r="S56" s="829">
        <f t="shared" si="14"/>
        <v>2634733.5911999997</v>
      </c>
      <c r="T56" s="829">
        <f t="shared" si="15"/>
        <v>3407790.7395719993</v>
      </c>
      <c r="U56" s="830">
        <f t="shared" si="16"/>
        <v>3879398.8775689192</v>
      </c>
    </row>
    <row r="57" spans="2:21" ht="15.75">
      <c r="B57" s="282" t="s">
        <v>414</v>
      </c>
      <c r="C57" s="277">
        <f>100000/500</f>
        <v>200</v>
      </c>
      <c r="D57" s="278" t="s">
        <v>407</v>
      </c>
      <c r="E57" s="283">
        <v>250</v>
      </c>
      <c r="F57" s="615"/>
      <c r="I57" s="276" t="s">
        <v>457</v>
      </c>
      <c r="J57" s="543">
        <v>700</v>
      </c>
      <c r="K57" s="542">
        <v>1323</v>
      </c>
      <c r="L57" s="542">
        <v>1522</v>
      </c>
      <c r="M57" s="542">
        <v>1902</v>
      </c>
      <c r="N57" s="546">
        <v>2092</v>
      </c>
      <c r="P57" s="276" t="s">
        <v>457</v>
      </c>
      <c r="Q57" s="829">
        <f t="shared" si="12"/>
        <v>1131200</v>
      </c>
      <c r="R57" s="829">
        <f t="shared" si="13"/>
        <v>2212796.88</v>
      </c>
      <c r="S57" s="829">
        <f t="shared" si="14"/>
        <v>2634733.5911999997</v>
      </c>
      <c r="T57" s="829">
        <f t="shared" si="15"/>
        <v>3407790.7395719993</v>
      </c>
      <c r="U57" s="830">
        <f t="shared" si="16"/>
        <v>3879398.8775689192</v>
      </c>
    </row>
    <row r="58" spans="2:21" ht="15.75">
      <c r="B58" s="283" t="s">
        <v>402</v>
      </c>
      <c r="C58" s="277">
        <v>0.6</v>
      </c>
      <c r="D58" s="277" t="s">
        <v>401</v>
      </c>
      <c r="E58" s="283">
        <v>114</v>
      </c>
      <c r="F58" s="615"/>
      <c r="I58" s="276" t="s">
        <v>456</v>
      </c>
      <c r="J58" s="543">
        <v>1167</v>
      </c>
      <c r="K58" s="542">
        <v>1323</v>
      </c>
      <c r="L58" s="542">
        <v>1522</v>
      </c>
      <c r="M58" s="542">
        <v>1902</v>
      </c>
      <c r="N58" s="546">
        <v>2092</v>
      </c>
      <c r="P58" s="276" t="s">
        <v>456</v>
      </c>
      <c r="Q58" s="829">
        <f t="shared" si="12"/>
        <v>1885872</v>
      </c>
      <c r="R58" s="829">
        <f t="shared" si="13"/>
        <v>2212796.88</v>
      </c>
      <c r="S58" s="829">
        <f t="shared" si="14"/>
        <v>2634733.5911999997</v>
      </c>
      <c r="T58" s="829">
        <f t="shared" si="15"/>
        <v>3407790.7395719993</v>
      </c>
      <c r="U58" s="830">
        <f t="shared" si="16"/>
        <v>3879398.8775689192</v>
      </c>
    </row>
    <row r="59" spans="2:21" ht="15.75">
      <c r="B59" s="282" t="s">
        <v>413</v>
      </c>
      <c r="C59" s="278">
        <v>0.3</v>
      </c>
      <c r="D59" s="277" t="s">
        <v>412</v>
      </c>
      <c r="E59" s="616">
        <v>200</v>
      </c>
      <c r="F59" s="615"/>
      <c r="I59" s="276" t="s">
        <v>455</v>
      </c>
      <c r="J59" s="543">
        <v>1167</v>
      </c>
      <c r="K59" s="542">
        <v>1323</v>
      </c>
      <c r="L59" s="542">
        <v>1522</v>
      </c>
      <c r="M59" s="542">
        <v>1902</v>
      </c>
      <c r="N59" s="546">
        <v>2092</v>
      </c>
      <c r="P59" s="276" t="s">
        <v>455</v>
      </c>
      <c r="Q59" s="829">
        <f t="shared" si="12"/>
        <v>1885872</v>
      </c>
      <c r="R59" s="829">
        <f t="shared" si="13"/>
        <v>2212796.88</v>
      </c>
      <c r="S59" s="829">
        <f t="shared" si="14"/>
        <v>2634733.5911999997</v>
      </c>
      <c r="T59" s="829">
        <f t="shared" si="15"/>
        <v>3407790.7395719993</v>
      </c>
      <c r="U59" s="830">
        <f t="shared" si="16"/>
        <v>3879398.8775689192</v>
      </c>
    </row>
    <row r="60" spans="2:21" ht="15.75">
      <c r="B60" s="282" t="s">
        <v>406</v>
      </c>
      <c r="C60" s="278">
        <f>(0.4*6)+(0.45*6)</f>
        <v>5.1000000000000005</v>
      </c>
      <c r="D60" s="277" t="s">
        <v>405</v>
      </c>
      <c r="E60" s="616">
        <f>(C60*20000)/500</f>
        <v>204.00000000000003</v>
      </c>
      <c r="F60" s="615"/>
      <c r="I60" s="276" t="s">
        <v>454</v>
      </c>
      <c r="J60" s="543">
        <v>1167</v>
      </c>
      <c r="K60" s="542">
        <v>1323</v>
      </c>
      <c r="L60" s="542">
        <v>1522</v>
      </c>
      <c r="M60" s="542">
        <v>1902</v>
      </c>
      <c r="N60" s="546">
        <v>2092</v>
      </c>
      <c r="P60" s="276" t="s">
        <v>454</v>
      </c>
      <c r="Q60" s="829">
        <f t="shared" si="12"/>
        <v>1885872</v>
      </c>
      <c r="R60" s="829">
        <f t="shared" si="13"/>
        <v>2212796.88</v>
      </c>
      <c r="S60" s="829">
        <f t="shared" si="14"/>
        <v>2634733.5911999997</v>
      </c>
      <c r="T60" s="829">
        <f t="shared" si="15"/>
        <v>3407790.7395719993</v>
      </c>
      <c r="U60" s="830">
        <f t="shared" si="16"/>
        <v>3879398.8775689192</v>
      </c>
    </row>
    <row r="61" spans="2:21" ht="15.75">
      <c r="B61" s="282" t="s">
        <v>411</v>
      </c>
      <c r="C61" s="278">
        <f>(0.6*6)+(0.7*6)</f>
        <v>7.7999999999999989</v>
      </c>
      <c r="D61" s="277" t="s">
        <v>405</v>
      </c>
      <c r="E61" s="616">
        <f>(C61*20000)/500</f>
        <v>311.99999999999994</v>
      </c>
      <c r="F61" s="615"/>
      <c r="I61" s="276" t="s">
        <v>453</v>
      </c>
      <c r="J61" s="543">
        <v>1167</v>
      </c>
      <c r="K61" s="542">
        <v>1323</v>
      </c>
      <c r="L61" s="542">
        <v>1522</v>
      </c>
      <c r="M61" s="542">
        <v>1902</v>
      </c>
      <c r="N61" s="546">
        <v>2092</v>
      </c>
      <c r="P61" s="276" t="s">
        <v>453</v>
      </c>
      <c r="Q61" s="829">
        <f t="shared" si="12"/>
        <v>1885872</v>
      </c>
      <c r="R61" s="829">
        <f t="shared" si="13"/>
        <v>2212796.88</v>
      </c>
      <c r="S61" s="829">
        <f t="shared" si="14"/>
        <v>2634733.5911999997</v>
      </c>
      <c r="T61" s="829">
        <f t="shared" si="15"/>
        <v>3407790.7395719993</v>
      </c>
      <c r="U61" s="830">
        <f t="shared" si="16"/>
        <v>3879398.8775689192</v>
      </c>
    </row>
    <row r="62" spans="2:21" ht="15.75">
      <c r="B62" s="282" t="s">
        <v>404</v>
      </c>
      <c r="C62" s="278">
        <v>1</v>
      </c>
      <c r="D62" s="277" t="s">
        <v>403</v>
      </c>
      <c r="E62" s="616">
        <v>50</v>
      </c>
      <c r="F62" s="615"/>
      <c r="I62" s="276" t="s">
        <v>452</v>
      </c>
      <c r="J62" s="543">
        <v>1634</v>
      </c>
      <c r="K62" s="542">
        <v>1852</v>
      </c>
      <c r="L62" s="542">
        <v>2130</v>
      </c>
      <c r="M62" s="542">
        <v>2663</v>
      </c>
      <c r="N62" s="546">
        <v>2929</v>
      </c>
      <c r="P62" s="276" t="s">
        <v>452</v>
      </c>
      <c r="Q62" s="829">
        <f t="shared" si="12"/>
        <v>2640544</v>
      </c>
      <c r="R62" s="829">
        <f t="shared" si="13"/>
        <v>3097581.12</v>
      </c>
      <c r="S62" s="829">
        <f t="shared" si="14"/>
        <v>3687242.1479999996</v>
      </c>
      <c r="T62" s="829">
        <f t="shared" si="15"/>
        <v>4771265.3730179993</v>
      </c>
      <c r="U62" s="830">
        <f t="shared" si="16"/>
        <v>5431529.3080302887</v>
      </c>
    </row>
    <row r="63" spans="2:21" ht="15.75">
      <c r="B63" s="282" t="s">
        <v>410</v>
      </c>
      <c r="C63" s="278">
        <v>1</v>
      </c>
      <c r="D63" s="277" t="s">
        <v>403</v>
      </c>
      <c r="E63" s="616">
        <v>50</v>
      </c>
      <c r="F63" s="615"/>
      <c r="I63" s="276" t="s">
        <v>451</v>
      </c>
      <c r="J63" s="543">
        <v>2101</v>
      </c>
      <c r="K63" s="543">
        <v>2382</v>
      </c>
      <c r="L63" s="542">
        <v>2739</v>
      </c>
      <c r="M63" s="542">
        <v>3424</v>
      </c>
      <c r="N63" s="546">
        <v>3766</v>
      </c>
      <c r="P63" s="276" t="s">
        <v>451</v>
      </c>
      <c r="Q63" s="829">
        <f t="shared" si="12"/>
        <v>3395216</v>
      </c>
      <c r="R63" s="829">
        <f t="shared" si="13"/>
        <v>3984037.92</v>
      </c>
      <c r="S63" s="829">
        <f t="shared" si="14"/>
        <v>4741481.8043999998</v>
      </c>
      <c r="T63" s="829">
        <f t="shared" si="15"/>
        <v>6134740.0064639989</v>
      </c>
      <c r="U63" s="830">
        <f t="shared" si="16"/>
        <v>6983659.7384916581</v>
      </c>
    </row>
    <row r="64" spans="2:21" ht="15.75">
      <c r="B64" s="264" t="s">
        <v>400</v>
      </c>
      <c r="C64" s="609">
        <v>1</v>
      </c>
      <c r="D64" s="609">
        <v>1</v>
      </c>
      <c r="E64" s="613">
        <v>155</v>
      </c>
      <c r="F64" s="615"/>
      <c r="I64" s="276" t="s">
        <v>450</v>
      </c>
      <c r="J64" s="543">
        <v>2105</v>
      </c>
      <c r="K64" s="543">
        <v>2383</v>
      </c>
      <c r="L64" s="542">
        <v>2739</v>
      </c>
      <c r="M64" s="542">
        <v>3424</v>
      </c>
      <c r="N64" s="546">
        <v>3769</v>
      </c>
      <c r="P64" s="276" t="s">
        <v>450</v>
      </c>
      <c r="Q64" s="829">
        <f t="shared" si="12"/>
        <v>3401680</v>
      </c>
      <c r="R64" s="829">
        <f t="shared" si="13"/>
        <v>3985710.48</v>
      </c>
      <c r="S64" s="829">
        <f t="shared" si="14"/>
        <v>4741481.8043999998</v>
      </c>
      <c r="T64" s="829">
        <f t="shared" si="15"/>
        <v>6134740.0064639989</v>
      </c>
      <c r="U64" s="830">
        <f t="shared" si="16"/>
        <v>6989222.9299986884</v>
      </c>
    </row>
    <row r="65" spans="2:21" ht="15.75" thickBot="1">
      <c r="B65" s="617"/>
      <c r="C65" s="335"/>
      <c r="D65" s="335"/>
      <c r="E65" s="618"/>
      <c r="F65" s="274"/>
      <c r="I65" s="276" t="s">
        <v>463</v>
      </c>
      <c r="J65" s="542">
        <f>SUM(J53:J64)</f>
        <v>11908</v>
      </c>
      <c r="K65" s="542">
        <f>SUM(K53:K64)</f>
        <v>17466</v>
      </c>
      <c r="L65" s="542">
        <f>SUM(L53:L64)</f>
        <v>20085</v>
      </c>
      <c r="M65" s="542">
        <f>SUM(M53:M64)</f>
        <v>25107</v>
      </c>
      <c r="N65" s="546">
        <f>SUM(N53:N64)</f>
        <v>27618</v>
      </c>
      <c r="P65" s="276" t="s">
        <v>463</v>
      </c>
      <c r="Q65" s="823">
        <v>11908</v>
      </c>
      <c r="R65" s="824">
        <v>17466</v>
      </c>
      <c r="S65" s="824">
        <v>20085</v>
      </c>
      <c r="T65" s="824">
        <v>25107</v>
      </c>
      <c r="U65" s="840">
        <v>27618</v>
      </c>
    </row>
    <row r="66" spans="2:21" ht="30.75" thickBot="1">
      <c r="B66" s="605" t="s">
        <v>399</v>
      </c>
      <c r="C66" s="606"/>
      <c r="D66" s="606"/>
      <c r="E66" s="607">
        <f>SUM(E54:E65)</f>
        <v>2495</v>
      </c>
      <c r="F66" s="601">
        <f>E66*1.19</f>
        <v>2969.0499999999997</v>
      </c>
      <c r="I66" s="821" t="s">
        <v>650</v>
      </c>
      <c r="J66" s="544">
        <f>'PLAN DE VENTAS'!C31</f>
        <v>1616</v>
      </c>
      <c r="K66" s="544">
        <f>'PLAN DE VENTAS'!D31</f>
        <v>1672.56</v>
      </c>
      <c r="L66" s="544">
        <f>'PLAN DE VENTAS'!E31</f>
        <v>1731.0995999999998</v>
      </c>
      <c r="M66" s="544">
        <f>'PLAN DE VENTAS'!F31</f>
        <v>1791.6880859999997</v>
      </c>
      <c r="N66" s="544">
        <f>'PLAN DE VENTAS'!G31</f>
        <v>1854.3971690099995</v>
      </c>
      <c r="P66" s="821" t="s">
        <v>650</v>
      </c>
      <c r="Q66" s="838">
        <v>1616</v>
      </c>
      <c r="R66" s="839">
        <v>1673</v>
      </c>
      <c r="S66" s="839">
        <v>1731</v>
      </c>
      <c r="T66" s="839">
        <v>1792</v>
      </c>
      <c r="U66" s="839">
        <v>1854</v>
      </c>
    </row>
    <row r="67" spans="2:21" ht="16.5" thickBot="1">
      <c r="B67" s="273"/>
      <c r="C67" s="272"/>
      <c r="D67" s="271"/>
      <c r="E67" s="270"/>
      <c r="F67" s="274"/>
      <c r="I67" s="822" t="s">
        <v>449</v>
      </c>
      <c r="J67" s="547">
        <f>J66*J65</f>
        <v>19243328</v>
      </c>
      <c r="K67" s="547">
        <f>K66*K65</f>
        <v>29212932.960000001</v>
      </c>
      <c r="L67" s="547">
        <f>L66*L65</f>
        <v>34769135.465999998</v>
      </c>
      <c r="M67" s="547">
        <f>M66*M65</f>
        <v>44983912.775201991</v>
      </c>
      <c r="N67" s="548">
        <f>N66*N65</f>
        <v>51214741.013718165</v>
      </c>
      <c r="P67" s="822" t="s">
        <v>449</v>
      </c>
      <c r="Q67" s="547">
        <f>Q66*Q65</f>
        <v>19243328</v>
      </c>
      <c r="R67" s="547">
        <f>R66*R65</f>
        <v>29220618</v>
      </c>
      <c r="S67" s="547">
        <f>S66*S65</f>
        <v>34767135</v>
      </c>
      <c r="T67" s="547">
        <f>T66*T65</f>
        <v>44991744</v>
      </c>
      <c r="U67" s="548">
        <f>U66*U65</f>
        <v>51203772</v>
      </c>
    </row>
    <row r="68" spans="2:21" ht="16.5" thickBot="1">
      <c r="B68" s="602" t="s">
        <v>398</v>
      </c>
      <c r="C68" s="603"/>
      <c r="D68" s="603"/>
      <c r="E68" s="619"/>
      <c r="F68" s="620"/>
      <c r="I68" s="216"/>
      <c r="J68" s="216"/>
      <c r="K68" s="216"/>
      <c r="L68" s="216"/>
      <c r="M68" s="216"/>
      <c r="N68" s="216"/>
      <c r="P68" s="216"/>
      <c r="Q68" s="216"/>
      <c r="R68" s="216"/>
      <c r="S68" s="216"/>
      <c r="T68" s="216"/>
      <c r="U68" s="216"/>
    </row>
    <row r="69" spans="2:21" ht="15.75" thickBot="1">
      <c r="B69" s="253"/>
      <c r="C69" s="253"/>
      <c r="D69" s="253"/>
      <c r="E69" s="253"/>
      <c r="F69" s="274"/>
      <c r="I69" s="216"/>
      <c r="J69" s="216"/>
      <c r="K69" s="216"/>
      <c r="L69" s="216"/>
      <c r="M69" s="216"/>
      <c r="N69" s="216"/>
      <c r="P69" s="216"/>
      <c r="Q69" s="216"/>
      <c r="R69" s="216"/>
      <c r="S69" s="216"/>
      <c r="T69" s="216"/>
      <c r="U69" s="216"/>
    </row>
    <row r="70" spans="2:21" ht="15.75">
      <c r="B70" s="273"/>
      <c r="C70" s="272"/>
      <c r="D70" s="271"/>
      <c r="E70" s="270"/>
      <c r="F70" s="266"/>
      <c r="I70" s="309" t="str">
        <f>I17</f>
        <v>producto 3</v>
      </c>
      <c r="J70" s="308"/>
      <c r="K70" s="308"/>
      <c r="L70" s="308"/>
      <c r="M70" s="308"/>
      <c r="N70" s="307"/>
      <c r="P70" s="309" t="str">
        <f>I70</f>
        <v>producto 3</v>
      </c>
      <c r="Q70" s="308"/>
      <c r="R70" s="308"/>
      <c r="S70" s="308"/>
      <c r="T70" s="308"/>
      <c r="U70" s="307"/>
    </row>
    <row r="71" spans="2:21" s="226" customFormat="1" ht="15.75">
      <c r="B71" s="280"/>
      <c r="C71" s="841"/>
      <c r="D71" s="842"/>
      <c r="E71" s="843"/>
      <c r="F71" s="844"/>
      <c r="I71" s="276"/>
      <c r="J71" s="423" t="s">
        <v>372</v>
      </c>
      <c r="K71" s="423" t="s">
        <v>371</v>
      </c>
      <c r="L71" s="423" t="s">
        <v>370</v>
      </c>
      <c r="M71" s="423" t="s">
        <v>369</v>
      </c>
      <c r="N71" s="545" t="s">
        <v>368</v>
      </c>
      <c r="P71" s="276"/>
      <c r="Q71" s="423" t="s">
        <v>372</v>
      </c>
      <c r="R71" s="423" t="s">
        <v>371</v>
      </c>
      <c r="S71" s="423" t="s">
        <v>370</v>
      </c>
      <c r="T71" s="423" t="s">
        <v>369</v>
      </c>
      <c r="U71" s="545" t="s">
        <v>368</v>
      </c>
    </row>
    <row r="72" spans="2:21" ht="16.5" thickBot="1">
      <c r="B72" s="269"/>
      <c r="C72" s="268"/>
      <c r="D72" s="268"/>
      <c r="E72" s="267"/>
      <c r="F72" s="266"/>
      <c r="I72" s="276" t="s">
        <v>461</v>
      </c>
      <c r="J72" s="275">
        <v>0</v>
      </c>
      <c r="K72" s="542">
        <v>157</v>
      </c>
      <c r="L72" s="542">
        <v>183</v>
      </c>
      <c r="M72" s="542">
        <v>228</v>
      </c>
      <c r="N72" s="546">
        <v>251</v>
      </c>
      <c r="P72" s="276" t="s">
        <v>461</v>
      </c>
      <c r="Q72" s="829">
        <f>J72*$J$85</f>
        <v>0</v>
      </c>
      <c r="R72" s="829">
        <f>K72*$K$84</f>
        <v>548401</v>
      </c>
      <c r="S72" s="829">
        <f>L72*$L$84</f>
        <v>735111</v>
      </c>
      <c r="T72" s="829">
        <f>M72*$M$84</f>
        <v>1144788</v>
      </c>
      <c r="U72" s="830">
        <f>N72*$N$84</f>
        <v>1386524</v>
      </c>
    </row>
    <row r="73" spans="2:21" ht="30.75" customHeight="1" thickBot="1">
      <c r="B73" s="956" t="s">
        <v>397</v>
      </c>
      <c r="C73" s="957"/>
      <c r="D73" s="958"/>
      <c r="E73" s="622" t="s">
        <v>396</v>
      </c>
      <c r="F73" s="621">
        <v>2969</v>
      </c>
      <c r="I73" s="276" t="s">
        <v>460</v>
      </c>
      <c r="J73" s="275">
        <v>0</v>
      </c>
      <c r="K73" s="542">
        <v>159</v>
      </c>
      <c r="L73" s="542">
        <v>184</v>
      </c>
      <c r="M73" s="542">
        <v>228</v>
      </c>
      <c r="N73" s="546">
        <v>251</v>
      </c>
      <c r="P73" s="276" t="s">
        <v>460</v>
      </c>
      <c r="Q73" s="829">
        <f t="shared" ref="Q73:Q83" si="17">J73*$J$85</f>
        <v>0</v>
      </c>
      <c r="R73" s="829">
        <f t="shared" ref="R73:R83" si="18">K73*$K$84</f>
        <v>555387</v>
      </c>
      <c r="S73" s="829">
        <f t="shared" ref="S73:S83" si="19">L73*$L$84</f>
        <v>739128</v>
      </c>
      <c r="T73" s="829">
        <f t="shared" ref="T73:T83" si="20">M73*$M$84</f>
        <v>1144788</v>
      </c>
      <c r="U73" s="830">
        <f t="shared" ref="U73:U82" si="21">N73*$N$84</f>
        <v>1386524</v>
      </c>
    </row>
    <row r="74" spans="2:21">
      <c r="B74" s="225"/>
      <c r="C74" s="225"/>
      <c r="D74" s="225"/>
      <c r="E74" s="225"/>
      <c r="I74" s="276" t="s">
        <v>459</v>
      </c>
      <c r="J74" s="275">
        <v>0</v>
      </c>
      <c r="K74" s="542">
        <v>265</v>
      </c>
      <c r="L74" s="542">
        <v>304</v>
      </c>
      <c r="M74" s="542">
        <v>380</v>
      </c>
      <c r="N74" s="546">
        <v>418</v>
      </c>
      <c r="P74" s="276" t="s">
        <v>459</v>
      </c>
      <c r="Q74" s="829">
        <f t="shared" si="17"/>
        <v>0</v>
      </c>
      <c r="R74" s="829">
        <f t="shared" si="18"/>
        <v>925645</v>
      </c>
      <c r="S74" s="829">
        <f t="shared" si="19"/>
        <v>1221168</v>
      </c>
      <c r="T74" s="829">
        <f t="shared" si="20"/>
        <v>1907980</v>
      </c>
      <c r="U74" s="830">
        <f t="shared" si="21"/>
        <v>2309032</v>
      </c>
    </row>
    <row r="75" spans="2:21">
      <c r="I75" s="276" t="s">
        <v>458</v>
      </c>
      <c r="J75" s="543">
        <v>139</v>
      </c>
      <c r="K75" s="542">
        <v>265</v>
      </c>
      <c r="L75" s="542">
        <v>304</v>
      </c>
      <c r="M75" s="542">
        <v>380</v>
      </c>
      <c r="N75" s="546">
        <v>418</v>
      </c>
      <c r="P75" s="276" t="s">
        <v>458</v>
      </c>
      <c r="Q75" s="829">
        <f t="shared" si="17"/>
        <v>412691</v>
      </c>
      <c r="R75" s="829">
        <f t="shared" si="18"/>
        <v>925645</v>
      </c>
      <c r="S75" s="829">
        <f t="shared" si="19"/>
        <v>1221168</v>
      </c>
      <c r="T75" s="829">
        <f t="shared" si="20"/>
        <v>1907980</v>
      </c>
      <c r="U75" s="830">
        <f t="shared" si="21"/>
        <v>2309032</v>
      </c>
    </row>
    <row r="76" spans="2:21">
      <c r="I76" s="276" t="s">
        <v>457</v>
      </c>
      <c r="J76" s="543">
        <v>140</v>
      </c>
      <c r="K76" s="542">
        <v>265</v>
      </c>
      <c r="L76" s="542">
        <v>304</v>
      </c>
      <c r="M76" s="542">
        <v>380</v>
      </c>
      <c r="N76" s="546">
        <v>418</v>
      </c>
      <c r="P76" s="276" t="s">
        <v>457</v>
      </c>
      <c r="Q76" s="829">
        <f t="shared" si="17"/>
        <v>415660</v>
      </c>
      <c r="R76" s="829">
        <f t="shared" si="18"/>
        <v>925645</v>
      </c>
      <c r="S76" s="829">
        <f t="shared" si="19"/>
        <v>1221168</v>
      </c>
      <c r="T76" s="829">
        <f t="shared" si="20"/>
        <v>1907980</v>
      </c>
      <c r="U76" s="830">
        <f t="shared" si="21"/>
        <v>2309032</v>
      </c>
    </row>
    <row r="77" spans="2:21">
      <c r="I77" s="276" t="s">
        <v>456</v>
      </c>
      <c r="J77" s="543">
        <v>234</v>
      </c>
      <c r="K77" s="542">
        <v>265</v>
      </c>
      <c r="L77" s="542">
        <v>304</v>
      </c>
      <c r="M77" s="542">
        <v>380</v>
      </c>
      <c r="N77" s="546">
        <v>418</v>
      </c>
      <c r="P77" s="276" t="s">
        <v>456</v>
      </c>
      <c r="Q77" s="829">
        <f t="shared" si="17"/>
        <v>694746</v>
      </c>
      <c r="R77" s="829">
        <f t="shared" si="18"/>
        <v>925645</v>
      </c>
      <c r="S77" s="829">
        <f t="shared" si="19"/>
        <v>1221168</v>
      </c>
      <c r="T77" s="829">
        <f t="shared" si="20"/>
        <v>1907980</v>
      </c>
      <c r="U77" s="830">
        <f t="shared" si="21"/>
        <v>2309032</v>
      </c>
    </row>
    <row r="78" spans="2:21">
      <c r="I78" s="276" t="s">
        <v>455</v>
      </c>
      <c r="J78" s="543">
        <v>234</v>
      </c>
      <c r="K78" s="542">
        <v>265</v>
      </c>
      <c r="L78" s="542">
        <v>304</v>
      </c>
      <c r="M78" s="542">
        <v>380</v>
      </c>
      <c r="N78" s="546">
        <v>418</v>
      </c>
      <c r="P78" s="276" t="s">
        <v>455</v>
      </c>
      <c r="Q78" s="829">
        <f t="shared" si="17"/>
        <v>694746</v>
      </c>
      <c r="R78" s="829">
        <f t="shared" si="18"/>
        <v>925645</v>
      </c>
      <c r="S78" s="829">
        <f t="shared" si="19"/>
        <v>1221168</v>
      </c>
      <c r="T78" s="829">
        <f t="shared" si="20"/>
        <v>1907980</v>
      </c>
      <c r="U78" s="830">
        <f t="shared" si="21"/>
        <v>2309032</v>
      </c>
    </row>
    <row r="79" spans="2:21">
      <c r="I79" s="276" t="s">
        <v>454</v>
      </c>
      <c r="J79" s="543">
        <v>234</v>
      </c>
      <c r="K79" s="542">
        <v>265</v>
      </c>
      <c r="L79" s="542">
        <v>304</v>
      </c>
      <c r="M79" s="542">
        <v>380</v>
      </c>
      <c r="N79" s="546">
        <v>418</v>
      </c>
      <c r="P79" s="276" t="s">
        <v>454</v>
      </c>
      <c r="Q79" s="829">
        <f t="shared" si="17"/>
        <v>694746</v>
      </c>
      <c r="R79" s="829">
        <f t="shared" si="18"/>
        <v>925645</v>
      </c>
      <c r="S79" s="829">
        <f t="shared" si="19"/>
        <v>1221168</v>
      </c>
      <c r="T79" s="829">
        <f t="shared" si="20"/>
        <v>1907980</v>
      </c>
      <c r="U79" s="830">
        <f t="shared" si="21"/>
        <v>2309032</v>
      </c>
    </row>
    <row r="80" spans="2:21">
      <c r="I80" s="276" t="s">
        <v>453</v>
      </c>
      <c r="J80" s="543">
        <v>234</v>
      </c>
      <c r="K80" s="542">
        <v>265</v>
      </c>
      <c r="L80" s="542">
        <v>304</v>
      </c>
      <c r="M80" s="542">
        <v>380</v>
      </c>
      <c r="N80" s="546">
        <v>418</v>
      </c>
      <c r="P80" s="276" t="s">
        <v>453</v>
      </c>
      <c r="Q80" s="829">
        <f t="shared" si="17"/>
        <v>694746</v>
      </c>
      <c r="R80" s="829">
        <f t="shared" si="18"/>
        <v>925645</v>
      </c>
      <c r="S80" s="829">
        <f t="shared" si="19"/>
        <v>1221168</v>
      </c>
      <c r="T80" s="829">
        <f t="shared" si="20"/>
        <v>1907980</v>
      </c>
      <c r="U80" s="830">
        <f t="shared" si="21"/>
        <v>2309032</v>
      </c>
    </row>
    <row r="81" spans="9:21">
      <c r="I81" s="276" t="s">
        <v>452</v>
      </c>
      <c r="J81" s="543">
        <v>327</v>
      </c>
      <c r="K81" s="542">
        <v>370</v>
      </c>
      <c r="L81" s="542">
        <v>426</v>
      </c>
      <c r="M81" s="542">
        <v>533</v>
      </c>
      <c r="N81" s="546">
        <v>586</v>
      </c>
      <c r="P81" s="276" t="s">
        <v>452</v>
      </c>
      <c r="Q81" s="829">
        <f t="shared" si="17"/>
        <v>970863</v>
      </c>
      <c r="R81" s="829">
        <f t="shared" si="18"/>
        <v>1292410</v>
      </c>
      <c r="S81" s="829">
        <f t="shared" si="19"/>
        <v>1711242</v>
      </c>
      <c r="T81" s="829">
        <f t="shared" si="20"/>
        <v>2676193</v>
      </c>
      <c r="U81" s="830">
        <f t="shared" si="21"/>
        <v>3237064</v>
      </c>
    </row>
    <row r="82" spans="9:21">
      <c r="I82" s="276" t="s">
        <v>451</v>
      </c>
      <c r="J82" s="543">
        <v>420</v>
      </c>
      <c r="K82" s="543">
        <v>476</v>
      </c>
      <c r="L82" s="542">
        <v>548</v>
      </c>
      <c r="M82" s="542">
        <v>685</v>
      </c>
      <c r="N82" s="546">
        <v>753</v>
      </c>
      <c r="P82" s="276" t="s">
        <v>451</v>
      </c>
      <c r="Q82" s="829">
        <f t="shared" si="17"/>
        <v>1246980</v>
      </c>
      <c r="R82" s="829">
        <f t="shared" si="18"/>
        <v>1662668</v>
      </c>
      <c r="S82" s="829">
        <f t="shared" si="19"/>
        <v>2201316</v>
      </c>
      <c r="T82" s="829">
        <f t="shared" si="20"/>
        <v>3439385</v>
      </c>
      <c r="U82" s="830">
        <f t="shared" si="21"/>
        <v>4159572</v>
      </c>
    </row>
    <row r="83" spans="9:21">
      <c r="I83" s="276" t="s">
        <v>450</v>
      </c>
      <c r="J83" s="543">
        <v>420</v>
      </c>
      <c r="K83" s="543">
        <v>476</v>
      </c>
      <c r="L83" s="542">
        <v>548</v>
      </c>
      <c r="M83" s="542">
        <v>687</v>
      </c>
      <c r="N83" s="546">
        <v>757</v>
      </c>
      <c r="P83" s="276" t="s">
        <v>450</v>
      </c>
      <c r="Q83" s="829">
        <f t="shared" si="17"/>
        <v>1246980</v>
      </c>
      <c r="R83" s="829">
        <f t="shared" si="18"/>
        <v>1662668</v>
      </c>
      <c r="S83" s="829">
        <f t="shared" si="19"/>
        <v>2201316</v>
      </c>
      <c r="T83" s="829">
        <f t="shared" si="20"/>
        <v>3449427</v>
      </c>
      <c r="U83" s="830">
        <f>N83*$N$84</f>
        <v>4181668</v>
      </c>
    </row>
    <row r="84" spans="9:21">
      <c r="I84" s="276" t="s">
        <v>463</v>
      </c>
      <c r="J84" s="819">
        <f>SUM(J72:J83)</f>
        <v>2382</v>
      </c>
      <c r="K84" s="819">
        <f>SUM(K72:K83)</f>
        <v>3493</v>
      </c>
      <c r="L84" s="819">
        <f>SUM(L72:L83)</f>
        <v>4017</v>
      </c>
      <c r="M84" s="819">
        <f>SUM(M72:M83)</f>
        <v>5021</v>
      </c>
      <c r="N84" s="820">
        <f>SUM(N72:N83)</f>
        <v>5524</v>
      </c>
      <c r="P84" s="276" t="s">
        <v>463</v>
      </c>
      <c r="Q84" s="833">
        <v>2382</v>
      </c>
      <c r="R84" s="834">
        <v>3493</v>
      </c>
      <c r="S84" s="834">
        <v>4017</v>
      </c>
      <c r="T84" s="834">
        <v>5021</v>
      </c>
      <c r="U84" s="835">
        <v>5524</v>
      </c>
    </row>
    <row r="85" spans="9:21">
      <c r="I85" s="821" t="s">
        <v>650</v>
      </c>
      <c r="J85" s="544">
        <f>'PLAN DE VENTAS'!C32</f>
        <v>2969</v>
      </c>
      <c r="K85" s="544">
        <f>'PLAN DE VENTAS'!D32</f>
        <v>3072.915</v>
      </c>
      <c r="L85" s="544">
        <f>'PLAN DE VENTAS'!E32</f>
        <v>3180.4670249999999</v>
      </c>
      <c r="M85" s="544">
        <f>'PLAN DE VENTAS'!F32</f>
        <v>3291.7833708749995</v>
      </c>
      <c r="N85" s="544">
        <f>'PLAN DE VENTAS'!G32</f>
        <v>3406.9957888556241</v>
      </c>
      <c r="P85" s="821" t="s">
        <v>650</v>
      </c>
      <c r="Q85" s="838">
        <v>2969</v>
      </c>
      <c r="R85" s="839">
        <v>3073</v>
      </c>
      <c r="S85" s="839">
        <v>3180</v>
      </c>
      <c r="T85" s="839">
        <v>3292</v>
      </c>
      <c r="U85" s="839">
        <v>3407</v>
      </c>
    </row>
    <row r="86" spans="9:21" ht="15.75" thickBot="1">
      <c r="I86" s="822" t="s">
        <v>449</v>
      </c>
      <c r="J86" s="547">
        <f>J85*J84</f>
        <v>7072158</v>
      </c>
      <c r="K86" s="547">
        <f t="shared" ref="K86:N86" si="22">K85*K84</f>
        <v>10733692.095000001</v>
      </c>
      <c r="L86" s="547">
        <f t="shared" si="22"/>
        <v>12775936.039425001</v>
      </c>
      <c r="M86" s="547">
        <f t="shared" si="22"/>
        <v>16528044.305163372</v>
      </c>
      <c r="N86" s="547">
        <f t="shared" si="22"/>
        <v>18820244.737638466</v>
      </c>
      <c r="P86" s="822" t="s">
        <v>449</v>
      </c>
      <c r="Q86" s="547">
        <f>Q85*Q84</f>
        <v>7072158</v>
      </c>
      <c r="R86" s="547">
        <f t="shared" ref="R86:U86" si="23">R85*R84</f>
        <v>10733989</v>
      </c>
      <c r="S86" s="547">
        <f t="shared" si="23"/>
        <v>12774060</v>
      </c>
      <c r="T86" s="547">
        <f t="shared" si="23"/>
        <v>16529132</v>
      </c>
      <c r="U86" s="547">
        <f t="shared" si="23"/>
        <v>18820268</v>
      </c>
    </row>
  </sheetData>
  <mergeCells count="12">
    <mergeCell ref="P30:U30"/>
    <mergeCell ref="K2:S2"/>
    <mergeCell ref="B73:D73"/>
    <mergeCell ref="I5:N5"/>
    <mergeCell ref="I13:N13"/>
    <mergeCell ref="I20:N20"/>
    <mergeCell ref="B2:F2"/>
    <mergeCell ref="B25:D25"/>
    <mergeCell ref="B28:F28"/>
    <mergeCell ref="B46:D46"/>
    <mergeCell ref="B50:F50"/>
    <mergeCell ref="I30:N30"/>
  </mergeCells>
  <hyperlinks>
    <hyperlink ref="B3" location="PRODUCTOS!A1" display="PRODUCTOS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AB142"/>
  <sheetViews>
    <sheetView topLeftCell="A25" workbookViewId="0">
      <selection activeCell="K32" sqref="K32"/>
    </sheetView>
  </sheetViews>
  <sheetFormatPr baseColWidth="10" defaultRowHeight="15"/>
  <cols>
    <col min="1" max="1" width="8.7109375" style="225" customWidth="1"/>
    <col min="2" max="3" width="17" style="225" customWidth="1"/>
    <col min="4" max="4" width="31.28515625" style="225" customWidth="1"/>
    <col min="5" max="6" width="17" style="225" customWidth="1"/>
    <col min="7" max="7" width="12.85546875" style="225" customWidth="1"/>
    <col min="8" max="8" width="16.42578125" style="225" bestFit="1" customWidth="1"/>
    <col min="9" max="9" width="13.140625" style="225" bestFit="1" customWidth="1"/>
    <col min="10" max="10" width="26.42578125" style="225" customWidth="1"/>
    <col min="11" max="11" width="16.140625" style="225" customWidth="1"/>
    <col min="12" max="12" width="13.140625" style="225" customWidth="1"/>
    <col min="13" max="13" width="16.7109375" style="225" customWidth="1"/>
    <col min="14" max="14" width="17.5703125" style="225" customWidth="1"/>
    <col min="15" max="15" width="14.140625" style="225" customWidth="1"/>
    <col min="16" max="16" width="14.140625" style="225" bestFit="1" customWidth="1"/>
    <col min="17" max="17" width="15.140625" style="225" bestFit="1" customWidth="1"/>
    <col min="18" max="18" width="16.85546875" style="225" bestFit="1" customWidth="1"/>
    <col min="19" max="19" width="17.85546875" style="225" bestFit="1" customWidth="1"/>
    <col min="20" max="20" width="18.85546875" style="225" bestFit="1" customWidth="1"/>
    <col min="21" max="23" width="11.42578125" style="225"/>
    <col min="24" max="24" width="15.7109375" style="225" customWidth="1"/>
    <col min="25" max="28" width="17" style="225" customWidth="1"/>
    <col min="29" max="16384" width="11.42578125" style="225"/>
  </cols>
  <sheetData>
    <row r="3" spans="1:28" ht="26.25">
      <c r="F3" s="968" t="s">
        <v>657</v>
      </c>
      <c r="G3" s="968"/>
      <c r="H3" s="968"/>
      <c r="I3" s="968"/>
      <c r="J3" s="968"/>
      <c r="K3" s="968"/>
      <c r="L3" s="968"/>
      <c r="M3" s="968"/>
      <c r="N3" s="968"/>
    </row>
    <row r="4" spans="1:28">
      <c r="B4" s="655"/>
    </row>
    <row r="5" spans="1:28" ht="15.75" thickBot="1">
      <c r="B5" s="655"/>
    </row>
    <row r="6" spans="1:28" s="356" customFormat="1" ht="13.5" thickBot="1">
      <c r="A6" s="925" t="s">
        <v>669</v>
      </c>
      <c r="B6" s="926"/>
      <c r="C6" s="926"/>
      <c r="D6" s="926"/>
      <c r="E6" s="926"/>
      <c r="F6" s="926"/>
      <c r="G6" s="926"/>
      <c r="H6" s="926"/>
      <c r="I6" s="926"/>
      <c r="J6" s="926"/>
      <c r="K6" s="926"/>
      <c r="L6" s="926"/>
      <c r="M6" s="926"/>
      <c r="N6" s="926"/>
      <c r="O6" s="926"/>
      <c r="P6" s="926"/>
      <c r="Q6" s="926"/>
      <c r="R6" s="926"/>
      <c r="S6" s="926"/>
      <c r="T6" s="926"/>
      <c r="U6" s="926"/>
      <c r="V6" s="926"/>
      <c r="W6" s="926"/>
      <c r="X6" s="927"/>
    </row>
    <row r="7" spans="1:28" s="356" customFormat="1" ht="13.5" thickBot="1">
      <c r="A7" s="928" t="s">
        <v>500</v>
      </c>
      <c r="B7" s="929"/>
      <c r="C7" s="929"/>
      <c r="D7" s="929"/>
      <c r="E7" s="929"/>
      <c r="F7" s="929"/>
      <c r="G7" s="929"/>
      <c r="H7" s="929"/>
      <c r="I7" s="929"/>
      <c r="J7" s="929" t="s">
        <v>499</v>
      </c>
      <c r="K7" s="929"/>
      <c r="L7" s="929"/>
      <c r="M7" s="929"/>
      <c r="N7" s="929"/>
      <c r="O7" s="929"/>
      <c r="P7" s="929"/>
      <c r="Q7" s="929"/>
      <c r="R7" s="938" t="s">
        <v>498</v>
      </c>
      <c r="S7" s="939"/>
      <c r="T7" s="939"/>
      <c r="U7" s="940"/>
      <c r="V7" s="949" t="s">
        <v>497</v>
      </c>
      <c r="W7" s="952" t="s">
        <v>496</v>
      </c>
      <c r="X7" s="941" t="s">
        <v>580</v>
      </c>
      <c r="Y7" s="941" t="s">
        <v>581</v>
      </c>
      <c r="Z7" s="941" t="s">
        <v>582</v>
      </c>
      <c r="AA7" s="941" t="s">
        <v>583</v>
      </c>
      <c r="AB7" s="941" t="s">
        <v>584</v>
      </c>
    </row>
    <row r="8" spans="1:28" s="356" customFormat="1" ht="23.25" customHeight="1">
      <c r="A8" s="973" t="s">
        <v>495</v>
      </c>
      <c r="B8" s="936" t="s">
        <v>577</v>
      </c>
      <c r="C8" s="414" t="s">
        <v>494</v>
      </c>
      <c r="D8" s="944" t="s">
        <v>493</v>
      </c>
      <c r="E8" s="944" t="s">
        <v>492</v>
      </c>
      <c r="F8" s="944"/>
      <c r="G8" s="930" t="s">
        <v>578</v>
      </c>
      <c r="H8" s="930" t="s">
        <v>491</v>
      </c>
      <c r="I8" s="945" t="s">
        <v>490</v>
      </c>
      <c r="J8" s="465" t="s">
        <v>489</v>
      </c>
      <c r="K8" s="418" t="s">
        <v>488</v>
      </c>
      <c r="L8" s="418" t="s">
        <v>487</v>
      </c>
      <c r="M8" s="418" t="s">
        <v>486</v>
      </c>
      <c r="N8" s="418" t="s">
        <v>485</v>
      </c>
      <c r="O8" s="465" t="s">
        <v>484</v>
      </c>
      <c r="P8" s="465" t="s">
        <v>483</v>
      </c>
      <c r="Q8" s="946" t="s">
        <v>482</v>
      </c>
      <c r="R8" s="417" t="s">
        <v>481</v>
      </c>
      <c r="S8" s="416" t="s">
        <v>480</v>
      </c>
      <c r="T8" s="415" t="s">
        <v>479</v>
      </c>
      <c r="U8" s="947" t="s">
        <v>478</v>
      </c>
      <c r="V8" s="950"/>
      <c r="W8" s="953"/>
      <c r="X8" s="942"/>
      <c r="Y8" s="942"/>
      <c r="Z8" s="942"/>
      <c r="AA8" s="942"/>
      <c r="AB8" s="942"/>
    </row>
    <row r="9" spans="1:28" s="356" customFormat="1" ht="21.75" customHeight="1" thickBot="1">
      <c r="A9" s="935"/>
      <c r="B9" s="937"/>
      <c r="C9" s="414"/>
      <c r="D9" s="944"/>
      <c r="E9" s="465" t="s">
        <v>477</v>
      </c>
      <c r="F9" s="465" t="s">
        <v>476</v>
      </c>
      <c r="G9" s="930"/>
      <c r="H9" s="930"/>
      <c r="I9" s="945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46"/>
      <c r="R9" s="407">
        <v>0.04</v>
      </c>
      <c r="S9" s="407">
        <v>0</v>
      </c>
      <c r="T9" s="406">
        <v>0</v>
      </c>
      <c r="U9" s="948"/>
      <c r="V9" s="951"/>
      <c r="W9" s="954"/>
      <c r="X9" s="943"/>
      <c r="Y9" s="943"/>
      <c r="Z9" s="943"/>
      <c r="AA9" s="943"/>
      <c r="AB9" s="943"/>
    </row>
    <row r="10" spans="1:28" s="356" customFormat="1" ht="12.75" customHeight="1">
      <c r="A10" s="625">
        <f>A9+1</f>
        <v>1</v>
      </c>
      <c r="B10" s="634">
        <v>1</v>
      </c>
      <c r="C10" s="389" t="s">
        <v>32</v>
      </c>
      <c r="D10" s="282" t="s">
        <v>675</v>
      </c>
      <c r="E10" s="393">
        <v>30</v>
      </c>
      <c r="F10" s="393">
        <v>192</v>
      </c>
      <c r="G10" s="385">
        <v>1300000</v>
      </c>
      <c r="H10" s="385">
        <v>83140</v>
      </c>
      <c r="I10" s="392">
        <f t="shared" ref="I10:I12" si="0">G10+H10</f>
        <v>1383140</v>
      </c>
      <c r="J10" s="385">
        <f>$G$10*$J$9</f>
        <v>110500.00000000001</v>
      </c>
      <c r="K10" s="385">
        <f t="shared" ref="K10:M10" si="1">$G$10*K9</f>
        <v>156000</v>
      </c>
      <c r="L10" s="385">
        <f t="shared" si="1"/>
        <v>13000</v>
      </c>
      <c r="M10" s="385">
        <f t="shared" si="1"/>
        <v>54600</v>
      </c>
      <c r="N10" s="385">
        <f>$I$10*$N$9</f>
        <v>115215.56200000001</v>
      </c>
      <c r="O10" s="385">
        <f>$I$10*$O$9</f>
        <v>13831.4</v>
      </c>
      <c r="P10" s="385">
        <f>$I$10*$P$9</f>
        <v>115215.56200000001</v>
      </c>
      <c r="Q10" s="391">
        <f>SUM(I10:P10)</f>
        <v>1961502.5239999997</v>
      </c>
      <c r="R10" s="385">
        <f>Q10*$R$9</f>
        <v>78460.100959999996</v>
      </c>
      <c r="S10" s="385">
        <f t="shared" ref="S10:S12" si="2">Q10*$S$7</f>
        <v>0</v>
      </c>
      <c r="T10" s="384">
        <f t="shared" ref="T10:T12" si="3">Q10*$T$7</f>
        <v>0</v>
      </c>
      <c r="U10" s="383">
        <f t="shared" ref="U10:U12" si="4">R10+S10+T10</f>
        <v>78460.100959999996</v>
      </c>
      <c r="V10" s="383">
        <f t="shared" ref="V10:V12" si="5">Q10+U10</f>
        <v>2039962.6249599997</v>
      </c>
      <c r="W10" s="390">
        <v>12</v>
      </c>
      <c r="X10" s="629">
        <f t="shared" ref="X10:X12" si="6">V10*W10</f>
        <v>24479551.499519996</v>
      </c>
      <c r="Y10" s="629">
        <f>(V10*12)*1.0383</f>
        <v>25417118.321951613</v>
      </c>
      <c r="Z10" s="629">
        <f>Y10*1.0383</f>
        <v>26390593.953682359</v>
      </c>
      <c r="AA10" s="629">
        <f t="shared" ref="AA10:AB11" si="7">Z10*1.0383</f>
        <v>27401353.702108394</v>
      </c>
      <c r="AB10" s="629">
        <f t="shared" si="7"/>
        <v>28450825.548899148</v>
      </c>
    </row>
    <row r="11" spans="1:28" s="356" customFormat="1" ht="12.75" customHeight="1">
      <c r="A11" s="625">
        <f t="shared" ref="A11:A12" si="8">A10+1</f>
        <v>2</v>
      </c>
      <c r="B11" s="634">
        <v>1</v>
      </c>
      <c r="C11" s="389" t="s">
        <v>32</v>
      </c>
      <c r="D11" s="282" t="s">
        <v>676</v>
      </c>
      <c r="E11" s="393">
        <v>30</v>
      </c>
      <c r="F11" s="393">
        <v>192</v>
      </c>
      <c r="G11" s="385">
        <v>800000</v>
      </c>
      <c r="H11" s="385">
        <v>83140</v>
      </c>
      <c r="I11" s="392">
        <f t="shared" si="0"/>
        <v>883140</v>
      </c>
      <c r="J11" s="385">
        <f>$G$11*J9</f>
        <v>68000</v>
      </c>
      <c r="K11" s="385">
        <f t="shared" ref="K11:M11" si="9">$G$11*K9</f>
        <v>96000</v>
      </c>
      <c r="L11" s="385">
        <f t="shared" si="9"/>
        <v>8000</v>
      </c>
      <c r="M11" s="385">
        <f t="shared" si="9"/>
        <v>33600</v>
      </c>
      <c r="N11" s="385">
        <f t="shared" ref="N11:N12" si="10">$I$10*$N$9</f>
        <v>115215.56200000001</v>
      </c>
      <c r="O11" s="385">
        <f t="shared" ref="O11:O12" si="11">$I$10*$O$9</f>
        <v>13831.4</v>
      </c>
      <c r="P11" s="385">
        <f t="shared" ref="P11:P12" si="12">$I$10*$P$9</f>
        <v>115215.56200000001</v>
      </c>
      <c r="Q11" s="391">
        <f t="shared" ref="Q11:Q12" si="13">SUM(I11:P11)</f>
        <v>1333002.5239999997</v>
      </c>
      <c r="R11" s="385">
        <f t="shared" ref="R11:R12" si="14">Q11*$R$9</f>
        <v>53320.100959999989</v>
      </c>
      <c r="S11" s="385">
        <f t="shared" si="2"/>
        <v>0</v>
      </c>
      <c r="T11" s="384">
        <f t="shared" si="3"/>
        <v>0</v>
      </c>
      <c r="U11" s="383">
        <f t="shared" si="4"/>
        <v>53320.100959999989</v>
      </c>
      <c r="V11" s="383">
        <f t="shared" si="5"/>
        <v>1386322.6249599997</v>
      </c>
      <c r="W11" s="390">
        <v>12</v>
      </c>
      <c r="X11" s="629">
        <f t="shared" si="6"/>
        <v>16635871.499519996</v>
      </c>
      <c r="Y11" s="629">
        <f>(V11*12)*1.0383</f>
        <v>17273025.377951611</v>
      </c>
      <c r="Z11" s="629">
        <f>Y11*1.0383</f>
        <v>17934582.249927159</v>
      </c>
      <c r="AA11" s="629">
        <f t="shared" si="7"/>
        <v>18621476.750099368</v>
      </c>
      <c r="AB11" s="629">
        <f t="shared" si="7"/>
        <v>19334679.309628174</v>
      </c>
    </row>
    <row r="12" spans="1:28" s="356" customFormat="1" ht="12.75" customHeight="1" thickBot="1">
      <c r="A12" s="625">
        <f t="shared" si="8"/>
        <v>3</v>
      </c>
      <c r="B12" s="634">
        <v>3</v>
      </c>
      <c r="C12" s="389" t="s">
        <v>32</v>
      </c>
      <c r="D12" s="282" t="s">
        <v>677</v>
      </c>
      <c r="E12" s="393">
        <v>30</v>
      </c>
      <c r="F12" s="393">
        <v>192</v>
      </c>
      <c r="G12" s="385">
        <v>800000</v>
      </c>
      <c r="H12" s="385">
        <v>83140</v>
      </c>
      <c r="I12" s="392">
        <f t="shared" si="0"/>
        <v>883140</v>
      </c>
      <c r="J12" s="385">
        <f>$G$12*J9</f>
        <v>68000</v>
      </c>
      <c r="K12" s="385">
        <f t="shared" ref="K12:M12" si="15">$G$12*K9</f>
        <v>96000</v>
      </c>
      <c r="L12" s="385">
        <f t="shared" si="15"/>
        <v>8000</v>
      </c>
      <c r="M12" s="385">
        <f t="shared" si="15"/>
        <v>33600</v>
      </c>
      <c r="N12" s="385">
        <f t="shared" si="10"/>
        <v>115215.56200000001</v>
      </c>
      <c r="O12" s="385">
        <f t="shared" si="11"/>
        <v>13831.4</v>
      </c>
      <c r="P12" s="385">
        <f t="shared" si="12"/>
        <v>115215.56200000001</v>
      </c>
      <c r="Q12" s="391">
        <f t="shared" si="13"/>
        <v>1333002.5239999997</v>
      </c>
      <c r="R12" s="385">
        <f t="shared" si="14"/>
        <v>53320.100959999989</v>
      </c>
      <c r="S12" s="385">
        <f t="shared" si="2"/>
        <v>0</v>
      </c>
      <c r="T12" s="384">
        <f t="shared" si="3"/>
        <v>0</v>
      </c>
      <c r="U12" s="383">
        <f t="shared" si="4"/>
        <v>53320.100959999989</v>
      </c>
      <c r="V12" s="383">
        <f t="shared" si="5"/>
        <v>1386322.6249599997</v>
      </c>
      <c r="W12" s="390">
        <v>9</v>
      </c>
      <c r="X12" s="629">
        <f t="shared" si="6"/>
        <v>12476903.624639997</v>
      </c>
      <c r="Y12" s="629">
        <f>(V12*12)*1.0383</f>
        <v>17273025.377951611</v>
      </c>
      <c r="Z12" s="631">
        <v>15550710.789999999</v>
      </c>
      <c r="AA12" s="632">
        <v>16146303.01</v>
      </c>
      <c r="AB12" s="632">
        <v>16764706.42</v>
      </c>
    </row>
    <row r="13" spans="1:28" s="356" customFormat="1" ht="18.75" thickBot="1">
      <c r="A13" s="932" t="s">
        <v>344</v>
      </c>
      <c r="B13" s="933"/>
      <c r="C13" s="933"/>
      <c r="D13" s="933"/>
      <c r="E13" s="933"/>
      <c r="F13" s="934"/>
      <c r="G13" s="381">
        <f t="shared" ref="G13:V13" si="16">SUM(G10:G12)</f>
        <v>2900000</v>
      </c>
      <c r="H13" s="380">
        <f t="shared" si="16"/>
        <v>249420</v>
      </c>
      <c r="I13" s="379">
        <f t="shared" si="16"/>
        <v>3149420</v>
      </c>
      <c r="J13" s="378">
        <f t="shared" si="16"/>
        <v>246500</v>
      </c>
      <c r="K13" s="378">
        <f t="shared" si="16"/>
        <v>348000</v>
      </c>
      <c r="L13" s="378">
        <f t="shared" si="16"/>
        <v>29000</v>
      </c>
      <c r="M13" s="378">
        <f t="shared" si="16"/>
        <v>121800</v>
      </c>
      <c r="N13" s="378">
        <f t="shared" si="16"/>
        <v>345646.68599999999</v>
      </c>
      <c r="O13" s="378">
        <f t="shared" si="16"/>
        <v>41494.199999999997</v>
      </c>
      <c r="P13" s="378">
        <f t="shared" si="16"/>
        <v>345646.68599999999</v>
      </c>
      <c r="Q13" s="377">
        <f t="shared" si="16"/>
        <v>4627507.5719999988</v>
      </c>
      <c r="R13" s="378">
        <f t="shared" si="16"/>
        <v>185100.30287999997</v>
      </c>
      <c r="S13" s="378">
        <f t="shared" si="16"/>
        <v>0</v>
      </c>
      <c r="T13" s="378">
        <f t="shared" si="16"/>
        <v>0</v>
      </c>
      <c r="U13" s="377">
        <f t="shared" si="16"/>
        <v>185100.30287999997</v>
      </c>
      <c r="V13" s="376">
        <f t="shared" si="16"/>
        <v>4812607.8748799991</v>
      </c>
      <c r="W13" s="375">
        <v>12</v>
      </c>
      <c r="X13" s="630">
        <f>SUM(X10:X12)</f>
        <v>53592326.623679988</v>
      </c>
      <c r="Y13" s="630">
        <f>SUM(Y10:Y12)</f>
        <v>59963169.077854827</v>
      </c>
      <c r="Z13" s="630">
        <f>SUM(Z10:Z12)</f>
        <v>59875886.993609518</v>
      </c>
      <c r="AA13" s="630">
        <f>SUM(AA10:AA12)</f>
        <v>62169133.462207757</v>
      </c>
      <c r="AB13" s="630">
        <f>SUM(AB10:AB12)</f>
        <v>64550211.278527319</v>
      </c>
    </row>
    <row r="14" spans="1:28" ht="15.75" thickBot="1"/>
    <row r="15" spans="1:28" ht="15.75" thickBot="1">
      <c r="B15" s="970" t="s">
        <v>588</v>
      </c>
      <c r="C15" s="971"/>
      <c r="D15" s="971"/>
      <c r="E15" s="971"/>
      <c r="F15" s="972"/>
    </row>
    <row r="16" spans="1:28">
      <c r="B16" s="941" t="s">
        <v>580</v>
      </c>
      <c r="C16" s="941" t="s">
        <v>581</v>
      </c>
      <c r="D16" s="941" t="s">
        <v>582</v>
      </c>
      <c r="E16" s="941" t="s">
        <v>583</v>
      </c>
      <c r="F16" s="941" t="s">
        <v>584</v>
      </c>
    </row>
    <row r="17" spans="2:20">
      <c r="B17" s="942"/>
      <c r="C17" s="942"/>
      <c r="D17" s="942"/>
      <c r="E17" s="942"/>
      <c r="F17" s="942"/>
    </row>
    <row r="18" spans="2:20" ht="15.75" thickBot="1">
      <c r="B18" s="943"/>
      <c r="C18" s="943"/>
      <c r="D18" s="943"/>
      <c r="E18" s="943"/>
      <c r="F18" s="943"/>
    </row>
    <row r="19" spans="2:20">
      <c r="B19" s="629">
        <f t="shared" ref="B19:F22" si="17">X10</f>
        <v>24479551.499519996</v>
      </c>
      <c r="C19" s="629">
        <f t="shared" si="17"/>
        <v>25417118.321951613</v>
      </c>
      <c r="D19" s="629">
        <f t="shared" si="17"/>
        <v>26390593.953682359</v>
      </c>
      <c r="E19" s="629">
        <f t="shared" si="17"/>
        <v>27401353.702108394</v>
      </c>
      <c r="F19" s="629">
        <f t="shared" si="17"/>
        <v>28450825.548899148</v>
      </c>
    </row>
    <row r="20" spans="2:20">
      <c r="B20" s="629">
        <f t="shared" si="17"/>
        <v>16635871.499519996</v>
      </c>
      <c r="C20" s="629">
        <f t="shared" si="17"/>
        <v>17273025.377951611</v>
      </c>
      <c r="D20" s="629">
        <f t="shared" si="17"/>
        <v>17934582.249927159</v>
      </c>
      <c r="E20" s="629">
        <f t="shared" si="17"/>
        <v>18621476.750099368</v>
      </c>
      <c r="F20" s="629">
        <f t="shared" si="17"/>
        <v>19334679.309628174</v>
      </c>
    </row>
    <row r="21" spans="2:20">
      <c r="B21" s="629">
        <f t="shared" si="17"/>
        <v>12476903.624639997</v>
      </c>
      <c r="C21" s="629">
        <f t="shared" si="17"/>
        <v>17273025.377951611</v>
      </c>
      <c r="D21" s="629">
        <f t="shared" si="17"/>
        <v>15550710.789999999</v>
      </c>
      <c r="E21" s="629">
        <f t="shared" si="17"/>
        <v>16146303.01</v>
      </c>
      <c r="F21" s="629">
        <f t="shared" si="17"/>
        <v>16764706.42</v>
      </c>
    </row>
    <row r="22" spans="2:20">
      <c r="B22" s="629">
        <f t="shared" si="17"/>
        <v>53592326.623679988</v>
      </c>
      <c r="C22" s="629">
        <f t="shared" si="17"/>
        <v>59963169.077854827</v>
      </c>
      <c r="D22" s="629">
        <f t="shared" si="17"/>
        <v>59875886.993609518</v>
      </c>
      <c r="E22" s="629">
        <f t="shared" si="17"/>
        <v>62169133.462207757</v>
      </c>
      <c r="F22" s="629">
        <f t="shared" si="17"/>
        <v>64550211.278527319</v>
      </c>
    </row>
    <row r="23" spans="2:20">
      <c r="B23" s="637"/>
    </row>
    <row r="24" spans="2:20">
      <c r="B24" s="637"/>
      <c r="C24" s="637"/>
      <c r="D24" s="637"/>
      <c r="E24" s="637"/>
      <c r="F24" s="637"/>
      <c r="G24" s="637"/>
      <c r="H24" s="637"/>
      <c r="I24" s="637"/>
    </row>
    <row r="25" spans="2:20">
      <c r="B25" s="637"/>
      <c r="C25" s="637"/>
      <c r="D25" s="637"/>
      <c r="E25" s="637"/>
      <c r="F25" s="637"/>
      <c r="G25" s="637"/>
      <c r="H25" s="637"/>
      <c r="I25" s="637"/>
    </row>
    <row r="26" spans="2:20">
      <c r="B26" s="969" t="s">
        <v>586</v>
      </c>
      <c r="C26" s="969"/>
      <c r="D26" s="969"/>
      <c r="E26" s="969"/>
      <c r="F26" s="969"/>
      <c r="G26" s="969"/>
      <c r="H26" s="554"/>
      <c r="I26" s="554"/>
      <c r="P26" s="554"/>
      <c r="Q26" s="554"/>
      <c r="R26" s="554"/>
      <c r="S26" s="554"/>
      <c r="T26" s="554"/>
    </row>
    <row r="27" spans="2:20" ht="16.5" thickBot="1">
      <c r="B27" s="280"/>
      <c r="C27" s="302"/>
      <c r="D27" s="554"/>
      <c r="E27" s="554"/>
      <c r="F27" s="554"/>
      <c r="G27" s="554"/>
      <c r="H27" s="554"/>
      <c r="I27" s="554"/>
      <c r="P27" s="554"/>
      <c r="Q27" s="554"/>
      <c r="R27" s="554"/>
      <c r="S27" s="554"/>
      <c r="T27" s="554"/>
    </row>
    <row r="28" spans="2:20" ht="15.75">
      <c r="B28" s="659" t="s">
        <v>670</v>
      </c>
      <c r="C28" s="660"/>
      <c r="D28" s="661" t="s">
        <v>587</v>
      </c>
      <c r="E28" s="660"/>
      <c r="F28" s="662"/>
      <c r="G28" s="668">
        <f>'PLAN DE PRODUCCCION'!E12</f>
        <v>0.5</v>
      </c>
      <c r="H28" s="554"/>
      <c r="I28" s="554"/>
      <c r="J28" s="677"/>
      <c r="K28" s="688" t="str">
        <f>'PLAN DE PRODUCCCION'!K24:O24</f>
        <v>PRODUCCION UNIDADES PROYECTADA A 5 AÑOS</v>
      </c>
      <c r="L28" s="686"/>
      <c r="M28" s="686"/>
      <c r="N28" s="686"/>
      <c r="O28" s="687"/>
      <c r="P28" s="554"/>
      <c r="Q28" s="554"/>
      <c r="R28" s="554"/>
      <c r="S28" s="554"/>
      <c r="T28" s="554"/>
    </row>
    <row r="29" spans="2:20" ht="15.75">
      <c r="B29" s="522"/>
      <c r="C29" s="669" t="s">
        <v>372</v>
      </c>
      <c r="D29" s="670" t="s">
        <v>371</v>
      </c>
      <c r="E29" s="671" t="s">
        <v>370</v>
      </c>
      <c r="F29" s="670" t="s">
        <v>369</v>
      </c>
      <c r="G29" s="672" t="s">
        <v>368</v>
      </c>
      <c r="H29" s="554"/>
      <c r="I29" s="554"/>
      <c r="J29" s="678"/>
      <c r="K29" s="656"/>
      <c r="L29" s="656"/>
      <c r="M29" s="656"/>
      <c r="N29" s="656"/>
      <c r="O29" s="663"/>
      <c r="P29" s="554"/>
      <c r="Q29" s="554"/>
      <c r="R29" s="554"/>
      <c r="S29" s="554"/>
      <c r="T29" s="554"/>
    </row>
    <row r="30" spans="2:20" ht="15.75">
      <c r="B30" s="673" t="s">
        <v>461</v>
      </c>
      <c r="C30" s="656">
        <v>0</v>
      </c>
      <c r="D30" s="656">
        <f>($C$22*$G$28)/$L$32</f>
        <v>70626.000063431449</v>
      </c>
      <c r="E30" s="657">
        <f t="shared" ref="E30:E41" si="18">($D$22*$G$28)/$M$32</f>
        <v>61324.519318765117</v>
      </c>
      <c r="F30" s="656">
        <f t="shared" ref="F30:F41" si="19">($E$22*$G$28)/$N$32</f>
        <v>50938.598724270414</v>
      </c>
      <c r="G30" s="663">
        <f t="shared" ref="G30:G41" si="20">($F$22*$G$28)/$O$32</f>
        <v>48081.406417522601</v>
      </c>
      <c r="H30" s="554"/>
      <c r="I30" s="554"/>
      <c r="J30" s="678"/>
      <c r="K30" s="656"/>
      <c r="L30" s="656"/>
      <c r="M30" s="656"/>
      <c r="N30" s="656"/>
      <c r="O30" s="663"/>
    </row>
    <row r="31" spans="2:20" ht="15.75">
      <c r="B31" s="673" t="s">
        <v>460</v>
      </c>
      <c r="C31" s="656">
        <v>0</v>
      </c>
      <c r="D31" s="656">
        <f t="shared" ref="D30:D41" si="21">($C$22*$G$28)/$L$32</f>
        <v>70626.000063431449</v>
      </c>
      <c r="E31" s="657">
        <f t="shared" si="18"/>
        <v>61324.519318765117</v>
      </c>
      <c r="F31" s="656">
        <f t="shared" si="19"/>
        <v>50938.598724270414</v>
      </c>
      <c r="G31" s="663">
        <f t="shared" si="20"/>
        <v>48081.406417522601</v>
      </c>
      <c r="H31" s="554"/>
      <c r="I31" s="554"/>
      <c r="J31" s="678"/>
      <c r="K31" s="675" t="str">
        <f>'PLAN DE PRODUCCCION'!K26</f>
        <v>Año 1</v>
      </c>
      <c r="L31" s="675" t="str">
        <f>'PLAN DE PRODUCCCION'!L26</f>
        <v>Año 2</v>
      </c>
      <c r="M31" s="675" t="str">
        <f>'PLAN DE PRODUCCCION'!M26</f>
        <v>Año 3</v>
      </c>
      <c r="N31" s="675" t="str">
        <f>'PLAN DE PRODUCCCION'!N26</f>
        <v>Año 4</v>
      </c>
      <c r="O31" s="679" t="str">
        <f>'PLAN DE PRODUCCCION'!O26</f>
        <v>Año 5</v>
      </c>
    </row>
    <row r="32" spans="2:20" ht="15.75">
      <c r="B32" s="673" t="s">
        <v>459</v>
      </c>
      <c r="C32" s="656">
        <v>0</v>
      </c>
      <c r="D32" s="656">
        <f t="shared" si="21"/>
        <v>70626.000063431449</v>
      </c>
      <c r="E32" s="657">
        <f t="shared" si="18"/>
        <v>61324.519318765117</v>
      </c>
      <c r="F32" s="656">
        <f t="shared" si="19"/>
        <v>50938.598724270414</v>
      </c>
      <c r="G32" s="663">
        <f t="shared" si="20"/>
        <v>48081.406417522601</v>
      </c>
      <c r="H32" s="554"/>
      <c r="I32" s="554"/>
      <c r="J32" s="322" t="str">
        <f>'PLAN DE PRODUCCCION'!B27</f>
        <v>producto 1</v>
      </c>
      <c r="K32" s="656">
        <f>'PLAN DE PRODUCCCION'!K27</f>
        <v>289.44</v>
      </c>
      <c r="L32" s="656">
        <f>'PLAN DE PRODUCCCION'!L27</f>
        <v>424.51200000000006</v>
      </c>
      <c r="M32" s="656">
        <f>'PLAN DE PRODUCCCION'!M27</f>
        <v>488.18880000000001</v>
      </c>
      <c r="N32" s="656">
        <f>'PLAN DE PRODUCCCION'!N27</f>
        <v>610.23599999999999</v>
      </c>
      <c r="O32" s="663">
        <f>'PLAN DE PRODUCCCION'!O27</f>
        <v>671.25960000000009</v>
      </c>
    </row>
    <row r="33" spans="2:15" ht="15.75">
      <c r="B33" s="673" t="s">
        <v>458</v>
      </c>
      <c r="C33" s="658">
        <f>(($B$22*$G$28)/$K$32)</f>
        <v>92579.337036484227</v>
      </c>
      <c r="D33" s="656">
        <f t="shared" si="21"/>
        <v>70626.000063431449</v>
      </c>
      <c r="E33" s="657">
        <f t="shared" si="18"/>
        <v>61324.519318765117</v>
      </c>
      <c r="F33" s="656">
        <f t="shared" si="19"/>
        <v>50938.598724270414</v>
      </c>
      <c r="G33" s="663">
        <f t="shared" si="20"/>
        <v>48081.406417522601</v>
      </c>
      <c r="H33" s="554"/>
      <c r="I33" s="554"/>
      <c r="J33" s="322" t="str">
        <f>'PLAN DE PRODUCCCION'!B28</f>
        <v>producto 2</v>
      </c>
      <c r="K33" s="656">
        <f>'PLAN DE PRODUCCCION'!K28</f>
        <v>289.44</v>
      </c>
      <c r="L33" s="656">
        <f>'PLAN DE PRODUCCCION'!L28</f>
        <v>424.51200000000006</v>
      </c>
      <c r="M33" s="656">
        <f>'PLAN DE PRODUCCCION'!M28</f>
        <v>488.18880000000001</v>
      </c>
      <c r="N33" s="656">
        <f>'PLAN DE PRODUCCCION'!N28</f>
        <v>610.23599999999999</v>
      </c>
      <c r="O33" s="663">
        <f>'PLAN DE PRODUCCCION'!O28</f>
        <v>671.25960000000009</v>
      </c>
    </row>
    <row r="34" spans="2:15" ht="15.75">
      <c r="B34" s="673" t="s">
        <v>457</v>
      </c>
      <c r="C34" s="658">
        <f t="shared" ref="C34:C41" si="22">($B$22*$G$28)/$K$32</f>
        <v>92579.337036484227</v>
      </c>
      <c r="D34" s="656">
        <f t="shared" si="21"/>
        <v>70626.000063431449</v>
      </c>
      <c r="E34" s="657">
        <f t="shared" si="18"/>
        <v>61324.519318765117</v>
      </c>
      <c r="F34" s="656">
        <f t="shared" si="19"/>
        <v>50938.598724270414</v>
      </c>
      <c r="G34" s="663">
        <f t="shared" si="20"/>
        <v>48081.406417522601</v>
      </c>
      <c r="H34" s="639"/>
      <c r="I34" s="639"/>
      <c r="J34" s="322" t="str">
        <f>'PLAN DE PRODUCCCION'!B29</f>
        <v>producto 3</v>
      </c>
      <c r="K34" s="656">
        <f>'PLAN DE PRODUCCCION'!K29</f>
        <v>0</v>
      </c>
      <c r="L34" s="656">
        <f>'PLAN DE PRODUCCCION'!L29</f>
        <v>0</v>
      </c>
      <c r="M34" s="656">
        <f>'PLAN DE PRODUCCCION'!M29</f>
        <v>0</v>
      </c>
      <c r="N34" s="656">
        <f>'PLAN DE PRODUCCCION'!N29</f>
        <v>0</v>
      </c>
      <c r="O34" s="663">
        <f>'PLAN DE PRODUCCCION'!O29</f>
        <v>0</v>
      </c>
    </row>
    <row r="35" spans="2:15" ht="15.75">
      <c r="B35" s="673" t="s">
        <v>456</v>
      </c>
      <c r="C35" s="658">
        <f t="shared" si="22"/>
        <v>92579.337036484227</v>
      </c>
      <c r="D35" s="656">
        <f t="shared" si="21"/>
        <v>70626.000063431449</v>
      </c>
      <c r="E35" s="657">
        <f t="shared" si="18"/>
        <v>61324.519318765117</v>
      </c>
      <c r="F35" s="656">
        <f t="shared" si="19"/>
        <v>50938.598724270414</v>
      </c>
      <c r="G35" s="663">
        <f t="shared" si="20"/>
        <v>48081.406417522601</v>
      </c>
      <c r="H35" s="641"/>
      <c r="I35" s="641"/>
      <c r="J35" s="680"/>
      <c r="K35" s="656"/>
      <c r="L35" s="656"/>
      <c r="M35" s="656"/>
      <c r="N35" s="656"/>
      <c r="O35" s="663"/>
    </row>
    <row r="36" spans="2:15" ht="15.75">
      <c r="B36" s="673" t="s">
        <v>455</v>
      </c>
      <c r="C36" s="658">
        <f t="shared" si="22"/>
        <v>92579.337036484227</v>
      </c>
      <c r="D36" s="656">
        <f t="shared" si="21"/>
        <v>70626.000063431449</v>
      </c>
      <c r="E36" s="657">
        <f t="shared" si="18"/>
        <v>61324.519318765117</v>
      </c>
      <c r="F36" s="656">
        <f t="shared" si="19"/>
        <v>50938.598724270414</v>
      </c>
      <c r="G36" s="663">
        <f t="shared" si="20"/>
        <v>48081.406417522601</v>
      </c>
      <c r="H36" s="557"/>
      <c r="I36" s="557"/>
      <c r="J36" s="680"/>
      <c r="K36" s="656"/>
      <c r="L36" s="656"/>
      <c r="M36" s="656"/>
      <c r="N36" s="656"/>
      <c r="O36" s="663"/>
    </row>
    <row r="37" spans="2:15" ht="15.75">
      <c r="B37" s="673" t="s">
        <v>454</v>
      </c>
      <c r="C37" s="658">
        <f t="shared" si="22"/>
        <v>92579.337036484227</v>
      </c>
      <c r="D37" s="656">
        <f t="shared" si="21"/>
        <v>70626.000063431449</v>
      </c>
      <c r="E37" s="657">
        <f t="shared" si="18"/>
        <v>61324.519318765117</v>
      </c>
      <c r="F37" s="656">
        <f t="shared" si="19"/>
        <v>50938.598724270414</v>
      </c>
      <c r="G37" s="663">
        <f t="shared" si="20"/>
        <v>48081.406417522601</v>
      </c>
      <c r="H37" s="557"/>
      <c r="I37" s="557"/>
      <c r="J37" s="680"/>
      <c r="K37" s="670">
        <f>'PLAN DE PRODUCCCION'!K32</f>
        <v>578.88</v>
      </c>
      <c r="L37" s="670">
        <f>'PLAN DE PRODUCCCION'!L32</f>
        <v>849.02400000000011</v>
      </c>
      <c r="M37" s="670">
        <f>'PLAN DE PRODUCCCION'!M32</f>
        <v>976.37760000000003</v>
      </c>
      <c r="N37" s="670">
        <f>'PLAN DE PRODUCCCION'!N32</f>
        <v>1220.472</v>
      </c>
      <c r="O37" s="672">
        <f>'PLAN DE PRODUCCCION'!O32</f>
        <v>1342.5192000000002</v>
      </c>
    </row>
    <row r="38" spans="2:15" ht="15.75">
      <c r="B38" s="673" t="s">
        <v>453</v>
      </c>
      <c r="C38" s="658">
        <f t="shared" si="22"/>
        <v>92579.337036484227</v>
      </c>
      <c r="D38" s="656">
        <f t="shared" si="21"/>
        <v>70626.000063431449</v>
      </c>
      <c r="E38" s="657">
        <f t="shared" si="18"/>
        <v>61324.519318765117</v>
      </c>
      <c r="F38" s="656">
        <f t="shared" si="19"/>
        <v>50938.598724270414</v>
      </c>
      <c r="G38" s="663">
        <f t="shared" si="20"/>
        <v>48081.406417522601</v>
      </c>
      <c r="J38" s="680"/>
      <c r="K38" s="676"/>
      <c r="L38" s="676"/>
      <c r="M38" s="676"/>
      <c r="N38" s="676"/>
      <c r="O38" s="681"/>
    </row>
    <row r="39" spans="2:15" ht="15.75">
      <c r="B39" s="673" t="s">
        <v>452</v>
      </c>
      <c r="C39" s="658">
        <f t="shared" si="22"/>
        <v>92579.337036484227</v>
      </c>
      <c r="D39" s="656">
        <f t="shared" si="21"/>
        <v>70626.000063431449</v>
      </c>
      <c r="E39" s="657">
        <f t="shared" si="18"/>
        <v>61324.519318765117</v>
      </c>
      <c r="F39" s="656">
        <f t="shared" si="19"/>
        <v>50938.598724270414</v>
      </c>
      <c r="G39" s="663">
        <f t="shared" si="20"/>
        <v>48081.406417522601</v>
      </c>
      <c r="J39" s="680"/>
      <c r="K39" s="676"/>
      <c r="L39" s="676"/>
      <c r="M39" s="676"/>
      <c r="N39" s="676"/>
      <c r="O39" s="681"/>
    </row>
    <row r="40" spans="2:15" ht="15.75">
      <c r="B40" s="673" t="s">
        <v>451</v>
      </c>
      <c r="C40" s="658">
        <f t="shared" si="22"/>
        <v>92579.337036484227</v>
      </c>
      <c r="D40" s="656">
        <f t="shared" si="21"/>
        <v>70626.000063431449</v>
      </c>
      <c r="E40" s="657">
        <f t="shared" si="18"/>
        <v>61324.519318765117</v>
      </c>
      <c r="F40" s="656">
        <f t="shared" si="19"/>
        <v>50938.598724270414</v>
      </c>
      <c r="G40" s="663">
        <f t="shared" si="20"/>
        <v>48081.406417522601</v>
      </c>
      <c r="J40" s="682"/>
      <c r="K40" s="676"/>
      <c r="L40" s="676"/>
      <c r="M40" s="676"/>
      <c r="N40" s="676"/>
      <c r="O40" s="681"/>
    </row>
    <row r="41" spans="2:15" ht="16.5" thickBot="1">
      <c r="B41" s="674" t="s">
        <v>450</v>
      </c>
      <c r="C41" s="664">
        <f t="shared" si="22"/>
        <v>92579.337036484227</v>
      </c>
      <c r="D41" s="665">
        <f t="shared" si="21"/>
        <v>70626.000063431449</v>
      </c>
      <c r="E41" s="666">
        <f t="shared" si="18"/>
        <v>61324.519318765117</v>
      </c>
      <c r="F41" s="665">
        <f t="shared" si="19"/>
        <v>50938.598724270414</v>
      </c>
      <c r="G41" s="667">
        <f t="shared" si="20"/>
        <v>48081.406417522601</v>
      </c>
      <c r="J41" s="683"/>
      <c r="K41" s="684"/>
      <c r="L41" s="684"/>
      <c r="M41" s="684"/>
      <c r="N41" s="684"/>
      <c r="O41" s="685"/>
    </row>
    <row r="42" spans="2:15" ht="15.75">
      <c r="B42" s="280"/>
      <c r="C42" s="557"/>
      <c r="D42" s="557"/>
      <c r="E42" s="557"/>
      <c r="F42" s="557"/>
      <c r="G42" s="557"/>
      <c r="J42" s="557"/>
    </row>
    <row r="43" spans="2:15" ht="15.75" thickBot="1">
      <c r="C43" s="643"/>
      <c r="D43" s="643"/>
      <c r="E43" s="643"/>
      <c r="F43" s="643"/>
      <c r="G43" s="643"/>
      <c r="J43" s="223"/>
    </row>
    <row r="44" spans="2:15" ht="16.5" thickBot="1">
      <c r="B44" s="659" t="str">
        <f>'PLAN DE PRODUCCCION'!B5</f>
        <v>producto 2</v>
      </c>
      <c r="C44" s="660"/>
      <c r="D44" s="661" t="s">
        <v>587</v>
      </c>
      <c r="E44" s="660"/>
      <c r="F44" s="662"/>
      <c r="G44" s="668">
        <f>'PLAN DE PRODUCCCION'!E13</f>
        <v>0.5</v>
      </c>
    </row>
    <row r="45" spans="2:15" ht="15.75">
      <c r="B45" s="522"/>
      <c r="C45" s="669" t="s">
        <v>372</v>
      </c>
      <c r="D45" s="670" t="s">
        <v>371</v>
      </c>
      <c r="E45" s="671" t="s">
        <v>370</v>
      </c>
      <c r="F45" s="670" t="s">
        <v>369</v>
      </c>
      <c r="G45" s="672" t="s">
        <v>368</v>
      </c>
      <c r="J45" s="677"/>
      <c r="K45" s="688" t="s">
        <v>592</v>
      </c>
      <c r="L45" s="686"/>
      <c r="M45" s="686"/>
      <c r="N45" s="686"/>
      <c r="O45" s="687"/>
    </row>
    <row r="46" spans="2:15" ht="15.75">
      <c r="B46" s="673" t="s">
        <v>461</v>
      </c>
      <c r="C46" s="656">
        <v>0</v>
      </c>
      <c r="D46" s="656">
        <f t="shared" ref="D46:D57" si="23">($C$22*$G$44)/$L$33</f>
        <v>70626.000063431449</v>
      </c>
      <c r="E46" s="657">
        <f t="shared" ref="E46:E57" si="24">($D$22*$G$44)/$M$33</f>
        <v>61324.519318765117</v>
      </c>
      <c r="F46" s="656">
        <f t="shared" ref="F46:F57" si="25">($E$22*$G$44)/$N$33</f>
        <v>50938.598724270414</v>
      </c>
      <c r="G46" s="663">
        <f t="shared" ref="G46:G57" si="26">($F$22*$G$44)/$O$33</f>
        <v>48081.406417522601</v>
      </c>
      <c r="H46" s="557"/>
      <c r="I46" s="557"/>
      <c r="J46" s="678"/>
      <c r="K46" s="656"/>
      <c r="L46" s="656"/>
      <c r="M46" s="656"/>
      <c r="N46" s="656"/>
      <c r="O46" s="663"/>
    </row>
    <row r="47" spans="2:15" ht="15.75">
      <c r="B47" s="673" t="s">
        <v>460</v>
      </c>
      <c r="C47" s="656">
        <v>0</v>
      </c>
      <c r="D47" s="656">
        <f t="shared" si="23"/>
        <v>70626.000063431449</v>
      </c>
      <c r="E47" s="657">
        <f t="shared" si="24"/>
        <v>61324.519318765117</v>
      </c>
      <c r="F47" s="656">
        <f t="shared" si="25"/>
        <v>50938.598724270414</v>
      </c>
      <c r="G47" s="663">
        <f t="shared" si="26"/>
        <v>48081.406417522601</v>
      </c>
      <c r="J47" s="678"/>
      <c r="K47" s="656"/>
      <c r="L47" s="656"/>
      <c r="M47" s="656"/>
      <c r="N47" s="656"/>
      <c r="O47" s="663"/>
    </row>
    <row r="48" spans="2:15" ht="15.75">
      <c r="B48" s="673" t="s">
        <v>459</v>
      </c>
      <c r="C48" s="656">
        <v>0</v>
      </c>
      <c r="D48" s="656">
        <f t="shared" si="23"/>
        <v>70626.000063431449</v>
      </c>
      <c r="E48" s="657">
        <f t="shared" si="24"/>
        <v>61324.519318765117</v>
      </c>
      <c r="F48" s="656">
        <f t="shared" si="25"/>
        <v>50938.598724270414</v>
      </c>
      <c r="G48" s="663">
        <f t="shared" si="26"/>
        <v>48081.406417522601</v>
      </c>
      <c r="J48" s="678"/>
      <c r="K48" s="675" t="str">
        <f>K31</f>
        <v>Año 1</v>
      </c>
      <c r="L48" s="675" t="str">
        <f t="shared" ref="L48:O48" si="27">L31</f>
        <v>Año 2</v>
      </c>
      <c r="M48" s="675" t="str">
        <f t="shared" si="27"/>
        <v>Año 3</v>
      </c>
      <c r="N48" s="675" t="str">
        <f t="shared" si="27"/>
        <v>Año 4</v>
      </c>
      <c r="O48" s="679" t="str">
        <f t="shared" si="27"/>
        <v>Año 5</v>
      </c>
    </row>
    <row r="49" spans="2:15" ht="15.75">
      <c r="B49" s="673" t="s">
        <v>458</v>
      </c>
      <c r="C49" s="658">
        <f t="shared" ref="C49:C57" si="28">(($B$22*$G$44)/$K$33)</f>
        <v>92579.337036484227</v>
      </c>
      <c r="D49" s="656">
        <f t="shared" si="23"/>
        <v>70626.000063431449</v>
      </c>
      <c r="E49" s="657">
        <f t="shared" si="24"/>
        <v>61324.519318765117</v>
      </c>
      <c r="F49" s="656">
        <f t="shared" si="25"/>
        <v>50938.598724270414</v>
      </c>
      <c r="G49" s="663">
        <f t="shared" si="26"/>
        <v>48081.406417522601</v>
      </c>
      <c r="J49" s="322" t="str">
        <f>J32</f>
        <v>producto 1</v>
      </c>
      <c r="K49" s="656">
        <f>C33</f>
        <v>92579.337036484227</v>
      </c>
      <c r="L49" s="656">
        <f>D30</f>
        <v>70626.000063431449</v>
      </c>
      <c r="M49" s="656">
        <f>E30</f>
        <v>61324.519318765117</v>
      </c>
      <c r="N49" s="656">
        <f t="shared" ref="N49:O49" si="29">F30</f>
        <v>50938.598724270414</v>
      </c>
      <c r="O49" s="663">
        <f t="shared" si="29"/>
        <v>48081.406417522601</v>
      </c>
    </row>
    <row r="50" spans="2:15" ht="15.75">
      <c r="B50" s="673" t="s">
        <v>457</v>
      </c>
      <c r="C50" s="658">
        <f t="shared" si="28"/>
        <v>92579.337036484227</v>
      </c>
      <c r="D50" s="656">
        <f t="shared" si="23"/>
        <v>70626.000063431449</v>
      </c>
      <c r="E50" s="657">
        <f t="shared" si="24"/>
        <v>61324.519318765117</v>
      </c>
      <c r="F50" s="656">
        <f t="shared" si="25"/>
        <v>50938.598724270414</v>
      </c>
      <c r="G50" s="663">
        <f t="shared" si="26"/>
        <v>48081.406417522601</v>
      </c>
      <c r="J50" s="322" t="str">
        <f t="shared" ref="J50:J51" si="30">J33</f>
        <v>producto 2</v>
      </c>
      <c r="K50" s="656">
        <f>C49</f>
        <v>92579.337036484227</v>
      </c>
      <c r="L50" s="656">
        <f>D46</f>
        <v>70626.000063431449</v>
      </c>
      <c r="M50" s="656">
        <f t="shared" ref="M50:O50" si="31">E46</f>
        <v>61324.519318765117</v>
      </c>
      <c r="N50" s="656">
        <f t="shared" si="31"/>
        <v>50938.598724270414</v>
      </c>
      <c r="O50" s="663">
        <f t="shared" si="31"/>
        <v>48081.406417522601</v>
      </c>
    </row>
    <row r="51" spans="2:15" ht="15.75">
      <c r="B51" s="673" t="s">
        <v>456</v>
      </c>
      <c r="C51" s="658">
        <f t="shared" si="28"/>
        <v>92579.337036484227</v>
      </c>
      <c r="D51" s="656">
        <f t="shared" si="23"/>
        <v>70626.000063431449</v>
      </c>
      <c r="E51" s="657">
        <f t="shared" si="24"/>
        <v>61324.519318765117</v>
      </c>
      <c r="F51" s="656">
        <f t="shared" si="25"/>
        <v>50938.598724270414</v>
      </c>
      <c r="G51" s="663">
        <f t="shared" si="26"/>
        <v>48081.406417522601</v>
      </c>
      <c r="J51" s="322" t="str">
        <f t="shared" si="30"/>
        <v>producto 3</v>
      </c>
      <c r="K51" s="656">
        <v>0</v>
      </c>
      <c r="L51" s="656">
        <v>0</v>
      </c>
      <c r="M51" s="656">
        <v>0</v>
      </c>
      <c r="N51" s="656">
        <v>0</v>
      </c>
      <c r="O51" s="656">
        <v>0</v>
      </c>
    </row>
    <row r="52" spans="2:15" ht="15.75">
      <c r="B52" s="673" t="s">
        <v>455</v>
      </c>
      <c r="C52" s="658">
        <f t="shared" si="28"/>
        <v>92579.337036484227</v>
      </c>
      <c r="D52" s="656">
        <f t="shared" si="23"/>
        <v>70626.000063431449</v>
      </c>
      <c r="E52" s="657">
        <f t="shared" si="24"/>
        <v>61324.519318765117</v>
      </c>
      <c r="F52" s="656">
        <f t="shared" si="25"/>
        <v>50938.598724270414</v>
      </c>
      <c r="G52" s="663">
        <f t="shared" si="26"/>
        <v>48081.406417522601</v>
      </c>
      <c r="J52" s="680"/>
      <c r="K52" s="656"/>
      <c r="L52" s="656"/>
      <c r="M52" s="656"/>
      <c r="N52" s="656"/>
      <c r="O52" s="663"/>
    </row>
    <row r="53" spans="2:15" ht="16.5" thickBot="1">
      <c r="B53" s="673" t="s">
        <v>454</v>
      </c>
      <c r="C53" s="658">
        <f t="shared" si="28"/>
        <v>92579.337036484227</v>
      </c>
      <c r="D53" s="656">
        <f t="shared" si="23"/>
        <v>70626.000063431449</v>
      </c>
      <c r="E53" s="657">
        <f t="shared" si="24"/>
        <v>61324.519318765117</v>
      </c>
      <c r="F53" s="656">
        <f t="shared" si="25"/>
        <v>50938.598724270414</v>
      </c>
      <c r="G53" s="663">
        <f t="shared" si="26"/>
        <v>48081.406417522601</v>
      </c>
      <c r="H53" s="557"/>
      <c r="I53" s="557"/>
      <c r="J53" s="692"/>
      <c r="K53" s="665"/>
      <c r="L53" s="665"/>
      <c r="M53" s="665"/>
      <c r="N53" s="665"/>
      <c r="O53" s="667"/>
    </row>
    <row r="54" spans="2:15" ht="15.75">
      <c r="B54" s="673" t="s">
        <v>453</v>
      </c>
      <c r="C54" s="658">
        <f t="shared" si="28"/>
        <v>92579.337036484227</v>
      </c>
      <c r="D54" s="656">
        <f t="shared" si="23"/>
        <v>70626.000063431449</v>
      </c>
      <c r="E54" s="657">
        <f t="shared" si="24"/>
        <v>61324.519318765117</v>
      </c>
      <c r="F54" s="656">
        <f t="shared" si="25"/>
        <v>50938.598724270414</v>
      </c>
      <c r="G54" s="663">
        <f t="shared" si="26"/>
        <v>48081.406417522601</v>
      </c>
      <c r="K54" s="691"/>
      <c r="L54" s="691"/>
      <c r="M54" s="691"/>
      <c r="N54" s="691"/>
      <c r="O54" s="691"/>
    </row>
    <row r="55" spans="2:15" ht="16.5" thickBot="1">
      <c r="B55" s="673" t="s">
        <v>452</v>
      </c>
      <c r="C55" s="658">
        <f t="shared" si="28"/>
        <v>92579.337036484227</v>
      </c>
      <c r="D55" s="656">
        <f t="shared" si="23"/>
        <v>70626.000063431449</v>
      </c>
      <c r="E55" s="657">
        <f t="shared" si="24"/>
        <v>61324.519318765117</v>
      </c>
      <c r="F55" s="656">
        <f t="shared" si="25"/>
        <v>50938.598724270414</v>
      </c>
      <c r="G55" s="663">
        <f t="shared" si="26"/>
        <v>48081.406417522601</v>
      </c>
    </row>
    <row r="56" spans="2:15" ht="15.75">
      <c r="B56" s="673" t="s">
        <v>451</v>
      </c>
      <c r="C56" s="658">
        <f t="shared" si="28"/>
        <v>92579.337036484227</v>
      </c>
      <c r="D56" s="656">
        <f t="shared" si="23"/>
        <v>70626.000063431449</v>
      </c>
      <c r="E56" s="657">
        <f t="shared" si="24"/>
        <v>61324.519318765117</v>
      </c>
      <c r="F56" s="656">
        <f t="shared" si="25"/>
        <v>50938.598724270414</v>
      </c>
      <c r="G56" s="663">
        <f t="shared" si="26"/>
        <v>48081.406417522601</v>
      </c>
      <c r="J56" s="677"/>
      <c r="K56" s="688" t="s">
        <v>591</v>
      </c>
      <c r="L56" s="686"/>
      <c r="M56" s="686"/>
      <c r="N56" s="686"/>
      <c r="O56" s="687"/>
    </row>
    <row r="57" spans="2:15" ht="16.5" thickBot="1">
      <c r="B57" s="674" t="s">
        <v>450</v>
      </c>
      <c r="C57" s="658">
        <f t="shared" si="28"/>
        <v>92579.337036484227</v>
      </c>
      <c r="D57" s="656">
        <f t="shared" si="23"/>
        <v>70626.000063431449</v>
      </c>
      <c r="E57" s="657">
        <f t="shared" si="24"/>
        <v>61324.519318765117</v>
      </c>
      <c r="F57" s="656">
        <f t="shared" si="25"/>
        <v>50938.598724270414</v>
      </c>
      <c r="G57" s="663">
        <f t="shared" si="26"/>
        <v>48081.406417522601</v>
      </c>
      <c r="J57" s="678"/>
      <c r="K57" s="656"/>
      <c r="L57" s="656"/>
      <c r="M57" s="656"/>
      <c r="N57" s="656"/>
      <c r="O57" s="663"/>
    </row>
    <row r="58" spans="2:15">
      <c r="C58" s="643"/>
      <c r="D58" s="643"/>
      <c r="E58" s="643"/>
      <c r="F58" s="643"/>
      <c r="G58" s="643"/>
      <c r="J58" s="678"/>
      <c r="K58" s="656"/>
      <c r="L58" s="656"/>
      <c r="M58" s="656"/>
      <c r="N58" s="656"/>
      <c r="O58" s="663"/>
    </row>
    <row r="59" spans="2:15" ht="15.75" thickBot="1">
      <c r="B59" s="644"/>
      <c r="C59" s="301"/>
      <c r="D59" s="557"/>
      <c r="E59" s="557"/>
      <c r="F59" s="557"/>
      <c r="G59" s="557"/>
      <c r="J59" s="678"/>
      <c r="K59" s="675" t="str">
        <f>K48</f>
        <v>Año 1</v>
      </c>
      <c r="L59" s="675" t="str">
        <f t="shared" ref="L59:O59" si="32">L48</f>
        <v>Año 2</v>
      </c>
      <c r="M59" s="675" t="str">
        <f t="shared" si="32"/>
        <v>Año 3</v>
      </c>
      <c r="N59" s="675" t="str">
        <f t="shared" si="32"/>
        <v>Año 4</v>
      </c>
      <c r="O59" s="675" t="str">
        <f t="shared" si="32"/>
        <v>Año 5</v>
      </c>
    </row>
    <row r="60" spans="2:15" ht="15.75">
      <c r="B60" s="659" t="str">
        <f>'PLAN DE PRODUCCCION'!B6</f>
        <v>producto 3</v>
      </c>
      <c r="C60" s="660"/>
      <c r="D60" s="661" t="s">
        <v>587</v>
      </c>
      <c r="E60" s="660"/>
      <c r="F60" s="662"/>
      <c r="G60" s="668">
        <f>'PLAN DE PRODUCCCION'!E14</f>
        <v>0</v>
      </c>
      <c r="J60" s="322" t="str">
        <f>J49</f>
        <v>producto 1</v>
      </c>
      <c r="K60" s="656">
        <f>K49*K32</f>
        <v>26796163.311839994</v>
      </c>
      <c r="L60" s="656">
        <f t="shared" ref="L60:O60" si="33">L49*L32</f>
        <v>29981584.538927417</v>
      </c>
      <c r="M60" s="656">
        <f t="shared" si="33"/>
        <v>29937943.496804759</v>
      </c>
      <c r="N60" s="656">
        <f t="shared" si="33"/>
        <v>31084566.731103878</v>
      </c>
      <c r="O60" s="656">
        <f t="shared" si="33"/>
        <v>32275105.63926366</v>
      </c>
    </row>
    <row r="61" spans="2:15" ht="15.75">
      <c r="B61" s="522"/>
      <c r="C61" s="669" t="s">
        <v>372</v>
      </c>
      <c r="D61" s="670" t="s">
        <v>371</v>
      </c>
      <c r="E61" s="671" t="s">
        <v>370</v>
      </c>
      <c r="F61" s="670" t="s">
        <v>369</v>
      </c>
      <c r="G61" s="672" t="s">
        <v>368</v>
      </c>
      <c r="J61" s="322" t="str">
        <f t="shared" ref="J61:J62" si="34">J50</f>
        <v>producto 2</v>
      </c>
      <c r="K61" s="656">
        <f t="shared" ref="K61:O61" si="35">K50*K33</f>
        <v>26796163.311839994</v>
      </c>
      <c r="L61" s="656">
        <f t="shared" si="35"/>
        <v>29981584.538927417</v>
      </c>
      <c r="M61" s="656">
        <f t="shared" si="35"/>
        <v>29937943.496804759</v>
      </c>
      <c r="N61" s="656">
        <f t="shared" si="35"/>
        <v>31084566.731103878</v>
      </c>
      <c r="O61" s="656">
        <f t="shared" si="35"/>
        <v>32275105.63926366</v>
      </c>
    </row>
    <row r="62" spans="2:15" ht="15.75">
      <c r="B62" s="673" t="s">
        <v>461</v>
      </c>
      <c r="C62" s="656">
        <v>0</v>
      </c>
      <c r="D62" s="656">
        <v>0</v>
      </c>
      <c r="E62" s="657">
        <v>0</v>
      </c>
      <c r="F62" s="656">
        <v>0</v>
      </c>
      <c r="G62" s="663">
        <v>0</v>
      </c>
      <c r="J62" s="322" t="str">
        <f t="shared" si="34"/>
        <v>producto 3</v>
      </c>
      <c r="K62" s="656">
        <f t="shared" ref="K62:O62" si="36">K51*K34</f>
        <v>0</v>
      </c>
      <c r="L62" s="656">
        <f t="shared" si="36"/>
        <v>0</v>
      </c>
      <c r="M62" s="656">
        <f t="shared" si="36"/>
        <v>0</v>
      </c>
      <c r="N62" s="656">
        <f t="shared" si="36"/>
        <v>0</v>
      </c>
      <c r="O62" s="656">
        <f t="shared" si="36"/>
        <v>0</v>
      </c>
    </row>
    <row r="63" spans="2:15" ht="15.75">
      <c r="B63" s="673" t="s">
        <v>460</v>
      </c>
      <c r="C63" s="656">
        <v>0</v>
      </c>
      <c r="D63" s="656">
        <v>0</v>
      </c>
      <c r="E63" s="657">
        <v>0</v>
      </c>
      <c r="F63" s="656">
        <v>0</v>
      </c>
      <c r="G63" s="663">
        <v>0</v>
      </c>
      <c r="J63" s="680"/>
      <c r="K63" s="656"/>
      <c r="L63" s="656"/>
      <c r="M63" s="656"/>
      <c r="N63" s="656"/>
      <c r="O63" s="663"/>
    </row>
    <row r="64" spans="2:15" ht="16.5" thickBot="1">
      <c r="B64" s="673" t="s">
        <v>459</v>
      </c>
      <c r="C64" s="656">
        <v>0</v>
      </c>
      <c r="D64" s="656">
        <v>0</v>
      </c>
      <c r="E64" s="657">
        <v>0</v>
      </c>
      <c r="F64" s="656">
        <v>0</v>
      </c>
      <c r="G64" s="663">
        <v>0</v>
      </c>
      <c r="J64" s="693" t="s">
        <v>344</v>
      </c>
      <c r="K64" s="665">
        <f>SUM(K60:K63)</f>
        <v>53592326.623679988</v>
      </c>
      <c r="L64" s="665">
        <f>SUM(L60:L63)</f>
        <v>59963169.077854834</v>
      </c>
      <c r="M64" s="665">
        <f>SUM(M60:M63)</f>
        <v>59875886.993609518</v>
      </c>
      <c r="N64" s="665">
        <f>SUM(N60:N63)</f>
        <v>62169133.462207757</v>
      </c>
      <c r="O64" s="667">
        <f>SUM(O60:O63)</f>
        <v>64550211.278527319</v>
      </c>
    </row>
    <row r="65" spans="2:15" ht="15.75">
      <c r="B65" s="673" t="s">
        <v>458</v>
      </c>
      <c r="C65" s="656">
        <v>0</v>
      </c>
      <c r="D65" s="656">
        <v>0</v>
      </c>
      <c r="E65" s="657">
        <v>0</v>
      </c>
      <c r="F65" s="656">
        <v>0</v>
      </c>
      <c r="G65" s="663">
        <v>0</v>
      </c>
    </row>
    <row r="66" spans="2:15" ht="15.75">
      <c r="B66" s="673" t="s">
        <v>457</v>
      </c>
      <c r="C66" s="656">
        <v>0</v>
      </c>
      <c r="D66" s="656">
        <v>0</v>
      </c>
      <c r="E66" s="657">
        <v>0</v>
      </c>
      <c r="F66" s="656">
        <v>0</v>
      </c>
      <c r="G66" s="663">
        <v>0</v>
      </c>
      <c r="K66" s="694"/>
      <c r="L66" s="694"/>
      <c r="M66" s="694"/>
      <c r="N66" s="694"/>
      <c r="O66" s="694"/>
    </row>
    <row r="67" spans="2:15" ht="15.75">
      <c r="B67" s="673" t="s">
        <v>456</v>
      </c>
      <c r="C67" s="656">
        <v>0</v>
      </c>
      <c r="D67" s="656">
        <v>0</v>
      </c>
      <c r="E67" s="657">
        <v>0</v>
      </c>
      <c r="F67" s="656">
        <v>0</v>
      </c>
      <c r="G67" s="663">
        <v>0</v>
      </c>
    </row>
    <row r="68" spans="2:15" ht="15.75">
      <c r="B68" s="673" t="s">
        <v>455</v>
      </c>
      <c r="C68" s="656">
        <v>0</v>
      </c>
      <c r="D68" s="656">
        <v>0</v>
      </c>
      <c r="E68" s="657">
        <v>0</v>
      </c>
      <c r="F68" s="656">
        <v>0</v>
      </c>
      <c r="G68" s="663">
        <v>0</v>
      </c>
      <c r="K68" s="694"/>
      <c r="L68" s="694"/>
      <c r="M68" s="694"/>
      <c r="N68" s="694"/>
      <c r="O68" s="694"/>
    </row>
    <row r="69" spans="2:15" ht="15.75">
      <c r="B69" s="673" t="s">
        <v>454</v>
      </c>
      <c r="C69" s="656">
        <v>0</v>
      </c>
      <c r="D69" s="656">
        <v>0</v>
      </c>
      <c r="E69" s="657">
        <v>0</v>
      </c>
      <c r="F69" s="656">
        <v>0</v>
      </c>
      <c r="G69" s="663">
        <v>0</v>
      </c>
      <c r="K69" s="694"/>
      <c r="L69" s="694"/>
      <c r="M69" s="694"/>
      <c r="N69" s="694"/>
      <c r="O69" s="694"/>
    </row>
    <row r="70" spans="2:15" ht="15.75">
      <c r="B70" s="673" t="s">
        <v>453</v>
      </c>
      <c r="C70" s="656">
        <v>0</v>
      </c>
      <c r="D70" s="656">
        <v>0</v>
      </c>
      <c r="E70" s="657">
        <v>0</v>
      </c>
      <c r="F70" s="656">
        <v>0</v>
      </c>
      <c r="G70" s="663">
        <v>0</v>
      </c>
      <c r="K70" s="694"/>
      <c r="L70" s="694"/>
      <c r="M70" s="694"/>
      <c r="N70" s="694"/>
      <c r="O70" s="694"/>
    </row>
    <row r="71" spans="2:15" ht="15.75">
      <c r="B71" s="673" t="s">
        <v>452</v>
      </c>
      <c r="C71" s="656">
        <v>0</v>
      </c>
      <c r="D71" s="656">
        <v>0</v>
      </c>
      <c r="E71" s="657">
        <v>0</v>
      </c>
      <c r="F71" s="656">
        <v>0</v>
      </c>
      <c r="G71" s="663">
        <v>0</v>
      </c>
      <c r="K71" s="694"/>
      <c r="L71" s="694"/>
      <c r="M71" s="694"/>
      <c r="N71" s="694"/>
      <c r="O71" s="694"/>
    </row>
    <row r="72" spans="2:15" ht="15.75">
      <c r="B72" s="673" t="s">
        <v>451</v>
      </c>
      <c r="C72" s="656">
        <v>0</v>
      </c>
      <c r="D72" s="656">
        <v>0</v>
      </c>
      <c r="E72" s="657">
        <v>0</v>
      </c>
      <c r="F72" s="656">
        <v>0</v>
      </c>
      <c r="G72" s="663">
        <v>0</v>
      </c>
      <c r="K72" s="694"/>
      <c r="L72" s="694"/>
      <c r="M72" s="694"/>
      <c r="N72" s="694"/>
      <c r="O72" s="694"/>
    </row>
    <row r="73" spans="2:15" ht="16.5" thickBot="1">
      <c r="B73" s="674" t="s">
        <v>450</v>
      </c>
      <c r="C73" s="656">
        <v>0</v>
      </c>
      <c r="D73" s="656">
        <v>0</v>
      </c>
      <c r="E73" s="657">
        <v>0</v>
      </c>
      <c r="F73" s="656">
        <v>0</v>
      </c>
      <c r="G73" s="663">
        <v>0</v>
      </c>
    </row>
    <row r="74" spans="2:15">
      <c r="B74" s="642"/>
      <c r="C74" s="646"/>
      <c r="D74" s="646"/>
      <c r="E74" s="646"/>
      <c r="F74" s="647"/>
      <c r="G74" s="646"/>
      <c r="H74" s="646"/>
      <c r="I74" s="646"/>
      <c r="J74" s="646"/>
    </row>
    <row r="75" spans="2:15">
      <c r="B75" s="421"/>
      <c r="C75" s="563"/>
      <c r="D75" s="645"/>
      <c r="E75" s="645"/>
      <c r="F75" s="645"/>
      <c r="G75" s="645"/>
      <c r="H75" s="645"/>
      <c r="I75" s="645"/>
      <c r="J75" s="645"/>
      <c r="K75" s="695"/>
      <c r="L75" s="695"/>
      <c r="M75" s="695"/>
      <c r="N75" s="695"/>
      <c r="O75" s="695"/>
    </row>
    <row r="76" spans="2:15">
      <c r="B76" s="421"/>
      <c r="C76" s="563"/>
      <c r="D76" s="645"/>
      <c r="E76" s="645"/>
      <c r="F76" s="645"/>
      <c r="G76" s="645"/>
      <c r="H76" s="645"/>
      <c r="I76" s="645"/>
      <c r="J76" s="645"/>
      <c r="K76" s="695"/>
      <c r="L76" s="695"/>
      <c r="M76" s="695"/>
      <c r="N76" s="695"/>
      <c r="O76" s="695"/>
    </row>
    <row r="77" spans="2:15">
      <c r="B77" s="421"/>
      <c r="C77" s="563"/>
      <c r="D77" s="645"/>
      <c r="E77" s="645"/>
      <c r="F77" s="645"/>
      <c r="G77" s="645"/>
      <c r="H77" s="645"/>
      <c r="I77" s="645"/>
      <c r="J77" s="645"/>
      <c r="K77" s="695"/>
      <c r="L77" s="695"/>
      <c r="M77" s="695"/>
      <c r="N77" s="695"/>
      <c r="O77" s="695"/>
    </row>
    <row r="78" spans="2:15">
      <c r="B78" s="421"/>
      <c r="C78" s="563"/>
      <c r="D78" s="645"/>
      <c r="E78" s="645"/>
      <c r="F78" s="645"/>
      <c r="G78" s="645"/>
      <c r="H78" s="645"/>
      <c r="I78" s="645"/>
      <c r="J78" s="645"/>
      <c r="K78" s="695"/>
      <c r="L78" s="695"/>
      <c r="M78" s="695"/>
      <c r="N78" s="695"/>
      <c r="O78" s="695"/>
    </row>
    <row r="79" spans="2:15">
      <c r="B79" s="421"/>
      <c r="C79" s="563"/>
      <c r="D79" s="645"/>
      <c r="E79" s="645"/>
      <c r="F79" s="645"/>
      <c r="G79" s="645"/>
      <c r="H79" s="645"/>
      <c r="I79" s="645"/>
      <c r="J79" s="645"/>
      <c r="K79" s="695"/>
      <c r="L79" s="695"/>
      <c r="M79" s="695"/>
      <c r="N79" s="695"/>
      <c r="O79" s="695"/>
    </row>
    <row r="81" spans="2:14">
      <c r="B81" s="421"/>
    </row>
    <row r="82" spans="2:14">
      <c r="B82" s="648"/>
      <c r="C82" s="649"/>
      <c r="D82" s="649"/>
      <c r="E82" s="649"/>
      <c r="F82" s="649"/>
      <c r="G82" s="649"/>
    </row>
    <row r="83" spans="2:14">
      <c r="B83" s="421"/>
      <c r="C83" s="299"/>
      <c r="D83" s="299"/>
      <c r="E83" s="299"/>
      <c r="F83" s="299"/>
      <c r="G83" s="299"/>
    </row>
    <row r="84" spans="2:14">
      <c r="B84" s="421"/>
      <c r="C84" s="299"/>
      <c r="D84" s="299"/>
      <c r="E84" s="299"/>
      <c r="F84" s="299"/>
      <c r="G84" s="299"/>
    </row>
    <row r="85" spans="2:14">
      <c r="B85" s="421"/>
      <c r="C85" s="299"/>
      <c r="D85" s="299"/>
      <c r="E85" s="299"/>
      <c r="F85" s="299"/>
      <c r="G85" s="299"/>
    </row>
    <row r="86" spans="2:14">
      <c r="B86" s="421"/>
      <c r="C86" s="299"/>
      <c r="D86" s="299"/>
      <c r="E86" s="299"/>
      <c r="F86" s="299"/>
      <c r="G86" s="299"/>
    </row>
    <row r="87" spans="2:14">
      <c r="B87" s="421"/>
      <c r="C87" s="299"/>
      <c r="D87" s="299"/>
      <c r="E87" s="299"/>
      <c r="F87" s="299"/>
      <c r="G87" s="299"/>
    </row>
    <row r="88" spans="2:14">
      <c r="C88" s="299"/>
    </row>
    <row r="94" spans="2:14">
      <c r="B94" s="637"/>
    </row>
    <row r="95" spans="2:14">
      <c r="B95" s="650"/>
      <c r="C95" s="635"/>
      <c r="D95" s="635"/>
      <c r="E95" s="635"/>
      <c r="F95" s="635"/>
      <c r="G95" s="635"/>
      <c r="H95" s="635"/>
      <c r="I95" s="636"/>
      <c r="J95" s="635"/>
      <c r="K95" s="635"/>
      <c r="L95" s="636"/>
      <c r="M95" s="635"/>
    </row>
    <row r="96" spans="2:14">
      <c r="B96" s="651"/>
      <c r="C96" s="563"/>
      <c r="D96" s="554"/>
      <c r="E96" s="645"/>
      <c r="F96" s="554"/>
      <c r="G96" s="554"/>
      <c r="H96" s="554"/>
      <c r="I96" s="557"/>
      <c r="J96" s="302"/>
      <c r="K96" s="652"/>
      <c r="L96" s="653"/>
      <c r="M96" s="223"/>
      <c r="N96" s="302"/>
    </row>
    <row r="97" spans="2:14">
      <c r="B97" s="651"/>
      <c r="C97" s="563"/>
      <c r="D97" s="554"/>
      <c r="E97" s="645"/>
      <c r="F97" s="554"/>
      <c r="G97" s="554"/>
      <c r="H97" s="554"/>
      <c r="I97" s="557"/>
      <c r="J97" s="302"/>
      <c r="K97" s="652"/>
      <c r="L97" s="653"/>
      <c r="M97" s="223"/>
      <c r="N97" s="302"/>
    </row>
    <row r="98" spans="2:14">
      <c r="B98" s="651"/>
      <c r="C98" s="563"/>
      <c r="D98" s="554"/>
      <c r="E98" s="645"/>
      <c r="F98" s="554"/>
      <c r="G98" s="554"/>
      <c r="H98" s="554"/>
      <c r="I98" s="557"/>
      <c r="J98" s="302"/>
      <c r="K98" s="652"/>
      <c r="L98" s="653"/>
      <c r="M98" s="223"/>
      <c r="N98" s="302"/>
    </row>
    <row r="99" spans="2:14">
      <c r="B99" s="651"/>
      <c r="C99" s="563"/>
      <c r="D99" s="554"/>
      <c r="E99" s="645"/>
      <c r="F99" s="554"/>
      <c r="G99" s="554"/>
      <c r="H99" s="554"/>
      <c r="I99" s="557"/>
      <c r="J99" s="302"/>
      <c r="K99" s="652"/>
      <c r="L99" s="653"/>
      <c r="M99" s="223"/>
      <c r="N99" s="302"/>
    </row>
    <row r="100" spans="2:14">
      <c r="B100" s="651"/>
      <c r="C100" s="563"/>
      <c r="D100" s="554"/>
      <c r="E100" s="645"/>
      <c r="F100" s="554"/>
      <c r="G100" s="554"/>
      <c r="H100" s="554"/>
      <c r="I100" s="557"/>
      <c r="J100" s="302"/>
      <c r="K100" s="652"/>
      <c r="L100" s="653"/>
      <c r="M100" s="223"/>
      <c r="N100" s="302"/>
    </row>
    <row r="101" spans="2:14">
      <c r="B101" s="651"/>
      <c r="K101" s="302"/>
      <c r="M101" s="223"/>
      <c r="N101" s="302"/>
    </row>
    <row r="102" spans="2:14">
      <c r="F102" s="654"/>
      <c r="G102" s="654"/>
      <c r="H102" s="654"/>
      <c r="M102" s="223"/>
    </row>
    <row r="103" spans="2:14">
      <c r="J103" s="557"/>
    </row>
    <row r="104" spans="2:14">
      <c r="B104" s="557"/>
      <c r="C104" s="645"/>
      <c r="E104" s="557"/>
      <c r="G104" s="557"/>
      <c r="I104" s="302"/>
      <c r="J104" s="557"/>
      <c r="K104" s="419"/>
    </row>
    <row r="105" spans="2:14">
      <c r="B105" s="637"/>
      <c r="F105" s="638"/>
    </row>
    <row r="106" spans="2:14">
      <c r="B106" s="650"/>
      <c r="C106" s="635"/>
      <c r="D106" s="635"/>
      <c r="E106" s="635"/>
      <c r="F106" s="635"/>
      <c r="G106" s="635"/>
      <c r="H106" s="635"/>
      <c r="I106" s="636"/>
      <c r="J106" s="635"/>
      <c r="K106" s="635"/>
      <c r="L106" s="636"/>
      <c r="M106" s="635"/>
    </row>
    <row r="107" spans="2:14">
      <c r="B107" s="651"/>
      <c r="C107" s="563"/>
      <c r="D107" s="554"/>
      <c r="E107" s="645"/>
      <c r="F107" s="554"/>
      <c r="G107" s="554"/>
      <c r="H107" s="554"/>
      <c r="I107" s="557"/>
      <c r="J107" s="302"/>
      <c r="K107" s="652"/>
      <c r="L107" s="653"/>
      <c r="M107" s="223"/>
    </row>
    <row r="108" spans="2:14">
      <c r="B108" s="651"/>
      <c r="C108" s="563"/>
      <c r="D108" s="554"/>
      <c r="E108" s="645"/>
      <c r="F108" s="554"/>
      <c r="G108" s="554"/>
      <c r="H108" s="554"/>
      <c r="I108" s="557"/>
      <c r="J108" s="302"/>
      <c r="K108" s="652"/>
      <c r="L108" s="653"/>
      <c r="M108" s="223"/>
    </row>
    <row r="109" spans="2:14">
      <c r="B109" s="651"/>
      <c r="C109" s="563"/>
      <c r="D109" s="554"/>
      <c r="E109" s="645"/>
      <c r="F109" s="554"/>
      <c r="G109" s="554"/>
      <c r="H109" s="554"/>
      <c r="I109" s="557"/>
      <c r="J109" s="302"/>
      <c r="K109" s="652"/>
      <c r="L109" s="653"/>
      <c r="M109" s="223"/>
    </row>
    <row r="110" spans="2:14">
      <c r="B110" s="651"/>
      <c r="C110" s="563"/>
      <c r="D110" s="554"/>
      <c r="E110" s="645"/>
      <c r="F110" s="554"/>
      <c r="G110" s="554"/>
      <c r="H110" s="554"/>
      <c r="I110" s="557"/>
      <c r="J110" s="302"/>
      <c r="K110" s="652"/>
      <c r="L110" s="653"/>
      <c r="M110" s="223"/>
    </row>
    <row r="111" spans="2:14">
      <c r="B111" s="651"/>
      <c r="C111" s="563"/>
      <c r="D111" s="554"/>
      <c r="E111" s="645"/>
      <c r="F111" s="554"/>
      <c r="G111" s="554"/>
      <c r="H111" s="554"/>
      <c r="I111" s="557"/>
      <c r="J111" s="302"/>
      <c r="K111" s="652"/>
      <c r="L111" s="653"/>
      <c r="M111" s="223"/>
    </row>
    <row r="112" spans="2:14">
      <c r="B112" s="651"/>
      <c r="K112" s="302"/>
      <c r="L112" s="301"/>
      <c r="M112" s="223"/>
    </row>
    <row r="115" spans="2:13">
      <c r="B115" s="637"/>
      <c r="F115" s="638"/>
    </row>
    <row r="116" spans="2:13">
      <c r="B116" s="650"/>
      <c r="C116" s="635"/>
      <c r="D116" s="635"/>
      <c r="E116" s="635"/>
      <c r="F116" s="635"/>
      <c r="G116" s="635"/>
      <c r="H116" s="635"/>
      <c r="I116" s="636"/>
      <c r="J116" s="635"/>
      <c r="K116" s="635"/>
      <c r="L116" s="636"/>
      <c r="M116" s="635"/>
    </row>
    <row r="117" spans="2:13">
      <c r="B117" s="640"/>
      <c r="C117" s="563"/>
      <c r="D117" s="554"/>
      <c r="E117" s="645"/>
      <c r="F117" s="554"/>
      <c r="G117" s="554"/>
      <c r="H117" s="554"/>
      <c r="I117" s="557"/>
      <c r="J117" s="302"/>
      <c r="K117" s="652"/>
      <c r="L117" s="653"/>
      <c r="M117" s="223"/>
    </row>
    <row r="118" spans="2:13">
      <c r="B118" s="640"/>
      <c r="C118" s="563"/>
      <c r="D118" s="554"/>
      <c r="E118" s="645"/>
      <c r="F118" s="554"/>
      <c r="G118" s="554"/>
      <c r="H118" s="554"/>
      <c r="I118" s="557"/>
      <c r="J118" s="302"/>
      <c r="K118" s="652"/>
      <c r="L118" s="653"/>
      <c r="M118" s="223"/>
    </row>
    <row r="119" spans="2:13">
      <c r="B119" s="640"/>
      <c r="C119" s="563"/>
      <c r="D119" s="554"/>
      <c r="E119" s="645"/>
      <c r="F119" s="554"/>
      <c r="G119" s="554"/>
      <c r="H119" s="554"/>
      <c r="I119" s="557"/>
      <c r="J119" s="302"/>
      <c r="K119" s="652"/>
      <c r="L119" s="653"/>
      <c r="M119" s="223"/>
    </row>
    <row r="120" spans="2:13">
      <c r="B120" s="640"/>
      <c r="C120" s="563"/>
      <c r="D120" s="554"/>
      <c r="E120" s="645"/>
      <c r="F120" s="554"/>
      <c r="G120" s="554"/>
      <c r="H120" s="554"/>
      <c r="I120" s="557"/>
      <c r="J120" s="302"/>
      <c r="K120" s="652"/>
      <c r="L120" s="653"/>
      <c r="M120" s="223"/>
    </row>
    <row r="121" spans="2:13">
      <c r="B121" s="640"/>
      <c r="C121" s="563"/>
      <c r="D121" s="554"/>
      <c r="E121" s="645"/>
      <c r="F121" s="554"/>
      <c r="G121" s="554"/>
      <c r="H121" s="554"/>
      <c r="I121" s="557"/>
      <c r="J121" s="302"/>
      <c r="K121" s="652"/>
      <c r="L121" s="653"/>
      <c r="M121" s="223"/>
    </row>
    <row r="122" spans="2:13">
      <c r="B122" s="651"/>
      <c r="K122" s="302"/>
      <c r="L122" s="301"/>
      <c r="M122" s="223"/>
    </row>
    <row r="125" spans="2:13">
      <c r="B125" s="637"/>
      <c r="F125" s="638"/>
    </row>
    <row r="126" spans="2:13">
      <c r="B126" s="650"/>
      <c r="C126" s="635"/>
      <c r="D126" s="635"/>
      <c r="E126" s="635"/>
      <c r="F126" s="635"/>
      <c r="G126" s="635"/>
      <c r="H126" s="635"/>
      <c r="I126" s="636"/>
      <c r="J126" s="635"/>
      <c r="K126" s="635"/>
      <c r="L126" s="636"/>
      <c r="M126" s="635"/>
    </row>
    <row r="127" spans="2:13">
      <c r="B127" s="640"/>
      <c r="C127" s="563"/>
      <c r="D127" s="554"/>
      <c r="E127" s="645"/>
      <c r="F127" s="554"/>
      <c r="G127" s="554"/>
      <c r="H127" s="554"/>
      <c r="I127" s="557"/>
      <c r="J127" s="302"/>
      <c r="K127" s="652"/>
      <c r="L127" s="653"/>
      <c r="M127" s="223"/>
    </row>
    <row r="128" spans="2:13">
      <c r="B128" s="640"/>
      <c r="C128" s="563"/>
      <c r="D128" s="554"/>
      <c r="E128" s="645"/>
      <c r="F128" s="554"/>
      <c r="G128" s="554"/>
      <c r="H128" s="554"/>
      <c r="I128" s="557"/>
      <c r="J128" s="302"/>
      <c r="K128" s="652"/>
      <c r="L128" s="653"/>
      <c r="M128" s="223"/>
    </row>
    <row r="129" spans="2:13">
      <c r="B129" s="640"/>
      <c r="C129" s="563"/>
      <c r="D129" s="554"/>
      <c r="E129" s="645"/>
      <c r="F129" s="554"/>
      <c r="G129" s="554"/>
      <c r="H129" s="554"/>
      <c r="I129" s="557"/>
      <c r="J129" s="302"/>
      <c r="K129" s="652"/>
      <c r="L129" s="653"/>
      <c r="M129" s="223"/>
    </row>
    <row r="130" spans="2:13">
      <c r="B130" s="640"/>
      <c r="C130" s="563"/>
      <c r="D130" s="554"/>
      <c r="E130" s="645"/>
      <c r="F130" s="554"/>
      <c r="G130" s="554"/>
      <c r="H130" s="554"/>
      <c r="I130" s="557"/>
      <c r="J130" s="302"/>
      <c r="K130" s="652"/>
      <c r="L130" s="653"/>
      <c r="M130" s="223"/>
    </row>
    <row r="131" spans="2:13">
      <c r="B131" s="640"/>
      <c r="C131" s="563"/>
      <c r="D131" s="554"/>
      <c r="E131" s="645"/>
      <c r="F131" s="554"/>
      <c r="G131" s="554"/>
      <c r="H131" s="554"/>
      <c r="I131" s="557"/>
      <c r="J131" s="302"/>
      <c r="K131" s="652"/>
      <c r="L131" s="653"/>
      <c r="M131" s="223"/>
    </row>
    <row r="132" spans="2:13">
      <c r="B132" s="651"/>
      <c r="K132" s="302"/>
      <c r="L132" s="301"/>
      <c r="M132" s="223"/>
    </row>
    <row r="135" spans="2:13">
      <c r="B135" s="637"/>
      <c r="F135" s="638"/>
    </row>
    <row r="136" spans="2:13">
      <c r="B136" s="650"/>
      <c r="C136" s="635"/>
      <c r="D136" s="635"/>
      <c r="E136" s="635"/>
      <c r="F136" s="635"/>
      <c r="G136" s="635"/>
      <c r="H136" s="635"/>
      <c r="I136" s="636"/>
      <c r="J136" s="635"/>
      <c r="K136" s="635"/>
      <c r="L136" s="636"/>
      <c r="M136" s="635"/>
    </row>
    <row r="137" spans="2:13">
      <c r="B137" s="640"/>
      <c r="C137" s="563"/>
      <c r="D137" s="554"/>
      <c r="E137" s="645"/>
      <c r="F137" s="554"/>
      <c r="G137" s="554"/>
      <c r="H137" s="554"/>
      <c r="I137" s="557"/>
      <c r="J137" s="302"/>
      <c r="K137" s="652"/>
      <c r="L137" s="653"/>
      <c r="M137" s="223"/>
    </row>
    <row r="138" spans="2:13">
      <c r="B138" s="640"/>
      <c r="C138" s="563"/>
      <c r="D138" s="554"/>
      <c r="E138" s="645"/>
      <c r="F138" s="554"/>
      <c r="G138" s="554"/>
      <c r="H138" s="554"/>
      <c r="I138" s="557"/>
      <c r="J138" s="302"/>
      <c r="K138" s="652"/>
      <c r="L138" s="653"/>
      <c r="M138" s="223"/>
    </row>
    <row r="139" spans="2:13">
      <c r="B139" s="640"/>
      <c r="C139" s="563"/>
      <c r="D139" s="554"/>
      <c r="E139" s="645"/>
      <c r="F139" s="554"/>
      <c r="G139" s="554"/>
      <c r="H139" s="554"/>
      <c r="I139" s="557"/>
      <c r="J139" s="302"/>
      <c r="K139" s="652"/>
      <c r="L139" s="653"/>
      <c r="M139" s="223"/>
    </row>
    <row r="140" spans="2:13">
      <c r="B140" s="640"/>
      <c r="C140" s="563"/>
      <c r="D140" s="554"/>
      <c r="E140" s="645"/>
      <c r="F140" s="554"/>
      <c r="G140" s="554"/>
      <c r="H140" s="554"/>
      <c r="I140" s="557"/>
      <c r="J140" s="302"/>
      <c r="K140" s="652"/>
      <c r="L140" s="653"/>
      <c r="M140" s="223"/>
    </row>
    <row r="141" spans="2:13">
      <c r="B141" s="640"/>
      <c r="C141" s="563"/>
      <c r="D141" s="554"/>
      <c r="E141" s="645"/>
      <c r="F141" s="554"/>
      <c r="G141" s="554"/>
      <c r="H141" s="554"/>
      <c r="I141" s="557"/>
      <c r="J141" s="302"/>
      <c r="K141" s="652"/>
      <c r="L141" s="653"/>
      <c r="M141" s="223"/>
    </row>
    <row r="142" spans="2:13">
      <c r="B142" s="651"/>
      <c r="K142" s="302"/>
      <c r="L142" s="301"/>
      <c r="M142" s="223"/>
    </row>
  </sheetData>
  <mergeCells count="29">
    <mergeCell ref="Y7:Y9"/>
    <mergeCell ref="Z7:Z9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F3:N3"/>
    <mergeCell ref="A6:X6"/>
    <mergeCell ref="A7:I7"/>
    <mergeCell ref="J7:Q7"/>
    <mergeCell ref="B26:G26"/>
    <mergeCell ref="R7:U7"/>
    <mergeCell ref="V7:V9"/>
    <mergeCell ref="W7:W9"/>
    <mergeCell ref="X7:X9"/>
    <mergeCell ref="A13:F13"/>
    <mergeCell ref="B16:B18"/>
    <mergeCell ref="C16:C18"/>
    <mergeCell ref="D16:D18"/>
    <mergeCell ref="E16:E18"/>
    <mergeCell ref="F16:F18"/>
    <mergeCell ref="B15:F1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3:AB64"/>
  <sheetViews>
    <sheetView topLeftCell="A7" workbookViewId="0">
      <selection activeCell="A17" sqref="A17"/>
    </sheetView>
  </sheetViews>
  <sheetFormatPr baseColWidth="10" defaultRowHeight="15"/>
  <cols>
    <col min="1" max="1" width="42" style="216" customWidth="1"/>
    <col min="2" max="2" width="19.42578125" style="216" customWidth="1"/>
    <col min="3" max="3" width="17.28515625" style="216" bestFit="1" customWidth="1"/>
    <col min="4" max="4" width="23.140625" style="216" customWidth="1"/>
    <col min="5" max="5" width="18.28515625" style="216" customWidth="1"/>
    <col min="6" max="6" width="14.7109375" style="216" customWidth="1"/>
    <col min="7" max="17" width="11.42578125" style="216"/>
    <col min="18" max="18" width="14.140625" style="216" bestFit="1" customWidth="1"/>
    <col min="19" max="19" width="11.42578125" style="216"/>
    <col min="20" max="20" width="12.5703125" style="216" bestFit="1" customWidth="1"/>
    <col min="21" max="23" width="11.42578125" style="216"/>
    <col min="24" max="28" width="16.42578125" style="216" customWidth="1"/>
    <col min="29" max="16384" width="11.42578125" style="216"/>
  </cols>
  <sheetData>
    <row r="3" spans="1:28" ht="26.25">
      <c r="E3" s="974" t="s">
        <v>633</v>
      </c>
      <c r="F3" s="974"/>
      <c r="G3" s="974"/>
      <c r="H3" s="974"/>
      <c r="I3" s="974"/>
      <c r="J3" s="974"/>
      <c r="K3" s="974"/>
      <c r="L3" s="974"/>
      <c r="M3" s="974"/>
    </row>
    <row r="5" spans="1:28" ht="15.75" thickBot="1"/>
    <row r="6" spans="1:28" ht="15.75" thickBot="1">
      <c r="A6" s="925" t="s">
        <v>585</v>
      </c>
      <c r="B6" s="926"/>
      <c r="C6" s="926"/>
      <c r="D6" s="926"/>
      <c r="E6" s="926"/>
      <c r="F6" s="926"/>
      <c r="G6" s="926"/>
      <c r="H6" s="926"/>
      <c r="I6" s="926"/>
      <c r="J6" s="926"/>
      <c r="K6" s="926"/>
      <c r="L6" s="926"/>
      <c r="M6" s="926"/>
      <c r="N6" s="926"/>
      <c r="O6" s="926"/>
      <c r="P6" s="926"/>
      <c r="Q6" s="926"/>
      <c r="R6" s="926"/>
      <c r="S6" s="926"/>
      <c r="T6" s="926"/>
      <c r="U6" s="926"/>
      <c r="V6" s="926"/>
      <c r="W6" s="926"/>
      <c r="X6" s="927"/>
      <c r="Y6" s="356"/>
      <c r="Z6" s="356"/>
      <c r="AA6" s="356"/>
      <c r="AB6" s="356"/>
    </row>
    <row r="7" spans="1:28" ht="15.75" thickBot="1">
      <c r="A7" s="928" t="s">
        <v>500</v>
      </c>
      <c r="B7" s="929"/>
      <c r="C7" s="929"/>
      <c r="D7" s="929"/>
      <c r="E7" s="929"/>
      <c r="F7" s="929"/>
      <c r="G7" s="929"/>
      <c r="H7" s="929"/>
      <c r="I7" s="929"/>
      <c r="J7" s="929" t="s">
        <v>499</v>
      </c>
      <c r="K7" s="929"/>
      <c r="L7" s="929"/>
      <c r="M7" s="929"/>
      <c r="N7" s="929"/>
      <c r="O7" s="929"/>
      <c r="P7" s="929"/>
      <c r="Q7" s="929"/>
      <c r="R7" s="938" t="s">
        <v>498</v>
      </c>
      <c r="S7" s="939"/>
      <c r="T7" s="939"/>
      <c r="U7" s="940"/>
      <c r="V7" s="949" t="s">
        <v>497</v>
      </c>
      <c r="W7" s="952" t="s">
        <v>496</v>
      </c>
      <c r="X7" s="941" t="s">
        <v>580</v>
      </c>
      <c r="Y7" s="941" t="s">
        <v>581</v>
      </c>
      <c r="Z7" s="941" t="s">
        <v>582</v>
      </c>
      <c r="AA7" s="941" t="s">
        <v>583</v>
      </c>
      <c r="AB7" s="941" t="s">
        <v>584</v>
      </c>
    </row>
    <row r="8" spans="1:28" ht="22.5">
      <c r="A8" s="935" t="s">
        <v>495</v>
      </c>
      <c r="B8" s="936" t="s">
        <v>577</v>
      </c>
      <c r="C8" s="414" t="s">
        <v>494</v>
      </c>
      <c r="D8" s="944" t="s">
        <v>493</v>
      </c>
      <c r="E8" s="944" t="s">
        <v>492</v>
      </c>
      <c r="F8" s="944"/>
      <c r="G8" s="930" t="s">
        <v>578</v>
      </c>
      <c r="H8" s="930" t="s">
        <v>491</v>
      </c>
      <c r="I8" s="945" t="s">
        <v>490</v>
      </c>
      <c r="J8" s="478" t="s">
        <v>489</v>
      </c>
      <c r="K8" s="418" t="s">
        <v>488</v>
      </c>
      <c r="L8" s="418" t="s">
        <v>487</v>
      </c>
      <c r="M8" s="418" t="s">
        <v>486</v>
      </c>
      <c r="N8" s="418" t="s">
        <v>485</v>
      </c>
      <c r="O8" s="478" t="s">
        <v>484</v>
      </c>
      <c r="P8" s="478" t="s">
        <v>483</v>
      </c>
      <c r="Q8" s="946" t="s">
        <v>482</v>
      </c>
      <c r="R8" s="417" t="s">
        <v>481</v>
      </c>
      <c r="S8" s="416" t="s">
        <v>480</v>
      </c>
      <c r="T8" s="415" t="s">
        <v>479</v>
      </c>
      <c r="U8" s="947" t="s">
        <v>478</v>
      </c>
      <c r="V8" s="950"/>
      <c r="W8" s="953"/>
      <c r="X8" s="942"/>
      <c r="Y8" s="942"/>
      <c r="Z8" s="942"/>
      <c r="AA8" s="942"/>
      <c r="AB8" s="942"/>
    </row>
    <row r="9" spans="1:28" ht="15.75" thickBot="1">
      <c r="A9" s="935"/>
      <c r="B9" s="937"/>
      <c r="C9" s="414"/>
      <c r="D9" s="944"/>
      <c r="E9" s="478" t="s">
        <v>477</v>
      </c>
      <c r="F9" s="478" t="s">
        <v>476</v>
      </c>
      <c r="G9" s="930"/>
      <c r="H9" s="930"/>
      <c r="I9" s="945"/>
      <c r="J9" s="412">
        <v>8.5000000000000006E-2</v>
      </c>
      <c r="K9" s="409">
        <v>0.12</v>
      </c>
      <c r="L9" s="411">
        <v>0.01</v>
      </c>
      <c r="M9" s="410">
        <v>4.2000000000000003E-2</v>
      </c>
      <c r="N9" s="408">
        <v>8.3299999999999999E-2</v>
      </c>
      <c r="O9" s="409">
        <v>0.01</v>
      </c>
      <c r="P9" s="408">
        <v>8.3299999999999999E-2</v>
      </c>
      <c r="Q9" s="946"/>
      <c r="R9" s="407">
        <v>0.04</v>
      </c>
      <c r="S9" s="407">
        <v>0</v>
      </c>
      <c r="T9" s="406">
        <v>0</v>
      </c>
      <c r="U9" s="948"/>
      <c r="V9" s="951"/>
      <c r="W9" s="954"/>
      <c r="X9" s="943"/>
      <c r="Y9" s="943"/>
      <c r="Z9" s="943"/>
      <c r="AA9" s="943"/>
      <c r="AB9" s="943"/>
    </row>
    <row r="10" spans="1:28" ht="30.75">
      <c r="A10" s="624">
        <v>1</v>
      </c>
      <c r="B10" s="633">
        <v>1</v>
      </c>
      <c r="C10" s="394" t="s">
        <v>475</v>
      </c>
      <c r="D10" s="847" t="s">
        <v>673</v>
      </c>
      <c r="E10" s="404"/>
      <c r="F10" s="404"/>
      <c r="G10" s="397">
        <v>300000</v>
      </c>
      <c r="H10" s="397"/>
      <c r="I10" s="400">
        <f t="shared" ref="I10:I11" si="0">G10+H10</f>
        <v>300000</v>
      </c>
      <c r="J10" s="397"/>
      <c r="K10" s="397"/>
      <c r="L10" s="397"/>
      <c r="M10" s="398"/>
      <c r="N10" s="398"/>
      <c r="O10" s="399"/>
      <c r="P10" s="398"/>
      <c r="Q10" s="386">
        <f t="shared" ref="Q10:Q11" si="1">SUM(I10:P10)</f>
        <v>300000</v>
      </c>
      <c r="R10" s="397"/>
      <c r="S10" s="397">
        <f t="shared" ref="S10:S11" si="2">Q10*$S$5</f>
        <v>0</v>
      </c>
      <c r="T10" s="396">
        <f t="shared" ref="T10:T11" si="3">Q10*$T$5</f>
        <v>0</v>
      </c>
      <c r="U10" s="383">
        <f t="shared" ref="U10:U11" si="4">R10+S10+T10</f>
        <v>0</v>
      </c>
      <c r="V10" s="403">
        <f t="shared" ref="V10:V11" si="5">Q10+U10</f>
        <v>300000</v>
      </c>
      <c r="W10" s="402">
        <v>12</v>
      </c>
      <c r="X10" s="628">
        <f>V10*W10</f>
        <v>3600000</v>
      </c>
      <c r="Y10" s="628">
        <f>X10*1.0383</f>
        <v>3737880</v>
      </c>
      <c r="Z10" s="628">
        <f t="shared" ref="Z10:AB10" si="6">Y10*1.0383</f>
        <v>3881040.804</v>
      </c>
      <c r="AA10" s="628">
        <f t="shared" si="6"/>
        <v>4029684.6667932002</v>
      </c>
      <c r="AB10" s="628">
        <f t="shared" si="6"/>
        <v>4184021.5895313798</v>
      </c>
    </row>
    <row r="11" spans="1:28" ht="50.25" customHeight="1" thickBot="1">
      <c r="A11" s="625">
        <f>A10+1</f>
        <v>2</v>
      </c>
      <c r="B11" s="633">
        <v>1</v>
      </c>
      <c r="C11" s="394" t="s">
        <v>475</v>
      </c>
      <c r="D11" s="870" t="s">
        <v>579</v>
      </c>
      <c r="E11" s="401"/>
      <c r="F11" s="401"/>
      <c r="G11" s="397">
        <v>200000</v>
      </c>
      <c r="H11" s="397"/>
      <c r="I11" s="400">
        <f t="shared" si="0"/>
        <v>200000</v>
      </c>
      <c r="J11" s="397"/>
      <c r="K11" s="397"/>
      <c r="L11" s="397"/>
      <c r="M11" s="398"/>
      <c r="N11" s="398"/>
      <c r="O11" s="399"/>
      <c r="P11" s="398"/>
      <c r="Q11" s="386">
        <f t="shared" si="1"/>
        <v>200000</v>
      </c>
      <c r="R11" s="397"/>
      <c r="S11" s="397">
        <f t="shared" si="2"/>
        <v>0</v>
      </c>
      <c r="T11" s="396">
        <f t="shared" si="3"/>
        <v>0</v>
      </c>
      <c r="U11" s="383">
        <f t="shared" si="4"/>
        <v>0</v>
      </c>
      <c r="V11" s="382">
        <f t="shared" si="5"/>
        <v>200000</v>
      </c>
      <c r="W11" s="395">
        <v>12</v>
      </c>
      <c r="X11" s="628">
        <f t="shared" ref="X11" si="7">V11*W11</f>
        <v>2400000</v>
      </c>
      <c r="Y11" s="628">
        <f>X11*1.0383</f>
        <v>2491920</v>
      </c>
      <c r="Z11" s="628">
        <f>Y11*1.0383</f>
        <v>2587360.5359999998</v>
      </c>
      <c r="AA11" s="628">
        <f>Z11*1.0383</f>
        <v>2686456.4445288</v>
      </c>
      <c r="AB11" s="628">
        <f>AA11*1.0383</f>
        <v>2789347.726354253</v>
      </c>
    </row>
    <row r="12" spans="1:28" ht="18.75" thickBot="1">
      <c r="A12" s="932" t="s">
        <v>344</v>
      </c>
      <c r="B12" s="933"/>
      <c r="C12" s="933"/>
      <c r="D12" s="933"/>
      <c r="E12" s="933"/>
      <c r="F12" s="934"/>
      <c r="G12" s="381">
        <f t="shared" ref="G12:V12" si="8">SUM(G10:G11)</f>
        <v>500000</v>
      </c>
      <c r="H12" s="380">
        <f t="shared" si="8"/>
        <v>0</v>
      </c>
      <c r="I12" s="379">
        <f t="shared" si="8"/>
        <v>500000</v>
      </c>
      <c r="J12" s="378">
        <f t="shared" si="8"/>
        <v>0</v>
      </c>
      <c r="K12" s="378">
        <f t="shared" si="8"/>
        <v>0</v>
      </c>
      <c r="L12" s="378">
        <f t="shared" si="8"/>
        <v>0</v>
      </c>
      <c r="M12" s="378">
        <f t="shared" si="8"/>
        <v>0</v>
      </c>
      <c r="N12" s="378">
        <f t="shared" si="8"/>
        <v>0</v>
      </c>
      <c r="O12" s="378">
        <f t="shared" si="8"/>
        <v>0</v>
      </c>
      <c r="P12" s="378">
        <f t="shared" si="8"/>
        <v>0</v>
      </c>
      <c r="Q12" s="377">
        <f t="shared" si="8"/>
        <v>500000</v>
      </c>
      <c r="R12" s="378">
        <f t="shared" si="8"/>
        <v>0</v>
      </c>
      <c r="S12" s="378">
        <f t="shared" si="8"/>
        <v>0</v>
      </c>
      <c r="T12" s="378">
        <f t="shared" si="8"/>
        <v>0</v>
      </c>
      <c r="U12" s="377">
        <f t="shared" si="8"/>
        <v>0</v>
      </c>
      <c r="V12" s="376">
        <f t="shared" si="8"/>
        <v>500000</v>
      </c>
      <c r="W12" s="375">
        <v>12</v>
      </c>
      <c r="X12" s="630">
        <f>SUM(X10:X11)</f>
        <v>6000000</v>
      </c>
      <c r="Y12" s="630">
        <f>SUM(Y10:Y11)</f>
        <v>6229800</v>
      </c>
      <c r="Z12" s="630">
        <f>SUM(Z10:Z11)</f>
        <v>6468401.3399999999</v>
      </c>
      <c r="AA12" s="630">
        <f>SUM(AA10:AA11)</f>
        <v>6716141.1113220006</v>
      </c>
      <c r="AB12" s="630">
        <f>SUM(AB10:AB11)</f>
        <v>6973369.3158856332</v>
      </c>
    </row>
    <row r="14" spans="1:28" ht="15.75" thickBot="1"/>
    <row r="15" spans="1:28">
      <c r="A15" s="977" t="s">
        <v>593</v>
      </c>
      <c r="B15" s="978"/>
      <c r="C15" s="978"/>
      <c r="D15" s="978"/>
      <c r="E15" s="979"/>
    </row>
    <row r="16" spans="1:28">
      <c r="A16" s="699" t="str">
        <f>X7</f>
        <v>TOTAL AÑO 1</v>
      </c>
      <c r="B16" s="697" t="str">
        <f>Y7</f>
        <v>TOTAL AÑO 2</v>
      </c>
      <c r="C16" s="697" t="str">
        <f>Z7</f>
        <v>TOTAL AÑO 3</v>
      </c>
      <c r="D16" s="697" t="str">
        <f>AA7</f>
        <v>TOTAL AÑO 4</v>
      </c>
      <c r="E16" s="700" t="str">
        <f>AB7</f>
        <v>TOTAL AÑO 5</v>
      </c>
    </row>
    <row r="17" spans="1:11">
      <c r="A17" s="701">
        <f t="shared" ref="A17:E18" si="9">X10</f>
        <v>3600000</v>
      </c>
      <c r="B17" s="698">
        <f t="shared" si="9"/>
        <v>3737880</v>
      </c>
      <c r="C17" s="698">
        <f t="shared" si="9"/>
        <v>3881040.804</v>
      </c>
      <c r="D17" s="698">
        <f t="shared" si="9"/>
        <v>4029684.6667932002</v>
      </c>
      <c r="E17" s="702">
        <f t="shared" si="9"/>
        <v>4184021.5895313798</v>
      </c>
      <c r="G17" s="722"/>
      <c r="H17" s="722"/>
      <c r="I17" s="722"/>
      <c r="J17" s="722"/>
      <c r="K17" s="722"/>
    </row>
    <row r="18" spans="1:11">
      <c r="A18" s="701">
        <f t="shared" si="9"/>
        <v>2400000</v>
      </c>
      <c r="B18" s="698">
        <f t="shared" si="9"/>
        <v>2491920</v>
      </c>
      <c r="C18" s="698">
        <f t="shared" si="9"/>
        <v>2587360.5359999998</v>
      </c>
      <c r="D18" s="698">
        <f t="shared" si="9"/>
        <v>2686456.4445288</v>
      </c>
      <c r="E18" s="702">
        <f t="shared" si="9"/>
        <v>2789347.726354253</v>
      </c>
      <c r="G18" s="723"/>
      <c r="H18" s="723"/>
      <c r="I18" s="723"/>
      <c r="J18" s="723"/>
      <c r="K18" s="723"/>
    </row>
    <row r="19" spans="1:11">
      <c r="A19" s="701"/>
      <c r="B19" s="698"/>
      <c r="C19" s="698"/>
      <c r="D19" s="698"/>
      <c r="E19" s="702"/>
    </row>
    <row r="20" spans="1:11" ht="15.75" thickBot="1">
      <c r="A20" s="703">
        <f>SUM(A17:A19)</f>
        <v>6000000</v>
      </c>
      <c r="B20" s="704">
        <f>SUM(B17:B19)</f>
        <v>6229800</v>
      </c>
      <c r="C20" s="704">
        <f>SUM(C17:C19)</f>
        <v>6468401.3399999999</v>
      </c>
      <c r="D20" s="704">
        <f>SUM(D17:D19)</f>
        <v>6716141.1113220006</v>
      </c>
      <c r="E20" s="705">
        <f>SUM(E17:E19)</f>
        <v>6973369.3158856332</v>
      </c>
      <c r="G20" s="722"/>
      <c r="H20" s="722"/>
      <c r="I20" s="722"/>
      <c r="J20" s="722"/>
      <c r="K20" s="722"/>
    </row>
    <row r="21" spans="1:11" ht="15.75" thickBot="1">
      <c r="G21" s="723"/>
      <c r="H21" s="723"/>
      <c r="I21" s="723"/>
      <c r="J21" s="723"/>
      <c r="K21" s="723"/>
    </row>
    <row r="22" spans="1:11">
      <c r="A22" s="977" t="s">
        <v>624</v>
      </c>
      <c r="B22" s="978"/>
      <c r="C22" s="978"/>
      <c r="D22" s="978"/>
      <c r="E22" s="979"/>
      <c r="G22" s="722"/>
      <c r="H22" s="722"/>
      <c r="I22" s="722"/>
      <c r="J22" s="722"/>
      <c r="K22" s="722"/>
    </row>
    <row r="23" spans="1:11">
      <c r="A23" s="699" t="str">
        <f>A16</f>
        <v>TOTAL AÑO 1</v>
      </c>
      <c r="B23" s="699" t="str">
        <f>B16</f>
        <v>TOTAL AÑO 2</v>
      </c>
      <c r="C23" s="699" t="str">
        <f>C16</f>
        <v>TOTAL AÑO 3</v>
      </c>
      <c r="D23" s="699" t="str">
        <f>D16</f>
        <v>TOTAL AÑO 4</v>
      </c>
      <c r="E23" s="699" t="str">
        <f>E16</f>
        <v>TOTAL AÑO 5</v>
      </c>
      <c r="G23" s="723"/>
      <c r="H23" s="723"/>
      <c r="I23" s="723"/>
      <c r="J23" s="723"/>
      <c r="K23" s="723"/>
    </row>
    <row r="24" spans="1:11">
      <c r="A24" s="718">
        <f>P44</f>
        <v>4292400</v>
      </c>
      <c r="B24" s="719">
        <f>P39*1.0383</f>
        <v>2762293.32</v>
      </c>
      <c r="C24" s="719">
        <f>B24*1.0383</f>
        <v>2868089.1541559999</v>
      </c>
      <c r="D24" s="719">
        <f t="shared" ref="D24:E24" si="10">C24*1.0383</f>
        <v>2977936.9687601747</v>
      </c>
      <c r="E24" s="719">
        <f t="shared" si="10"/>
        <v>3091991.9546636892</v>
      </c>
      <c r="G24" s="694"/>
      <c r="H24" s="694"/>
      <c r="I24" s="694"/>
      <c r="J24" s="694"/>
      <c r="K24" s="694"/>
    </row>
    <row r="25" spans="1:11">
      <c r="A25" s="701">
        <f>O57</f>
        <v>6048000</v>
      </c>
      <c r="B25" s="698">
        <f>A25*1.0383</f>
        <v>6279638.4000000004</v>
      </c>
      <c r="C25" s="698">
        <f>B25*1.0383</f>
        <v>6520148.5507200006</v>
      </c>
      <c r="D25" s="698">
        <f t="shared" ref="D25:E25" si="11">C25*1.0383</f>
        <v>6769870.2402125765</v>
      </c>
      <c r="E25" s="698">
        <f t="shared" si="11"/>
        <v>7029156.2704127179</v>
      </c>
      <c r="G25" s="694"/>
      <c r="H25" s="694"/>
      <c r="I25" s="694"/>
      <c r="J25" s="694"/>
      <c r="K25" s="694"/>
    </row>
    <row r="26" spans="1:11" ht="15.75" thickBot="1">
      <c r="A26" s="703">
        <f>SUM(A24:A25)</f>
        <v>10340400</v>
      </c>
      <c r="B26" s="704">
        <f>SUM(B24:B25)</f>
        <v>9041931.7200000007</v>
      </c>
      <c r="C26" s="704">
        <f>SUM(C24:C25)</f>
        <v>9388237.7048760001</v>
      </c>
      <c r="D26" s="704">
        <f>SUM(D24:D25)</f>
        <v>9747807.2089727521</v>
      </c>
      <c r="E26" s="704">
        <f>SUM(E24:E25)</f>
        <v>10121148.225076407</v>
      </c>
    </row>
    <row r="27" spans="1:11" s="226" customFormat="1">
      <c r="A27" s="720"/>
      <c r="B27" s="720"/>
      <c r="C27" s="720"/>
      <c r="D27" s="720"/>
      <c r="E27" s="720"/>
    </row>
    <row r="28" spans="1:11" s="226" customFormat="1" ht="15.75" thickBot="1">
      <c r="A28" s="720"/>
      <c r="B28" s="720"/>
      <c r="C28" s="720"/>
      <c r="D28" s="720"/>
      <c r="E28" s="720"/>
    </row>
    <row r="29" spans="1:11" s="226" customFormat="1">
      <c r="A29" s="977" t="s">
        <v>595</v>
      </c>
      <c r="B29" s="978"/>
      <c r="C29" s="978"/>
      <c r="D29" s="978"/>
      <c r="E29" s="979"/>
    </row>
    <row r="30" spans="1:11" s="226" customFormat="1">
      <c r="A30" s="721" t="s">
        <v>580</v>
      </c>
      <c r="B30" s="721" t="s">
        <v>581</v>
      </c>
      <c r="C30" s="721" t="s">
        <v>582</v>
      </c>
      <c r="D30" s="721" t="s">
        <v>583</v>
      </c>
      <c r="E30" s="721" t="s">
        <v>584</v>
      </c>
    </row>
    <row r="31" spans="1:11" s="226" customFormat="1">
      <c r="A31" s="718">
        <f>A20</f>
        <v>6000000</v>
      </c>
      <c r="B31" s="718">
        <f t="shared" ref="B31:E31" si="12">B20</f>
        <v>6229800</v>
      </c>
      <c r="C31" s="718">
        <f t="shared" si="12"/>
        <v>6468401.3399999999</v>
      </c>
      <c r="D31" s="718">
        <f t="shared" si="12"/>
        <v>6716141.1113220006</v>
      </c>
      <c r="E31" s="718">
        <f t="shared" si="12"/>
        <v>6973369.3158856332</v>
      </c>
    </row>
    <row r="32" spans="1:11" s="226" customFormat="1">
      <c r="A32" s="701">
        <f>A26</f>
        <v>10340400</v>
      </c>
      <c r="B32" s="701">
        <f t="shared" ref="B32:E32" si="13">B26</f>
        <v>9041931.7200000007</v>
      </c>
      <c r="C32" s="701">
        <f t="shared" si="13"/>
        <v>9388237.7048760001</v>
      </c>
      <c r="D32" s="701">
        <f t="shared" si="13"/>
        <v>9747807.2089727521</v>
      </c>
      <c r="E32" s="701">
        <f t="shared" si="13"/>
        <v>10121148.225076407</v>
      </c>
    </row>
    <row r="33" spans="1:17" s="226" customFormat="1" ht="15.75" thickBot="1">
      <c r="A33" s="703">
        <f>SUM(A31:A32)</f>
        <v>16340400</v>
      </c>
      <c r="B33" s="704">
        <f>SUM(B31:B32)</f>
        <v>15271731.720000001</v>
      </c>
      <c r="C33" s="704">
        <f>SUM(C31:C32)</f>
        <v>15856639.044876</v>
      </c>
      <c r="D33" s="704">
        <f>SUM(D31:D32)</f>
        <v>16463948.320294753</v>
      </c>
      <c r="E33" s="704">
        <f>SUM(E31:E32)</f>
        <v>17094517.54096204</v>
      </c>
    </row>
    <row r="34" spans="1:17" s="226" customFormat="1">
      <c r="A34" s="720"/>
      <c r="B34" s="720"/>
      <c r="C34" s="720"/>
      <c r="D34" s="720"/>
      <c r="E34" s="720"/>
    </row>
    <row r="36" spans="1:17">
      <c r="A36" s="975" t="s">
        <v>594</v>
      </c>
      <c r="B36" s="976"/>
      <c r="C36" s="976"/>
      <c r="D36" s="976"/>
      <c r="E36" s="976"/>
      <c r="F36" s="976"/>
      <c r="G36" s="976"/>
      <c r="H36" s="976"/>
      <c r="I36" s="976"/>
      <c r="J36" s="976"/>
      <c r="K36" s="976"/>
      <c r="L36" s="976"/>
      <c r="M36" s="976"/>
      <c r="N36" s="976"/>
      <c r="O36" s="976"/>
      <c r="P36" s="976"/>
    </row>
    <row r="37" spans="1:17">
      <c r="A37" s="708"/>
      <c r="B37" s="707" t="s">
        <v>617</v>
      </c>
      <c r="C37" s="707" t="s">
        <v>332</v>
      </c>
      <c r="D37" s="707" t="s">
        <v>333</v>
      </c>
      <c r="E37" s="707" t="s">
        <v>334</v>
      </c>
      <c r="F37" s="707" t="s">
        <v>335</v>
      </c>
      <c r="G37" s="707" t="s">
        <v>336</v>
      </c>
      <c r="H37" s="707" t="s">
        <v>337</v>
      </c>
      <c r="I37" s="707" t="s">
        <v>338</v>
      </c>
      <c r="J37" s="707" t="s">
        <v>339</v>
      </c>
      <c r="K37" s="707" t="s">
        <v>340</v>
      </c>
      <c r="L37" s="707" t="s">
        <v>341</v>
      </c>
      <c r="M37" s="707" t="s">
        <v>342</v>
      </c>
      <c r="N37" s="707" t="s">
        <v>343</v>
      </c>
      <c r="O37" s="707" t="s">
        <v>515</v>
      </c>
      <c r="P37" s="709" t="s">
        <v>344</v>
      </c>
    </row>
    <row r="38" spans="1:17">
      <c r="A38" s="710" t="s">
        <v>514</v>
      </c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711"/>
    </row>
    <row r="39" spans="1:17">
      <c r="A39" s="871" t="s">
        <v>678</v>
      </c>
      <c r="B39" s="706">
        <v>2660400</v>
      </c>
      <c r="C39" s="706"/>
      <c r="D39" s="240"/>
      <c r="E39" s="706"/>
      <c r="F39" s="706"/>
      <c r="G39" s="706"/>
      <c r="H39" s="706"/>
      <c r="I39" s="706"/>
      <c r="J39" s="706"/>
      <c r="K39" s="706"/>
      <c r="L39" s="706"/>
      <c r="M39" s="706"/>
      <c r="N39" s="706"/>
      <c r="O39" s="706"/>
      <c r="P39" s="713">
        <f>B39</f>
        <v>2660400</v>
      </c>
    </row>
    <row r="40" spans="1:17">
      <c r="A40" s="871" t="s">
        <v>672</v>
      </c>
      <c r="B40" s="706">
        <v>1400000</v>
      </c>
      <c r="C40" s="706"/>
      <c r="D40" s="240"/>
      <c r="E40" s="706"/>
      <c r="F40" s="706"/>
      <c r="G40" s="706"/>
      <c r="H40" s="706"/>
      <c r="I40" s="706"/>
      <c r="J40" s="706"/>
      <c r="K40" s="706"/>
      <c r="L40" s="706"/>
      <c r="M40" s="706"/>
      <c r="N40" s="706"/>
      <c r="O40" s="706"/>
      <c r="P40" s="713">
        <f>B40</f>
        <v>1400000</v>
      </c>
    </row>
    <row r="41" spans="1:17">
      <c r="A41" s="712" t="s">
        <v>513</v>
      </c>
      <c r="B41" s="706">
        <v>80000</v>
      </c>
      <c r="C41" s="706"/>
      <c r="D41" s="706"/>
      <c r="E41" s="706"/>
      <c r="F41" s="706"/>
      <c r="G41" s="706"/>
      <c r="H41" s="706"/>
      <c r="I41" s="706"/>
      <c r="J41" s="706"/>
      <c r="K41" s="706"/>
      <c r="L41" s="706"/>
      <c r="M41" s="706"/>
      <c r="N41" s="706"/>
      <c r="O41" s="706"/>
      <c r="P41" s="713">
        <f t="shared" ref="P41:P42" si="14">B41</f>
        <v>80000</v>
      </c>
    </row>
    <row r="42" spans="1:17">
      <c r="A42" s="755" t="s">
        <v>622</v>
      </c>
      <c r="B42" s="706">
        <v>52000</v>
      </c>
      <c r="C42" s="706"/>
      <c r="D42" s="706"/>
      <c r="E42" s="706"/>
      <c r="F42" s="706"/>
      <c r="G42" s="706"/>
      <c r="H42" s="706"/>
      <c r="I42" s="706"/>
      <c r="J42" s="706"/>
      <c r="K42" s="706"/>
      <c r="L42" s="706"/>
      <c r="M42" s="706"/>
      <c r="N42" s="706"/>
      <c r="O42" s="706"/>
      <c r="P42" s="713">
        <f t="shared" si="14"/>
        <v>52000</v>
      </c>
    </row>
    <row r="43" spans="1:17">
      <c r="A43" s="754" t="s">
        <v>618</v>
      </c>
      <c r="B43" s="751">
        <v>100000</v>
      </c>
      <c r="C43" s="751"/>
      <c r="D43" s="751"/>
      <c r="E43" s="751"/>
      <c r="F43" s="751"/>
      <c r="G43" s="751"/>
      <c r="H43" s="751"/>
      <c r="I43" s="751"/>
      <c r="J43" s="751"/>
      <c r="K43" s="751"/>
      <c r="L43" s="751"/>
      <c r="M43" s="751"/>
      <c r="N43" s="751"/>
      <c r="O43" s="752"/>
      <c r="P43" s="753">
        <f>SUM(B43:O43)</f>
        <v>100000</v>
      </c>
    </row>
    <row r="44" spans="1:17" ht="15.75" thickBot="1">
      <c r="A44" s="714" t="s">
        <v>512</v>
      </c>
      <c r="B44" s="715"/>
      <c r="C44" s="715">
        <f>SUM(C39:C42)</f>
        <v>0</v>
      </c>
      <c r="D44" s="715"/>
      <c r="E44" s="715"/>
      <c r="F44" s="715"/>
      <c r="G44" s="715"/>
      <c r="H44" s="715"/>
      <c r="I44" s="715"/>
      <c r="J44" s="715"/>
      <c r="K44" s="715"/>
      <c r="L44" s="715"/>
      <c r="M44" s="715"/>
      <c r="N44" s="715"/>
      <c r="O44" s="716">
        <f>SUM(O39:O42)</f>
        <v>0</v>
      </c>
      <c r="P44" s="716">
        <f>SUM(P39:P43)</f>
        <v>4292400</v>
      </c>
    </row>
    <row r="45" spans="1:17" s="225" customFormat="1">
      <c r="A45" s="637"/>
      <c r="B45" s="696"/>
      <c r="C45" s="696"/>
      <c r="D45" s="696"/>
      <c r="E45" s="696"/>
      <c r="F45" s="696"/>
      <c r="G45" s="696"/>
      <c r="H45" s="696"/>
      <c r="I45" s="696"/>
      <c r="J45" s="696"/>
      <c r="K45" s="696"/>
      <c r="L45" s="696"/>
      <c r="M45" s="696"/>
      <c r="N45" s="696"/>
      <c r="O45" s="696"/>
    </row>
    <row r="46" spans="1:17" s="225" customFormat="1" ht="15.75" thickBot="1">
      <c r="A46" s="637"/>
      <c r="B46" s="696"/>
      <c r="C46" s="696"/>
      <c r="D46" s="696"/>
      <c r="E46" s="696"/>
      <c r="F46" s="696"/>
      <c r="G46" s="696"/>
      <c r="H46" s="696"/>
      <c r="I46" s="696"/>
      <c r="J46" s="696"/>
      <c r="K46" s="696"/>
      <c r="L46" s="696"/>
      <c r="M46" s="696"/>
      <c r="N46" s="696"/>
      <c r="O46" s="696"/>
    </row>
    <row r="47" spans="1:17" ht="15.75" thickBot="1">
      <c r="A47" s="782" t="s">
        <v>346</v>
      </c>
      <c r="B47" s="785" t="s">
        <v>332</v>
      </c>
      <c r="C47" s="786" t="s">
        <v>333</v>
      </c>
      <c r="D47" s="786" t="s">
        <v>334</v>
      </c>
      <c r="E47" s="786" t="s">
        <v>335</v>
      </c>
      <c r="F47" s="786" t="s">
        <v>336</v>
      </c>
      <c r="G47" s="786" t="s">
        <v>337</v>
      </c>
      <c r="H47" s="786" t="s">
        <v>338</v>
      </c>
      <c r="I47" s="786" t="s">
        <v>339</v>
      </c>
      <c r="J47" s="786" t="s">
        <v>340</v>
      </c>
      <c r="K47" s="786" t="s">
        <v>341</v>
      </c>
      <c r="L47" s="786" t="s">
        <v>342</v>
      </c>
      <c r="M47" s="786" t="s">
        <v>343</v>
      </c>
      <c r="N47" s="786" t="s">
        <v>515</v>
      </c>
      <c r="O47" s="787" t="s">
        <v>344</v>
      </c>
    </row>
    <row r="48" spans="1:17">
      <c r="A48" s="712" t="s">
        <v>511</v>
      </c>
      <c r="B48" s="783">
        <v>270000</v>
      </c>
      <c r="C48" s="783">
        <v>270000</v>
      </c>
      <c r="D48" s="783">
        <v>270000</v>
      </c>
      <c r="E48" s="783">
        <v>270000</v>
      </c>
      <c r="F48" s="783">
        <v>270000</v>
      </c>
      <c r="G48" s="783">
        <v>270000</v>
      </c>
      <c r="H48" s="783">
        <v>270000</v>
      </c>
      <c r="I48" s="783">
        <v>270000</v>
      </c>
      <c r="J48" s="783">
        <v>270000</v>
      </c>
      <c r="K48" s="783">
        <v>270000</v>
      </c>
      <c r="L48" s="783">
        <v>270000</v>
      </c>
      <c r="M48" s="783">
        <v>270000</v>
      </c>
      <c r="N48" s="783"/>
      <c r="O48" s="784">
        <f t="shared" ref="O48:O55" si="15">SUM(B48:M48)</f>
        <v>3240000</v>
      </c>
      <c r="Q48" s="256"/>
    </row>
    <row r="49" spans="1:20">
      <c r="A49" s="712" t="s">
        <v>510</v>
      </c>
      <c r="B49" s="706">
        <v>0</v>
      </c>
      <c r="C49" s="706">
        <f t="shared" ref="C49:M49" si="16">B49</f>
        <v>0</v>
      </c>
      <c r="D49" s="706">
        <f t="shared" si="16"/>
        <v>0</v>
      </c>
      <c r="E49" s="706">
        <f t="shared" si="16"/>
        <v>0</v>
      </c>
      <c r="F49" s="706">
        <f t="shared" si="16"/>
        <v>0</v>
      </c>
      <c r="G49" s="706">
        <f t="shared" si="16"/>
        <v>0</v>
      </c>
      <c r="H49" s="706">
        <f t="shared" si="16"/>
        <v>0</v>
      </c>
      <c r="I49" s="706">
        <f t="shared" si="16"/>
        <v>0</v>
      </c>
      <c r="J49" s="706">
        <f t="shared" si="16"/>
        <v>0</v>
      </c>
      <c r="K49" s="706">
        <f t="shared" si="16"/>
        <v>0</v>
      </c>
      <c r="L49" s="706">
        <f t="shared" si="16"/>
        <v>0</v>
      </c>
      <c r="M49" s="706">
        <f t="shared" si="16"/>
        <v>0</v>
      </c>
      <c r="N49" s="706"/>
      <c r="O49" s="713">
        <f t="shared" si="15"/>
        <v>0</v>
      </c>
      <c r="Q49" s="256"/>
    </row>
    <row r="50" spans="1:20">
      <c r="A50" s="712" t="s">
        <v>509</v>
      </c>
      <c r="B50" s="706">
        <v>0</v>
      </c>
      <c r="C50" s="706">
        <f t="shared" ref="C50:M50" si="17">B50</f>
        <v>0</v>
      </c>
      <c r="D50" s="706">
        <f t="shared" si="17"/>
        <v>0</v>
      </c>
      <c r="E50" s="706">
        <f t="shared" si="17"/>
        <v>0</v>
      </c>
      <c r="F50" s="706">
        <f t="shared" si="17"/>
        <v>0</v>
      </c>
      <c r="G50" s="706">
        <f t="shared" si="17"/>
        <v>0</v>
      </c>
      <c r="H50" s="706">
        <f t="shared" si="17"/>
        <v>0</v>
      </c>
      <c r="I50" s="706">
        <f t="shared" si="17"/>
        <v>0</v>
      </c>
      <c r="J50" s="706">
        <f t="shared" si="17"/>
        <v>0</v>
      </c>
      <c r="K50" s="706">
        <f t="shared" si="17"/>
        <v>0</v>
      </c>
      <c r="L50" s="706">
        <f t="shared" si="17"/>
        <v>0</v>
      </c>
      <c r="M50" s="706">
        <f t="shared" si="17"/>
        <v>0</v>
      </c>
      <c r="N50" s="706"/>
      <c r="O50" s="713">
        <f t="shared" si="15"/>
        <v>0</v>
      </c>
      <c r="Q50" s="256"/>
      <c r="R50" s="220"/>
    </row>
    <row r="51" spans="1:20">
      <c r="A51" s="712" t="s">
        <v>508</v>
      </c>
      <c r="B51" s="706">
        <v>0</v>
      </c>
      <c r="C51" s="706">
        <v>250000</v>
      </c>
      <c r="D51" s="706">
        <v>50000</v>
      </c>
      <c r="E51" s="706">
        <v>50000</v>
      </c>
      <c r="F51" s="706">
        <f t="shared" ref="F51:M51" si="18">E51</f>
        <v>50000</v>
      </c>
      <c r="G51" s="706">
        <f t="shared" si="18"/>
        <v>50000</v>
      </c>
      <c r="H51" s="706">
        <f t="shared" si="18"/>
        <v>50000</v>
      </c>
      <c r="I51" s="706">
        <f t="shared" si="18"/>
        <v>50000</v>
      </c>
      <c r="J51" s="706">
        <f t="shared" si="18"/>
        <v>50000</v>
      </c>
      <c r="K51" s="706">
        <f t="shared" si="18"/>
        <v>50000</v>
      </c>
      <c r="L51" s="706">
        <f t="shared" si="18"/>
        <v>50000</v>
      </c>
      <c r="M51" s="706">
        <f t="shared" si="18"/>
        <v>50000</v>
      </c>
      <c r="N51" s="706"/>
      <c r="O51" s="713">
        <f>SUM(B51:M51)</f>
        <v>750000</v>
      </c>
      <c r="Q51" s="256"/>
      <c r="R51" s="220"/>
    </row>
    <row r="52" spans="1:20">
      <c r="A52" s="755" t="s">
        <v>621</v>
      </c>
      <c r="B52" s="706"/>
      <c r="C52" s="706">
        <v>50000</v>
      </c>
      <c r="D52" s="706">
        <v>50000</v>
      </c>
      <c r="E52" s="706">
        <v>50000</v>
      </c>
      <c r="F52" s="706">
        <v>50000</v>
      </c>
      <c r="G52" s="706">
        <v>50000</v>
      </c>
      <c r="H52" s="706">
        <v>50000</v>
      </c>
      <c r="I52" s="706">
        <v>50000</v>
      </c>
      <c r="J52" s="706">
        <v>50000</v>
      </c>
      <c r="K52" s="706">
        <v>50000</v>
      </c>
      <c r="L52" s="706">
        <v>50000</v>
      </c>
      <c r="M52" s="706">
        <v>50000</v>
      </c>
      <c r="N52" s="706"/>
      <c r="O52" s="713">
        <f>SUM(B52:N52)</f>
        <v>550000</v>
      </c>
      <c r="P52" s="220"/>
      <c r="Q52" s="256"/>
      <c r="R52" s="220"/>
    </row>
    <row r="53" spans="1:20">
      <c r="A53" s="755" t="s">
        <v>619</v>
      </c>
      <c r="B53" s="706">
        <v>0</v>
      </c>
      <c r="C53" s="706">
        <v>100000</v>
      </c>
      <c r="D53" s="706">
        <f t="shared" ref="D53:M53" si="19">C53</f>
        <v>100000</v>
      </c>
      <c r="E53" s="706">
        <f t="shared" si="19"/>
        <v>100000</v>
      </c>
      <c r="F53" s="706">
        <f t="shared" si="19"/>
        <v>100000</v>
      </c>
      <c r="G53" s="706">
        <f t="shared" si="19"/>
        <v>100000</v>
      </c>
      <c r="H53" s="706">
        <f t="shared" si="19"/>
        <v>100000</v>
      </c>
      <c r="I53" s="706">
        <f t="shared" si="19"/>
        <v>100000</v>
      </c>
      <c r="J53" s="706">
        <f t="shared" si="19"/>
        <v>100000</v>
      </c>
      <c r="K53" s="706">
        <f t="shared" si="19"/>
        <v>100000</v>
      </c>
      <c r="L53" s="706">
        <f t="shared" si="19"/>
        <v>100000</v>
      </c>
      <c r="M53" s="706">
        <f t="shared" si="19"/>
        <v>100000</v>
      </c>
      <c r="N53" s="706"/>
      <c r="O53" s="713">
        <f>SUM(B53:M53)</f>
        <v>1100000</v>
      </c>
      <c r="P53" s="220"/>
      <c r="Q53" s="256"/>
    </row>
    <row r="54" spans="1:20">
      <c r="A54" s="712" t="s">
        <v>507</v>
      </c>
      <c r="B54" s="706">
        <v>0</v>
      </c>
      <c r="C54" s="706">
        <v>0</v>
      </c>
      <c r="D54" s="706">
        <v>0</v>
      </c>
      <c r="E54" s="706">
        <v>0</v>
      </c>
      <c r="F54" s="706">
        <v>0</v>
      </c>
      <c r="G54" s="706">
        <v>0</v>
      </c>
      <c r="H54" s="706">
        <v>0</v>
      </c>
      <c r="I54" s="706">
        <v>0</v>
      </c>
      <c r="J54" s="706">
        <v>0</v>
      </c>
      <c r="K54" s="706">
        <v>0</v>
      </c>
      <c r="L54" s="706">
        <v>0</v>
      </c>
      <c r="M54" s="706">
        <v>0</v>
      </c>
      <c r="N54" s="706"/>
      <c r="O54" s="713">
        <f>SUM(B54:M54)</f>
        <v>0</v>
      </c>
      <c r="Q54" s="256"/>
    </row>
    <row r="55" spans="1:20">
      <c r="A55" s="712" t="s">
        <v>506</v>
      </c>
      <c r="B55" s="706"/>
      <c r="C55" s="706">
        <v>0</v>
      </c>
      <c r="D55" s="706"/>
      <c r="E55" s="706"/>
      <c r="F55" s="706"/>
      <c r="G55" s="706"/>
      <c r="H55" s="706"/>
      <c r="I55" s="706"/>
      <c r="J55" s="706"/>
      <c r="K55" s="706"/>
      <c r="L55" s="706"/>
      <c r="M55" s="706"/>
      <c r="N55" s="706"/>
      <c r="O55" s="713">
        <f t="shared" si="15"/>
        <v>0</v>
      </c>
      <c r="Q55" s="256"/>
    </row>
    <row r="56" spans="1:20">
      <c r="A56" s="755" t="s">
        <v>620</v>
      </c>
      <c r="B56" s="706">
        <v>34000</v>
      </c>
      <c r="C56" s="706">
        <v>34000</v>
      </c>
      <c r="D56" s="706">
        <v>34000</v>
      </c>
      <c r="E56" s="706">
        <v>34000</v>
      </c>
      <c r="F56" s="706">
        <v>34000</v>
      </c>
      <c r="G56" s="706">
        <v>34000</v>
      </c>
      <c r="H56" s="706">
        <v>34000</v>
      </c>
      <c r="I56" s="706">
        <v>34000</v>
      </c>
      <c r="J56" s="706">
        <v>34000</v>
      </c>
      <c r="K56" s="706">
        <v>34000</v>
      </c>
      <c r="L56" s="706">
        <v>34000</v>
      </c>
      <c r="M56" s="706">
        <v>34000</v>
      </c>
      <c r="N56" s="706"/>
      <c r="O56" s="706">
        <f>SUM(B56:N56)</f>
        <v>408000</v>
      </c>
      <c r="P56" s="461"/>
      <c r="Q56" s="461"/>
      <c r="R56" s="461"/>
      <c r="S56" s="461"/>
      <c r="T56" s="461"/>
    </row>
    <row r="57" spans="1:20" ht="15.75" thickBot="1">
      <c r="A57" s="714" t="s">
        <v>505</v>
      </c>
      <c r="B57" s="715">
        <f t="shared" ref="B57:M57" si="20">SUM(B48:B56)</f>
        <v>304000</v>
      </c>
      <c r="C57" s="715">
        <f t="shared" si="20"/>
        <v>704000</v>
      </c>
      <c r="D57" s="715">
        <f t="shared" si="20"/>
        <v>504000</v>
      </c>
      <c r="E57" s="715">
        <f t="shared" si="20"/>
        <v>504000</v>
      </c>
      <c r="F57" s="715">
        <f t="shared" si="20"/>
        <v>504000</v>
      </c>
      <c r="G57" s="715">
        <f t="shared" si="20"/>
        <v>504000</v>
      </c>
      <c r="H57" s="715">
        <f t="shared" si="20"/>
        <v>504000</v>
      </c>
      <c r="I57" s="715">
        <f t="shared" si="20"/>
        <v>504000</v>
      </c>
      <c r="J57" s="715">
        <f t="shared" si="20"/>
        <v>504000</v>
      </c>
      <c r="K57" s="715">
        <f t="shared" si="20"/>
        <v>504000</v>
      </c>
      <c r="L57" s="715">
        <f t="shared" si="20"/>
        <v>504000</v>
      </c>
      <c r="M57" s="715">
        <f t="shared" si="20"/>
        <v>504000</v>
      </c>
      <c r="N57" s="715"/>
      <c r="O57" s="716">
        <f>SUM(O48:O56)</f>
        <v>6048000</v>
      </c>
      <c r="P57" s="220"/>
      <c r="Q57" s="220"/>
      <c r="R57" s="220"/>
      <c r="S57" s="220"/>
    </row>
    <row r="58" spans="1:20">
      <c r="A58" s="717"/>
      <c r="B58" s="717"/>
      <c r="C58" s="717"/>
      <c r="D58" s="717"/>
      <c r="E58" s="717"/>
      <c r="F58" s="717"/>
      <c r="G58" s="717"/>
      <c r="H58" s="717"/>
      <c r="I58" s="717"/>
      <c r="J58" s="717"/>
      <c r="K58" s="717"/>
      <c r="L58" s="717"/>
      <c r="M58" s="717"/>
      <c r="N58" s="717"/>
      <c r="O58" s="717"/>
      <c r="R58" s="220"/>
    </row>
    <row r="59" spans="1:20">
      <c r="A59" s="427" t="s">
        <v>502</v>
      </c>
      <c r="B59" s="427"/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6">
        <f>O44+O57</f>
        <v>6048000</v>
      </c>
    </row>
    <row r="60" spans="1:20">
      <c r="A60" s="427" t="s">
        <v>504</v>
      </c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6">
        <f>A20</f>
        <v>6000000</v>
      </c>
      <c r="P60" s="295"/>
      <c r="Q60" s="295"/>
    </row>
    <row r="61" spans="1:20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348"/>
    </row>
    <row r="62" spans="1:20">
      <c r="A62" s="425" t="s">
        <v>503</v>
      </c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4">
        <f>SUM(O59:O61)</f>
        <v>12048000</v>
      </c>
      <c r="Q62" s="220"/>
      <c r="R62" s="220"/>
    </row>
    <row r="63" spans="1:20">
      <c r="A63" s="275"/>
      <c r="B63" s="275"/>
      <c r="C63" s="275"/>
      <c r="D63" s="275"/>
      <c r="E63" s="275"/>
      <c r="F63" s="275"/>
      <c r="G63" s="275"/>
      <c r="H63" s="275"/>
      <c r="I63" s="275"/>
      <c r="J63" s="275"/>
      <c r="K63" s="275"/>
      <c r="L63" s="275"/>
      <c r="M63" s="275"/>
      <c r="N63" s="275"/>
      <c r="O63" s="275"/>
    </row>
    <row r="64" spans="1:20">
      <c r="Q64" s="220"/>
    </row>
  </sheetData>
  <mergeCells count="26">
    <mergeCell ref="Z7:Z9"/>
    <mergeCell ref="A12:F12"/>
    <mergeCell ref="A15:E15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A7:I7"/>
    <mergeCell ref="J7:Q7"/>
    <mergeCell ref="E3:M3"/>
    <mergeCell ref="A36:P36"/>
    <mergeCell ref="A22:E22"/>
    <mergeCell ref="A29:E29"/>
    <mergeCell ref="Y7:Y9"/>
    <mergeCell ref="A6:X6"/>
    <mergeCell ref="R7:U7"/>
    <mergeCell ref="V7:V9"/>
    <mergeCell ref="W7:W9"/>
    <mergeCell ref="X7:X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4:AF111"/>
  <sheetViews>
    <sheetView topLeftCell="A76" workbookViewId="0">
      <selection activeCell="H98" sqref="H98"/>
    </sheetView>
  </sheetViews>
  <sheetFormatPr baseColWidth="10" defaultRowHeight="15"/>
  <cols>
    <col min="1" max="1" width="11.42578125" style="216"/>
    <col min="2" max="3" width="17.28515625" style="216" bestFit="1" customWidth="1"/>
    <col min="4" max="4" width="34.28515625" style="216" customWidth="1"/>
    <col min="5" max="5" width="36.140625" style="428" customWidth="1"/>
    <col min="6" max="6" width="38.28515625" style="219" bestFit="1" customWidth="1"/>
    <col min="7" max="7" width="22.140625" style="216" bestFit="1" customWidth="1"/>
    <col min="8" max="8" width="15" style="216" bestFit="1" customWidth="1"/>
    <col min="9" max="9" width="14.5703125" style="216" customWidth="1"/>
    <col min="10" max="10" width="18.5703125" style="216" bestFit="1" customWidth="1"/>
    <col min="11" max="11" width="21" style="216" customWidth="1"/>
    <col min="12" max="12" width="14.42578125" style="216" bestFit="1" customWidth="1"/>
    <col min="13" max="13" width="23.7109375" style="216" customWidth="1"/>
    <col min="14" max="24" width="11.42578125" style="216"/>
    <col min="25" max="29" width="16.5703125" style="216" customWidth="1"/>
    <col min="30" max="16384" width="11.42578125" style="216"/>
  </cols>
  <sheetData>
    <row r="4" spans="1:32" ht="26.25">
      <c r="E4" s="974" t="s">
        <v>637</v>
      </c>
      <c r="F4" s="974"/>
      <c r="G4" s="974"/>
      <c r="H4" s="974"/>
      <c r="I4" s="974"/>
      <c r="J4" s="974"/>
      <c r="K4" s="974"/>
      <c r="L4" s="974"/>
      <c r="M4" s="974"/>
    </row>
    <row r="7" spans="1:32" ht="15.75" thickBot="1"/>
    <row r="8" spans="1:32" ht="15.75" thickBot="1">
      <c r="A8" s="925" t="s">
        <v>671</v>
      </c>
      <c r="B8" s="926"/>
      <c r="C8" s="926"/>
      <c r="D8" s="926"/>
      <c r="E8" s="926"/>
      <c r="F8" s="926"/>
      <c r="G8" s="926"/>
      <c r="H8" s="926"/>
      <c r="I8" s="926"/>
      <c r="J8" s="926"/>
      <c r="K8" s="926"/>
      <c r="L8" s="926"/>
      <c r="M8" s="926"/>
      <c r="N8" s="926"/>
      <c r="O8" s="926"/>
      <c r="P8" s="926"/>
      <c r="Q8" s="926"/>
      <c r="R8" s="926"/>
      <c r="S8" s="926"/>
      <c r="T8" s="926"/>
      <c r="U8" s="926"/>
      <c r="V8" s="926"/>
      <c r="W8" s="926"/>
      <c r="X8" s="926"/>
      <c r="Y8" s="927"/>
      <c r="Z8" s="356"/>
      <c r="AA8" s="356"/>
      <c r="AB8" s="356"/>
      <c r="AC8" s="356"/>
    </row>
    <row r="9" spans="1:32" ht="15.75" customHeight="1" thickBot="1">
      <c r="A9" s="467" t="s">
        <v>500</v>
      </c>
      <c r="B9" s="468"/>
      <c r="C9" s="468"/>
      <c r="D9" s="468"/>
      <c r="E9" s="468"/>
      <c r="F9" s="468"/>
      <c r="G9" s="468"/>
      <c r="H9" s="468"/>
      <c r="I9" s="689"/>
      <c r="J9" s="468"/>
      <c r="K9" s="468" t="s">
        <v>499</v>
      </c>
      <c r="L9" s="468"/>
      <c r="M9" s="468"/>
      <c r="N9" s="468"/>
      <c r="O9" s="468"/>
      <c r="P9" s="468"/>
      <c r="Q9" s="468"/>
      <c r="R9" s="468"/>
      <c r="S9" s="472" t="s">
        <v>498</v>
      </c>
      <c r="T9" s="473"/>
      <c r="U9" s="473"/>
      <c r="V9" s="474"/>
      <c r="W9" s="475" t="s">
        <v>497</v>
      </c>
      <c r="X9" s="483" t="s">
        <v>496</v>
      </c>
      <c r="Y9" s="980" t="s">
        <v>580</v>
      </c>
      <c r="Z9" s="980" t="s">
        <v>581</v>
      </c>
      <c r="AA9" s="980" t="s">
        <v>582</v>
      </c>
      <c r="AB9" s="980" t="s">
        <v>583</v>
      </c>
      <c r="AC9" s="980" t="s">
        <v>584</v>
      </c>
    </row>
    <row r="10" spans="1:32" ht="39" customHeight="1">
      <c r="A10" s="731" t="s">
        <v>495</v>
      </c>
      <c r="B10" s="732" t="s">
        <v>577</v>
      </c>
      <c r="C10" s="733" t="s">
        <v>494</v>
      </c>
      <c r="D10" s="478" t="s">
        <v>493</v>
      </c>
      <c r="E10" s="478" t="s">
        <v>492</v>
      </c>
      <c r="F10" s="478"/>
      <c r="G10" s="469" t="s">
        <v>578</v>
      </c>
      <c r="H10" s="469" t="s">
        <v>491</v>
      </c>
      <c r="I10" s="756" t="s">
        <v>623</v>
      </c>
      <c r="J10" s="479" t="s">
        <v>490</v>
      </c>
      <c r="K10" s="478" t="s">
        <v>489</v>
      </c>
      <c r="L10" s="418" t="s">
        <v>488</v>
      </c>
      <c r="M10" s="418" t="s">
        <v>487</v>
      </c>
      <c r="N10" s="418" t="s">
        <v>486</v>
      </c>
      <c r="O10" s="418" t="s">
        <v>485</v>
      </c>
      <c r="P10" s="478" t="s">
        <v>484</v>
      </c>
      <c r="Q10" s="478" t="s">
        <v>483</v>
      </c>
      <c r="R10" s="480" t="s">
        <v>482</v>
      </c>
      <c r="S10" s="417" t="s">
        <v>481</v>
      </c>
      <c r="T10" s="416" t="s">
        <v>480</v>
      </c>
      <c r="U10" s="415" t="s">
        <v>479</v>
      </c>
      <c r="V10" s="481" t="s">
        <v>478</v>
      </c>
      <c r="W10" s="476"/>
      <c r="X10" s="484"/>
      <c r="Y10" s="981"/>
      <c r="Z10" s="981"/>
      <c r="AA10" s="981"/>
      <c r="AB10" s="981"/>
      <c r="AC10" s="981"/>
    </row>
    <row r="11" spans="1:32" ht="15.75" thickBot="1">
      <c r="A11" s="623"/>
      <c r="B11" s="627"/>
      <c r="C11" s="414"/>
      <c r="D11" s="478"/>
      <c r="E11" s="478" t="s">
        <v>477</v>
      </c>
      <c r="F11" s="478" t="s">
        <v>476</v>
      </c>
      <c r="G11" s="469"/>
      <c r="H11" s="469"/>
      <c r="I11" s="756"/>
      <c r="J11" s="479"/>
      <c r="K11" s="412">
        <v>8.5000000000000006E-2</v>
      </c>
      <c r="L11" s="409">
        <v>0.12</v>
      </c>
      <c r="M11" s="411">
        <v>0.01</v>
      </c>
      <c r="N11" s="410">
        <v>4.2000000000000003E-2</v>
      </c>
      <c r="O11" s="408">
        <v>8.3299999999999999E-2</v>
      </c>
      <c r="P11" s="409">
        <v>0.01</v>
      </c>
      <c r="Q11" s="408">
        <v>8.3299999999999999E-2</v>
      </c>
      <c r="R11" s="480"/>
      <c r="S11" s="407">
        <v>0.04</v>
      </c>
      <c r="T11" s="407">
        <v>0</v>
      </c>
      <c r="U11" s="406">
        <v>0</v>
      </c>
      <c r="V11" s="482"/>
      <c r="W11" s="477"/>
      <c r="X11" s="485"/>
      <c r="Y11" s="982"/>
      <c r="Z11" s="982"/>
      <c r="AA11" s="982"/>
      <c r="AB11" s="982"/>
      <c r="AC11" s="982"/>
    </row>
    <row r="12" spans="1:32" ht="15.75">
      <c r="A12" s="625"/>
      <c r="B12" s="634">
        <v>1</v>
      </c>
      <c r="C12" s="389" t="s">
        <v>18</v>
      </c>
      <c r="D12" s="282" t="s">
        <v>563</v>
      </c>
      <c r="E12" s="393">
        <v>30</v>
      </c>
      <c r="F12" s="393">
        <v>192</v>
      </c>
      <c r="G12" s="385">
        <v>800000</v>
      </c>
      <c r="H12" s="385">
        <v>83140</v>
      </c>
      <c r="I12" s="385">
        <v>100000</v>
      </c>
      <c r="J12" s="392">
        <f>G12+H12+I12</f>
        <v>983140</v>
      </c>
      <c r="K12" s="385">
        <f>G12*K11</f>
        <v>68000</v>
      </c>
      <c r="L12" s="385">
        <f>G12*L11</f>
        <v>96000</v>
      </c>
      <c r="M12" s="385">
        <f>G12*M11</f>
        <v>8000</v>
      </c>
      <c r="N12" s="387">
        <f>G12*N11</f>
        <v>33600</v>
      </c>
      <c r="O12" s="387">
        <f>J12*O11</f>
        <v>81895.562000000005</v>
      </c>
      <c r="P12" s="388">
        <f>J12*P11</f>
        <v>9831.4</v>
      </c>
      <c r="Q12" s="387">
        <f>J12*Q11</f>
        <v>81895.562000000005</v>
      </c>
      <c r="R12" s="391">
        <f t="shared" ref="R12" si="0">SUM(J12:Q12)</f>
        <v>1362362.5239999997</v>
      </c>
      <c r="S12" s="385">
        <f>R12*S11</f>
        <v>54494.50095999999</v>
      </c>
      <c r="T12" s="385"/>
      <c r="U12" s="384"/>
      <c r="V12" s="383">
        <f t="shared" ref="V12" si="1">S12+T12+U12</f>
        <v>54494.50095999999</v>
      </c>
      <c r="W12" s="383">
        <f t="shared" ref="W12" si="2">R12+V12</f>
        <v>1416857.0249599998</v>
      </c>
      <c r="X12" s="390">
        <v>7</v>
      </c>
      <c r="Y12" s="629">
        <f t="shared" ref="Y12" si="3">W12*X12</f>
        <v>9917999.1747199986</v>
      </c>
      <c r="Z12" s="629">
        <f>(W12*12)*1.0383</f>
        <v>17653471.788191613</v>
      </c>
      <c r="AA12" s="629">
        <f>Z12*1.0383</f>
        <v>18329599.757679351</v>
      </c>
      <c r="AB12" s="629">
        <f>AA12*1.0383</f>
        <v>19031623.428398471</v>
      </c>
      <c r="AC12" s="629">
        <f t="shared" ref="AC12" si="4">AB12*1.0383</f>
        <v>19760534.605706133</v>
      </c>
    </row>
    <row r="13" spans="1:32" ht="16.5" thickBot="1">
      <c r="A13" s="625"/>
      <c r="B13" s="634"/>
      <c r="C13" s="389"/>
      <c r="D13" s="282"/>
      <c r="E13" s="393"/>
      <c r="F13" s="393"/>
      <c r="G13" s="385"/>
      <c r="H13" s="385"/>
      <c r="I13" s="385"/>
      <c r="J13" s="392"/>
      <c r="K13" s="385"/>
      <c r="L13" s="385"/>
      <c r="M13" s="385"/>
      <c r="N13" s="387"/>
      <c r="O13" s="387"/>
      <c r="P13" s="388"/>
      <c r="Q13" s="387"/>
      <c r="R13" s="391"/>
      <c r="S13" s="385"/>
      <c r="T13" s="385"/>
      <c r="U13" s="384"/>
      <c r="V13" s="383"/>
      <c r="W13" s="383"/>
      <c r="X13" s="390"/>
      <c r="Y13" s="629"/>
      <c r="Z13" s="629"/>
      <c r="AA13" s="629"/>
      <c r="AB13" s="631"/>
      <c r="AC13" s="632"/>
    </row>
    <row r="14" spans="1:32" ht="18.75" thickBot="1">
      <c r="A14" s="470" t="s">
        <v>344</v>
      </c>
      <c r="B14" s="471"/>
      <c r="C14" s="471"/>
      <c r="D14" s="471"/>
      <c r="E14" s="471"/>
      <c r="F14" s="626"/>
      <c r="G14" s="381">
        <f t="shared" ref="G14:W14" si="5">SUM(G12:G13)</f>
        <v>800000</v>
      </c>
      <c r="H14" s="380">
        <f t="shared" si="5"/>
        <v>83140</v>
      </c>
      <c r="I14" s="380"/>
      <c r="J14" s="379">
        <f t="shared" si="5"/>
        <v>983140</v>
      </c>
      <c r="K14" s="378">
        <f t="shared" si="5"/>
        <v>68000</v>
      </c>
      <c r="L14" s="378">
        <f t="shared" si="5"/>
        <v>96000</v>
      </c>
      <c r="M14" s="378">
        <f t="shared" si="5"/>
        <v>8000</v>
      </c>
      <c r="N14" s="378">
        <f t="shared" si="5"/>
        <v>33600</v>
      </c>
      <c r="O14" s="378">
        <f t="shared" si="5"/>
        <v>81895.562000000005</v>
      </c>
      <c r="P14" s="378">
        <f t="shared" si="5"/>
        <v>9831.4</v>
      </c>
      <c r="Q14" s="378">
        <f t="shared" si="5"/>
        <v>81895.562000000005</v>
      </c>
      <c r="R14" s="377">
        <f t="shared" si="5"/>
        <v>1362362.5239999997</v>
      </c>
      <c r="S14" s="378">
        <f t="shared" si="5"/>
        <v>54494.50095999999</v>
      </c>
      <c r="T14" s="378">
        <f t="shared" si="5"/>
        <v>0</v>
      </c>
      <c r="U14" s="378">
        <f t="shared" si="5"/>
        <v>0</v>
      </c>
      <c r="V14" s="377">
        <f t="shared" si="5"/>
        <v>54494.50095999999</v>
      </c>
      <c r="W14" s="376">
        <f t="shared" si="5"/>
        <v>1416857.0249599998</v>
      </c>
      <c r="X14" s="375">
        <v>12</v>
      </c>
      <c r="Y14" s="630">
        <f>SUM(Y12:Y13)</f>
        <v>9917999.1747199986</v>
      </c>
      <c r="Z14" s="630">
        <f>SUM(Z12:Z13)</f>
        <v>17653471.788191613</v>
      </c>
      <c r="AA14" s="630">
        <f>SUM(AA12:AA13)</f>
        <v>18329599.757679351</v>
      </c>
      <c r="AB14" s="630">
        <f>SUM(AB12:AB13)</f>
        <v>19031623.428398471</v>
      </c>
      <c r="AC14" s="630">
        <f>SUM(AC12:AC13)</f>
        <v>19760534.605706133</v>
      </c>
    </row>
    <row r="15" spans="1:32" s="226" customFormat="1" ht="18">
      <c r="D15" s="724"/>
      <c r="E15" s="724"/>
      <c r="F15" s="724"/>
      <c r="G15" s="724"/>
      <c r="H15" s="724"/>
      <c r="I15" s="724"/>
      <c r="J15" s="724"/>
      <c r="K15" s="725"/>
      <c r="L15" s="725"/>
      <c r="M15" s="726"/>
      <c r="N15" s="726"/>
      <c r="O15" s="726"/>
      <c r="P15" s="726"/>
      <c r="Q15" s="726"/>
      <c r="R15" s="726"/>
      <c r="S15" s="726"/>
      <c r="T15" s="726"/>
      <c r="U15" s="727"/>
      <c r="V15" s="726"/>
      <c r="W15" s="726"/>
      <c r="X15" s="726"/>
      <c r="Y15" s="727"/>
      <c r="Z15" s="728"/>
      <c r="AA15" s="729"/>
      <c r="AB15" s="730"/>
      <c r="AC15" s="730"/>
      <c r="AD15" s="730"/>
      <c r="AE15" s="730"/>
      <c r="AF15" s="730"/>
    </row>
    <row r="16" spans="1:32" s="226" customFormat="1" ht="18.75" thickBot="1">
      <c r="D16" s="724"/>
      <c r="E16" s="724"/>
      <c r="F16" s="724"/>
      <c r="G16" s="724"/>
      <c r="H16" s="724"/>
      <c r="I16" s="724"/>
      <c r="J16" s="724"/>
      <c r="K16" s="725"/>
      <c r="L16" s="725"/>
      <c r="M16" s="726"/>
      <c r="N16" s="726"/>
      <c r="O16" s="726"/>
      <c r="P16" s="726"/>
      <c r="Q16" s="726"/>
      <c r="R16" s="726"/>
      <c r="S16" s="726"/>
      <c r="T16" s="726"/>
      <c r="U16" s="727"/>
      <c r="V16" s="726"/>
      <c r="W16" s="726"/>
      <c r="X16" s="726"/>
      <c r="Y16" s="727"/>
      <c r="Z16" s="728"/>
      <c r="AA16" s="729"/>
      <c r="AB16" s="730"/>
      <c r="AC16" s="730"/>
      <c r="AD16" s="730"/>
      <c r="AE16" s="730"/>
      <c r="AF16" s="730"/>
    </row>
    <row r="17" spans="2:32" s="226" customFormat="1" ht="18">
      <c r="B17" s="977" t="s">
        <v>596</v>
      </c>
      <c r="C17" s="978"/>
      <c r="D17" s="978"/>
      <c r="E17" s="978"/>
      <c r="F17" s="979"/>
      <c r="G17" s="724"/>
      <c r="H17" s="724"/>
      <c r="I17" s="724"/>
      <c r="J17" s="724"/>
      <c r="K17" s="725"/>
      <c r="L17" s="725"/>
      <c r="M17" s="726"/>
      <c r="N17" s="726"/>
      <c r="O17" s="726"/>
      <c r="P17" s="726"/>
      <c r="Q17" s="726"/>
      <c r="R17" s="726"/>
      <c r="S17" s="726"/>
      <c r="T17" s="726"/>
      <c r="U17" s="727"/>
      <c r="V17" s="726"/>
      <c r="W17" s="726"/>
      <c r="X17" s="726"/>
      <c r="Y17" s="727"/>
      <c r="Z17" s="728"/>
      <c r="AA17" s="729"/>
      <c r="AB17" s="730"/>
      <c r="AC17" s="730"/>
      <c r="AD17" s="730"/>
      <c r="AE17" s="730"/>
      <c r="AF17" s="730"/>
    </row>
    <row r="18" spans="2:32" s="226" customFormat="1" ht="25.5">
      <c r="B18" s="721" t="s">
        <v>580</v>
      </c>
      <c r="C18" s="734" t="s">
        <v>581</v>
      </c>
      <c r="D18" s="734" t="s">
        <v>582</v>
      </c>
      <c r="E18" s="734" t="s">
        <v>583</v>
      </c>
      <c r="F18" s="735" t="s">
        <v>584</v>
      </c>
      <c r="G18" s="724"/>
      <c r="H18" s="724"/>
      <c r="I18" s="724"/>
      <c r="J18" s="724"/>
      <c r="K18" s="725" t="str">
        <f>D94</f>
        <v>TOTAL ESTRATEGIA DISTRIBUCION</v>
      </c>
      <c r="L18" s="725"/>
      <c r="M18" s="726"/>
      <c r="N18" s="726"/>
      <c r="O18" s="726"/>
      <c r="P18" s="726"/>
      <c r="Q18" s="726"/>
      <c r="R18" s="726"/>
      <c r="S18" s="726"/>
      <c r="T18" s="726"/>
      <c r="U18" s="727"/>
      <c r="V18" s="726"/>
      <c r="W18" s="726"/>
      <c r="X18" s="726"/>
      <c r="Y18" s="727"/>
      <c r="Z18" s="728"/>
      <c r="AA18" s="729"/>
      <c r="AB18" s="730"/>
      <c r="AC18" s="730"/>
      <c r="AD18" s="730"/>
      <c r="AE18" s="730"/>
      <c r="AF18" s="730"/>
    </row>
    <row r="19" spans="2:32" s="226" customFormat="1" ht="18">
      <c r="B19" s="701">
        <f>Y12</f>
        <v>9917999.1747199986</v>
      </c>
      <c r="C19" s="701">
        <f t="shared" ref="C19:F19" si="6">Z12</f>
        <v>17653471.788191613</v>
      </c>
      <c r="D19" s="701">
        <f t="shared" si="6"/>
        <v>18329599.757679351</v>
      </c>
      <c r="E19" s="701">
        <f t="shared" si="6"/>
        <v>19031623.428398471</v>
      </c>
      <c r="F19" s="701">
        <f t="shared" si="6"/>
        <v>19760534.605706133</v>
      </c>
      <c r="G19" s="724"/>
      <c r="H19" s="724"/>
      <c r="I19" s="724"/>
      <c r="J19" s="724"/>
      <c r="K19" s="725"/>
      <c r="L19" s="725"/>
      <c r="M19" s="726"/>
      <c r="N19" s="726"/>
      <c r="O19" s="726"/>
      <c r="P19" s="726"/>
      <c r="Q19" s="726"/>
      <c r="R19" s="726"/>
      <c r="S19" s="726"/>
      <c r="T19" s="726"/>
      <c r="U19" s="727"/>
      <c r="V19" s="726"/>
      <c r="W19" s="726"/>
      <c r="X19" s="726"/>
      <c r="Y19" s="727"/>
      <c r="Z19" s="728"/>
      <c r="AA19" s="729"/>
      <c r="AB19" s="730"/>
      <c r="AC19" s="730"/>
      <c r="AD19" s="730"/>
      <c r="AE19" s="730"/>
      <c r="AF19" s="730"/>
    </row>
    <row r="20" spans="2:32" s="226" customFormat="1" ht="18">
      <c r="B20" s="701">
        <f>Y13</f>
        <v>0</v>
      </c>
      <c r="C20" s="701">
        <f t="shared" ref="C20" si="7">Z13</f>
        <v>0</v>
      </c>
      <c r="D20" s="701">
        <f t="shared" ref="D20" si="8">AA13</f>
        <v>0</v>
      </c>
      <c r="E20" s="701">
        <f t="shared" ref="E20" si="9">AB13</f>
        <v>0</v>
      </c>
      <c r="F20" s="701">
        <f t="shared" ref="F20" si="10">AC13</f>
        <v>0</v>
      </c>
      <c r="G20" s="724"/>
      <c r="H20" s="724"/>
      <c r="I20" s="724"/>
      <c r="J20" s="724"/>
      <c r="K20" s="993" t="s">
        <v>520</v>
      </c>
      <c r="L20" s="993"/>
      <c r="M20" s="993"/>
      <c r="N20" s="726"/>
      <c r="O20" s="726"/>
      <c r="P20" s="726"/>
      <c r="Q20" s="726"/>
      <c r="R20" s="726"/>
      <c r="S20" s="726"/>
      <c r="T20" s="726"/>
      <c r="U20" s="727"/>
      <c r="V20" s="726"/>
      <c r="W20" s="726"/>
      <c r="X20" s="726"/>
      <c r="Y20" s="727"/>
      <c r="Z20" s="728"/>
      <c r="AA20" s="729"/>
      <c r="AB20" s="730"/>
      <c r="AC20" s="730"/>
      <c r="AD20" s="730"/>
      <c r="AE20" s="730"/>
      <c r="AF20" s="730"/>
    </row>
    <row r="21" spans="2:32" s="226" customFormat="1" ht="18">
      <c r="B21" s="701"/>
      <c r="C21" s="698"/>
      <c r="D21" s="698"/>
      <c r="E21" s="698"/>
      <c r="F21" s="702"/>
      <c r="G21" s="724"/>
      <c r="H21" s="724"/>
      <c r="I21" s="724"/>
      <c r="J21" s="724"/>
      <c r="K21" s="216"/>
      <c r="L21" s="428"/>
      <c r="M21" s="219"/>
      <c r="N21" s="726"/>
      <c r="O21" s="726"/>
      <c r="P21" s="726"/>
      <c r="Q21" s="726"/>
      <c r="R21" s="726"/>
      <c r="S21" s="726"/>
      <c r="T21" s="726"/>
      <c r="U21" s="727"/>
      <c r="V21" s="726"/>
      <c r="W21" s="726"/>
      <c r="X21" s="726"/>
      <c r="Y21" s="727"/>
      <c r="Z21" s="728"/>
      <c r="AA21" s="729"/>
      <c r="AB21" s="730"/>
      <c r="AC21" s="730"/>
      <c r="AD21" s="730"/>
      <c r="AE21" s="730"/>
      <c r="AF21" s="730"/>
    </row>
    <row r="22" spans="2:32" s="226" customFormat="1" ht="25.5">
      <c r="B22" s="701"/>
      <c r="C22" s="698"/>
      <c r="D22" s="698"/>
      <c r="E22" s="698"/>
      <c r="F22" s="702"/>
      <c r="G22" s="724"/>
      <c r="H22" s="724"/>
      <c r="I22" s="724"/>
      <c r="J22" s="724"/>
      <c r="K22" s="736" t="s">
        <v>519</v>
      </c>
      <c r="L22" s="432">
        <f>E94</f>
        <v>0</v>
      </c>
      <c r="M22" s="219"/>
      <c r="N22" s="726"/>
      <c r="O22" s="726"/>
      <c r="P22" s="726"/>
      <c r="Q22" s="726"/>
      <c r="R22" s="726"/>
      <c r="S22" s="726"/>
      <c r="T22" s="726"/>
      <c r="U22" s="727"/>
      <c r="V22" s="726"/>
      <c r="W22" s="726"/>
      <c r="X22" s="726"/>
      <c r="Y22" s="727"/>
      <c r="Z22" s="728"/>
      <c r="AA22" s="729"/>
      <c r="AB22" s="730"/>
      <c r="AC22" s="730"/>
      <c r="AD22" s="730"/>
      <c r="AE22" s="730"/>
      <c r="AF22" s="730"/>
    </row>
    <row r="23" spans="2:32" s="226" customFormat="1" ht="18.75" thickBot="1">
      <c r="B23" s="703">
        <f>SUM(B19:B22)</f>
        <v>9917999.1747199986</v>
      </c>
      <c r="C23" s="704">
        <f>SUM(C19:C22)</f>
        <v>17653471.788191613</v>
      </c>
      <c r="D23" s="704">
        <f>SUM(D19:D22)</f>
        <v>18329599.757679351</v>
      </c>
      <c r="E23" s="704">
        <f>SUM(E19:E22)</f>
        <v>19031623.428398471</v>
      </c>
      <c r="F23" s="705">
        <f>SUM(F19:F22)</f>
        <v>19760534.605706133</v>
      </c>
      <c r="G23" s="724"/>
      <c r="H23" s="724"/>
      <c r="I23" s="724"/>
      <c r="J23" s="724"/>
      <c r="L23" s="431"/>
      <c r="M23" s="219"/>
      <c r="N23" s="726"/>
      <c r="O23" s="726"/>
      <c r="P23" s="726"/>
      <c r="Q23" s="726"/>
      <c r="R23" s="726"/>
      <c r="S23" s="726"/>
      <c r="T23" s="726"/>
      <c r="U23" s="727"/>
      <c r="V23" s="726"/>
      <c r="W23" s="726"/>
      <c r="X23" s="726"/>
      <c r="Y23" s="727"/>
      <c r="Z23" s="728"/>
      <c r="AA23" s="729"/>
      <c r="AB23" s="730"/>
      <c r="AC23" s="730"/>
      <c r="AD23" s="730"/>
      <c r="AE23" s="730"/>
      <c r="AF23" s="730"/>
    </row>
    <row r="24" spans="2:32" s="226" customFormat="1" ht="34.5" customHeight="1" thickBot="1">
      <c r="D24" s="724"/>
      <c r="E24" s="724"/>
      <c r="F24" s="724"/>
      <c r="G24" s="724"/>
      <c r="H24" s="724"/>
      <c r="I24" s="724"/>
      <c r="J24" s="724"/>
      <c r="K24" s="736" t="s">
        <v>518</v>
      </c>
      <c r="L24" s="432">
        <f>E95</f>
        <v>4285000</v>
      </c>
      <c r="M24" s="219"/>
      <c r="N24" s="726"/>
      <c r="O24" s="726"/>
      <c r="P24" s="726"/>
      <c r="Q24" s="726"/>
      <c r="R24" s="726"/>
      <c r="S24" s="726"/>
      <c r="T24" s="726"/>
      <c r="U24" s="727"/>
      <c r="V24" s="726"/>
      <c r="W24" s="726"/>
      <c r="X24" s="726"/>
      <c r="Y24" s="727"/>
      <c r="Z24" s="728"/>
      <c r="AA24" s="729"/>
      <c r="AB24" s="730"/>
      <c r="AC24" s="730"/>
      <c r="AD24" s="730"/>
      <c r="AE24" s="730"/>
      <c r="AF24" s="730"/>
    </row>
    <row r="25" spans="2:32" s="226" customFormat="1" ht="18">
      <c r="B25" s="1022" t="s">
        <v>597</v>
      </c>
      <c r="C25" s="1023"/>
      <c r="D25" s="1023"/>
      <c r="E25" s="1023"/>
      <c r="F25" s="1024"/>
      <c r="G25" s="724"/>
      <c r="H25" s="724"/>
      <c r="I25" s="724"/>
      <c r="J25" s="724"/>
      <c r="L25" s="431"/>
      <c r="M25" s="219"/>
      <c r="N25" s="726"/>
      <c r="O25" s="726"/>
      <c r="P25" s="726"/>
      <c r="Q25" s="726"/>
      <c r="R25" s="726"/>
      <c r="S25" s="726"/>
      <c r="T25" s="726"/>
      <c r="U25" s="727"/>
      <c r="V25" s="726"/>
      <c r="W25" s="726"/>
      <c r="X25" s="726"/>
      <c r="Y25" s="727"/>
      <c r="Z25" s="728"/>
      <c r="AA25" s="729"/>
      <c r="AB25" s="730"/>
      <c r="AC25" s="730"/>
      <c r="AD25" s="730"/>
      <c r="AE25" s="730"/>
      <c r="AF25" s="730"/>
    </row>
    <row r="26" spans="2:32" s="226" customFormat="1" ht="42.75">
      <c r="B26" s="721" t="s">
        <v>580</v>
      </c>
      <c r="C26" s="734" t="s">
        <v>581</v>
      </c>
      <c r="D26" s="734" t="s">
        <v>582</v>
      </c>
      <c r="E26" s="734" t="s">
        <v>583</v>
      </c>
      <c r="F26" s="735" t="s">
        <v>584</v>
      </c>
      <c r="G26" s="724"/>
      <c r="H26" s="724"/>
      <c r="I26" s="724"/>
      <c r="J26" s="724"/>
      <c r="K26" s="737" t="s">
        <v>517</v>
      </c>
      <c r="L26" s="432">
        <f>E96</f>
        <v>0</v>
      </c>
      <c r="M26" s="219"/>
      <c r="N26" s="726"/>
      <c r="O26" s="726"/>
      <c r="P26" s="726"/>
      <c r="Q26" s="726"/>
      <c r="R26" s="726"/>
      <c r="S26" s="726"/>
      <c r="T26" s="726"/>
      <c r="U26" s="727"/>
      <c r="V26" s="726"/>
      <c r="W26" s="726"/>
      <c r="X26" s="726"/>
      <c r="Y26" s="727"/>
      <c r="Z26" s="728"/>
      <c r="AA26" s="729"/>
      <c r="AB26" s="730"/>
      <c r="AC26" s="730"/>
      <c r="AD26" s="730"/>
      <c r="AE26" s="730"/>
      <c r="AF26" s="730"/>
    </row>
    <row r="27" spans="2:32" s="226" customFormat="1" ht="18">
      <c r="B27" s="701">
        <f>F99</f>
        <v>4585000</v>
      </c>
      <c r="C27" s="698">
        <f>B27*1.0383</f>
        <v>4760605.5</v>
      </c>
      <c r="D27" s="698">
        <f>C27*1.0383</f>
        <v>4942936.6906500002</v>
      </c>
      <c r="E27" s="698">
        <f>D27*1.0383</f>
        <v>5132251.1659018956</v>
      </c>
      <c r="F27" s="698">
        <f t="shared" ref="F27" si="11">E27*1.0383</f>
        <v>5328816.3855559379</v>
      </c>
      <c r="G27" s="724"/>
      <c r="H27" s="724"/>
      <c r="I27" s="724"/>
      <c r="J27" s="724"/>
      <c r="L27" s="431"/>
      <c r="M27" s="219"/>
      <c r="N27" s="726"/>
      <c r="O27" s="726"/>
      <c r="P27" s="726"/>
      <c r="Q27" s="726"/>
      <c r="R27" s="726"/>
      <c r="S27" s="726"/>
      <c r="T27" s="726"/>
      <c r="U27" s="727"/>
      <c r="V27" s="726"/>
      <c r="W27" s="726"/>
      <c r="X27" s="726"/>
      <c r="Y27" s="727"/>
      <c r="Z27" s="728"/>
      <c r="AA27" s="729"/>
      <c r="AB27" s="730"/>
      <c r="AC27" s="730"/>
      <c r="AD27" s="730"/>
      <c r="AE27" s="730"/>
      <c r="AF27" s="730"/>
    </row>
    <row r="28" spans="2:32" s="226" customFormat="1" ht="29.25" thickBot="1">
      <c r="B28" s="701"/>
      <c r="C28" s="698"/>
      <c r="D28" s="698"/>
      <c r="E28" s="698"/>
      <c r="F28" s="702"/>
      <c r="G28" s="724"/>
      <c r="H28" s="724"/>
      <c r="I28" s="724"/>
      <c r="J28" s="724"/>
      <c r="K28" s="738" t="s">
        <v>516</v>
      </c>
      <c r="L28" s="430">
        <f>E97</f>
        <v>300000</v>
      </c>
      <c r="M28" s="219"/>
      <c r="N28" s="726"/>
      <c r="O28" s="726"/>
      <c r="P28" s="726"/>
      <c r="Q28" s="726"/>
      <c r="R28" s="726"/>
      <c r="S28" s="726"/>
      <c r="T28" s="726"/>
      <c r="U28" s="727"/>
      <c r="V28" s="726"/>
      <c r="W28" s="726"/>
      <c r="X28" s="726"/>
      <c r="Y28" s="727"/>
      <c r="Z28" s="728"/>
      <c r="AA28" s="729"/>
      <c r="AB28" s="730"/>
      <c r="AC28" s="730"/>
      <c r="AD28" s="730"/>
      <c r="AE28" s="730"/>
      <c r="AF28" s="730"/>
    </row>
    <row r="29" spans="2:32" s="226" customFormat="1" ht="18.75" thickBot="1">
      <c r="B29" s="703">
        <f>SUM(B27:B28)</f>
        <v>4585000</v>
      </c>
      <c r="C29" s="704">
        <f>SUM(C27:C28)</f>
        <v>4760605.5</v>
      </c>
      <c r="D29" s="704">
        <f>SUM(D27:D28)</f>
        <v>4942936.6906500002</v>
      </c>
      <c r="E29" s="704">
        <f>SUM(E27:E28)</f>
        <v>5132251.1659018956</v>
      </c>
      <c r="F29" s="705">
        <f>SUM(F27:F28)</f>
        <v>5328816.3855559379</v>
      </c>
      <c r="G29" s="724"/>
      <c r="H29" s="724"/>
      <c r="I29" s="724"/>
      <c r="J29" s="724"/>
      <c r="K29" s="216"/>
      <c r="L29" s="428"/>
      <c r="M29" s="219"/>
      <c r="N29" s="726"/>
      <c r="O29" s="726"/>
      <c r="P29" s="726"/>
      <c r="Q29" s="726"/>
      <c r="R29" s="726"/>
      <c r="S29" s="726"/>
      <c r="T29" s="726"/>
      <c r="U29" s="727"/>
      <c r="V29" s="726"/>
      <c r="W29" s="726"/>
      <c r="X29" s="726"/>
      <c r="Y29" s="727"/>
      <c r="Z29" s="728"/>
      <c r="AA29" s="729"/>
      <c r="AB29" s="730"/>
      <c r="AC29" s="730"/>
      <c r="AD29" s="730"/>
      <c r="AE29" s="730"/>
      <c r="AF29" s="730"/>
    </row>
    <row r="30" spans="2:32" s="226" customFormat="1" ht="25.5" customHeight="1" thickBot="1">
      <c r="D30" s="724"/>
      <c r="E30" s="724"/>
      <c r="F30" s="724"/>
      <c r="G30" s="724"/>
      <c r="H30" s="724"/>
      <c r="I30" s="724"/>
      <c r="J30" s="724"/>
      <c r="K30" s="994" t="s">
        <v>600</v>
      </c>
      <c r="L30" s="995"/>
      <c r="M30" s="429">
        <f>L24+L22+L26+L28</f>
        <v>4585000</v>
      </c>
      <c r="N30" s="726"/>
      <c r="O30" s="726"/>
      <c r="P30" s="726"/>
      <c r="Q30" s="726"/>
      <c r="R30" s="726"/>
      <c r="S30" s="726"/>
      <c r="T30" s="726"/>
      <c r="U30" s="727"/>
      <c r="V30" s="726"/>
      <c r="W30" s="726"/>
      <c r="X30" s="726"/>
      <c r="Y30" s="727"/>
      <c r="Z30" s="728"/>
      <c r="AA30" s="729"/>
      <c r="AB30" s="730"/>
      <c r="AC30" s="730"/>
      <c r="AD30" s="730"/>
      <c r="AE30" s="730"/>
      <c r="AF30" s="730"/>
    </row>
    <row r="31" spans="2:32" s="226" customFormat="1" ht="18">
      <c r="B31" s="1022" t="s">
        <v>598</v>
      </c>
      <c r="C31" s="1023"/>
      <c r="D31" s="1023"/>
      <c r="E31" s="1023"/>
      <c r="F31" s="1024"/>
      <c r="G31" s="724"/>
      <c r="H31" s="724"/>
      <c r="I31" s="724"/>
      <c r="J31" s="724"/>
      <c r="K31" s="725"/>
      <c r="L31" s="725"/>
      <c r="M31" s="726"/>
      <c r="N31" s="726"/>
      <c r="O31" s="726"/>
      <c r="P31" s="726"/>
      <c r="Q31" s="726"/>
      <c r="R31" s="726"/>
      <c r="S31" s="726"/>
      <c r="T31" s="726"/>
      <c r="U31" s="727"/>
      <c r="V31" s="726"/>
      <c r="W31" s="726"/>
      <c r="X31" s="726"/>
      <c r="Y31" s="727"/>
      <c r="Z31" s="728"/>
      <c r="AA31" s="729"/>
      <c r="AB31" s="730"/>
      <c r="AC31" s="730"/>
      <c r="AD31" s="730"/>
      <c r="AE31" s="730"/>
      <c r="AF31" s="730"/>
    </row>
    <row r="32" spans="2:32" s="226" customFormat="1" ht="18">
      <c r="B32" s="721" t="s">
        <v>580</v>
      </c>
      <c r="C32" s="734" t="s">
        <v>581</v>
      </c>
      <c r="D32" s="734" t="s">
        <v>582</v>
      </c>
      <c r="E32" s="734" t="s">
        <v>583</v>
      </c>
      <c r="F32" s="735" t="s">
        <v>584</v>
      </c>
      <c r="G32" s="724"/>
      <c r="H32" s="724"/>
      <c r="I32" s="724"/>
      <c r="J32" s="724"/>
      <c r="K32" s="725"/>
      <c r="L32" s="725"/>
      <c r="M32" s="726"/>
      <c r="N32" s="726"/>
      <c r="O32" s="726"/>
      <c r="P32" s="726"/>
      <c r="Q32" s="726"/>
      <c r="R32" s="726"/>
      <c r="S32" s="726"/>
      <c r="T32" s="726"/>
      <c r="U32" s="727"/>
      <c r="V32" s="726"/>
      <c r="W32" s="726"/>
      <c r="X32" s="726"/>
      <c r="Y32" s="727"/>
      <c r="Z32" s="728"/>
      <c r="AA32" s="729"/>
      <c r="AB32" s="730"/>
      <c r="AC32" s="730"/>
      <c r="AD32" s="730"/>
      <c r="AE32" s="730"/>
      <c r="AF32" s="730"/>
    </row>
    <row r="33" spans="2:32" s="226" customFormat="1" ht="18">
      <c r="B33" s="701">
        <f>B23</f>
        <v>9917999.1747199986</v>
      </c>
      <c r="C33" s="701">
        <f t="shared" ref="C33:F33" si="12">C23</f>
        <v>17653471.788191613</v>
      </c>
      <c r="D33" s="701">
        <f t="shared" si="12"/>
        <v>18329599.757679351</v>
      </c>
      <c r="E33" s="701">
        <f t="shared" si="12"/>
        <v>19031623.428398471</v>
      </c>
      <c r="F33" s="701">
        <f t="shared" si="12"/>
        <v>19760534.605706133</v>
      </c>
      <c r="G33" s="724"/>
      <c r="H33" s="724"/>
      <c r="I33" s="724"/>
      <c r="J33" s="724"/>
      <c r="K33" s="725"/>
      <c r="L33" s="725"/>
      <c r="M33" s="726"/>
      <c r="N33" s="726"/>
      <c r="O33" s="726"/>
      <c r="P33" s="726"/>
      <c r="Q33" s="726"/>
      <c r="R33" s="726"/>
      <c r="S33" s="726"/>
      <c r="T33" s="726"/>
      <c r="U33" s="727"/>
      <c r="V33" s="726"/>
      <c r="W33" s="726"/>
      <c r="X33" s="726"/>
      <c r="Y33" s="727"/>
      <c r="Z33" s="728"/>
      <c r="AA33" s="729"/>
      <c r="AB33" s="730"/>
      <c r="AC33" s="730"/>
      <c r="AD33" s="730"/>
      <c r="AE33" s="730"/>
      <c r="AF33" s="730"/>
    </row>
    <row r="34" spans="2:32" s="226" customFormat="1" ht="18">
      <c r="B34" s="701">
        <f>B29</f>
        <v>4585000</v>
      </c>
      <c r="C34" s="701">
        <f t="shared" ref="C34:F34" si="13">C29</f>
        <v>4760605.5</v>
      </c>
      <c r="D34" s="701">
        <f t="shared" si="13"/>
        <v>4942936.6906500002</v>
      </c>
      <c r="E34" s="701">
        <f t="shared" si="13"/>
        <v>5132251.1659018956</v>
      </c>
      <c r="F34" s="701">
        <f t="shared" si="13"/>
        <v>5328816.3855559379</v>
      </c>
      <c r="G34" s="724"/>
      <c r="H34" s="724"/>
      <c r="I34" s="724"/>
      <c r="J34" s="724"/>
      <c r="K34" s="725"/>
      <c r="L34" s="725"/>
      <c r="M34" s="726"/>
      <c r="N34" s="726"/>
      <c r="O34" s="726"/>
      <c r="P34" s="726"/>
      <c r="Q34" s="726"/>
      <c r="R34" s="726"/>
      <c r="S34" s="726"/>
      <c r="T34" s="726"/>
      <c r="U34" s="727"/>
      <c r="V34" s="726"/>
      <c r="W34" s="726"/>
      <c r="X34" s="726"/>
      <c r="Y34" s="727"/>
      <c r="Z34" s="728"/>
      <c r="AA34" s="729"/>
      <c r="AB34" s="730"/>
      <c r="AC34" s="730"/>
      <c r="AD34" s="730"/>
      <c r="AE34" s="730"/>
      <c r="AF34" s="730"/>
    </row>
    <row r="35" spans="2:32" s="226" customFormat="1" ht="18.75" thickBot="1">
      <c r="B35" s="703">
        <f>SUM(B33:B34)</f>
        <v>14502999.174719999</v>
      </c>
      <c r="C35" s="704">
        <f>SUM(C33:C34)</f>
        <v>22414077.288191613</v>
      </c>
      <c r="D35" s="704">
        <f>SUM(D33:D34)</f>
        <v>23272536.448329352</v>
      </c>
      <c r="E35" s="704">
        <f>SUM(E33:E34)</f>
        <v>24163874.594300367</v>
      </c>
      <c r="F35" s="705">
        <f>SUM(F33:F34)</f>
        <v>25089350.991262071</v>
      </c>
      <c r="G35" s="724"/>
      <c r="H35" s="724"/>
      <c r="I35" s="724"/>
      <c r="J35" s="724"/>
      <c r="K35" s="725"/>
      <c r="L35" s="725"/>
      <c r="M35" s="726"/>
      <c r="N35" s="726"/>
      <c r="O35" s="726"/>
      <c r="P35" s="726"/>
      <c r="Q35" s="726"/>
      <c r="R35" s="726"/>
      <c r="S35" s="726"/>
      <c r="T35" s="726"/>
      <c r="U35" s="727"/>
      <c r="V35" s="726"/>
      <c r="W35" s="726"/>
      <c r="X35" s="726"/>
      <c r="Y35" s="727"/>
      <c r="Z35" s="728"/>
      <c r="AA35" s="729"/>
      <c r="AB35" s="730"/>
      <c r="AC35" s="730"/>
      <c r="AD35" s="730"/>
      <c r="AE35" s="730"/>
      <c r="AF35" s="730"/>
    </row>
    <row r="36" spans="2:32" s="226" customFormat="1" ht="18">
      <c r="D36" s="724"/>
      <c r="E36" s="724"/>
      <c r="F36" s="724"/>
      <c r="G36" s="724"/>
      <c r="H36" s="724"/>
      <c r="I36" s="724"/>
      <c r="J36" s="724"/>
      <c r="K36" s="725"/>
      <c r="L36" s="725"/>
      <c r="M36" s="726"/>
      <c r="N36" s="726"/>
      <c r="O36" s="726"/>
      <c r="P36" s="726"/>
      <c r="Q36" s="726"/>
      <c r="R36" s="726"/>
      <c r="S36" s="726"/>
      <c r="T36" s="726"/>
      <c r="U36" s="727"/>
      <c r="V36" s="726"/>
      <c r="W36" s="726"/>
      <c r="X36" s="726"/>
      <c r="Y36" s="727"/>
      <c r="Z36" s="728"/>
      <c r="AA36" s="729"/>
      <c r="AB36" s="730"/>
      <c r="AC36" s="730"/>
      <c r="AD36" s="730"/>
      <c r="AE36" s="730"/>
      <c r="AF36" s="730"/>
    </row>
    <row r="37" spans="2:32" s="226" customFormat="1" ht="18">
      <c r="D37" s="724"/>
      <c r="E37" s="724"/>
      <c r="F37" s="724"/>
      <c r="G37" s="724"/>
      <c r="H37" s="724"/>
      <c r="I37" s="724"/>
      <c r="J37" s="724"/>
      <c r="K37" s="725"/>
      <c r="L37" s="725"/>
      <c r="M37" s="726"/>
      <c r="N37" s="726"/>
      <c r="O37" s="726"/>
      <c r="P37" s="726"/>
      <c r="Q37" s="726"/>
      <c r="R37" s="726"/>
      <c r="S37" s="726"/>
      <c r="T37" s="726"/>
      <c r="U37" s="727"/>
      <c r="V37" s="726"/>
      <c r="W37" s="726"/>
      <c r="X37" s="726"/>
      <c r="Y37" s="727"/>
      <c r="Z37" s="728"/>
      <c r="AA37" s="729"/>
      <c r="AB37" s="730"/>
      <c r="AC37" s="730"/>
      <c r="AD37" s="730"/>
      <c r="AE37" s="730"/>
      <c r="AF37" s="730"/>
    </row>
    <row r="38" spans="2:32" s="226" customFormat="1" ht="18">
      <c r="D38" s="724"/>
      <c r="E38" s="724"/>
      <c r="F38" s="724"/>
      <c r="G38" s="724"/>
      <c r="H38" s="724"/>
      <c r="I38" s="724"/>
      <c r="J38" s="724"/>
      <c r="K38" s="725"/>
      <c r="L38" s="725"/>
      <c r="M38" s="726"/>
      <c r="N38" s="726"/>
      <c r="O38" s="726"/>
      <c r="P38" s="726"/>
      <c r="Q38" s="726"/>
      <c r="R38" s="726"/>
      <c r="S38" s="726"/>
      <c r="T38" s="726"/>
      <c r="U38" s="727"/>
      <c r="V38" s="726"/>
      <c r="W38" s="726"/>
      <c r="X38" s="726"/>
      <c r="Y38" s="727"/>
      <c r="Z38" s="728"/>
      <c r="AA38" s="729"/>
      <c r="AB38" s="730"/>
      <c r="AC38" s="730"/>
      <c r="AD38" s="730"/>
      <c r="AE38" s="730"/>
      <c r="AF38" s="730"/>
    </row>
    <row r="39" spans="2:32" ht="15.75" thickBot="1"/>
    <row r="40" spans="2:32" ht="15.75" thickBot="1">
      <c r="D40" s="1000" t="s">
        <v>599</v>
      </c>
      <c r="E40" s="1001"/>
      <c r="F40" s="1002"/>
    </row>
    <row r="41" spans="2:32">
      <c r="D41" s="1003" t="s">
        <v>541</v>
      </c>
      <c r="E41" s="747"/>
      <c r="F41" s="850">
        <v>0</v>
      </c>
    </row>
    <row r="42" spans="2:32">
      <c r="D42" s="989"/>
      <c r="E42" s="846"/>
      <c r="F42" s="845">
        <v>0</v>
      </c>
    </row>
    <row r="43" spans="2:32" ht="21.75" customHeight="1">
      <c r="D43" s="989"/>
      <c r="E43" s="996" t="s">
        <v>613</v>
      </c>
      <c r="F43" s="997"/>
    </row>
    <row r="44" spans="2:32">
      <c r="D44" s="989"/>
      <c r="E44" s="846" t="s">
        <v>607</v>
      </c>
      <c r="F44" s="845">
        <v>0</v>
      </c>
    </row>
    <row r="45" spans="2:32">
      <c r="D45" s="989"/>
      <c r="E45" s="846" t="s">
        <v>540</v>
      </c>
      <c r="F45" s="845">
        <v>0</v>
      </c>
    </row>
    <row r="46" spans="2:32">
      <c r="D46" s="989"/>
      <c r="E46" s="846" t="s">
        <v>539</v>
      </c>
      <c r="F46" s="845">
        <v>0</v>
      </c>
      <c r="H46" s="286"/>
      <c r="I46" s="286"/>
    </row>
    <row r="47" spans="2:32" ht="45">
      <c r="D47" s="989"/>
      <c r="E47" s="846" t="s">
        <v>538</v>
      </c>
      <c r="F47" s="845">
        <v>0</v>
      </c>
      <c r="H47" s="454"/>
      <c r="I47" s="454"/>
    </row>
    <row r="48" spans="2:32" ht="60.75">
      <c r="D48" s="989"/>
      <c r="E48" s="847" t="s">
        <v>658</v>
      </c>
      <c r="F48" s="339">
        <v>0</v>
      </c>
    </row>
    <row r="49" spans="4:6" ht="37.5" customHeight="1" thickBot="1">
      <c r="D49" s="990"/>
      <c r="E49" s="851" t="s">
        <v>519</v>
      </c>
      <c r="F49" s="869">
        <f>SUM(F44:F48)</f>
        <v>0</v>
      </c>
    </row>
    <row r="50" spans="4:6">
      <c r="D50" s="1004" t="s">
        <v>536</v>
      </c>
      <c r="E50" s="848"/>
      <c r="F50" s="849"/>
    </row>
    <row r="51" spans="4:6">
      <c r="D51" s="988"/>
      <c r="E51" s="440"/>
      <c r="F51" s="339"/>
    </row>
    <row r="52" spans="4:6">
      <c r="D52" s="988"/>
      <c r="E52" s="440"/>
      <c r="F52" s="339"/>
    </row>
    <row r="53" spans="4:6">
      <c r="D53" s="988"/>
      <c r="E53" s="440"/>
      <c r="F53" s="339"/>
    </row>
    <row r="54" spans="4:6">
      <c r="D54" s="988"/>
      <c r="E54" s="440"/>
      <c r="F54" s="339"/>
    </row>
    <row r="55" spans="4:6">
      <c r="D55" s="988"/>
      <c r="E55" s="440"/>
      <c r="F55" s="339"/>
    </row>
    <row r="56" spans="4:6">
      <c r="D56" s="988"/>
      <c r="E56" s="440"/>
      <c r="F56" s="339"/>
    </row>
    <row r="57" spans="4:6">
      <c r="D57" s="988"/>
      <c r="E57" s="440"/>
      <c r="F57" s="339"/>
    </row>
    <row r="58" spans="4:6">
      <c r="D58" s="988"/>
      <c r="E58" s="440"/>
      <c r="F58" s="339"/>
    </row>
    <row r="59" spans="4:6">
      <c r="D59" s="988"/>
      <c r="E59" s="440"/>
      <c r="F59" s="339"/>
    </row>
    <row r="60" spans="4:6">
      <c r="D60" s="988"/>
      <c r="E60" s="440"/>
      <c r="F60" s="339"/>
    </row>
    <row r="61" spans="4:6">
      <c r="D61" s="988"/>
      <c r="E61" s="440"/>
      <c r="F61" s="339"/>
    </row>
    <row r="62" spans="4:6">
      <c r="D62" s="988"/>
      <c r="E62" s="440"/>
      <c r="F62" s="339"/>
    </row>
    <row r="63" spans="4:6" ht="30" customHeight="1">
      <c r="D63" s="988"/>
      <c r="E63" s="439" t="s">
        <v>535</v>
      </c>
      <c r="F63" s="437">
        <v>0</v>
      </c>
    </row>
    <row r="64" spans="4:6" ht="30">
      <c r="D64" s="989" t="s">
        <v>534</v>
      </c>
      <c r="E64" s="846" t="s">
        <v>533</v>
      </c>
      <c r="F64" s="845">
        <v>0</v>
      </c>
    </row>
    <row r="65" spans="4:6" ht="30">
      <c r="D65" s="989"/>
      <c r="E65" s="846" t="s">
        <v>608</v>
      </c>
      <c r="F65" s="845">
        <v>0</v>
      </c>
    </row>
    <row r="66" spans="4:6" ht="93.75" customHeight="1">
      <c r="D66" s="989"/>
      <c r="E66" s="846" t="s">
        <v>616</v>
      </c>
      <c r="F66" s="845">
        <f>J109+J110</f>
        <v>3955000</v>
      </c>
    </row>
    <row r="67" spans="4:6" ht="18" customHeight="1" thickBot="1">
      <c r="D67" s="989"/>
      <c r="E67" s="998" t="s">
        <v>614</v>
      </c>
      <c r="F67" s="999"/>
    </row>
    <row r="68" spans="4:6" ht="81.75" customHeight="1">
      <c r="D68" s="989"/>
      <c r="E68" s="747" t="s">
        <v>711</v>
      </c>
      <c r="F68" s="441">
        <f>J105</f>
        <v>110000</v>
      </c>
    </row>
    <row r="69" spans="4:6" ht="86.25" customHeight="1">
      <c r="D69" s="989"/>
      <c r="E69" s="846" t="s">
        <v>712</v>
      </c>
      <c r="F69" s="845">
        <f>J106</f>
        <v>140000</v>
      </c>
    </row>
    <row r="70" spans="4:6" ht="35.25" customHeight="1">
      <c r="D70" s="989"/>
      <c r="E70" s="748" t="s">
        <v>713</v>
      </c>
      <c r="F70" s="845">
        <f>J107</f>
        <v>40000</v>
      </c>
    </row>
    <row r="71" spans="4:6">
      <c r="D71" s="989"/>
      <c r="E71" s="748" t="s">
        <v>714</v>
      </c>
      <c r="F71" s="845">
        <f>J108</f>
        <v>40000</v>
      </c>
    </row>
    <row r="72" spans="4:6" ht="33" customHeight="1">
      <c r="D72" s="989"/>
      <c r="E72" s="439" t="s">
        <v>518</v>
      </c>
      <c r="F72" s="437">
        <f>SUM(F64:F71)</f>
        <v>4285000</v>
      </c>
    </row>
    <row r="73" spans="4:6" ht="108.75" customHeight="1">
      <c r="D73" s="988" t="s">
        <v>529</v>
      </c>
      <c r="E73" s="846" t="s">
        <v>615</v>
      </c>
      <c r="F73" s="845">
        <v>0</v>
      </c>
    </row>
    <row r="74" spans="4:6" ht="45">
      <c r="D74" s="988"/>
      <c r="E74" s="846" t="s">
        <v>528</v>
      </c>
      <c r="F74" s="845">
        <v>0</v>
      </c>
    </row>
    <row r="75" spans="4:6" ht="97.5" customHeight="1">
      <c r="D75" s="988"/>
      <c r="E75" s="846" t="s">
        <v>606</v>
      </c>
      <c r="F75" s="845">
        <v>0</v>
      </c>
    </row>
    <row r="76" spans="4:6" ht="30">
      <c r="D76" s="988"/>
      <c r="E76" s="846" t="s">
        <v>527</v>
      </c>
      <c r="F76" s="845">
        <v>0</v>
      </c>
    </row>
    <row r="77" spans="4:6">
      <c r="D77" s="988"/>
      <c r="E77" s="846" t="s">
        <v>537</v>
      </c>
      <c r="F77" s="845">
        <v>0</v>
      </c>
    </row>
    <row r="78" spans="4:6" ht="30">
      <c r="D78" s="988"/>
      <c r="E78" s="846" t="s">
        <v>526</v>
      </c>
      <c r="F78" s="845">
        <v>0</v>
      </c>
    </row>
    <row r="79" spans="4:6" ht="34.5" customHeight="1">
      <c r="D79" s="988"/>
      <c r="E79" s="438" t="s">
        <v>517</v>
      </c>
      <c r="F79" s="437">
        <f>SUM(F73:F78)</f>
        <v>0</v>
      </c>
    </row>
    <row r="80" spans="4:6" ht="29.25" customHeight="1">
      <c r="D80" s="989" t="s">
        <v>525</v>
      </c>
      <c r="E80" s="991" t="s">
        <v>524</v>
      </c>
      <c r="F80" s="992">
        <v>300000</v>
      </c>
    </row>
    <row r="81" spans="4:6">
      <c r="D81" s="989"/>
      <c r="E81" s="991"/>
      <c r="F81" s="992"/>
    </row>
    <row r="82" spans="4:6" ht="45">
      <c r="D82" s="989"/>
      <c r="E82" s="846" t="s">
        <v>523</v>
      </c>
      <c r="F82" s="845">
        <v>0</v>
      </c>
    </row>
    <row r="83" spans="4:6" ht="90">
      <c r="D83" s="989"/>
      <c r="E83" s="846" t="s">
        <v>522</v>
      </c>
      <c r="F83" s="845">
        <v>0</v>
      </c>
    </row>
    <row r="84" spans="4:6" ht="36" customHeight="1" thickBot="1">
      <c r="D84" s="990"/>
      <c r="E84" s="436" t="s">
        <v>516</v>
      </c>
      <c r="F84" s="435">
        <f>SUM(F80:F83)</f>
        <v>300000</v>
      </c>
    </row>
    <row r="85" spans="4:6">
      <c r="D85" s="433"/>
    </row>
    <row r="86" spans="4:6" ht="15.75" thickBot="1">
      <c r="D86" s="433"/>
    </row>
    <row r="87" spans="4:6" ht="45" customHeight="1" thickBot="1">
      <c r="D87" s="983" t="s">
        <v>521</v>
      </c>
      <c r="E87" s="984"/>
      <c r="F87" s="434">
        <f>F84+F79+F72+F63+F49</f>
        <v>4585000</v>
      </c>
    </row>
    <row r="88" spans="4:6">
      <c r="D88" s="433"/>
    </row>
    <row r="92" spans="4:6">
      <c r="D92" s="985" t="s">
        <v>520</v>
      </c>
      <c r="E92" s="985"/>
      <c r="F92" s="985"/>
    </row>
    <row r="94" spans="4:6" ht="25.5">
      <c r="D94" s="749" t="s">
        <v>519</v>
      </c>
      <c r="E94" s="868">
        <f>F49</f>
        <v>0</v>
      </c>
    </row>
    <row r="95" spans="4:6" ht="25.5">
      <c r="D95" s="749" t="s">
        <v>518</v>
      </c>
      <c r="E95" s="432">
        <f>F72</f>
        <v>4285000</v>
      </c>
    </row>
    <row r="96" spans="4:6" ht="25.5">
      <c r="D96" s="749" t="s">
        <v>517</v>
      </c>
      <c r="E96" s="432">
        <f>F79</f>
        <v>0</v>
      </c>
    </row>
    <row r="97" spans="4:12" ht="15.75" thickBot="1">
      <c r="D97" s="750" t="s">
        <v>516</v>
      </c>
      <c r="E97" s="430">
        <f>F84</f>
        <v>300000</v>
      </c>
    </row>
    <row r="98" spans="4:12" ht="15.75" thickBot="1"/>
    <row r="99" spans="4:12" ht="15.75" thickBot="1">
      <c r="D99" s="986"/>
      <c r="E99" s="987"/>
      <c r="F99" s="429">
        <f>E94+E95+E96+E97</f>
        <v>4585000</v>
      </c>
    </row>
    <row r="102" spans="4:12">
      <c r="D102" s="1014" t="s">
        <v>682</v>
      </c>
      <c r="E102" s="1014"/>
      <c r="F102" s="1014"/>
      <c r="G102" s="1014"/>
      <c r="H102" s="1014"/>
      <c r="I102" s="1014"/>
      <c r="J102" s="1014"/>
      <c r="K102" s="1014"/>
      <c r="L102" s="1014"/>
    </row>
    <row r="103" spans="4:12">
      <c r="D103" s="1015"/>
      <c r="E103" s="1015"/>
      <c r="F103" s="1015"/>
      <c r="G103" s="1015"/>
      <c r="H103" s="1015"/>
      <c r="I103" s="1015"/>
      <c r="J103" s="1015"/>
      <c r="K103" s="1015"/>
      <c r="L103" s="1015"/>
    </row>
    <row r="104" spans="4:12" ht="40.5">
      <c r="D104" s="1016" t="s">
        <v>683</v>
      </c>
      <c r="E104" s="1017" t="s">
        <v>684</v>
      </c>
      <c r="F104" s="1017" t="s">
        <v>685</v>
      </c>
      <c r="G104" s="1016" t="s">
        <v>686</v>
      </c>
      <c r="H104" s="1025" t="s">
        <v>687</v>
      </c>
      <c r="I104" s="1026" t="s">
        <v>688</v>
      </c>
      <c r="J104" s="1017" t="s">
        <v>689</v>
      </c>
      <c r="K104" s="1016" t="s">
        <v>690</v>
      </c>
      <c r="L104" s="1015"/>
    </row>
    <row r="105" spans="4:12" ht="40.5">
      <c r="D105" s="1018" t="s">
        <v>691</v>
      </c>
      <c r="E105" s="1018" t="s">
        <v>697</v>
      </c>
      <c r="F105" s="1019" t="s">
        <v>693</v>
      </c>
      <c r="G105" s="1018" t="s">
        <v>694</v>
      </c>
      <c r="H105" s="1018">
        <v>2</v>
      </c>
      <c r="I105" s="1020">
        <v>55000</v>
      </c>
      <c r="J105" s="1020">
        <f>I105*H105</f>
        <v>110000</v>
      </c>
      <c r="K105" s="1019" t="s">
        <v>695</v>
      </c>
      <c r="L105" s="1015"/>
    </row>
    <row r="106" spans="4:12" ht="40.5">
      <c r="D106" s="1018" t="s">
        <v>696</v>
      </c>
      <c r="E106" s="1018" t="s">
        <v>697</v>
      </c>
      <c r="F106" s="1018" t="s">
        <v>698</v>
      </c>
      <c r="G106" s="1018" t="s">
        <v>699</v>
      </c>
      <c r="H106" s="1018">
        <v>1</v>
      </c>
      <c r="I106" s="1020">
        <v>140000</v>
      </c>
      <c r="J106" s="1020">
        <f t="shared" ref="J106:J110" si="14">I106*H106</f>
        <v>140000</v>
      </c>
      <c r="K106" s="1019" t="s">
        <v>695</v>
      </c>
      <c r="L106" s="1015"/>
    </row>
    <row r="107" spans="4:12" ht="40.5">
      <c r="D107" s="1018" t="s">
        <v>700</v>
      </c>
      <c r="E107" s="1018" t="s">
        <v>697</v>
      </c>
      <c r="F107" s="1018" t="s">
        <v>698</v>
      </c>
      <c r="G107" s="1018" t="s">
        <v>701</v>
      </c>
      <c r="H107" s="1018">
        <v>1</v>
      </c>
      <c r="I107" s="1020">
        <v>40000</v>
      </c>
      <c r="J107" s="1020">
        <f t="shared" si="14"/>
        <v>40000</v>
      </c>
      <c r="K107" s="1019" t="s">
        <v>695</v>
      </c>
      <c r="L107" s="1015"/>
    </row>
    <row r="108" spans="4:12" ht="40.5">
      <c r="D108" s="1018" t="s">
        <v>702</v>
      </c>
      <c r="E108" s="1018" t="s">
        <v>692</v>
      </c>
      <c r="F108" s="1018" t="s">
        <v>698</v>
      </c>
      <c r="G108" s="1018" t="s">
        <v>703</v>
      </c>
      <c r="H108" s="1018">
        <v>1</v>
      </c>
      <c r="I108" s="1020">
        <v>40000</v>
      </c>
      <c r="J108" s="1020">
        <f t="shared" si="14"/>
        <v>40000</v>
      </c>
      <c r="K108" s="1019" t="s">
        <v>695</v>
      </c>
      <c r="L108" s="1015"/>
    </row>
    <row r="109" spans="4:12" ht="20.25">
      <c r="D109" s="1018" t="s">
        <v>704</v>
      </c>
      <c r="E109" s="1018" t="s">
        <v>710</v>
      </c>
      <c r="F109" s="1018" t="s">
        <v>705</v>
      </c>
      <c r="G109" s="1018" t="s">
        <v>706</v>
      </c>
      <c r="H109" s="1018">
        <v>7</v>
      </c>
      <c r="I109" s="1020">
        <v>485000</v>
      </c>
      <c r="J109" s="1020">
        <f t="shared" si="14"/>
        <v>3395000</v>
      </c>
      <c r="K109" s="1018" t="s">
        <v>704</v>
      </c>
      <c r="L109" s="1015"/>
    </row>
    <row r="110" spans="4:12" ht="20.25">
      <c r="D110" s="1018" t="s">
        <v>707</v>
      </c>
      <c r="E110" s="1018" t="s">
        <v>710</v>
      </c>
      <c r="F110" s="1018" t="s">
        <v>705</v>
      </c>
      <c r="G110" s="1018" t="s">
        <v>708</v>
      </c>
      <c r="H110" s="1018">
        <v>7</v>
      </c>
      <c r="I110" s="1027">
        <v>80000</v>
      </c>
      <c r="J110" s="1020">
        <f t="shared" si="14"/>
        <v>560000</v>
      </c>
      <c r="K110" s="1018" t="s">
        <v>709</v>
      </c>
      <c r="L110" s="1015"/>
    </row>
    <row r="111" spans="4:12" ht="20.25">
      <c r="D111" s="1021" t="s">
        <v>35</v>
      </c>
      <c r="E111" s="1021"/>
      <c r="F111" s="1021"/>
      <c r="G111" s="1021"/>
      <c r="H111" s="1021"/>
      <c r="I111" s="1021"/>
      <c r="J111" s="1028">
        <f>SUBTOTAL(109,PUBLICIDAD[Costo total])</f>
        <v>4285000</v>
      </c>
      <c r="K111" s="1029"/>
      <c r="L111" s="1015"/>
    </row>
  </sheetData>
  <mergeCells count="26">
    <mergeCell ref="D102:L102"/>
    <mergeCell ref="B17:F17"/>
    <mergeCell ref="B25:F25"/>
    <mergeCell ref="B31:F31"/>
    <mergeCell ref="D40:F40"/>
    <mergeCell ref="D64:D72"/>
    <mergeCell ref="D41:D49"/>
    <mergeCell ref="D50:D63"/>
    <mergeCell ref="K20:M20"/>
    <mergeCell ref="K30:L30"/>
    <mergeCell ref="E43:F43"/>
    <mergeCell ref="E67:F67"/>
    <mergeCell ref="D87:E87"/>
    <mergeCell ref="D92:F92"/>
    <mergeCell ref="D99:E99"/>
    <mergeCell ref="D73:D79"/>
    <mergeCell ref="D80:D84"/>
    <mergeCell ref="E80:E81"/>
    <mergeCell ref="F80:F81"/>
    <mergeCell ref="E4:M4"/>
    <mergeCell ref="AA9:AA11"/>
    <mergeCell ref="AB9:AB11"/>
    <mergeCell ref="AC9:AC11"/>
    <mergeCell ref="Y9:Y11"/>
    <mergeCell ref="Z9:Z11"/>
    <mergeCell ref="A8:Y8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H99"/>
  <sheetViews>
    <sheetView topLeftCell="A10" workbookViewId="0">
      <selection activeCell="D30" sqref="D30"/>
    </sheetView>
  </sheetViews>
  <sheetFormatPr baseColWidth="10" defaultRowHeight="12.75"/>
  <cols>
    <col min="3" max="3" width="25" customWidth="1"/>
    <col min="4" max="7" width="17.42578125" customWidth="1"/>
    <col min="8" max="8" width="12" bestFit="1" customWidth="1"/>
  </cols>
  <sheetData>
    <row r="3" spans="3:8">
      <c r="C3" s="781"/>
      <c r="D3" s="781"/>
      <c r="E3" s="781"/>
      <c r="F3" s="781"/>
      <c r="G3" s="781"/>
      <c r="H3" s="781">
        <f>H42+H63</f>
        <v>0</v>
      </c>
    </row>
    <row r="6" spans="3:8" ht="13.5" thickBot="1"/>
    <row r="7" spans="3:8" ht="15">
      <c r="C7" s="915" t="s">
        <v>464</v>
      </c>
      <c r="D7" s="916"/>
      <c r="E7" s="916"/>
      <c r="F7" s="916"/>
      <c r="G7" s="916"/>
      <c r="H7" s="917"/>
    </row>
    <row r="8" spans="3:8" ht="15">
      <c r="C8" s="570"/>
      <c r="D8" s="571" t="s">
        <v>327</v>
      </c>
      <c r="E8" s="571" t="s">
        <v>328</v>
      </c>
      <c r="F8" s="571" t="s">
        <v>329</v>
      </c>
      <c r="G8" s="571" t="s">
        <v>330</v>
      </c>
      <c r="H8" s="572" t="s">
        <v>331</v>
      </c>
    </row>
    <row r="9" spans="3:8" ht="15">
      <c r="C9" s="570" t="str">
        <f>'PLAN DE VENTAS'!B15</f>
        <v>producto 1</v>
      </c>
      <c r="D9" s="573">
        <f>'PLAN DE VENTAS'!C15</f>
        <v>289.44</v>
      </c>
      <c r="E9" s="573">
        <f>'PLAN DE VENTAS'!D15</f>
        <v>424.51200000000006</v>
      </c>
      <c r="F9" s="573">
        <f>'PLAN DE VENTAS'!E15</f>
        <v>488.18880000000001</v>
      </c>
      <c r="G9" s="573">
        <f>'PLAN DE VENTAS'!F15</f>
        <v>610.23599999999999</v>
      </c>
      <c r="H9" s="573">
        <f>'PLAN DE VENTAS'!G15</f>
        <v>671.25960000000009</v>
      </c>
    </row>
    <row r="10" spans="3:8" ht="15">
      <c r="C10" s="570" t="str">
        <f>'PLAN DE VENTAS'!B16</f>
        <v>producto 2</v>
      </c>
      <c r="D10" s="573">
        <f>'PLAN DE VENTAS'!C16</f>
        <v>289.44</v>
      </c>
      <c r="E10" s="573">
        <f>'PLAN DE VENTAS'!D16</f>
        <v>424.51200000000006</v>
      </c>
      <c r="F10" s="573">
        <f>'PLAN DE VENTAS'!E16</f>
        <v>488.18880000000001</v>
      </c>
      <c r="G10" s="573">
        <f>'PLAN DE VENTAS'!F16</f>
        <v>610.23599999999999</v>
      </c>
      <c r="H10" s="573">
        <f>'PLAN DE VENTAS'!G16</f>
        <v>671.25960000000009</v>
      </c>
    </row>
    <row r="11" spans="3:8" ht="15">
      <c r="C11" s="570" t="str">
        <f>'PLAN DE VENTAS'!B17</f>
        <v>producto 3</v>
      </c>
      <c r="D11" s="573">
        <f>'PLAN DE VENTAS'!C17</f>
        <v>0</v>
      </c>
      <c r="E11" s="573">
        <f>'PLAN DE VENTAS'!D17</f>
        <v>0</v>
      </c>
      <c r="F11" s="573">
        <f>'PLAN DE VENTAS'!E17</f>
        <v>0</v>
      </c>
      <c r="G11" s="573">
        <f>'PLAN DE VENTAS'!F17</f>
        <v>0</v>
      </c>
      <c r="H11" s="573">
        <f>'PLAN DE VENTAS'!G17</f>
        <v>0</v>
      </c>
    </row>
    <row r="12" spans="3:8" ht="15.75" thickBot="1">
      <c r="C12" s="596" t="s">
        <v>462</v>
      </c>
      <c r="D12" s="597">
        <f>SUM(D9:D11)</f>
        <v>578.88</v>
      </c>
      <c r="E12" s="597">
        <f>SUM(E9:E11)</f>
        <v>849.02400000000011</v>
      </c>
      <c r="F12" s="597">
        <f>SUM(F9:F11)</f>
        <v>976.37760000000003</v>
      </c>
      <c r="G12" s="597">
        <f>SUM(G9:G11)</f>
        <v>1220.472</v>
      </c>
      <c r="H12" s="598">
        <f>SUM(H9:H11)</f>
        <v>1342.5192000000002</v>
      </c>
    </row>
    <row r="15" spans="3:8" ht="13.5" thickBot="1"/>
    <row r="16" spans="3:8" ht="15">
      <c r="C16" s="903" t="s">
        <v>573</v>
      </c>
      <c r="D16" s="904"/>
      <c r="E16" s="904"/>
      <c r="F16" s="904"/>
      <c r="G16" s="904"/>
      <c r="H16" s="905"/>
    </row>
    <row r="17" spans="3:8" ht="15">
      <c r="C17" s="582"/>
      <c r="D17" s="583" t="s">
        <v>327</v>
      </c>
      <c r="E17" s="583" t="s">
        <v>328</v>
      </c>
      <c r="F17" s="583" t="s">
        <v>329</v>
      </c>
      <c r="G17" s="583" t="s">
        <v>330</v>
      </c>
      <c r="H17" s="584" t="s">
        <v>331</v>
      </c>
    </row>
    <row r="18" spans="3:8" ht="15">
      <c r="C18" s="582" t="str">
        <f>C10</f>
        <v>producto 2</v>
      </c>
      <c r="D18" s="585">
        <f>'COSTOS MATERIA PRIMA'!J15</f>
        <v>4603</v>
      </c>
      <c r="E18" s="585">
        <f>'COSTOS MATERIA PRIMA'!K15</f>
        <v>4764.1049999999996</v>
      </c>
      <c r="F18" s="585">
        <f>'COSTOS MATERIA PRIMA'!L15</f>
        <v>4930.8486749999993</v>
      </c>
      <c r="G18" s="585">
        <f>'COSTOS MATERIA PRIMA'!M15</f>
        <v>5103.4283786249989</v>
      </c>
      <c r="H18" s="585">
        <f>'COSTOS MATERIA PRIMA'!N15</f>
        <v>5282.0483718768737</v>
      </c>
    </row>
    <row r="19" spans="3:8" ht="15">
      <c r="C19" s="582" t="str">
        <f>C11</f>
        <v>producto 3</v>
      </c>
      <c r="D19" s="585">
        <f>'COSTOS MATERIA PRIMA'!J16</f>
        <v>1616</v>
      </c>
      <c r="E19" s="585">
        <f>'COSTOS MATERIA PRIMA'!K16</f>
        <v>1672.56</v>
      </c>
      <c r="F19" s="585">
        <f>'COSTOS MATERIA PRIMA'!L16</f>
        <v>1731.0995999999998</v>
      </c>
      <c r="G19" s="585">
        <f>'COSTOS MATERIA PRIMA'!M16</f>
        <v>1791.6880859999997</v>
      </c>
      <c r="H19" s="585">
        <f>'COSTOS MATERIA PRIMA'!N16</f>
        <v>1854.3971690099995</v>
      </c>
    </row>
    <row r="20" spans="3:8" ht="15">
      <c r="C20" s="582" t="str">
        <f>C12</f>
        <v>total</v>
      </c>
      <c r="D20" s="585">
        <f>'COSTOS MATERIA PRIMA'!J17</f>
        <v>2969</v>
      </c>
      <c r="E20" s="585">
        <f>'COSTOS MATERIA PRIMA'!K17</f>
        <v>3072.915</v>
      </c>
      <c r="F20" s="585">
        <f>'COSTOS MATERIA PRIMA'!L17</f>
        <v>3180.4670249999999</v>
      </c>
      <c r="G20" s="585">
        <f>'COSTOS MATERIA PRIMA'!M17</f>
        <v>3291.7833708749995</v>
      </c>
      <c r="H20" s="585">
        <f>'COSTOS MATERIA PRIMA'!N17</f>
        <v>3406.9957888556241</v>
      </c>
    </row>
    <row r="21" spans="3:8" ht="15.75" thickBot="1">
      <c r="C21" s="596" t="s">
        <v>462</v>
      </c>
      <c r="D21" s="586"/>
      <c r="E21" s="586"/>
      <c r="F21" s="586"/>
      <c r="G21" s="586"/>
      <c r="H21" s="587"/>
    </row>
    <row r="25" spans="3:8" ht="13.5" thickBot="1"/>
    <row r="26" spans="3:8">
      <c r="C26" s="1005" t="s">
        <v>592</v>
      </c>
      <c r="D26" s="1006"/>
      <c r="E26" s="1006"/>
      <c r="F26" s="1006"/>
      <c r="G26" s="1006"/>
      <c r="H26" s="1007"/>
    </row>
    <row r="27" spans="3:8">
      <c r="C27" s="678"/>
      <c r="D27" s="656"/>
      <c r="E27" s="656"/>
      <c r="F27" s="656"/>
      <c r="G27" s="656"/>
      <c r="H27" s="663"/>
    </row>
    <row r="28" spans="3:8">
      <c r="C28" s="678"/>
      <c r="D28" s="656"/>
      <c r="E28" s="656"/>
      <c r="F28" s="656"/>
      <c r="G28" s="656"/>
      <c r="H28" s="663"/>
    </row>
    <row r="29" spans="3:8" ht="15">
      <c r="C29" s="678"/>
      <c r="D29" s="742" t="s">
        <v>327</v>
      </c>
      <c r="E29" s="743" t="s">
        <v>328</v>
      </c>
      <c r="F29" s="743" t="s">
        <v>329</v>
      </c>
      <c r="G29" s="743" t="s">
        <v>330</v>
      </c>
      <c r="H29" s="744" t="s">
        <v>331</v>
      </c>
    </row>
    <row r="30" spans="3:8" ht="15">
      <c r="C30" s="322" t="str">
        <f>C9</f>
        <v>producto 1</v>
      </c>
      <c r="D30" s="656">
        <f>'COSTOS MANO DE OBRA'!K49</f>
        <v>92579.337036484227</v>
      </c>
      <c r="E30" s="656">
        <f>'COSTOS MANO DE OBRA'!L49</f>
        <v>70626.000063431449</v>
      </c>
      <c r="F30" s="656">
        <f>'COSTOS MANO DE OBRA'!M49</f>
        <v>61324.519318765117</v>
      </c>
      <c r="G30" s="656">
        <f>'COSTOS MANO DE OBRA'!N49</f>
        <v>50938.598724270414</v>
      </c>
      <c r="H30" s="656">
        <f>'COSTOS MANO DE OBRA'!O49</f>
        <v>48081.406417522601</v>
      </c>
    </row>
    <row r="31" spans="3:8" ht="15">
      <c r="C31" s="322" t="str">
        <f t="shared" ref="C31:C32" si="0">C10</f>
        <v>producto 2</v>
      </c>
      <c r="D31" s="656">
        <f>'COSTOS MANO DE OBRA'!K50</f>
        <v>92579.337036484227</v>
      </c>
      <c r="E31" s="656">
        <f>'COSTOS MANO DE OBRA'!L50</f>
        <v>70626.000063431449</v>
      </c>
      <c r="F31" s="656">
        <f>'COSTOS MANO DE OBRA'!M50</f>
        <v>61324.519318765117</v>
      </c>
      <c r="G31" s="656">
        <f>'COSTOS MANO DE OBRA'!N50</f>
        <v>50938.598724270414</v>
      </c>
      <c r="H31" s="656">
        <f>'COSTOS MANO DE OBRA'!O50</f>
        <v>48081.406417522601</v>
      </c>
    </row>
    <row r="32" spans="3:8" ht="15">
      <c r="C32" s="322" t="str">
        <f t="shared" si="0"/>
        <v>producto 3</v>
      </c>
      <c r="D32" s="656">
        <f>'COSTOS MANO DE OBRA'!K51</f>
        <v>0</v>
      </c>
      <c r="E32" s="656">
        <f>'COSTOS MANO DE OBRA'!L51</f>
        <v>0</v>
      </c>
      <c r="F32" s="656">
        <f>'COSTOS MANO DE OBRA'!M51</f>
        <v>0</v>
      </c>
      <c r="G32" s="656">
        <f>'COSTOS MANO DE OBRA'!N51</f>
        <v>0</v>
      </c>
      <c r="H32" s="656">
        <f>'COSTOS MANO DE OBRA'!O51</f>
        <v>0</v>
      </c>
    </row>
    <row r="33" spans="3:8" ht="15">
      <c r="C33" s="680"/>
      <c r="D33" s="656"/>
      <c r="E33" s="656"/>
      <c r="F33" s="656"/>
      <c r="G33" s="656"/>
      <c r="H33" s="663"/>
    </row>
    <row r="34" spans="3:8" ht="15.75" thickBot="1">
      <c r="C34" s="692"/>
      <c r="D34" s="665"/>
      <c r="E34" s="665"/>
      <c r="F34" s="665"/>
      <c r="G34" s="665"/>
      <c r="H34" s="667"/>
    </row>
    <row r="37" spans="3:8" ht="13.5" thickBot="1"/>
    <row r="38" spans="3:8" ht="15">
      <c r="C38" s="977" t="s">
        <v>595</v>
      </c>
      <c r="D38" s="978"/>
      <c r="E38" s="978"/>
      <c r="F38" s="978"/>
      <c r="G38" s="979"/>
    </row>
    <row r="39" spans="3:8" ht="15">
      <c r="C39" s="721" t="s">
        <v>580</v>
      </c>
      <c r="D39" s="721" t="s">
        <v>581</v>
      </c>
      <c r="E39" s="721" t="s">
        <v>582</v>
      </c>
      <c r="F39" s="721" t="s">
        <v>583</v>
      </c>
      <c r="G39" s="721" t="s">
        <v>584</v>
      </c>
    </row>
    <row r="40" spans="3:8" ht="15">
      <c r="C40" s="718">
        <f>'GASTOS ADMINISTRATIVOS'!A31</f>
        <v>6000000</v>
      </c>
      <c r="D40" s="718">
        <f>'GASTOS ADMINISTRATIVOS'!B31</f>
        <v>6229800</v>
      </c>
      <c r="E40" s="718">
        <f>'GASTOS ADMINISTRATIVOS'!C31</f>
        <v>6468401.3399999999</v>
      </c>
      <c r="F40" s="718">
        <f>'GASTOS ADMINISTRATIVOS'!D31</f>
        <v>6716141.1113220006</v>
      </c>
      <c r="G40" s="718">
        <f>'GASTOS ADMINISTRATIVOS'!E31</f>
        <v>6973369.3158856332</v>
      </c>
    </row>
    <row r="41" spans="3:8" ht="15">
      <c r="C41" s="718">
        <f>'GASTOS ADMINISTRATIVOS'!A32</f>
        <v>10340400</v>
      </c>
      <c r="D41" s="718">
        <f>'GASTOS ADMINISTRATIVOS'!B32</f>
        <v>9041931.7200000007</v>
      </c>
      <c r="E41" s="718">
        <f>'GASTOS ADMINISTRATIVOS'!C32</f>
        <v>9388237.7048760001</v>
      </c>
      <c r="F41" s="718">
        <f>'GASTOS ADMINISTRATIVOS'!D32</f>
        <v>9747807.2089727521</v>
      </c>
      <c r="G41" s="718">
        <f>'GASTOS ADMINISTRATIVOS'!E32</f>
        <v>10121148.225076407</v>
      </c>
    </row>
    <row r="42" spans="3:8" ht="15.75" thickBot="1">
      <c r="C42" s="703">
        <f>SUM(C40:C41)</f>
        <v>16340400</v>
      </c>
      <c r="D42" s="704">
        <f>SUM(D40:D41)</f>
        <v>15271731.720000001</v>
      </c>
      <c r="E42" s="704">
        <f>SUM(E40:E41)</f>
        <v>15856639.044876</v>
      </c>
      <c r="F42" s="704">
        <f>SUM(F40:F41)</f>
        <v>16463948.320294753</v>
      </c>
      <c r="G42" s="704">
        <f>SUM(G40:G41)</f>
        <v>17094517.54096204</v>
      </c>
    </row>
    <row r="45" spans="3:8" ht="13.5" thickBot="1"/>
    <row r="46" spans="3:8">
      <c r="C46" s="1005" t="s">
        <v>601</v>
      </c>
      <c r="D46" s="1006"/>
      <c r="E46" s="1006"/>
      <c r="F46" s="1006"/>
      <c r="G46" s="1006"/>
      <c r="H46" s="1007"/>
    </row>
    <row r="47" spans="3:8">
      <c r="C47" s="678"/>
      <c r="D47" s="656"/>
      <c r="E47" s="656"/>
      <c r="F47" s="656"/>
      <c r="G47" s="656"/>
      <c r="H47" s="663"/>
    </row>
    <row r="48" spans="3:8">
      <c r="C48" s="678"/>
      <c r="D48" s="656"/>
      <c r="E48" s="656"/>
      <c r="F48" s="656"/>
      <c r="G48" s="656"/>
      <c r="H48" s="663"/>
    </row>
    <row r="49" spans="3:8" ht="15">
      <c r="C49" s="678"/>
      <c r="D49" s="742" t="s">
        <v>327</v>
      </c>
      <c r="E49" s="743" t="s">
        <v>328</v>
      </c>
      <c r="F49" s="743" t="s">
        <v>329</v>
      </c>
      <c r="G49" s="743" t="s">
        <v>330</v>
      </c>
      <c r="H49" s="744" t="s">
        <v>331</v>
      </c>
    </row>
    <row r="50" spans="3:8" ht="15">
      <c r="C50" s="322" t="str">
        <f>C30</f>
        <v>producto 1</v>
      </c>
      <c r="D50" s="656">
        <f>$C$42/$D$12</f>
        <v>28227.611940298506</v>
      </c>
      <c r="E50" s="656">
        <f>$D$42/$E$12</f>
        <v>17987.396964043419</v>
      </c>
      <c r="F50" s="656">
        <f>$E$42/$F$12</f>
        <v>16240.273276318505</v>
      </c>
      <c r="G50" s="656">
        <f>$F$42/$G$12</f>
        <v>13489.820594241206</v>
      </c>
      <c r="H50" s="656">
        <f>$G$42/$H$12</f>
        <v>12733.164293636946</v>
      </c>
    </row>
    <row r="51" spans="3:8" ht="15">
      <c r="C51" s="322" t="str">
        <f t="shared" ref="C51:C52" si="1">C31</f>
        <v>producto 2</v>
      </c>
      <c r="D51" s="656">
        <f t="shared" ref="D51:D52" si="2">$C$42/$D$12</f>
        <v>28227.611940298506</v>
      </c>
      <c r="E51" s="656">
        <f>$D$42/$E$12</f>
        <v>17987.396964043419</v>
      </c>
      <c r="F51" s="656">
        <f t="shared" ref="F51:F52" si="3">$E$42/$F$12</f>
        <v>16240.273276318505</v>
      </c>
      <c r="G51" s="656">
        <f t="shared" ref="G51:G52" si="4">$F$42/$G$12</f>
        <v>13489.820594241206</v>
      </c>
      <c r="H51" s="656">
        <f t="shared" ref="H51:H52" si="5">$G$42/$H$12</f>
        <v>12733.164293636946</v>
      </c>
    </row>
    <row r="52" spans="3:8" ht="15">
      <c r="C52" s="322" t="str">
        <f t="shared" si="1"/>
        <v>producto 3</v>
      </c>
      <c r="D52" s="656">
        <f t="shared" si="2"/>
        <v>28227.611940298506</v>
      </c>
      <c r="E52" s="656">
        <f>$D$42/$E$12</f>
        <v>17987.396964043419</v>
      </c>
      <c r="F52" s="656">
        <f t="shared" si="3"/>
        <v>16240.273276318505</v>
      </c>
      <c r="G52" s="656">
        <f t="shared" si="4"/>
        <v>13489.820594241206</v>
      </c>
      <c r="H52" s="656">
        <f t="shared" si="5"/>
        <v>12733.164293636946</v>
      </c>
    </row>
    <row r="53" spans="3:8" ht="15">
      <c r="C53" s="680"/>
      <c r="D53" s="656"/>
      <c r="E53" s="656"/>
      <c r="F53" s="656"/>
      <c r="G53" s="656"/>
      <c r="H53" s="663"/>
    </row>
    <row r="54" spans="3:8" ht="15.75" thickBot="1">
      <c r="C54" s="692"/>
      <c r="D54" s="665"/>
      <c r="E54" s="665"/>
      <c r="F54" s="665"/>
      <c r="G54" s="665"/>
      <c r="H54" s="667"/>
    </row>
    <row r="58" spans="3:8" ht="13.5" thickBot="1"/>
    <row r="59" spans="3:8" ht="15">
      <c r="C59" s="977" t="s">
        <v>598</v>
      </c>
      <c r="D59" s="978"/>
      <c r="E59" s="978"/>
      <c r="F59" s="978"/>
      <c r="G59" s="979"/>
    </row>
    <row r="60" spans="3:8" ht="15">
      <c r="C60" s="721" t="s">
        <v>580</v>
      </c>
      <c r="D60" s="734" t="s">
        <v>581</v>
      </c>
      <c r="E60" s="734" t="s">
        <v>582</v>
      </c>
      <c r="F60" s="734" t="s">
        <v>583</v>
      </c>
      <c r="G60" s="735" t="s">
        <v>584</v>
      </c>
    </row>
    <row r="61" spans="3:8" ht="15">
      <c r="C61" s="701">
        <f>'GASTOS VENTAS'!B33</f>
        <v>9917999.1747199986</v>
      </c>
      <c r="D61" s="701">
        <f>'GASTOS VENTAS'!C33</f>
        <v>17653471.788191613</v>
      </c>
      <c r="E61" s="701">
        <f>'GASTOS VENTAS'!D33</f>
        <v>18329599.757679351</v>
      </c>
      <c r="F61" s="701">
        <f>'GASTOS VENTAS'!E33</f>
        <v>19031623.428398471</v>
      </c>
      <c r="G61" s="701">
        <f>'GASTOS VENTAS'!F33</f>
        <v>19760534.605706133</v>
      </c>
    </row>
    <row r="62" spans="3:8" ht="15">
      <c r="C62" s="701">
        <f>'GASTOS VENTAS'!B34</f>
        <v>4585000</v>
      </c>
      <c r="D62" s="701">
        <f>'GASTOS VENTAS'!C34</f>
        <v>4760605.5</v>
      </c>
      <c r="E62" s="701">
        <f>'GASTOS VENTAS'!D34</f>
        <v>4942936.6906500002</v>
      </c>
      <c r="F62" s="701">
        <f>'GASTOS VENTAS'!E34</f>
        <v>5132251.1659018956</v>
      </c>
      <c r="G62" s="701">
        <f>'GASTOS VENTAS'!F34</f>
        <v>5328816.3855559379</v>
      </c>
    </row>
    <row r="63" spans="3:8" ht="15.75" thickBot="1">
      <c r="C63" s="745">
        <f>SUM(C61:C62)</f>
        <v>14502999.174719999</v>
      </c>
      <c r="D63" s="704">
        <f>SUM(D61:D62)</f>
        <v>22414077.288191613</v>
      </c>
      <c r="E63" s="704">
        <f>SUM(E61:E62)</f>
        <v>23272536.448329352</v>
      </c>
      <c r="F63" s="704">
        <f>SUM(F61:F62)</f>
        <v>24163874.594300367</v>
      </c>
      <c r="G63" s="705">
        <f>SUM(G61:G62)</f>
        <v>25089350.991262071</v>
      </c>
    </row>
    <row r="65" spans="3:8" ht="13.5" thickBot="1"/>
    <row r="66" spans="3:8">
      <c r="C66" s="1005" t="s">
        <v>602</v>
      </c>
      <c r="D66" s="1006"/>
      <c r="E66" s="1006"/>
      <c r="F66" s="1006"/>
      <c r="G66" s="1006"/>
      <c r="H66" s="1007"/>
    </row>
    <row r="67" spans="3:8">
      <c r="C67" s="678"/>
      <c r="D67" s="656"/>
      <c r="E67" s="656"/>
      <c r="F67" s="656"/>
      <c r="G67" s="656"/>
      <c r="H67" s="663"/>
    </row>
    <row r="68" spans="3:8">
      <c r="C68" s="678"/>
      <c r="D68" s="656"/>
      <c r="E68" s="656"/>
      <c r="F68" s="656"/>
      <c r="G68" s="656"/>
      <c r="H68" s="663"/>
    </row>
    <row r="69" spans="3:8" ht="15">
      <c r="C69" s="678"/>
      <c r="D69" s="742" t="s">
        <v>327</v>
      </c>
      <c r="E69" s="743" t="s">
        <v>328</v>
      </c>
      <c r="F69" s="743" t="s">
        <v>329</v>
      </c>
      <c r="G69" s="743" t="s">
        <v>330</v>
      </c>
      <c r="H69" s="744" t="s">
        <v>331</v>
      </c>
    </row>
    <row r="70" spans="3:8" ht="15">
      <c r="C70" s="322" t="str">
        <f>C50</f>
        <v>producto 1</v>
      </c>
      <c r="D70" s="656">
        <f>$C$63/$D$12</f>
        <v>25053.550260364842</v>
      </c>
      <c r="E70" s="656">
        <f>$D$63/$E$12</f>
        <v>26399.815892355939</v>
      </c>
      <c r="F70" s="656">
        <f>$E$63/$F$12</f>
        <v>23835.590296550588</v>
      </c>
      <c r="G70" s="656">
        <f>$F$63/$G$12</f>
        <v>19798.794723926781</v>
      </c>
      <c r="H70" s="656">
        <f>$G$63/$H$12</f>
        <v>18688.262328957433</v>
      </c>
    </row>
    <row r="71" spans="3:8" ht="15">
      <c r="C71" s="322" t="str">
        <f t="shared" ref="C71:C72" si="6">C51</f>
        <v>producto 2</v>
      </c>
      <c r="D71" s="656">
        <f t="shared" ref="D71:D72" si="7">$C$63/$D$12</f>
        <v>25053.550260364842</v>
      </c>
      <c r="E71" s="656">
        <f t="shared" ref="E71:E72" si="8">$D$63/$E$12</f>
        <v>26399.815892355939</v>
      </c>
      <c r="F71" s="656">
        <f t="shared" ref="F71:F72" si="9">$E$63/$F$12</f>
        <v>23835.590296550588</v>
      </c>
      <c r="G71" s="656">
        <f t="shared" ref="G71:G72" si="10">$F$63/$G$12</f>
        <v>19798.794723926781</v>
      </c>
      <c r="H71" s="656">
        <f t="shared" ref="H71:H72" si="11">$G$63/$H$12</f>
        <v>18688.262328957433</v>
      </c>
    </row>
    <row r="72" spans="3:8" ht="15">
      <c r="C72" s="322" t="str">
        <f t="shared" si="6"/>
        <v>producto 3</v>
      </c>
      <c r="D72" s="656">
        <f t="shared" si="7"/>
        <v>25053.550260364842</v>
      </c>
      <c r="E72" s="656">
        <f t="shared" si="8"/>
        <v>26399.815892355939</v>
      </c>
      <c r="F72" s="656">
        <f t="shared" si="9"/>
        <v>23835.590296550588</v>
      </c>
      <c r="G72" s="656">
        <f t="shared" si="10"/>
        <v>19798.794723926781</v>
      </c>
      <c r="H72" s="656">
        <f t="shared" si="11"/>
        <v>18688.262328957433</v>
      </c>
    </row>
    <row r="73" spans="3:8" ht="15">
      <c r="C73" s="680"/>
      <c r="D73" s="656"/>
      <c r="E73" s="656"/>
      <c r="F73" s="656"/>
      <c r="G73" s="656"/>
      <c r="H73" s="663"/>
    </row>
    <row r="74" spans="3:8" ht="15.75" thickBot="1">
      <c r="C74" s="692"/>
      <c r="D74" s="665"/>
      <c r="E74" s="665"/>
      <c r="F74" s="665"/>
      <c r="G74" s="665"/>
      <c r="H74" s="667"/>
    </row>
    <row r="77" spans="3:8" ht="13.5" thickBot="1"/>
    <row r="78" spans="3:8" ht="15">
      <c r="C78" s="912" t="s">
        <v>603</v>
      </c>
      <c r="D78" s="913"/>
      <c r="E78" s="913"/>
      <c r="F78" s="913"/>
      <c r="G78" s="913"/>
      <c r="H78" s="914"/>
    </row>
    <row r="79" spans="3:8" ht="15">
      <c r="C79" s="564"/>
      <c r="D79" s="565" t="s">
        <v>327</v>
      </c>
      <c r="E79" s="565" t="s">
        <v>328</v>
      </c>
      <c r="F79" s="565" t="s">
        <v>329</v>
      </c>
      <c r="G79" s="565" t="s">
        <v>330</v>
      </c>
      <c r="H79" s="566" t="s">
        <v>331</v>
      </c>
    </row>
    <row r="80" spans="3:8" ht="15">
      <c r="C80" s="564" t="str">
        <f>C70</f>
        <v>producto 1</v>
      </c>
      <c r="D80" s="758">
        <f>(D18+D30+D50+D70)</f>
        <v>150463.49923714757</v>
      </c>
      <c r="E80" s="758">
        <f t="shared" ref="E80:H80" si="12">(E18+E30+E50+E70)</f>
        <v>119777.31791983081</v>
      </c>
      <c r="F80" s="758">
        <f t="shared" si="12"/>
        <v>106331.2315666342</v>
      </c>
      <c r="G80" s="758">
        <f t="shared" si="12"/>
        <v>89330.6424210634</v>
      </c>
      <c r="H80" s="758">
        <f t="shared" si="12"/>
        <v>84784.881411993847</v>
      </c>
    </row>
    <row r="81" spans="3:8" ht="15">
      <c r="C81" s="564" t="str">
        <f t="shared" ref="C81:C82" si="13">C71</f>
        <v>producto 2</v>
      </c>
      <c r="D81" s="758">
        <f t="shared" ref="D81:H81" si="14">(D19+D31+D51+D71)</f>
        <v>147476.49923714757</v>
      </c>
      <c r="E81" s="758">
        <f t="shared" si="14"/>
        <v>116685.77291983081</v>
      </c>
      <c r="F81" s="758">
        <f t="shared" si="14"/>
        <v>103131.4824916342</v>
      </c>
      <c r="G81" s="758">
        <f t="shared" si="14"/>
        <v>86018.902128438407</v>
      </c>
      <c r="H81" s="758">
        <f t="shared" si="14"/>
        <v>81357.230209126981</v>
      </c>
    </row>
    <row r="82" spans="3:8" ht="15">
      <c r="C82" s="564" t="str">
        <f t="shared" si="13"/>
        <v>producto 3</v>
      </c>
      <c r="D82" s="758">
        <f t="shared" ref="D82:H82" si="15">(D20+D32+D52+D72)</f>
        <v>56250.162200663348</v>
      </c>
      <c r="E82" s="758">
        <f t="shared" si="15"/>
        <v>47460.127856399355</v>
      </c>
      <c r="F82" s="758">
        <f t="shared" si="15"/>
        <v>43256.330597869091</v>
      </c>
      <c r="G82" s="758">
        <f t="shared" si="15"/>
        <v>36580.398689042988</v>
      </c>
      <c r="H82" s="758">
        <f t="shared" si="15"/>
        <v>34828.422411450003</v>
      </c>
    </row>
    <row r="83" spans="3:8" ht="15.75" thickBot="1">
      <c r="C83" s="600" t="s">
        <v>462</v>
      </c>
      <c r="D83" s="568"/>
      <c r="E83" s="568"/>
      <c r="F83" s="568"/>
      <c r="G83" s="568"/>
      <c r="H83" s="569"/>
    </row>
    <row r="85" spans="3:8" ht="13.5" thickBot="1"/>
    <row r="86" spans="3:8" ht="15">
      <c r="C86" s="912" t="s">
        <v>604</v>
      </c>
      <c r="D86" s="913"/>
      <c r="E86" s="913"/>
      <c r="F86" s="913"/>
      <c r="G86" s="913"/>
      <c r="H86" s="914"/>
    </row>
    <row r="87" spans="3:8" ht="15">
      <c r="C87" s="564"/>
      <c r="D87" s="565" t="s">
        <v>327</v>
      </c>
      <c r="E87" s="565" t="s">
        <v>328</v>
      </c>
      <c r="F87" s="565" t="s">
        <v>329</v>
      </c>
      <c r="G87" s="565" t="s">
        <v>330</v>
      </c>
      <c r="H87" s="566" t="s">
        <v>331</v>
      </c>
    </row>
    <row r="88" spans="3:8" ht="15">
      <c r="C88" s="564" t="str">
        <f>C80</f>
        <v>producto 1</v>
      </c>
      <c r="D88" s="746">
        <v>1.1499999999999999</v>
      </c>
      <c r="E88" s="746">
        <v>1.18</v>
      </c>
      <c r="F88" s="746">
        <v>1.18</v>
      </c>
      <c r="G88" s="746">
        <v>1.18</v>
      </c>
      <c r="H88" s="746">
        <v>1.18</v>
      </c>
    </row>
    <row r="89" spans="3:8" ht="15">
      <c r="C89" s="564" t="str">
        <f t="shared" ref="C89:C90" si="16">C81</f>
        <v>producto 2</v>
      </c>
      <c r="D89" s="746">
        <v>1.18</v>
      </c>
      <c r="E89" s="746">
        <v>1.2</v>
      </c>
      <c r="F89" s="746">
        <v>1.22</v>
      </c>
      <c r="G89" s="746">
        <v>1.22</v>
      </c>
      <c r="H89" s="746">
        <v>1.22</v>
      </c>
    </row>
    <row r="90" spans="3:8" ht="15">
      <c r="C90" s="564" t="str">
        <f t="shared" si="16"/>
        <v>producto 3</v>
      </c>
      <c r="D90" s="746">
        <v>1.25</v>
      </c>
      <c r="E90" s="746">
        <v>1.27</v>
      </c>
      <c r="F90" s="746">
        <v>1.27</v>
      </c>
      <c r="G90" s="746">
        <v>1.27</v>
      </c>
      <c r="H90" s="746">
        <v>1.27</v>
      </c>
    </row>
    <row r="91" spans="3:8" ht="15.75" thickBot="1">
      <c r="C91" s="600" t="s">
        <v>462</v>
      </c>
      <c r="D91" s="568"/>
      <c r="E91" s="568"/>
      <c r="F91" s="568"/>
      <c r="G91" s="568"/>
      <c r="H91" s="569"/>
    </row>
    <row r="93" spans="3:8" ht="13.5" thickBot="1"/>
    <row r="94" spans="3:8" ht="15">
      <c r="C94" s="912" t="s">
        <v>605</v>
      </c>
      <c r="D94" s="913"/>
      <c r="E94" s="913"/>
      <c r="F94" s="913"/>
      <c r="G94" s="913"/>
      <c r="H94" s="914"/>
    </row>
    <row r="95" spans="3:8" ht="15">
      <c r="C95" s="564"/>
      <c r="D95" s="565" t="s">
        <v>327</v>
      </c>
      <c r="E95" s="565" t="s">
        <v>328</v>
      </c>
      <c r="F95" s="565" t="s">
        <v>329</v>
      </c>
      <c r="G95" s="565" t="s">
        <v>330</v>
      </c>
      <c r="H95" s="566" t="s">
        <v>331</v>
      </c>
    </row>
    <row r="96" spans="3:8" ht="15">
      <c r="C96" s="564" t="str">
        <f>C88</f>
        <v>producto 1</v>
      </c>
      <c r="D96" s="758">
        <f>D80*D88</f>
        <v>173033.02412271968</v>
      </c>
      <c r="E96" s="758">
        <f t="shared" ref="E96:H96" si="17">E80*E88</f>
        <v>141337.23514540034</v>
      </c>
      <c r="F96" s="758">
        <f t="shared" si="17"/>
        <v>125470.85324862835</v>
      </c>
      <c r="G96" s="758">
        <f t="shared" si="17"/>
        <v>105410.15805685481</v>
      </c>
      <c r="H96" s="758">
        <f t="shared" si="17"/>
        <v>100046.16006615273</v>
      </c>
    </row>
    <row r="97" spans="3:8" ht="15">
      <c r="C97" s="564" t="str">
        <f t="shared" ref="C97:C98" si="18">C89</f>
        <v>producto 2</v>
      </c>
      <c r="D97" s="758">
        <f t="shared" ref="D97:H97" si="19">D81*D89</f>
        <v>174022.26909983411</v>
      </c>
      <c r="E97" s="758">
        <f t="shared" si="19"/>
        <v>140022.92750379696</v>
      </c>
      <c r="F97" s="758">
        <f t="shared" si="19"/>
        <v>125820.40863979372</v>
      </c>
      <c r="G97" s="758">
        <f t="shared" si="19"/>
        <v>104943.06059669485</v>
      </c>
      <c r="H97" s="758">
        <f t="shared" si="19"/>
        <v>99255.820855134909</v>
      </c>
    </row>
    <row r="98" spans="3:8" ht="15">
      <c r="C98" s="564" t="str">
        <f t="shared" si="18"/>
        <v>producto 3</v>
      </c>
      <c r="D98" s="758">
        <f t="shared" ref="D98:H98" si="20">D82*D90</f>
        <v>70312.702750829179</v>
      </c>
      <c r="E98" s="758">
        <f t="shared" si="20"/>
        <v>60274.362377627178</v>
      </c>
      <c r="F98" s="758">
        <f t="shared" si="20"/>
        <v>54935.539859293749</v>
      </c>
      <c r="G98" s="758">
        <f t="shared" si="20"/>
        <v>46457.106335084594</v>
      </c>
      <c r="H98" s="758">
        <f t="shared" si="20"/>
        <v>44232.096462541507</v>
      </c>
    </row>
    <row r="99" spans="3:8" ht="15.75" thickBot="1">
      <c r="C99" s="600" t="s">
        <v>462</v>
      </c>
      <c r="D99" s="568"/>
      <c r="E99" s="568"/>
      <c r="F99" s="568"/>
      <c r="G99" s="568"/>
      <c r="H99" s="569"/>
    </row>
  </sheetData>
  <mergeCells count="10">
    <mergeCell ref="C7:H7"/>
    <mergeCell ref="C16:H16"/>
    <mergeCell ref="C26:H26"/>
    <mergeCell ref="C38:G38"/>
    <mergeCell ref="C46:H46"/>
    <mergeCell ref="C59:G59"/>
    <mergeCell ref="C66:H66"/>
    <mergeCell ref="C78:H78"/>
    <mergeCell ref="C86:H86"/>
    <mergeCell ref="C94:H9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4:K27"/>
  <sheetViews>
    <sheetView topLeftCell="B1" workbookViewId="0">
      <selection activeCell="D11" sqref="D11"/>
    </sheetView>
  </sheetViews>
  <sheetFormatPr baseColWidth="10" defaultRowHeight="15"/>
  <cols>
    <col min="1" max="2" width="11.42578125" style="216"/>
    <col min="3" max="3" width="25" style="216" customWidth="1"/>
    <col min="4" max="4" width="26.140625" style="216" customWidth="1"/>
    <col min="5" max="5" width="11.42578125" style="216"/>
    <col min="6" max="6" width="19.140625" style="216" customWidth="1"/>
    <col min="7" max="7" width="20.7109375" style="216" customWidth="1"/>
    <col min="8" max="8" width="33.140625" style="216" customWidth="1"/>
    <col min="9" max="9" width="11.42578125" style="216"/>
    <col min="10" max="10" width="14.5703125" style="216" bestFit="1" customWidth="1"/>
    <col min="11" max="11" width="15.5703125" style="216" bestFit="1" customWidth="1"/>
    <col min="12" max="16384" width="11.42578125" style="216"/>
  </cols>
  <sheetData>
    <row r="4" spans="3:11">
      <c r="F4" s="872" t="s">
        <v>679</v>
      </c>
      <c r="H4" s="219">
        <f>150*737717</f>
        <v>110657550</v>
      </c>
    </row>
    <row r="5" spans="3:11" ht="15.75" thickBot="1">
      <c r="C5" s="338">
        <v>2017</v>
      </c>
      <c r="D5" s="220"/>
    </row>
    <row r="6" spans="3:11" ht="15.75" thickBot="1">
      <c r="C6" s="338" t="s">
        <v>556</v>
      </c>
      <c r="D6" s="220"/>
      <c r="F6" s="457" t="s">
        <v>555</v>
      </c>
      <c r="G6" s="456" t="s">
        <v>559</v>
      </c>
      <c r="H6" s="420"/>
    </row>
    <row r="7" spans="3:11">
      <c r="C7" s="443" t="s">
        <v>354</v>
      </c>
      <c r="D7" s="455">
        <f>INVERSIONES!D10</f>
        <v>0</v>
      </c>
      <c r="E7" s="442"/>
      <c r="F7" s="451">
        <f>D7</f>
        <v>0</v>
      </c>
      <c r="G7" s="450"/>
      <c r="H7" s="449" t="s">
        <v>554</v>
      </c>
    </row>
    <row r="8" spans="3:11">
      <c r="C8" s="453" t="s">
        <v>349</v>
      </c>
      <c r="D8" s="452">
        <f>INVERSIONES!D16+INVERSIONES!I7</f>
        <v>3500000</v>
      </c>
      <c r="E8" s="442"/>
      <c r="F8" s="451">
        <f>INVERSIONES!D16</f>
        <v>0</v>
      </c>
      <c r="G8" s="463">
        <v>1500000</v>
      </c>
      <c r="H8" s="449" t="s">
        <v>553</v>
      </c>
      <c r="I8" s="454"/>
      <c r="J8" s="351"/>
    </row>
    <row r="9" spans="3:11">
      <c r="C9" s="453" t="s">
        <v>348</v>
      </c>
      <c r="D9" s="452">
        <f>INVERSIONES!D22+INVERSIONES!I12</f>
        <v>250000</v>
      </c>
      <c r="E9" s="442"/>
      <c r="F9" s="451">
        <v>1060000</v>
      </c>
      <c r="G9" s="463">
        <v>500000</v>
      </c>
      <c r="H9" s="449" t="s">
        <v>552</v>
      </c>
      <c r="J9" s="351"/>
    </row>
    <row r="10" spans="3:11">
      <c r="C10" s="453" t="s">
        <v>469</v>
      </c>
      <c r="D10" s="452">
        <f>INVERSIONES!D28</f>
        <v>0</v>
      </c>
      <c r="E10" s="442"/>
      <c r="F10" s="451">
        <f>D10</f>
        <v>0</v>
      </c>
      <c r="G10" s="450"/>
      <c r="H10" s="449" t="s">
        <v>551</v>
      </c>
    </row>
    <row r="11" spans="3:11">
      <c r="C11" s="453" t="s">
        <v>625</v>
      </c>
      <c r="D11" s="452">
        <f>'GASTOS ADMINISTRATIVOS'!P44</f>
        <v>4292400</v>
      </c>
      <c r="E11" s="442"/>
      <c r="F11" s="451">
        <f>D11</f>
        <v>4292400</v>
      </c>
      <c r="G11" s="450"/>
      <c r="H11" s="449" t="s">
        <v>550</v>
      </c>
    </row>
    <row r="12" spans="3:11">
      <c r="C12" s="462" t="s">
        <v>549</v>
      </c>
      <c r="D12" s="452"/>
      <c r="E12" s="442"/>
      <c r="F12" s="451"/>
      <c r="G12" s="450"/>
      <c r="H12" s="449"/>
    </row>
    <row r="13" spans="3:11" ht="68.25" customHeight="1">
      <c r="C13" s="453" t="s">
        <v>501</v>
      </c>
      <c r="D13" s="452">
        <f>'NOMINA PROYECCION'!Y12</f>
        <v>85581853.7984</v>
      </c>
      <c r="E13" s="442"/>
      <c r="F13" s="451">
        <v>15612312</v>
      </c>
      <c r="G13" s="450"/>
      <c r="H13" s="449" t="s">
        <v>648</v>
      </c>
    </row>
    <row r="14" spans="3:11" ht="24">
      <c r="C14" s="453" t="s">
        <v>351</v>
      </c>
      <c r="D14" s="452">
        <f>'COSTOS MATERIA PRIMA'!J25</f>
        <v>1800027.36</v>
      </c>
      <c r="E14" s="442"/>
      <c r="F14" s="451">
        <v>23388869</v>
      </c>
      <c r="G14" s="450"/>
      <c r="H14" s="449" t="s">
        <v>560</v>
      </c>
      <c r="J14" s="351"/>
      <c r="K14" s="351"/>
    </row>
    <row r="15" spans="3:11" ht="26.25" customHeight="1">
      <c r="C15" s="453" t="s">
        <v>548</v>
      </c>
      <c r="D15" s="452">
        <f>'GASTOS ADMINISTRATIVOS'!O48</f>
        <v>3240000</v>
      </c>
      <c r="E15" s="442"/>
      <c r="F15" s="451">
        <v>10800000</v>
      </c>
      <c r="G15" s="450"/>
      <c r="H15" s="449" t="s">
        <v>645</v>
      </c>
    </row>
    <row r="16" spans="3:11" ht="47.25" customHeight="1">
      <c r="C16" s="453" t="s">
        <v>547</v>
      </c>
      <c r="D16" s="452">
        <f>'GASTOS ADMINISTRATIVOS'!O49+'GASTOS ADMINISTRATIVOS'!O50</f>
        <v>0</v>
      </c>
      <c r="E16" s="442"/>
      <c r="F16" s="451">
        <f>(D16/12)*7</f>
        <v>0</v>
      </c>
      <c r="G16" s="450"/>
      <c r="H16" s="449" t="s">
        <v>646</v>
      </c>
    </row>
    <row r="17" spans="3:8" ht="19.5" customHeight="1">
      <c r="C17" s="453" t="s">
        <v>626</v>
      </c>
      <c r="D17" s="452">
        <f>'GASTOS ADMINISTRATIVOS'!O51</f>
        <v>750000</v>
      </c>
      <c r="E17" s="442"/>
      <c r="F17" s="451">
        <v>350000</v>
      </c>
      <c r="G17" s="450"/>
      <c r="H17" s="449" t="s">
        <v>627</v>
      </c>
    </row>
    <row r="18" spans="3:8">
      <c r="C18" s="453" t="s">
        <v>546</v>
      </c>
      <c r="D18" s="452">
        <f>'GASTOS ADMINISTRATIVOS'!O54</f>
        <v>0</v>
      </c>
      <c r="E18" s="442"/>
      <c r="F18" s="451">
        <v>0</v>
      </c>
      <c r="G18" s="450"/>
      <c r="H18" s="449" t="s">
        <v>558</v>
      </c>
    </row>
    <row r="19" spans="3:8" ht="24">
      <c r="C19" s="453" t="s">
        <v>545</v>
      </c>
      <c r="D19" s="452">
        <f>'GASTOS ADMINISTRATIVOS'!O55</f>
        <v>0</v>
      </c>
      <c r="E19" s="442"/>
      <c r="F19" s="451">
        <v>0</v>
      </c>
      <c r="G19" s="450"/>
      <c r="H19" s="453" t="s">
        <v>545</v>
      </c>
    </row>
    <row r="20" spans="3:8">
      <c r="C20" s="453" t="s">
        <v>544</v>
      </c>
      <c r="D20" s="452">
        <v>1100000</v>
      </c>
      <c r="E20" s="442"/>
      <c r="F20" s="451">
        <v>1100000</v>
      </c>
      <c r="G20" s="450"/>
      <c r="H20" s="449" t="s">
        <v>561</v>
      </c>
    </row>
    <row r="21" spans="3:8">
      <c r="C21" s="453" t="s">
        <v>543</v>
      </c>
      <c r="D21" s="452">
        <f>'GASTOS VENTAS'!M30</f>
        <v>4585000</v>
      </c>
      <c r="E21" s="442"/>
      <c r="F21" s="451">
        <v>7875000</v>
      </c>
      <c r="G21" s="450"/>
      <c r="H21" s="449" t="s">
        <v>557</v>
      </c>
    </row>
    <row r="22" spans="3:8" ht="15.75" thickBot="1">
      <c r="C22" s="448" t="s">
        <v>462</v>
      </c>
      <c r="D22" s="447">
        <f>SUM(D7:D21)</f>
        <v>105099281.1584</v>
      </c>
      <c r="E22" s="442"/>
      <c r="F22" s="446">
        <f>SUM(F7:F21)</f>
        <v>64478581</v>
      </c>
      <c r="G22" s="445" t="s">
        <v>542</v>
      </c>
      <c r="H22" s="444"/>
    </row>
    <row r="27" spans="3:8">
      <c r="D27" s="286">
        <f>SUM(D14:D20)</f>
        <v>6890027.3600000003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89"/>
  <sheetViews>
    <sheetView topLeftCell="A43" workbookViewId="0">
      <selection activeCell="A168" sqref="A168"/>
    </sheetView>
  </sheetViews>
  <sheetFormatPr baseColWidth="10" defaultColWidth="17.28515625" defaultRowHeight="12.75"/>
  <cols>
    <col min="1" max="1" width="3.42578125" customWidth="1"/>
    <col min="2" max="2" width="67.28515625" customWidth="1"/>
    <col min="3" max="3" width="20" style="767" customWidth="1"/>
    <col min="4" max="4" width="20" style="778" customWidth="1"/>
    <col min="5" max="5" width="20" style="767" customWidth="1"/>
    <col min="6" max="6" width="17.28515625" style="778" customWidth="1"/>
    <col min="7" max="7" width="17.28515625" style="767" customWidth="1"/>
    <col min="8" max="8" width="17.28515625" style="778" customWidth="1"/>
    <col min="9" max="9" width="17.28515625" style="767" customWidth="1"/>
    <col min="10" max="10" width="17.28515625" style="778" customWidth="1"/>
    <col min="11" max="11" width="17.28515625" style="767" customWidth="1"/>
    <col min="12" max="12" width="17.28515625" style="777" customWidth="1"/>
    <col min="13" max="13" width="17.28515625" style="767" customWidth="1"/>
    <col min="14" max="14" width="17.28515625" style="777" customWidth="1"/>
    <col min="15" max="15" width="17.28515625" style="767" customWidth="1"/>
    <col min="16" max="16" width="17.28515625" style="777" customWidth="1"/>
    <col min="17" max="17" width="17.28515625" style="767" customWidth="1"/>
    <col min="18" max="18" width="17.28515625" style="777" customWidth="1"/>
    <col min="19" max="19" width="17.28515625" style="767" customWidth="1"/>
    <col min="20" max="20" width="17.28515625" style="777" customWidth="1"/>
    <col min="21" max="21" width="17.28515625" style="767" customWidth="1"/>
    <col min="22" max="22" width="17.28515625" style="777" customWidth="1"/>
    <col min="23" max="23" width="17.28515625" style="767" customWidth="1"/>
    <col min="24" max="24" width="17.28515625" style="777" customWidth="1"/>
    <col min="25" max="25" width="17.28515625" style="767" customWidth="1"/>
    <col min="26" max="26" width="17.28515625" style="777" customWidth="1"/>
    <col min="27" max="27" width="17.28515625" style="767" customWidth="1"/>
    <col min="28" max="28" width="17.28515625" style="777" customWidth="1"/>
    <col min="29" max="29" width="25.7109375" style="767" customWidth="1"/>
    <col min="30" max="30" width="25.7109375" style="777" customWidth="1"/>
  </cols>
  <sheetData>
    <row r="1" spans="1:30" ht="15.75" customHeight="1">
      <c r="A1" s="6"/>
      <c r="B1" s="759"/>
      <c r="C1" s="1012" t="s">
        <v>617</v>
      </c>
      <c r="D1" s="1013"/>
      <c r="E1" s="1012" t="s">
        <v>332</v>
      </c>
      <c r="F1" s="1013"/>
      <c r="G1" s="1012" t="s">
        <v>333</v>
      </c>
      <c r="H1" s="1013"/>
      <c r="I1" s="1012" t="s">
        <v>334</v>
      </c>
      <c r="J1" s="1013"/>
      <c r="K1" s="1012" t="s">
        <v>335</v>
      </c>
      <c r="L1" s="1013"/>
      <c r="M1" s="1012" t="s">
        <v>336</v>
      </c>
      <c r="N1" s="1013"/>
      <c r="O1" s="1012" t="s">
        <v>337</v>
      </c>
      <c r="P1" s="1013"/>
      <c r="Q1" s="1012" t="s">
        <v>338</v>
      </c>
      <c r="R1" s="1013"/>
      <c r="S1" s="1012" t="s">
        <v>339</v>
      </c>
      <c r="T1" s="1013"/>
      <c r="U1" s="1012" t="s">
        <v>340</v>
      </c>
      <c r="V1" s="1013"/>
      <c r="W1" s="1012" t="s">
        <v>341</v>
      </c>
      <c r="X1" s="1013"/>
      <c r="Y1" s="1012" t="s">
        <v>342</v>
      </c>
      <c r="Z1" s="1013"/>
      <c r="AA1" s="1012" t="s">
        <v>343</v>
      </c>
      <c r="AB1" s="1013"/>
      <c r="AC1" s="1008" t="s">
        <v>628</v>
      </c>
      <c r="AD1" s="1010" t="s">
        <v>629</v>
      </c>
    </row>
    <row r="2" spans="1:30" s="761" customFormat="1" ht="15.75" customHeight="1">
      <c r="A2" s="760"/>
      <c r="B2" s="760"/>
      <c r="C2" s="764" t="s">
        <v>630</v>
      </c>
      <c r="D2" s="768" t="s">
        <v>631</v>
      </c>
      <c r="E2" s="769" t="s">
        <v>630</v>
      </c>
      <c r="F2" s="770" t="s">
        <v>631</v>
      </c>
      <c r="G2" s="769" t="s">
        <v>630</v>
      </c>
      <c r="H2" s="770" t="s">
        <v>631</v>
      </c>
      <c r="I2" s="769" t="s">
        <v>630</v>
      </c>
      <c r="J2" s="770" t="s">
        <v>631</v>
      </c>
      <c r="K2" s="769" t="s">
        <v>630</v>
      </c>
      <c r="L2" s="771" t="s">
        <v>631</v>
      </c>
      <c r="M2" s="769" t="s">
        <v>630</v>
      </c>
      <c r="N2" s="771" t="s">
        <v>631</v>
      </c>
      <c r="O2" s="769" t="s">
        <v>630</v>
      </c>
      <c r="P2" s="771" t="s">
        <v>631</v>
      </c>
      <c r="Q2" s="769" t="s">
        <v>630</v>
      </c>
      <c r="R2" s="771" t="s">
        <v>631</v>
      </c>
      <c r="S2" s="769" t="s">
        <v>630</v>
      </c>
      <c r="T2" s="771" t="s">
        <v>631</v>
      </c>
      <c r="U2" s="769" t="s">
        <v>630</v>
      </c>
      <c r="V2" s="771" t="s">
        <v>631</v>
      </c>
      <c r="W2" s="769" t="s">
        <v>630</v>
      </c>
      <c r="X2" s="771" t="s">
        <v>631</v>
      </c>
      <c r="Y2" s="769" t="s">
        <v>630</v>
      </c>
      <c r="Z2" s="771" t="s">
        <v>631</v>
      </c>
      <c r="AA2" s="769" t="s">
        <v>630</v>
      </c>
      <c r="AB2" s="771" t="s">
        <v>631</v>
      </c>
      <c r="AC2" s="1009"/>
      <c r="AD2" s="1011"/>
    </row>
    <row r="3" spans="1:30" s="763" customFormat="1" ht="15.75" customHeight="1">
      <c r="A3" s="762"/>
      <c r="B3" s="780" t="s">
        <v>632</v>
      </c>
      <c r="C3" s="765"/>
      <c r="D3" s="772"/>
      <c r="E3" s="773"/>
      <c r="F3" s="774"/>
      <c r="G3" s="773"/>
      <c r="H3" s="774"/>
      <c r="I3" s="773"/>
      <c r="J3" s="774"/>
      <c r="K3" s="773"/>
      <c r="L3" s="775"/>
      <c r="M3" s="773"/>
      <c r="N3" s="775"/>
      <c r="O3" s="773"/>
      <c r="P3" s="775"/>
      <c r="Q3" s="773"/>
      <c r="R3" s="775"/>
      <c r="S3" s="773"/>
      <c r="T3" s="775"/>
      <c r="U3" s="773"/>
      <c r="V3" s="775"/>
      <c r="W3" s="773"/>
      <c r="X3" s="775"/>
      <c r="Y3" s="773"/>
      <c r="Z3" s="775"/>
      <c r="AA3" s="773"/>
      <c r="AB3" s="775"/>
      <c r="AC3" s="773"/>
      <c r="AD3" s="775"/>
    </row>
    <row r="4" spans="1:30" s="795" customFormat="1" ht="15.75" customHeight="1">
      <c r="A4" s="788"/>
      <c r="B4" s="789" t="s">
        <v>649</v>
      </c>
      <c r="C4" s="790">
        <v>1864000</v>
      </c>
      <c r="D4" s="791"/>
      <c r="E4" s="792"/>
      <c r="F4" s="793"/>
      <c r="G4" s="792"/>
      <c r="H4" s="793"/>
      <c r="I4" s="792"/>
      <c r="J4" s="793"/>
      <c r="K4" s="792"/>
      <c r="L4" s="794"/>
      <c r="M4" s="792"/>
      <c r="N4" s="794"/>
      <c r="O4" s="792"/>
      <c r="P4" s="794"/>
      <c r="Q4" s="792"/>
      <c r="R4" s="794"/>
      <c r="S4" s="792"/>
      <c r="T4" s="794"/>
      <c r="U4" s="792"/>
      <c r="V4" s="794"/>
      <c r="W4" s="792"/>
      <c r="X4" s="794"/>
      <c r="Y4" s="792"/>
      <c r="Z4" s="794"/>
      <c r="AA4" s="792"/>
      <c r="AB4" s="794"/>
      <c r="AC4" s="792">
        <f>C4</f>
        <v>1864000</v>
      </c>
      <c r="AD4" s="794"/>
    </row>
    <row r="5" spans="1:30" s="795" customFormat="1" ht="15.75" customHeight="1">
      <c r="B5" s="789" t="s">
        <v>513</v>
      </c>
      <c r="C5" s="790">
        <v>80000</v>
      </c>
      <c r="D5" s="791"/>
      <c r="E5" s="792"/>
      <c r="F5" s="793"/>
      <c r="G5" s="792"/>
      <c r="H5" s="793"/>
      <c r="I5" s="792"/>
      <c r="J5" s="793"/>
      <c r="K5" s="792"/>
      <c r="L5" s="794"/>
      <c r="M5" s="792"/>
      <c r="N5" s="794"/>
      <c r="O5" s="792"/>
      <c r="P5" s="794"/>
      <c r="Q5" s="792"/>
      <c r="R5" s="794"/>
      <c r="S5" s="792"/>
      <c r="T5" s="794"/>
      <c r="U5" s="792"/>
      <c r="V5" s="794"/>
      <c r="W5" s="792"/>
      <c r="X5" s="794"/>
      <c r="Y5" s="792"/>
      <c r="Z5" s="794"/>
      <c r="AA5" s="792"/>
      <c r="AB5" s="794"/>
      <c r="AC5" s="792">
        <f t="shared" ref="AC5:AC7" si="0">C5</f>
        <v>80000</v>
      </c>
      <c r="AD5" s="794"/>
    </row>
    <row r="6" spans="1:30" s="795" customFormat="1" ht="15.75" customHeight="1">
      <c r="B6" s="789" t="s">
        <v>622</v>
      </c>
      <c r="C6" s="790">
        <v>100000</v>
      </c>
      <c r="D6" s="791"/>
      <c r="E6" s="792"/>
      <c r="F6" s="793"/>
      <c r="G6" s="792"/>
      <c r="H6" s="793"/>
      <c r="I6" s="792"/>
      <c r="J6" s="793"/>
      <c r="K6" s="792"/>
      <c r="L6" s="794"/>
      <c r="M6" s="792"/>
      <c r="N6" s="794"/>
      <c r="O6" s="792"/>
      <c r="P6" s="794"/>
      <c r="Q6" s="792"/>
      <c r="R6" s="794"/>
      <c r="S6" s="792"/>
      <c r="T6" s="794"/>
      <c r="U6" s="792"/>
      <c r="V6" s="794"/>
      <c r="W6" s="792"/>
      <c r="X6" s="794"/>
      <c r="Y6" s="792"/>
      <c r="Z6" s="794"/>
      <c r="AA6" s="792"/>
      <c r="AB6" s="794"/>
      <c r="AC6" s="792">
        <f t="shared" si="0"/>
        <v>100000</v>
      </c>
      <c r="AD6" s="794"/>
    </row>
    <row r="7" spans="1:30" s="795" customFormat="1" ht="15.75" customHeight="1">
      <c r="B7" s="789" t="s">
        <v>618</v>
      </c>
      <c r="C7" s="790">
        <v>100000</v>
      </c>
      <c r="D7" s="791"/>
      <c r="E7" s="792"/>
      <c r="F7" s="793"/>
      <c r="G7" s="792"/>
      <c r="H7" s="793"/>
      <c r="I7" s="792"/>
      <c r="J7" s="793"/>
      <c r="K7" s="792"/>
      <c r="L7" s="794"/>
      <c r="M7" s="792"/>
      <c r="N7" s="794"/>
      <c r="O7" s="792"/>
      <c r="P7" s="794"/>
      <c r="Q7" s="792"/>
      <c r="R7" s="794"/>
      <c r="S7" s="792"/>
      <c r="T7" s="794"/>
      <c r="U7" s="792"/>
      <c r="V7" s="794"/>
      <c r="W7" s="792"/>
      <c r="X7" s="794"/>
      <c r="Y7" s="792"/>
      <c r="Z7" s="794"/>
      <c r="AA7" s="792"/>
      <c r="AB7" s="794"/>
      <c r="AC7" s="792">
        <f t="shared" si="0"/>
        <v>100000</v>
      </c>
      <c r="AD7" s="794"/>
    </row>
    <row r="8" spans="1:30" s="795" customFormat="1" ht="15.75" customHeight="1">
      <c r="B8" s="803" t="s">
        <v>642</v>
      </c>
      <c r="C8" s="790"/>
      <c r="D8" s="791"/>
      <c r="E8" s="792"/>
      <c r="F8" s="793"/>
      <c r="G8" s="792"/>
      <c r="H8" s="793"/>
      <c r="I8" s="792"/>
      <c r="J8" s="793"/>
      <c r="K8" s="792"/>
      <c r="L8" s="794"/>
      <c r="M8" s="792"/>
      <c r="N8" s="794"/>
      <c r="O8" s="792"/>
      <c r="P8" s="794"/>
      <c r="Q8" s="792"/>
      <c r="R8" s="794"/>
      <c r="S8" s="792"/>
      <c r="T8" s="794"/>
      <c r="U8" s="792"/>
      <c r="V8" s="794"/>
      <c r="W8" s="792"/>
      <c r="X8" s="794"/>
      <c r="Y8" s="792"/>
      <c r="Z8" s="794"/>
      <c r="AA8" s="792"/>
      <c r="AB8" s="794"/>
      <c r="AC8" s="792"/>
      <c r="AD8" s="794"/>
    </row>
    <row r="9" spans="1:30" s="795" customFormat="1" ht="15.75" customHeight="1">
      <c r="B9" s="803" t="s">
        <v>643</v>
      </c>
      <c r="C9" s="790"/>
      <c r="D9" s="791"/>
      <c r="E9" s="792"/>
      <c r="F9" s="793"/>
      <c r="G9" s="792"/>
      <c r="H9" s="793"/>
      <c r="I9" s="792"/>
      <c r="J9" s="793"/>
      <c r="K9" s="792"/>
      <c r="L9" s="794"/>
      <c r="M9" s="792"/>
      <c r="N9" s="794"/>
      <c r="O9" s="792"/>
      <c r="P9" s="794"/>
      <c r="Q9" s="792"/>
      <c r="R9" s="794"/>
      <c r="S9" s="792"/>
      <c r="T9" s="794"/>
      <c r="U9" s="792"/>
      <c r="V9" s="794"/>
      <c r="W9" s="792"/>
      <c r="X9" s="794"/>
      <c r="Y9" s="792"/>
      <c r="Z9" s="794"/>
      <c r="AA9" s="792"/>
      <c r="AB9" s="794"/>
      <c r="AC9" s="792"/>
      <c r="AD9" s="794"/>
    </row>
    <row r="10" spans="1:30" s="795" customFormat="1" ht="15.75" customHeight="1">
      <c r="B10" s="804">
        <f>INVERSIONES!A5</f>
        <v>0</v>
      </c>
      <c r="C10" s="790"/>
      <c r="D10" s="791"/>
      <c r="E10" s="792">
        <f>22962200*60%</f>
        <v>13777320</v>
      </c>
      <c r="F10" s="793"/>
      <c r="G10" s="792">
        <f>22962200*40%</f>
        <v>9184880</v>
      </c>
      <c r="H10" s="793"/>
      <c r="I10" s="792"/>
      <c r="J10" s="793"/>
      <c r="K10" s="792"/>
      <c r="L10" s="794"/>
      <c r="M10" s="792"/>
      <c r="N10" s="794"/>
      <c r="O10" s="792"/>
      <c r="P10" s="794"/>
      <c r="Q10" s="792"/>
      <c r="R10" s="794"/>
      <c r="S10" s="792"/>
      <c r="T10" s="794"/>
      <c r="U10" s="792"/>
      <c r="V10" s="794"/>
      <c r="W10" s="792"/>
      <c r="X10" s="794"/>
      <c r="Y10" s="792"/>
      <c r="Z10" s="794"/>
      <c r="AA10" s="792"/>
      <c r="AB10" s="794"/>
      <c r="AC10" s="792">
        <f>E10+G10</f>
        <v>22962200</v>
      </c>
      <c r="AD10" s="794"/>
    </row>
    <row r="11" spans="1:30" s="795" customFormat="1" ht="15.75" customHeight="1">
      <c r="B11" s="804">
        <f>INVERSIONES!A6</f>
        <v>0</v>
      </c>
      <c r="C11" s="790"/>
      <c r="D11" s="791"/>
      <c r="E11" s="792">
        <f>20500000*60%</f>
        <v>12300000</v>
      </c>
      <c r="F11" s="793"/>
      <c r="G11" s="792">
        <f>20500000*40%</f>
        <v>8200000</v>
      </c>
      <c r="H11" s="793"/>
      <c r="I11" s="792"/>
      <c r="J11" s="793"/>
      <c r="K11" s="792"/>
      <c r="L11" s="794"/>
      <c r="M11" s="792"/>
      <c r="N11" s="794"/>
      <c r="O11" s="792"/>
      <c r="P11" s="794"/>
      <c r="Q11" s="792"/>
      <c r="R11" s="794"/>
      <c r="S11" s="792"/>
      <c r="T11" s="794"/>
      <c r="U11" s="792"/>
      <c r="V11" s="794"/>
      <c r="W11" s="792"/>
      <c r="X11" s="794"/>
      <c r="Y11" s="792"/>
      <c r="Z11" s="794"/>
      <c r="AA11" s="792"/>
      <c r="AB11" s="794"/>
      <c r="AC11" s="792">
        <f t="shared" ref="AC11:AC12" si="1">E11+G11</f>
        <v>20500000</v>
      </c>
      <c r="AD11" s="794"/>
    </row>
    <row r="12" spans="1:30" s="795" customFormat="1" ht="15.75" customHeight="1">
      <c r="B12" s="804">
        <f>INVERSIONES!A7</f>
        <v>0</v>
      </c>
      <c r="C12" s="790"/>
      <c r="D12" s="791"/>
      <c r="E12" s="792">
        <f>20307000*60%</f>
        <v>12184200</v>
      </c>
      <c r="F12" s="793"/>
      <c r="G12" s="792">
        <f>20307000*40%</f>
        <v>8122800</v>
      </c>
      <c r="H12" s="793"/>
      <c r="I12" s="792"/>
      <c r="J12" s="793"/>
      <c r="K12" s="792"/>
      <c r="L12" s="794"/>
      <c r="M12" s="792"/>
      <c r="N12" s="794"/>
      <c r="O12" s="792"/>
      <c r="P12" s="794"/>
      <c r="Q12" s="792"/>
      <c r="R12" s="794"/>
      <c r="S12" s="792"/>
      <c r="T12" s="794"/>
      <c r="U12" s="792"/>
      <c r="V12" s="794"/>
      <c r="W12" s="792"/>
      <c r="X12" s="794"/>
      <c r="Y12" s="792"/>
      <c r="Z12" s="794"/>
      <c r="AA12" s="792"/>
      <c r="AB12" s="794"/>
      <c r="AC12" s="792">
        <f t="shared" si="1"/>
        <v>20307000</v>
      </c>
      <c r="AD12" s="794"/>
    </row>
    <row r="13" spans="1:30" s="795" customFormat="1" ht="15.75" customHeight="1">
      <c r="B13" s="803" t="s">
        <v>349</v>
      </c>
      <c r="C13" s="790"/>
      <c r="D13" s="791"/>
      <c r="E13" s="792"/>
      <c r="F13" s="793"/>
      <c r="G13" s="792"/>
      <c r="H13" s="793"/>
      <c r="I13" s="792"/>
      <c r="J13" s="793"/>
      <c r="K13" s="792"/>
      <c r="L13" s="794"/>
      <c r="M13" s="792"/>
      <c r="N13" s="794"/>
      <c r="O13" s="792"/>
      <c r="P13" s="794"/>
      <c r="Q13" s="792"/>
      <c r="R13" s="794"/>
      <c r="S13" s="792"/>
      <c r="T13" s="794"/>
      <c r="U13" s="792"/>
      <c r="V13" s="794"/>
      <c r="W13" s="792"/>
      <c r="X13" s="794"/>
      <c r="Y13" s="792"/>
      <c r="Z13" s="794"/>
      <c r="AA13" s="792"/>
      <c r="AB13" s="794"/>
      <c r="AC13" s="792"/>
      <c r="AD13" s="794"/>
    </row>
    <row r="14" spans="1:30" s="795" customFormat="1" ht="15.75" customHeight="1">
      <c r="B14" s="804">
        <f>INVERSIONES!A13</f>
        <v>0</v>
      </c>
      <c r="C14" s="790"/>
      <c r="D14" s="791"/>
      <c r="E14" s="792">
        <v>2780000</v>
      </c>
      <c r="F14" s="793"/>
      <c r="G14" s="792"/>
      <c r="H14" s="793"/>
      <c r="I14" s="792"/>
      <c r="J14" s="793"/>
      <c r="K14" s="792"/>
      <c r="L14" s="794"/>
      <c r="M14" s="792"/>
      <c r="N14" s="794"/>
      <c r="O14" s="792"/>
      <c r="P14" s="794"/>
      <c r="Q14" s="792"/>
      <c r="R14" s="794"/>
      <c r="S14" s="792"/>
      <c r="T14" s="794"/>
      <c r="U14" s="792"/>
      <c r="V14" s="794"/>
      <c r="W14" s="792"/>
      <c r="X14" s="794"/>
      <c r="Y14" s="792"/>
      <c r="Z14" s="794"/>
      <c r="AA14" s="792"/>
      <c r="AB14" s="794"/>
      <c r="AC14" s="792">
        <f>E14</f>
        <v>2780000</v>
      </c>
      <c r="AD14" s="794"/>
    </row>
    <row r="15" spans="1:30" s="795" customFormat="1" ht="15.75" customHeight="1">
      <c r="A15" s="805"/>
      <c r="B15" s="804" t="str">
        <f>INVERSIONES!F5</f>
        <v>Computador  de escritorio</v>
      </c>
      <c r="C15" s="790"/>
      <c r="D15" s="791"/>
      <c r="E15" s="792"/>
      <c r="F15" s="793">
        <v>1000000</v>
      </c>
      <c r="G15" s="792"/>
      <c r="H15" s="793"/>
      <c r="I15" s="792"/>
      <c r="J15" s="793"/>
      <c r="K15" s="792"/>
      <c r="L15" s="794"/>
      <c r="M15" s="792"/>
      <c r="N15" s="794"/>
      <c r="O15" s="792"/>
      <c r="P15" s="794"/>
      <c r="Q15" s="792"/>
      <c r="R15" s="794"/>
      <c r="S15" s="792"/>
      <c r="T15" s="794"/>
      <c r="U15" s="792"/>
      <c r="V15" s="794"/>
      <c r="W15" s="792"/>
      <c r="X15" s="794"/>
      <c r="Y15" s="792"/>
      <c r="Z15" s="794"/>
      <c r="AA15" s="792"/>
      <c r="AB15" s="794"/>
      <c r="AC15" s="792"/>
      <c r="AD15" s="794">
        <f>F15</f>
        <v>1000000</v>
      </c>
    </row>
    <row r="16" spans="1:30" s="795" customFormat="1" ht="15.75" customHeight="1">
      <c r="A16" s="805"/>
      <c r="B16" s="804" t="str">
        <f>INVERSIONES!F6</f>
        <v>Impresora Multifuncional con escaner y copiado</v>
      </c>
      <c r="C16" s="790"/>
      <c r="D16" s="791"/>
      <c r="E16" s="792"/>
      <c r="F16" s="793">
        <v>500000</v>
      </c>
      <c r="G16" s="792"/>
      <c r="H16" s="793"/>
      <c r="I16" s="792"/>
      <c r="J16" s="793"/>
      <c r="K16" s="792"/>
      <c r="L16" s="794"/>
      <c r="M16" s="792"/>
      <c r="N16" s="794"/>
      <c r="O16" s="792"/>
      <c r="P16" s="794"/>
      <c r="Q16" s="792"/>
      <c r="R16" s="794"/>
      <c r="S16" s="792"/>
      <c r="T16" s="794"/>
      <c r="U16" s="792"/>
      <c r="V16" s="794"/>
      <c r="W16" s="792"/>
      <c r="X16" s="794"/>
      <c r="Y16" s="792"/>
      <c r="Z16" s="794"/>
      <c r="AA16" s="792"/>
      <c r="AB16" s="794"/>
      <c r="AC16" s="792"/>
      <c r="AD16" s="794">
        <f>F16</f>
        <v>500000</v>
      </c>
    </row>
    <row r="17" spans="1:31" s="795" customFormat="1" ht="15.75" customHeight="1">
      <c r="B17" s="803" t="s">
        <v>348</v>
      </c>
      <c r="C17" s="790"/>
      <c r="D17" s="791"/>
      <c r="E17" s="792"/>
      <c r="F17" s="793"/>
      <c r="G17" s="792"/>
      <c r="H17" s="793"/>
      <c r="I17" s="792"/>
      <c r="J17" s="793"/>
      <c r="K17" s="792"/>
      <c r="L17" s="794"/>
      <c r="M17" s="792"/>
      <c r="N17" s="794"/>
      <c r="O17" s="792"/>
      <c r="P17" s="794"/>
      <c r="Q17" s="792"/>
      <c r="R17" s="794"/>
      <c r="S17" s="792"/>
      <c r="T17" s="794"/>
      <c r="U17" s="792"/>
      <c r="V17" s="794"/>
      <c r="W17" s="792"/>
      <c r="X17" s="794"/>
      <c r="Y17" s="792"/>
      <c r="Z17" s="794"/>
      <c r="AA17" s="792"/>
      <c r="AB17" s="794"/>
      <c r="AC17" s="792"/>
      <c r="AD17" s="794"/>
    </row>
    <row r="18" spans="1:31" s="795" customFormat="1" ht="15.75" customHeight="1">
      <c r="B18" s="789">
        <f>INVERSIONES!A19</f>
        <v>0</v>
      </c>
      <c r="C18" s="790"/>
      <c r="D18" s="791"/>
      <c r="E18" s="792">
        <v>250000</v>
      </c>
      <c r="F18" s="793"/>
      <c r="G18" s="792"/>
      <c r="H18" s="793"/>
      <c r="I18" s="792"/>
      <c r="J18" s="793"/>
      <c r="K18" s="792"/>
      <c r="L18" s="794"/>
      <c r="M18" s="792"/>
      <c r="N18" s="794"/>
      <c r="O18" s="792"/>
      <c r="P18" s="794"/>
      <c r="Q18" s="792"/>
      <c r="R18" s="794"/>
      <c r="S18" s="792"/>
      <c r="T18" s="794"/>
      <c r="U18" s="792"/>
      <c r="V18" s="794"/>
      <c r="W18" s="792"/>
      <c r="X18" s="794"/>
      <c r="Y18" s="792"/>
      <c r="Z18" s="794"/>
      <c r="AA18" s="792"/>
      <c r="AB18" s="794"/>
      <c r="AC18" s="792">
        <f>E18</f>
        <v>250000</v>
      </c>
      <c r="AD18" s="794"/>
    </row>
    <row r="19" spans="1:31" s="795" customFormat="1" ht="15.75" customHeight="1">
      <c r="B19" s="789">
        <f>INVERSIONES!A20</f>
        <v>0</v>
      </c>
      <c r="C19" s="790"/>
      <c r="D19" s="791"/>
      <c r="E19" s="792">
        <v>450000</v>
      </c>
      <c r="F19" s="793"/>
      <c r="G19" s="792"/>
      <c r="H19" s="793"/>
      <c r="I19" s="792"/>
      <c r="J19" s="793"/>
      <c r="K19" s="792"/>
      <c r="L19" s="794"/>
      <c r="M19" s="792"/>
      <c r="N19" s="794"/>
      <c r="O19" s="792"/>
      <c r="P19" s="794"/>
      <c r="Q19" s="792"/>
      <c r="R19" s="794"/>
      <c r="S19" s="792"/>
      <c r="T19" s="794"/>
      <c r="U19" s="792"/>
      <c r="V19" s="794"/>
      <c r="W19" s="792"/>
      <c r="X19" s="794"/>
      <c r="Y19" s="792"/>
      <c r="Z19" s="794"/>
      <c r="AA19" s="792"/>
      <c r="AB19" s="794"/>
      <c r="AC19" s="792">
        <f t="shared" ref="AC19:AC20" si="2">E19</f>
        <v>450000</v>
      </c>
      <c r="AD19" s="794"/>
    </row>
    <row r="20" spans="1:31" s="795" customFormat="1" ht="15.75" customHeight="1">
      <c r="B20" s="789">
        <f>INVERSIONES!A21</f>
        <v>0</v>
      </c>
      <c r="C20" s="790"/>
      <c r="D20" s="791"/>
      <c r="E20" s="792">
        <v>360000</v>
      </c>
      <c r="F20" s="793"/>
      <c r="G20" s="792"/>
      <c r="H20" s="793"/>
      <c r="I20" s="792"/>
      <c r="J20" s="793"/>
      <c r="K20" s="792"/>
      <c r="L20" s="794"/>
      <c r="M20" s="792"/>
      <c r="N20" s="794"/>
      <c r="O20" s="792"/>
      <c r="P20" s="794"/>
      <c r="Q20" s="792"/>
      <c r="R20" s="794"/>
      <c r="S20" s="792"/>
      <c r="T20" s="794"/>
      <c r="U20" s="792"/>
      <c r="V20" s="794"/>
      <c r="W20" s="792"/>
      <c r="X20" s="794"/>
      <c r="Y20" s="792"/>
      <c r="Z20" s="794"/>
      <c r="AA20" s="792"/>
      <c r="AB20" s="794"/>
      <c r="AC20" s="792">
        <f t="shared" si="2"/>
        <v>360000</v>
      </c>
      <c r="AD20" s="794"/>
    </row>
    <row r="21" spans="1:31" s="795" customFormat="1" ht="15.75" customHeight="1">
      <c r="A21" s="805"/>
      <c r="B21" s="789" t="str">
        <f>INVERSIONES!F9</f>
        <v>Escritorio Auxiliar</v>
      </c>
      <c r="C21" s="790"/>
      <c r="D21" s="791"/>
      <c r="E21" s="792"/>
      <c r="F21" s="793">
        <v>350000</v>
      </c>
      <c r="G21" s="792"/>
      <c r="H21" s="793"/>
      <c r="I21" s="792"/>
      <c r="J21" s="793"/>
      <c r="K21" s="792"/>
      <c r="L21" s="794"/>
      <c r="M21" s="792"/>
      <c r="N21" s="794"/>
      <c r="O21" s="792"/>
      <c r="P21" s="794"/>
      <c r="Q21" s="792"/>
      <c r="R21" s="794"/>
      <c r="S21" s="792"/>
      <c r="T21" s="794"/>
      <c r="U21" s="792"/>
      <c r="V21" s="794"/>
      <c r="W21" s="792"/>
      <c r="X21" s="794"/>
      <c r="Y21" s="792"/>
      <c r="Z21" s="794"/>
      <c r="AA21" s="792"/>
      <c r="AB21" s="794"/>
      <c r="AC21" s="792"/>
      <c r="AD21" s="794">
        <f>F21</f>
        <v>350000</v>
      </c>
    </row>
    <row r="22" spans="1:31" s="795" customFormat="1" ht="15.75" customHeight="1">
      <c r="A22" s="805"/>
      <c r="B22" s="789">
        <f>INVERSIONES!F10</f>
        <v>0</v>
      </c>
      <c r="C22" s="790"/>
      <c r="D22" s="791"/>
      <c r="E22" s="792"/>
      <c r="F22" s="793">
        <v>150000</v>
      </c>
      <c r="G22" s="792"/>
      <c r="H22" s="793"/>
      <c r="I22" s="792"/>
      <c r="J22" s="793"/>
      <c r="K22" s="792"/>
      <c r="L22" s="794"/>
      <c r="M22" s="792"/>
      <c r="N22" s="794"/>
      <c r="O22" s="792"/>
      <c r="P22" s="794"/>
      <c r="Q22" s="792"/>
      <c r="R22" s="794"/>
      <c r="S22" s="792"/>
      <c r="T22" s="794"/>
      <c r="U22" s="792"/>
      <c r="V22" s="794"/>
      <c r="W22" s="792"/>
      <c r="X22" s="794"/>
      <c r="Y22" s="792"/>
      <c r="Z22" s="794"/>
      <c r="AA22" s="792"/>
      <c r="AB22" s="794"/>
      <c r="AC22" s="792"/>
      <c r="AD22" s="794">
        <f>F22</f>
        <v>150000</v>
      </c>
    </row>
    <row r="23" spans="1:31" s="795" customFormat="1" ht="15.75" customHeight="1">
      <c r="B23" s="803" t="s">
        <v>469</v>
      </c>
      <c r="C23" s="790"/>
      <c r="D23" s="791"/>
      <c r="E23" s="792"/>
      <c r="F23" s="793"/>
      <c r="G23" s="792"/>
      <c r="H23" s="793"/>
      <c r="I23" s="792"/>
      <c r="J23" s="793"/>
      <c r="K23" s="792"/>
      <c r="L23" s="794"/>
      <c r="M23" s="792"/>
      <c r="N23" s="794"/>
      <c r="O23" s="792"/>
      <c r="P23" s="794"/>
      <c r="Q23" s="792"/>
      <c r="R23" s="794"/>
      <c r="S23" s="792"/>
      <c r="T23" s="794"/>
      <c r="U23" s="792"/>
      <c r="V23" s="794"/>
      <c r="W23" s="792"/>
      <c r="X23" s="794"/>
      <c r="Y23" s="792"/>
      <c r="Z23" s="794"/>
      <c r="AA23" s="792"/>
      <c r="AB23" s="794"/>
      <c r="AC23" s="792"/>
      <c r="AD23" s="794"/>
    </row>
    <row r="24" spans="1:31" s="795" customFormat="1" ht="15.75" customHeight="1">
      <c r="B24" s="789">
        <f>INVERSIONES!A26</f>
        <v>0</v>
      </c>
      <c r="C24" s="790"/>
      <c r="D24" s="791"/>
      <c r="E24" s="792">
        <v>400000</v>
      </c>
      <c r="F24" s="793"/>
      <c r="G24" s="792"/>
      <c r="H24" s="793"/>
      <c r="I24" s="792"/>
      <c r="J24" s="793"/>
      <c r="K24" s="792"/>
      <c r="L24" s="794"/>
      <c r="M24" s="792"/>
      <c r="N24" s="794"/>
      <c r="O24" s="792"/>
      <c r="P24" s="794"/>
      <c r="Q24" s="792"/>
      <c r="R24" s="794"/>
      <c r="S24" s="792"/>
      <c r="T24" s="794"/>
      <c r="U24" s="792"/>
      <c r="V24" s="794"/>
      <c r="W24" s="792"/>
      <c r="X24" s="794"/>
      <c r="Y24" s="792"/>
      <c r="Z24" s="794"/>
      <c r="AA24" s="792"/>
      <c r="AB24" s="794"/>
      <c r="AC24" s="792">
        <f>E24</f>
        <v>400000</v>
      </c>
      <c r="AD24" s="794"/>
    </row>
    <row r="25" spans="1:31" s="795" customFormat="1" ht="15.75" customHeight="1">
      <c r="A25" s="796"/>
      <c r="B25" s="799" t="s">
        <v>633</v>
      </c>
      <c r="C25" s="797"/>
      <c r="D25" s="791"/>
      <c r="E25" s="792"/>
      <c r="F25" s="793"/>
      <c r="G25" s="792"/>
      <c r="H25" s="793"/>
      <c r="I25" s="792"/>
      <c r="J25" s="793"/>
      <c r="K25" s="792"/>
      <c r="L25" s="794"/>
      <c r="M25" s="792"/>
      <c r="N25" s="794"/>
      <c r="O25" s="792"/>
      <c r="P25" s="794"/>
      <c r="Q25" s="792"/>
      <c r="R25" s="794"/>
      <c r="S25" s="792"/>
      <c r="T25" s="794"/>
      <c r="U25" s="792"/>
      <c r="V25" s="794"/>
      <c r="W25" s="792"/>
      <c r="X25" s="794"/>
      <c r="Y25" s="792"/>
      <c r="Z25" s="794"/>
      <c r="AA25" s="792"/>
      <c r="AB25" s="794"/>
      <c r="AC25" s="792"/>
      <c r="AD25" s="794"/>
    </row>
    <row r="26" spans="1:31" s="795" customFormat="1" ht="15.75" customHeight="1">
      <c r="A26" s="796"/>
      <c r="B26" s="789" t="s">
        <v>511</v>
      </c>
      <c r="C26" s="797"/>
      <c r="D26" s="791"/>
      <c r="E26" s="792">
        <v>1800000</v>
      </c>
      <c r="F26" s="793"/>
      <c r="G26" s="792">
        <v>1800000</v>
      </c>
      <c r="H26" s="793"/>
      <c r="I26" s="792">
        <v>1800000</v>
      </c>
      <c r="J26" s="793"/>
      <c r="K26" s="792">
        <v>1800000</v>
      </c>
      <c r="L26" s="794"/>
      <c r="M26" s="792">
        <v>1800000</v>
      </c>
      <c r="N26" s="794"/>
      <c r="O26" s="792">
        <v>1800000</v>
      </c>
      <c r="P26" s="794"/>
      <c r="Q26" s="792"/>
      <c r="R26" s="794">
        <v>1800000</v>
      </c>
      <c r="S26" s="792"/>
      <c r="T26" s="794">
        <v>1800000</v>
      </c>
      <c r="U26" s="792"/>
      <c r="V26" s="794">
        <v>1800000</v>
      </c>
      <c r="W26" s="792"/>
      <c r="X26" s="794">
        <v>1800000</v>
      </c>
      <c r="Y26" s="792"/>
      <c r="Z26" s="794">
        <v>1800000</v>
      </c>
      <c r="AA26" s="792"/>
      <c r="AB26" s="794">
        <v>1800000</v>
      </c>
      <c r="AC26" s="792">
        <f>E26+I26+K26+M26+O26+G26</f>
        <v>10800000</v>
      </c>
      <c r="AD26" s="794">
        <f>R26+T26+V26+X26+Z26+AB26</f>
        <v>10800000</v>
      </c>
    </row>
    <row r="27" spans="1:31" s="795" customFormat="1" ht="15.75" customHeight="1">
      <c r="A27" s="788"/>
      <c r="B27" s="789" t="s">
        <v>510</v>
      </c>
      <c r="C27" s="797"/>
      <c r="D27" s="791"/>
      <c r="E27" s="792">
        <v>270000</v>
      </c>
      <c r="F27" s="793"/>
      <c r="G27" s="792">
        <v>270000</v>
      </c>
      <c r="H27" s="793"/>
      <c r="I27" s="792">
        <v>270000</v>
      </c>
      <c r="J27" s="793"/>
      <c r="K27" s="792">
        <v>270000</v>
      </c>
      <c r="L27" s="794"/>
      <c r="M27" s="792">
        <v>270000</v>
      </c>
      <c r="N27" s="794"/>
      <c r="O27" s="792">
        <v>270000</v>
      </c>
      <c r="P27" s="794"/>
      <c r="Q27" s="792">
        <v>270000</v>
      </c>
      <c r="R27" s="794"/>
      <c r="S27" s="792"/>
      <c r="T27" s="794">
        <v>270000</v>
      </c>
      <c r="U27" s="792"/>
      <c r="V27" s="794">
        <v>270000</v>
      </c>
      <c r="W27" s="792"/>
      <c r="X27" s="794">
        <v>270000</v>
      </c>
      <c r="Y27" s="792"/>
      <c r="Z27" s="794">
        <v>270000</v>
      </c>
      <c r="AA27" s="792"/>
      <c r="AB27" s="794">
        <v>270000</v>
      </c>
      <c r="AC27" s="792">
        <f>E27+I27+K27+M27+O27+G27+Q27</f>
        <v>1890000</v>
      </c>
      <c r="AD27" s="794">
        <f>T27+V27+X27+Z27+AB27</f>
        <v>1350000</v>
      </c>
      <c r="AE27" s="817"/>
    </row>
    <row r="28" spans="1:31" s="795" customFormat="1" ht="15.75" customHeight="1">
      <c r="A28" s="788"/>
      <c r="B28" s="789" t="s">
        <v>509</v>
      </c>
      <c r="C28" s="797"/>
      <c r="D28" s="791"/>
      <c r="E28" s="792">
        <v>145000</v>
      </c>
      <c r="F28" s="793"/>
      <c r="G28" s="792">
        <v>145000</v>
      </c>
      <c r="H28" s="793"/>
      <c r="I28" s="792">
        <v>145000</v>
      </c>
      <c r="J28" s="793"/>
      <c r="K28" s="792">
        <v>145000</v>
      </c>
      <c r="L28" s="794"/>
      <c r="M28" s="792">
        <v>145000</v>
      </c>
      <c r="N28" s="794"/>
      <c r="O28" s="792">
        <v>145000</v>
      </c>
      <c r="P28" s="794"/>
      <c r="Q28" s="792">
        <v>145000</v>
      </c>
      <c r="R28" s="794"/>
      <c r="S28" s="792"/>
      <c r="T28" s="794">
        <v>145000</v>
      </c>
      <c r="U28" s="792"/>
      <c r="V28" s="794">
        <v>145000</v>
      </c>
      <c r="W28" s="792"/>
      <c r="X28" s="794">
        <v>145000</v>
      </c>
      <c r="Y28" s="792"/>
      <c r="Z28" s="794">
        <v>145000</v>
      </c>
      <c r="AA28" s="792"/>
      <c r="AB28" s="794">
        <v>145000</v>
      </c>
      <c r="AC28" s="792">
        <f>E28+I28+K28+M28+O28+G28+Q28</f>
        <v>1015000</v>
      </c>
      <c r="AD28" s="794">
        <f>T28+V28+X28+Z28+AB28</f>
        <v>725000</v>
      </c>
      <c r="AE28" s="817"/>
    </row>
    <row r="29" spans="1:31" s="795" customFormat="1" ht="15.75" customHeight="1">
      <c r="A29" s="788"/>
      <c r="B29" s="789" t="s">
        <v>508</v>
      </c>
      <c r="C29" s="797"/>
      <c r="D29" s="791"/>
      <c r="E29" s="792"/>
      <c r="F29" s="793"/>
      <c r="G29" s="792">
        <v>250000</v>
      </c>
      <c r="H29" s="793"/>
      <c r="I29" s="792">
        <v>50000</v>
      </c>
      <c r="J29" s="793"/>
      <c r="K29" s="792">
        <v>50000</v>
      </c>
      <c r="L29" s="794"/>
      <c r="M29" s="792"/>
      <c r="N29" s="794">
        <v>50000</v>
      </c>
      <c r="O29" s="792"/>
      <c r="P29" s="794">
        <v>50000</v>
      </c>
      <c r="Q29" s="792"/>
      <c r="R29" s="794">
        <v>50000</v>
      </c>
      <c r="S29" s="792"/>
      <c r="T29" s="794">
        <v>50000</v>
      </c>
      <c r="U29" s="792"/>
      <c r="V29" s="794">
        <v>50000</v>
      </c>
      <c r="W29" s="792"/>
      <c r="X29" s="794">
        <v>50000</v>
      </c>
      <c r="Y29" s="792"/>
      <c r="Z29" s="794">
        <v>50000</v>
      </c>
      <c r="AA29" s="792"/>
      <c r="AB29" s="794">
        <v>50000</v>
      </c>
      <c r="AC29" s="792">
        <f>G29+I29+K29</f>
        <v>350000</v>
      </c>
      <c r="AD29" s="794">
        <f>N29+P29+R29+T29+V29+X29+Z29+AB29</f>
        <v>400000</v>
      </c>
    </row>
    <row r="30" spans="1:31" s="795" customFormat="1" ht="15.75" customHeight="1">
      <c r="A30" s="788"/>
      <c r="B30" s="789" t="s">
        <v>621</v>
      </c>
      <c r="C30" s="797"/>
      <c r="D30" s="791"/>
      <c r="E30" s="792"/>
      <c r="F30" s="793"/>
      <c r="G30" s="792"/>
      <c r="H30" s="793">
        <v>50000</v>
      </c>
      <c r="I30" s="792"/>
      <c r="J30" s="793">
        <v>50000</v>
      </c>
      <c r="K30" s="792"/>
      <c r="L30" s="794">
        <v>50000</v>
      </c>
      <c r="M30" s="792"/>
      <c r="N30" s="794">
        <v>50000</v>
      </c>
      <c r="O30" s="792"/>
      <c r="P30" s="794">
        <v>50000</v>
      </c>
      <c r="Q30" s="792"/>
      <c r="R30" s="794">
        <v>50000</v>
      </c>
      <c r="S30" s="792"/>
      <c r="T30" s="794">
        <v>50000</v>
      </c>
      <c r="U30" s="792"/>
      <c r="V30" s="794">
        <v>50000</v>
      </c>
      <c r="W30" s="792"/>
      <c r="X30" s="794">
        <v>50000</v>
      </c>
      <c r="Y30" s="792"/>
      <c r="Z30" s="794">
        <v>50000</v>
      </c>
      <c r="AA30" s="792"/>
      <c r="AB30" s="794">
        <v>50000</v>
      </c>
      <c r="AC30" s="792"/>
      <c r="AD30" s="794">
        <f>H30+J30+L30+N30+P30+R30+T30+X30+Z30+AB30</f>
        <v>500000</v>
      </c>
    </row>
    <row r="31" spans="1:31" s="795" customFormat="1" ht="15.75" customHeight="1">
      <c r="B31" s="789" t="s">
        <v>619</v>
      </c>
      <c r="C31" s="797"/>
      <c r="D31" s="791"/>
      <c r="E31" s="792"/>
      <c r="F31" s="793"/>
      <c r="G31" s="792">
        <v>100000</v>
      </c>
      <c r="H31" s="793"/>
      <c r="I31" s="792">
        <v>100000</v>
      </c>
      <c r="J31" s="793"/>
      <c r="K31" s="792">
        <v>100000</v>
      </c>
      <c r="L31" s="794"/>
      <c r="M31" s="792">
        <v>100000</v>
      </c>
      <c r="N31" s="794"/>
      <c r="O31" s="792">
        <v>100000</v>
      </c>
      <c r="P31" s="794"/>
      <c r="Q31" s="792">
        <v>100000</v>
      </c>
      <c r="R31" s="794"/>
      <c r="S31" s="792">
        <v>100000</v>
      </c>
      <c r="T31" s="794"/>
      <c r="U31" s="800">
        <v>100000</v>
      </c>
      <c r="V31" s="794"/>
      <c r="W31" s="800">
        <v>100000</v>
      </c>
      <c r="X31" s="794"/>
      <c r="Y31" s="800">
        <v>100000</v>
      </c>
      <c r="Z31" s="794"/>
      <c r="AA31" s="800">
        <v>100000</v>
      </c>
      <c r="AB31" s="794"/>
      <c r="AC31" s="792">
        <f>G31+I31+K31+M31+O31+Q31+S31+U31+W31+Y31+AA31</f>
        <v>1100000</v>
      </c>
      <c r="AD31" s="794"/>
    </row>
    <row r="32" spans="1:31" s="795" customFormat="1" ht="15.75" customHeight="1">
      <c r="A32" s="788"/>
      <c r="B32" s="789" t="s">
        <v>507</v>
      </c>
      <c r="C32" s="797"/>
      <c r="D32" s="791"/>
      <c r="E32" s="792"/>
      <c r="F32" s="793"/>
      <c r="G32" s="792"/>
      <c r="H32" s="793"/>
      <c r="I32" s="792"/>
      <c r="J32" s="793"/>
      <c r="K32" s="792">
        <v>360000</v>
      </c>
      <c r="L32" s="794"/>
      <c r="M32" s="792"/>
      <c r="N32" s="794"/>
      <c r="O32" s="792"/>
      <c r="P32" s="794"/>
      <c r="Q32" s="792"/>
      <c r="R32" s="794"/>
      <c r="S32" s="792"/>
      <c r="T32" s="794"/>
      <c r="U32" s="792"/>
      <c r="V32" s="794">
        <v>360000</v>
      </c>
      <c r="W32" s="792"/>
      <c r="X32" s="794"/>
      <c r="Y32" s="792"/>
      <c r="Z32" s="794"/>
      <c r="AA32" s="792"/>
      <c r="AB32" s="794"/>
      <c r="AC32" s="792">
        <f>K32</f>
        <v>360000</v>
      </c>
      <c r="AD32" s="794">
        <f>V32</f>
        <v>360000</v>
      </c>
    </row>
    <row r="33" spans="1:30" s="795" customFormat="1" ht="15.75" customHeight="1">
      <c r="A33" s="788"/>
      <c r="B33" s="789" t="s">
        <v>506</v>
      </c>
      <c r="C33" s="797"/>
      <c r="D33" s="791"/>
      <c r="E33" s="792">
        <v>200000</v>
      </c>
      <c r="F33" s="793"/>
      <c r="G33" s="792"/>
      <c r="H33" s="793"/>
      <c r="I33" s="792"/>
      <c r="J33" s="793"/>
      <c r="K33" s="792"/>
      <c r="L33" s="794"/>
      <c r="M33" s="792"/>
      <c r="N33" s="794"/>
      <c r="O33" s="792"/>
      <c r="P33" s="794"/>
      <c r="Q33" s="792"/>
      <c r="R33" s="794"/>
      <c r="S33" s="792"/>
      <c r="T33" s="794"/>
      <c r="U33" s="792"/>
      <c r="V33" s="794"/>
      <c r="W33" s="792"/>
      <c r="X33" s="794"/>
      <c r="Y33" s="792"/>
      <c r="Z33" s="794"/>
      <c r="AA33" s="792"/>
      <c r="AB33" s="794"/>
      <c r="AC33" s="792">
        <f>E33</f>
        <v>200000</v>
      </c>
      <c r="AD33" s="794"/>
    </row>
    <row r="34" spans="1:30" s="795" customFormat="1" ht="15.75" customHeight="1">
      <c r="A34" s="788"/>
      <c r="B34" s="789" t="s">
        <v>620</v>
      </c>
      <c r="C34" s="797"/>
      <c r="D34" s="791"/>
      <c r="E34" s="792"/>
      <c r="F34" s="793">
        <v>34000</v>
      </c>
      <c r="G34" s="792"/>
      <c r="H34" s="793">
        <v>34000</v>
      </c>
      <c r="I34" s="792"/>
      <c r="J34" s="793">
        <v>34000</v>
      </c>
      <c r="K34" s="792"/>
      <c r="L34" s="794">
        <v>34000</v>
      </c>
      <c r="M34" s="792"/>
      <c r="N34" s="794">
        <v>34000</v>
      </c>
      <c r="O34" s="792"/>
      <c r="P34" s="794">
        <v>34000</v>
      </c>
      <c r="Q34" s="792"/>
      <c r="R34" s="794">
        <v>34000</v>
      </c>
      <c r="S34" s="792"/>
      <c r="T34" s="794">
        <v>34000</v>
      </c>
      <c r="U34" s="792"/>
      <c r="V34" s="794">
        <v>34000</v>
      </c>
      <c r="W34" s="792"/>
      <c r="X34" s="794">
        <v>34000</v>
      </c>
      <c r="Y34" s="792"/>
      <c r="Z34" s="794">
        <v>34000</v>
      </c>
      <c r="AA34" s="792"/>
      <c r="AB34" s="794">
        <v>34000</v>
      </c>
      <c r="AC34" s="792"/>
      <c r="AD34" s="794">
        <f>F34+H34+J34+L34+N34+P34+R34+T34+V34+X34+Z34+AB34</f>
        <v>408000</v>
      </c>
    </row>
    <row r="35" spans="1:30" s="795" customFormat="1" ht="15.75" customHeight="1">
      <c r="A35" s="798"/>
      <c r="B35" s="799" t="s">
        <v>634</v>
      </c>
      <c r="C35" s="797"/>
      <c r="D35" s="791"/>
      <c r="E35" s="792"/>
      <c r="F35" s="793"/>
      <c r="G35" s="792"/>
      <c r="H35" s="793"/>
      <c r="I35" s="792"/>
      <c r="J35" s="793"/>
      <c r="K35" s="792"/>
      <c r="L35" s="794"/>
      <c r="M35" s="792"/>
      <c r="N35" s="794"/>
      <c r="O35" s="792"/>
      <c r="P35" s="794"/>
      <c r="Q35" s="792"/>
      <c r="R35" s="794"/>
      <c r="S35" s="792"/>
      <c r="T35" s="794"/>
      <c r="U35" s="792"/>
      <c r="V35" s="794"/>
      <c r="W35" s="792"/>
      <c r="X35" s="794"/>
      <c r="Y35" s="792"/>
      <c r="Z35" s="794"/>
      <c r="AA35" s="792"/>
      <c r="AB35" s="794"/>
      <c r="AC35" s="792"/>
      <c r="AD35" s="794"/>
    </row>
    <row r="36" spans="1:30" s="795" customFormat="1" ht="15.75" customHeight="1">
      <c r="B36" s="788" t="s">
        <v>635</v>
      </c>
      <c r="C36" s="797"/>
      <c r="D36" s="791"/>
      <c r="E36" s="792">
        <v>1000000</v>
      </c>
      <c r="F36" s="793"/>
      <c r="G36" s="792">
        <v>1000000</v>
      </c>
      <c r="H36" s="793"/>
      <c r="I36" s="792">
        <v>1000000</v>
      </c>
      <c r="J36" s="793"/>
      <c r="K36" s="792">
        <v>1000000</v>
      </c>
      <c r="L36" s="794"/>
      <c r="M36" s="792">
        <v>1000000</v>
      </c>
      <c r="N36" s="794"/>
      <c r="O36" s="792">
        <v>1000000</v>
      </c>
      <c r="P36" s="794"/>
      <c r="Q36" s="792"/>
      <c r="R36" s="794">
        <v>1000000</v>
      </c>
      <c r="S36" s="792"/>
      <c r="T36" s="794">
        <v>1000000</v>
      </c>
      <c r="U36" s="792"/>
      <c r="V36" s="794">
        <v>1000000</v>
      </c>
      <c r="W36" s="792"/>
      <c r="X36" s="794">
        <v>1000000</v>
      </c>
      <c r="Y36" s="792"/>
      <c r="Z36" s="794">
        <v>1000000</v>
      </c>
      <c r="AA36" s="792"/>
      <c r="AB36" s="794">
        <v>1000000</v>
      </c>
      <c r="AC36" s="792">
        <f>E36+G36+I36+K36+M36+O36</f>
        <v>6000000</v>
      </c>
      <c r="AD36" s="794">
        <f>R36+T36+V36+X36+Z36+AB36</f>
        <v>6000000</v>
      </c>
    </row>
    <row r="37" spans="1:30" s="795" customFormat="1" ht="15.75" customHeight="1">
      <c r="A37" s="788"/>
      <c r="B37" s="788" t="s">
        <v>636</v>
      </c>
      <c r="C37" s="797"/>
      <c r="D37" s="791"/>
      <c r="E37" s="792">
        <v>400000</v>
      </c>
      <c r="F37" s="793"/>
      <c r="G37" s="792">
        <v>400000</v>
      </c>
      <c r="H37" s="793"/>
      <c r="I37" s="792">
        <v>400000</v>
      </c>
      <c r="J37" s="793"/>
      <c r="K37" s="792">
        <v>400000</v>
      </c>
      <c r="L37" s="794"/>
      <c r="M37" s="792">
        <v>400000</v>
      </c>
      <c r="N37" s="794"/>
      <c r="O37" s="792">
        <v>400000</v>
      </c>
      <c r="P37" s="794"/>
      <c r="Q37" s="792"/>
      <c r="R37" s="794">
        <v>400000</v>
      </c>
      <c r="S37" s="792"/>
      <c r="T37" s="794">
        <v>400000</v>
      </c>
      <c r="U37" s="792"/>
      <c r="V37" s="794">
        <v>400000</v>
      </c>
      <c r="W37" s="792"/>
      <c r="X37" s="794">
        <v>400000</v>
      </c>
      <c r="Y37" s="792"/>
      <c r="Z37" s="794">
        <v>400000</v>
      </c>
      <c r="AA37" s="792"/>
      <c r="AB37" s="794">
        <v>400000</v>
      </c>
      <c r="AC37" s="792">
        <f>E37+G37+I37+K37+M37+O37</f>
        <v>2400000</v>
      </c>
      <c r="AD37" s="794">
        <f>R37+T37+V37+X37+Z37+AB37</f>
        <v>2400000</v>
      </c>
    </row>
    <row r="38" spans="1:30" s="795" customFormat="1" ht="15.75" customHeight="1">
      <c r="A38" s="788"/>
      <c r="B38" s="801" t="s">
        <v>637</v>
      </c>
      <c r="C38" s="797"/>
      <c r="D38" s="791"/>
      <c r="E38" s="792"/>
      <c r="F38" s="793"/>
      <c r="G38" s="792"/>
      <c r="H38" s="793"/>
      <c r="I38" s="792"/>
      <c r="J38" s="793"/>
      <c r="K38" s="792"/>
      <c r="L38" s="794"/>
      <c r="M38" s="792"/>
      <c r="N38" s="794"/>
      <c r="O38" s="792"/>
      <c r="P38" s="794"/>
      <c r="Q38" s="792"/>
      <c r="R38" s="794"/>
      <c r="S38" s="792"/>
      <c r="T38" s="794"/>
      <c r="U38" s="792"/>
      <c r="V38" s="794"/>
      <c r="W38" s="792"/>
      <c r="X38" s="794"/>
      <c r="Y38" s="792"/>
      <c r="Z38" s="794"/>
      <c r="AA38" s="792"/>
      <c r="AB38" s="794"/>
      <c r="AC38" s="792"/>
      <c r="AD38" s="794"/>
    </row>
    <row r="39" spans="1:30" s="795" customFormat="1" ht="15.75" customHeight="1">
      <c r="A39" s="788"/>
      <c r="B39" s="801" t="s">
        <v>638</v>
      </c>
      <c r="C39" s="797"/>
      <c r="D39" s="791"/>
      <c r="E39" s="792"/>
      <c r="F39" s="793"/>
      <c r="G39" s="792"/>
      <c r="H39" s="793"/>
      <c r="I39" s="792"/>
      <c r="J39" s="793"/>
      <c r="K39" s="792"/>
      <c r="L39" s="794"/>
      <c r="M39" s="792"/>
      <c r="N39" s="794"/>
      <c r="O39" s="792"/>
      <c r="P39" s="794"/>
      <c r="Q39" s="792"/>
      <c r="R39" s="794"/>
      <c r="S39" s="792"/>
      <c r="T39" s="794"/>
      <c r="U39" s="792"/>
      <c r="V39" s="794"/>
      <c r="W39" s="792"/>
      <c r="X39" s="794"/>
      <c r="Y39" s="792"/>
      <c r="Z39" s="794"/>
      <c r="AA39" s="792"/>
      <c r="AB39" s="794"/>
      <c r="AC39" s="792"/>
      <c r="AD39" s="794"/>
    </row>
    <row r="40" spans="1:30" s="795" customFormat="1" ht="15.75" customHeight="1">
      <c r="A40" s="788"/>
      <c r="B40" s="806" t="s">
        <v>607</v>
      </c>
      <c r="C40" s="797"/>
      <c r="D40" s="791"/>
      <c r="E40" s="808">
        <v>350000</v>
      </c>
      <c r="F40" s="807"/>
      <c r="G40" s="792"/>
      <c r="H40" s="793"/>
      <c r="I40" s="792"/>
      <c r="J40" s="793"/>
      <c r="K40" s="792"/>
      <c r="L40" s="794"/>
      <c r="M40" s="792"/>
      <c r="N40" s="794"/>
      <c r="O40" s="792"/>
      <c r="P40" s="794"/>
      <c r="Q40" s="792"/>
      <c r="R40" s="794"/>
      <c r="S40" s="792"/>
      <c r="T40" s="794"/>
      <c r="U40" s="792"/>
      <c r="V40" s="794"/>
      <c r="W40" s="792"/>
      <c r="X40" s="794"/>
      <c r="Y40" s="792"/>
      <c r="Z40" s="794"/>
      <c r="AA40" s="792"/>
      <c r="AB40" s="794"/>
      <c r="AC40" s="792">
        <f>E40</f>
        <v>350000</v>
      </c>
      <c r="AD40" s="794"/>
    </row>
    <row r="41" spans="1:30" s="795" customFormat="1" ht="15.75" customHeight="1">
      <c r="A41" s="788"/>
      <c r="B41" s="806" t="s">
        <v>540</v>
      </c>
      <c r="C41" s="797"/>
      <c r="D41" s="791"/>
      <c r="E41" s="808">
        <v>180000</v>
      </c>
      <c r="F41" s="807"/>
      <c r="G41" s="792"/>
      <c r="H41" s="793"/>
      <c r="I41" s="792"/>
      <c r="J41" s="793"/>
      <c r="K41" s="792"/>
      <c r="L41" s="794"/>
      <c r="M41" s="792"/>
      <c r="N41" s="794"/>
      <c r="O41" s="792"/>
      <c r="P41" s="794"/>
      <c r="Q41" s="792"/>
      <c r="R41" s="794"/>
      <c r="S41" s="792"/>
      <c r="T41" s="794"/>
      <c r="U41" s="792"/>
      <c r="V41" s="794"/>
      <c r="W41" s="792"/>
      <c r="X41" s="794"/>
      <c r="Y41" s="792"/>
      <c r="Z41" s="794"/>
      <c r="AA41" s="792"/>
      <c r="AB41" s="794"/>
      <c r="AC41" s="792">
        <f t="shared" ref="AC41:AC58" si="3">E41</f>
        <v>180000</v>
      </c>
      <c r="AD41" s="794"/>
    </row>
    <row r="42" spans="1:30" s="795" customFormat="1" ht="15.75" customHeight="1">
      <c r="A42" s="788"/>
      <c r="B42" s="806" t="s">
        <v>539</v>
      </c>
      <c r="C42" s="797"/>
      <c r="D42" s="791"/>
      <c r="E42" s="808">
        <v>630000</v>
      </c>
      <c r="F42" s="807"/>
      <c r="G42" s="792"/>
      <c r="H42" s="793"/>
      <c r="I42" s="792"/>
      <c r="J42" s="793"/>
      <c r="K42" s="792"/>
      <c r="L42" s="794"/>
      <c r="M42" s="792"/>
      <c r="N42" s="794"/>
      <c r="O42" s="792"/>
      <c r="P42" s="794"/>
      <c r="Q42" s="792"/>
      <c r="R42" s="794"/>
      <c r="S42" s="792"/>
      <c r="T42" s="794"/>
      <c r="U42" s="792"/>
      <c r="V42" s="794"/>
      <c r="W42" s="792"/>
      <c r="X42" s="794"/>
      <c r="Y42" s="792"/>
      <c r="Z42" s="794"/>
      <c r="AA42" s="792"/>
      <c r="AB42" s="794"/>
      <c r="AC42" s="792">
        <f t="shared" si="3"/>
        <v>630000</v>
      </c>
      <c r="AD42" s="794"/>
    </row>
    <row r="43" spans="1:30" s="795" customFormat="1" ht="15.75" customHeight="1">
      <c r="A43" s="788"/>
      <c r="B43" s="806" t="s">
        <v>538</v>
      </c>
      <c r="C43" s="797"/>
      <c r="D43" s="791"/>
      <c r="E43" s="808">
        <v>250000</v>
      </c>
      <c r="F43" s="807"/>
      <c r="G43" s="792"/>
      <c r="H43" s="793"/>
      <c r="I43" s="792"/>
      <c r="J43" s="793"/>
      <c r="K43" s="792"/>
      <c r="L43" s="794"/>
      <c r="M43" s="792"/>
      <c r="N43" s="794"/>
      <c r="O43" s="792"/>
      <c r="P43" s="794"/>
      <c r="Q43" s="792"/>
      <c r="R43" s="794"/>
      <c r="S43" s="792"/>
      <c r="T43" s="794"/>
      <c r="U43" s="792"/>
      <c r="V43" s="794"/>
      <c r="W43" s="792"/>
      <c r="X43" s="794"/>
      <c r="Y43" s="792"/>
      <c r="Z43" s="794"/>
      <c r="AA43" s="792"/>
      <c r="AB43" s="794"/>
      <c r="AC43" s="792">
        <f t="shared" si="3"/>
        <v>250000</v>
      </c>
      <c r="AD43" s="794"/>
    </row>
    <row r="44" spans="1:30" s="795" customFormat="1" ht="15.75" customHeight="1">
      <c r="A44" s="788"/>
      <c r="B44" s="809" t="s">
        <v>608</v>
      </c>
      <c r="C44" s="797"/>
      <c r="D44" s="791"/>
      <c r="E44" s="811">
        <v>50000</v>
      </c>
      <c r="F44" s="807"/>
      <c r="G44" s="792"/>
      <c r="H44" s="793"/>
      <c r="I44" s="792"/>
      <c r="J44" s="793"/>
      <c r="K44" s="792"/>
      <c r="L44" s="794"/>
      <c r="M44" s="792"/>
      <c r="N44" s="794"/>
      <c r="O44" s="792"/>
      <c r="P44" s="794"/>
      <c r="Q44" s="792"/>
      <c r="R44" s="794"/>
      <c r="S44" s="792"/>
      <c r="T44" s="794"/>
      <c r="U44" s="792"/>
      <c r="V44" s="794"/>
      <c r="W44" s="792"/>
      <c r="X44" s="794"/>
      <c r="Y44" s="792"/>
      <c r="Z44" s="794"/>
      <c r="AA44" s="792"/>
      <c r="AB44" s="794"/>
      <c r="AC44" s="792">
        <f t="shared" si="3"/>
        <v>50000</v>
      </c>
      <c r="AD44" s="794"/>
    </row>
    <row r="45" spans="1:30" s="795" customFormat="1" ht="15.75" customHeight="1">
      <c r="A45" s="788"/>
      <c r="B45" s="809" t="s">
        <v>616</v>
      </c>
      <c r="C45" s="797">
        <v>0</v>
      </c>
      <c r="D45" s="791">
        <v>0</v>
      </c>
      <c r="E45" s="811">
        <v>50000</v>
      </c>
      <c r="F45" s="807"/>
      <c r="G45" s="792"/>
      <c r="H45" s="793"/>
      <c r="I45" s="792"/>
      <c r="J45" s="793"/>
      <c r="K45" s="792"/>
      <c r="L45" s="794"/>
      <c r="M45" s="792"/>
      <c r="N45" s="794"/>
      <c r="O45" s="792"/>
      <c r="P45" s="794"/>
      <c r="Q45" s="792"/>
      <c r="R45" s="794"/>
      <c r="S45" s="792"/>
      <c r="T45" s="794"/>
      <c r="U45" s="792"/>
      <c r="V45" s="794"/>
      <c r="W45" s="792"/>
      <c r="X45" s="794"/>
      <c r="Y45" s="792"/>
      <c r="Z45" s="794"/>
      <c r="AA45" s="792"/>
      <c r="AB45" s="794"/>
      <c r="AC45" s="792">
        <f t="shared" si="3"/>
        <v>50000</v>
      </c>
      <c r="AD45" s="794"/>
    </row>
    <row r="46" spans="1:30" s="795" customFormat="1" ht="15.75" customHeight="1">
      <c r="A46" s="788"/>
      <c r="B46" s="809" t="s">
        <v>609</v>
      </c>
      <c r="C46" s="797">
        <v>0</v>
      </c>
      <c r="D46" s="791"/>
      <c r="E46" s="816">
        <v>400000</v>
      </c>
      <c r="F46" s="807"/>
      <c r="G46" s="792"/>
      <c r="H46" s="793"/>
      <c r="I46" s="792"/>
      <c r="J46" s="793"/>
      <c r="K46" s="792"/>
      <c r="L46" s="794"/>
      <c r="M46" s="792"/>
      <c r="N46" s="794"/>
      <c r="O46" s="792"/>
      <c r="P46" s="794"/>
      <c r="Q46" s="792"/>
      <c r="R46" s="794"/>
      <c r="S46" s="792"/>
      <c r="T46" s="794"/>
      <c r="U46" s="792"/>
      <c r="V46" s="794"/>
      <c r="W46" s="792"/>
      <c r="X46" s="794"/>
      <c r="Y46" s="792"/>
      <c r="Z46" s="794"/>
      <c r="AA46" s="792"/>
      <c r="AB46" s="794"/>
      <c r="AC46" s="792">
        <f t="shared" si="3"/>
        <v>400000</v>
      </c>
      <c r="AD46" s="794"/>
    </row>
    <row r="47" spans="1:30" s="795" customFormat="1" ht="15.75" customHeight="1">
      <c r="A47" s="788"/>
      <c r="B47" s="809" t="s">
        <v>610</v>
      </c>
      <c r="C47" s="797">
        <v>0</v>
      </c>
      <c r="D47" s="791"/>
      <c r="E47" s="816">
        <v>250000</v>
      </c>
      <c r="F47" s="807"/>
      <c r="G47" s="792"/>
      <c r="H47" s="793"/>
      <c r="I47" s="792"/>
      <c r="J47" s="793"/>
      <c r="K47" s="792"/>
      <c r="L47" s="794"/>
      <c r="M47" s="792"/>
      <c r="N47" s="794"/>
      <c r="O47" s="792"/>
      <c r="P47" s="794"/>
      <c r="Q47" s="792"/>
      <c r="R47" s="794"/>
      <c r="S47" s="792"/>
      <c r="T47" s="794"/>
      <c r="U47" s="792"/>
      <c r="V47" s="794"/>
      <c r="W47" s="792"/>
      <c r="X47" s="794"/>
      <c r="Y47" s="792"/>
      <c r="Z47" s="794"/>
      <c r="AA47" s="792"/>
      <c r="AB47" s="794"/>
      <c r="AC47" s="792">
        <f t="shared" si="3"/>
        <v>250000</v>
      </c>
      <c r="AD47" s="794"/>
    </row>
    <row r="48" spans="1:30" s="795" customFormat="1" ht="15.75" customHeight="1">
      <c r="A48" s="788"/>
      <c r="B48" s="814" t="s">
        <v>564</v>
      </c>
      <c r="C48" s="797">
        <v>0</v>
      </c>
      <c r="D48" s="791"/>
      <c r="E48" s="816">
        <v>0</v>
      </c>
      <c r="F48" s="807"/>
      <c r="G48" s="792"/>
      <c r="H48" s="793"/>
      <c r="I48" s="792"/>
      <c r="J48" s="793"/>
      <c r="K48" s="792"/>
      <c r="L48" s="794"/>
      <c r="M48" s="792"/>
      <c r="N48" s="794"/>
      <c r="O48" s="792"/>
      <c r="P48" s="794"/>
      <c r="Q48" s="792">
        <v>400000</v>
      </c>
      <c r="R48" s="794"/>
      <c r="S48" s="792"/>
      <c r="T48" s="794"/>
      <c r="U48" s="792"/>
      <c r="V48" s="794"/>
      <c r="W48" s="792"/>
      <c r="X48" s="794"/>
      <c r="Y48" s="792"/>
      <c r="Z48" s="794"/>
      <c r="AA48" s="792"/>
      <c r="AB48" s="794"/>
      <c r="AC48" s="792">
        <f>Q48</f>
        <v>400000</v>
      </c>
      <c r="AD48" s="794"/>
    </row>
    <row r="49" spans="1:30" s="795" customFormat="1" ht="15.75" customHeight="1">
      <c r="A49" s="788"/>
      <c r="B49" s="814" t="s">
        <v>611</v>
      </c>
      <c r="C49" s="797">
        <v>0</v>
      </c>
      <c r="D49" s="791"/>
      <c r="E49" s="816">
        <v>70000</v>
      </c>
      <c r="F49" s="807"/>
      <c r="G49" s="792"/>
      <c r="H49" s="793"/>
      <c r="I49" s="792"/>
      <c r="J49" s="793"/>
      <c r="K49" s="792"/>
      <c r="L49" s="794"/>
      <c r="M49" s="792"/>
      <c r="N49" s="794"/>
      <c r="O49" s="792"/>
      <c r="P49" s="794"/>
      <c r="Q49" s="792"/>
      <c r="R49" s="794"/>
      <c r="S49" s="792"/>
      <c r="T49" s="794"/>
      <c r="U49" s="792"/>
      <c r="V49" s="794"/>
      <c r="W49" s="792"/>
      <c r="X49" s="794"/>
      <c r="Y49" s="792"/>
      <c r="Z49" s="794"/>
      <c r="AA49" s="792"/>
      <c r="AB49" s="794"/>
      <c r="AC49" s="792">
        <f t="shared" si="3"/>
        <v>70000</v>
      </c>
      <c r="AD49" s="794"/>
    </row>
    <row r="50" spans="1:30" s="795" customFormat="1" ht="15.75" customHeight="1">
      <c r="A50" s="788"/>
      <c r="B50" s="814" t="s">
        <v>532</v>
      </c>
      <c r="C50" s="797">
        <v>0</v>
      </c>
      <c r="D50" s="791"/>
      <c r="E50" s="816">
        <v>135000</v>
      </c>
      <c r="F50" s="807"/>
      <c r="G50" s="792"/>
      <c r="H50" s="793"/>
      <c r="I50" s="792"/>
      <c r="J50" s="793"/>
      <c r="K50" s="792"/>
      <c r="L50" s="794"/>
      <c r="M50" s="792"/>
      <c r="N50" s="794"/>
      <c r="O50" s="792"/>
      <c r="P50" s="794"/>
      <c r="Q50" s="792"/>
      <c r="R50" s="794"/>
      <c r="S50" s="792"/>
      <c r="T50" s="794"/>
      <c r="U50" s="792"/>
      <c r="V50" s="794"/>
      <c r="W50" s="792"/>
      <c r="X50" s="794"/>
      <c r="Y50" s="792"/>
      <c r="Z50" s="794"/>
      <c r="AA50" s="792"/>
      <c r="AB50" s="794"/>
      <c r="AC50" s="792">
        <f t="shared" si="3"/>
        <v>135000</v>
      </c>
      <c r="AD50" s="794"/>
    </row>
    <row r="51" spans="1:30" s="795" customFormat="1" ht="15.75" customHeight="1">
      <c r="A51" s="788"/>
      <c r="B51" s="812" t="s">
        <v>531</v>
      </c>
      <c r="C51" s="797">
        <v>0</v>
      </c>
      <c r="D51" s="791"/>
      <c r="E51" s="816">
        <v>180000</v>
      </c>
      <c r="F51" s="807"/>
      <c r="G51" s="792"/>
      <c r="H51" s="793"/>
      <c r="I51" s="792"/>
      <c r="J51" s="793"/>
      <c r="K51" s="792"/>
      <c r="L51" s="794"/>
      <c r="M51" s="792"/>
      <c r="N51" s="794"/>
      <c r="O51" s="792"/>
      <c r="P51" s="794"/>
      <c r="Q51" s="792"/>
      <c r="R51" s="794"/>
      <c r="S51" s="792"/>
      <c r="T51" s="794"/>
      <c r="U51" s="792"/>
      <c r="V51" s="794"/>
      <c r="W51" s="792"/>
      <c r="X51" s="794"/>
      <c r="Y51" s="792"/>
      <c r="Z51" s="794"/>
      <c r="AA51" s="792"/>
      <c r="AB51" s="794"/>
      <c r="AC51" s="792">
        <f t="shared" si="3"/>
        <v>180000</v>
      </c>
      <c r="AD51" s="794"/>
    </row>
    <row r="52" spans="1:30" s="795" customFormat="1" ht="15.75" customHeight="1">
      <c r="A52" s="788"/>
      <c r="B52" s="812" t="s">
        <v>612</v>
      </c>
      <c r="C52" s="797">
        <v>0</v>
      </c>
      <c r="D52" s="791"/>
      <c r="E52" s="816">
        <v>200000</v>
      </c>
      <c r="F52" s="807"/>
      <c r="G52" s="792"/>
      <c r="H52" s="793"/>
      <c r="I52" s="792"/>
      <c r="J52" s="793"/>
      <c r="K52" s="792"/>
      <c r="L52" s="794"/>
      <c r="M52" s="792"/>
      <c r="N52" s="794"/>
      <c r="O52" s="792"/>
      <c r="P52" s="794"/>
      <c r="Q52" s="792"/>
      <c r="R52" s="794"/>
      <c r="S52" s="792"/>
      <c r="T52" s="794"/>
      <c r="U52" s="792"/>
      <c r="V52" s="794"/>
      <c r="W52" s="792"/>
      <c r="X52" s="794"/>
      <c r="Y52" s="792"/>
      <c r="Z52" s="794"/>
      <c r="AA52" s="792"/>
      <c r="AB52" s="794"/>
      <c r="AC52" s="792">
        <f t="shared" si="3"/>
        <v>200000</v>
      </c>
      <c r="AD52" s="794"/>
    </row>
    <row r="53" spans="1:30" s="795" customFormat="1" ht="15.75" customHeight="1">
      <c r="A53" s="788"/>
      <c r="B53" s="814" t="s">
        <v>530</v>
      </c>
      <c r="C53" s="797"/>
      <c r="D53" s="791"/>
      <c r="E53" s="815"/>
      <c r="F53" s="807"/>
      <c r="G53" s="792"/>
      <c r="H53" s="793"/>
      <c r="I53" s="792"/>
      <c r="J53" s="793"/>
      <c r="K53" s="792"/>
      <c r="L53" s="794"/>
      <c r="M53" s="792"/>
      <c r="N53" s="794"/>
      <c r="O53" s="792"/>
      <c r="P53" s="794"/>
      <c r="Q53" s="792">
        <v>190000</v>
      </c>
      <c r="R53" s="794"/>
      <c r="S53" s="792"/>
      <c r="T53" s="794"/>
      <c r="U53" s="792"/>
      <c r="V53" s="794"/>
      <c r="W53" s="792"/>
      <c r="X53" s="794"/>
      <c r="Y53" s="792"/>
      <c r="Z53" s="794"/>
      <c r="AA53" s="792"/>
      <c r="AB53" s="794"/>
      <c r="AC53" s="792">
        <f>Q53</f>
        <v>190000</v>
      </c>
      <c r="AD53" s="794"/>
    </row>
    <row r="54" spans="1:30" s="795" customFormat="1" ht="15.75" customHeight="1">
      <c r="A54" s="788"/>
      <c r="B54" s="809" t="s">
        <v>615</v>
      </c>
      <c r="C54" s="797">
        <v>0</v>
      </c>
      <c r="D54" s="791"/>
      <c r="E54" s="808">
        <v>100000</v>
      </c>
      <c r="F54" s="807"/>
      <c r="G54" s="792"/>
      <c r="H54" s="793"/>
      <c r="I54" s="792"/>
      <c r="J54" s="793"/>
      <c r="K54" s="792"/>
      <c r="L54" s="794"/>
      <c r="M54" s="792"/>
      <c r="N54" s="794"/>
      <c r="O54" s="792"/>
      <c r="P54" s="794"/>
      <c r="Q54" s="792"/>
      <c r="R54" s="794"/>
      <c r="S54" s="792"/>
      <c r="T54" s="794"/>
      <c r="U54" s="792"/>
      <c r="V54" s="794"/>
      <c r="W54" s="792"/>
      <c r="X54" s="794"/>
      <c r="Y54" s="792"/>
      <c r="Z54" s="794"/>
      <c r="AA54" s="792"/>
      <c r="AB54" s="794"/>
      <c r="AC54" s="792">
        <f t="shared" si="3"/>
        <v>100000</v>
      </c>
      <c r="AD54" s="794"/>
    </row>
    <row r="55" spans="1:30" s="795" customFormat="1" ht="15.75" customHeight="1">
      <c r="A55" s="788"/>
      <c r="B55" s="810" t="s">
        <v>528</v>
      </c>
      <c r="C55" s="797">
        <v>0</v>
      </c>
      <c r="D55" s="791"/>
      <c r="E55" s="808">
        <v>1250000</v>
      </c>
      <c r="F55" s="807"/>
      <c r="G55" s="792"/>
      <c r="H55" s="793"/>
      <c r="I55" s="792"/>
      <c r="J55" s="793"/>
      <c r="K55" s="792"/>
      <c r="L55" s="794"/>
      <c r="M55" s="792"/>
      <c r="N55" s="794"/>
      <c r="O55" s="792"/>
      <c r="P55" s="794"/>
      <c r="Q55" s="792"/>
      <c r="R55" s="794"/>
      <c r="S55" s="792"/>
      <c r="T55" s="794"/>
      <c r="U55" s="792"/>
      <c r="V55" s="794"/>
      <c r="W55" s="792"/>
      <c r="X55" s="794"/>
      <c r="Y55" s="792"/>
      <c r="Z55" s="794"/>
      <c r="AA55" s="792"/>
      <c r="AB55" s="794"/>
      <c r="AC55" s="792">
        <f t="shared" si="3"/>
        <v>1250000</v>
      </c>
      <c r="AD55" s="794"/>
    </row>
    <row r="56" spans="1:30" s="795" customFormat="1" ht="15.75" customHeight="1">
      <c r="A56" s="788"/>
      <c r="B56" s="810" t="s">
        <v>606</v>
      </c>
      <c r="C56" s="797">
        <v>0</v>
      </c>
      <c r="D56" s="791"/>
      <c r="E56" s="808">
        <v>1750000</v>
      </c>
      <c r="F56" s="807"/>
      <c r="G56" s="792"/>
      <c r="H56" s="793"/>
      <c r="I56" s="792"/>
      <c r="J56" s="793"/>
      <c r="K56" s="792"/>
      <c r="L56" s="794"/>
      <c r="M56" s="792"/>
      <c r="N56" s="794"/>
      <c r="O56" s="792"/>
      <c r="P56" s="794"/>
      <c r="Q56" s="792"/>
      <c r="R56" s="794"/>
      <c r="S56" s="792"/>
      <c r="T56" s="794"/>
      <c r="U56" s="792"/>
      <c r="V56" s="794"/>
      <c r="W56" s="792"/>
      <c r="X56" s="794"/>
      <c r="Y56" s="792"/>
      <c r="Z56" s="794"/>
      <c r="AA56" s="792"/>
      <c r="AB56" s="794"/>
      <c r="AC56" s="792">
        <f t="shared" si="3"/>
        <v>1750000</v>
      </c>
      <c r="AD56" s="794"/>
    </row>
    <row r="57" spans="1:30" s="795" customFormat="1" ht="15.75" customHeight="1">
      <c r="A57" s="788"/>
      <c r="B57" s="810" t="s">
        <v>527</v>
      </c>
      <c r="C57" s="797"/>
      <c r="D57" s="791"/>
      <c r="E57" s="808">
        <v>490000</v>
      </c>
      <c r="F57" s="807"/>
      <c r="G57" s="792"/>
      <c r="H57" s="793"/>
      <c r="I57" s="792"/>
      <c r="J57" s="793"/>
      <c r="K57" s="792"/>
      <c r="L57" s="794"/>
      <c r="M57" s="792"/>
      <c r="N57" s="794"/>
      <c r="O57" s="792"/>
      <c r="P57" s="794"/>
      <c r="Q57" s="792"/>
      <c r="R57" s="794"/>
      <c r="S57" s="792"/>
      <c r="T57" s="794"/>
      <c r="U57" s="792"/>
      <c r="V57" s="794"/>
      <c r="W57" s="792"/>
      <c r="X57" s="794"/>
      <c r="Y57" s="792"/>
      <c r="Z57" s="794"/>
      <c r="AA57" s="792"/>
      <c r="AB57" s="794"/>
      <c r="AC57" s="792">
        <f t="shared" si="3"/>
        <v>490000</v>
      </c>
      <c r="AD57" s="794"/>
    </row>
    <row r="58" spans="1:30" s="795" customFormat="1" ht="15.75" customHeight="1">
      <c r="A58" s="788"/>
      <c r="B58" s="810" t="s">
        <v>537</v>
      </c>
      <c r="C58" s="797"/>
      <c r="D58" s="791"/>
      <c r="E58" s="808">
        <v>650000</v>
      </c>
      <c r="F58" s="807"/>
      <c r="G58" s="792"/>
      <c r="H58" s="793"/>
      <c r="I58" s="792"/>
      <c r="J58" s="793"/>
      <c r="K58" s="792"/>
      <c r="L58" s="794"/>
      <c r="M58" s="792"/>
      <c r="N58" s="794"/>
      <c r="O58" s="792"/>
      <c r="P58" s="794"/>
      <c r="Q58" s="792"/>
      <c r="R58" s="794"/>
      <c r="S58" s="792"/>
      <c r="T58" s="794"/>
      <c r="U58" s="792"/>
      <c r="V58" s="794"/>
      <c r="W58" s="792"/>
      <c r="X58" s="794"/>
      <c r="Y58" s="792"/>
      <c r="Z58" s="794"/>
      <c r="AA58" s="792"/>
      <c r="AB58" s="794"/>
      <c r="AC58" s="792">
        <f t="shared" si="3"/>
        <v>650000</v>
      </c>
      <c r="AD58" s="794"/>
    </row>
    <row r="59" spans="1:30" s="795" customFormat="1" ht="15.75" customHeight="1">
      <c r="A59" s="788"/>
      <c r="B59" s="813" t="s">
        <v>524</v>
      </c>
      <c r="C59" s="797">
        <v>0</v>
      </c>
      <c r="D59" s="791"/>
      <c r="E59" s="808"/>
      <c r="F59" s="807"/>
      <c r="G59" s="792">
        <v>300000</v>
      </c>
      <c r="H59" s="793"/>
      <c r="I59" s="792"/>
      <c r="J59" s="793"/>
      <c r="K59" s="792"/>
      <c r="L59" s="794"/>
      <c r="M59" s="792"/>
      <c r="N59" s="794"/>
      <c r="O59" s="792"/>
      <c r="P59" s="794"/>
      <c r="Q59" s="792"/>
      <c r="R59" s="794"/>
      <c r="S59" s="792"/>
      <c r="T59" s="794"/>
      <c r="U59" s="792"/>
      <c r="V59" s="794"/>
      <c r="W59" s="792"/>
      <c r="X59" s="794"/>
      <c r="Y59" s="792"/>
      <c r="Z59" s="794"/>
      <c r="AA59" s="792"/>
      <c r="AB59" s="794"/>
      <c r="AC59" s="792">
        <f>G59</f>
        <v>300000</v>
      </c>
      <c r="AD59" s="794"/>
    </row>
    <row r="60" spans="1:30" s="795" customFormat="1" ht="15.75" customHeight="1">
      <c r="A60" s="788"/>
      <c r="B60" s="801" t="s">
        <v>644</v>
      </c>
      <c r="C60" s="797"/>
      <c r="D60" s="791"/>
      <c r="E60" s="792"/>
      <c r="F60" s="793"/>
      <c r="G60" s="792"/>
      <c r="H60" s="793"/>
      <c r="I60" s="792"/>
      <c r="J60" s="793"/>
      <c r="K60" s="792"/>
      <c r="L60" s="794"/>
      <c r="M60" s="792"/>
      <c r="N60" s="794"/>
      <c r="O60" s="792"/>
      <c r="P60" s="794"/>
      <c r="Q60" s="792"/>
      <c r="R60" s="794"/>
      <c r="S60" s="792"/>
      <c r="T60" s="794"/>
      <c r="U60" s="792"/>
      <c r="V60" s="794"/>
      <c r="W60" s="792"/>
      <c r="X60" s="794"/>
      <c r="Y60" s="792"/>
      <c r="Z60" s="794"/>
      <c r="AA60" s="792"/>
      <c r="AB60" s="794"/>
      <c r="AC60" s="792"/>
      <c r="AD60" s="794"/>
    </row>
    <row r="61" spans="1:30" s="795" customFormat="1" ht="15.75" customHeight="1">
      <c r="A61" s="788"/>
      <c r="B61" s="802" t="s">
        <v>563</v>
      </c>
      <c r="C61" s="797"/>
      <c r="D61" s="791"/>
      <c r="E61" s="792"/>
      <c r="F61" s="793"/>
      <c r="G61" s="792"/>
      <c r="H61" s="793"/>
      <c r="I61" s="792"/>
      <c r="J61" s="793"/>
      <c r="K61" s="792"/>
      <c r="L61" s="794"/>
      <c r="M61" s="792"/>
      <c r="N61" s="794"/>
      <c r="O61" s="792"/>
      <c r="P61" s="794"/>
      <c r="Q61" s="792"/>
      <c r="R61" s="794">
        <v>1416857</v>
      </c>
      <c r="S61" s="792"/>
      <c r="T61" s="794">
        <v>1416857</v>
      </c>
      <c r="U61" s="792"/>
      <c r="V61" s="794">
        <v>1416857</v>
      </c>
      <c r="W61" s="792"/>
      <c r="X61" s="794">
        <v>1416857</v>
      </c>
      <c r="Y61" s="792"/>
      <c r="Z61" s="794">
        <v>1416857</v>
      </c>
      <c r="AA61" s="792"/>
      <c r="AB61" s="794">
        <v>1416857</v>
      </c>
      <c r="AC61" s="792"/>
      <c r="AD61" s="794">
        <f>R61+T61+V61+X61+Z61+AB61</f>
        <v>8501142</v>
      </c>
    </row>
    <row r="62" spans="1:30" s="795" customFormat="1" ht="15.75" customHeight="1">
      <c r="A62" s="788"/>
      <c r="B62" s="801" t="s">
        <v>639</v>
      </c>
      <c r="C62" s="797"/>
      <c r="D62" s="791"/>
      <c r="E62" s="792"/>
      <c r="F62" s="793"/>
      <c r="G62" s="792"/>
      <c r="H62" s="793"/>
      <c r="I62" s="792"/>
      <c r="J62" s="793"/>
      <c r="K62" s="792"/>
      <c r="L62" s="794"/>
      <c r="M62" s="792"/>
      <c r="N62" s="794"/>
      <c r="O62" s="792"/>
      <c r="P62" s="794"/>
      <c r="Q62" s="792"/>
      <c r="R62" s="794"/>
      <c r="S62" s="792"/>
      <c r="T62" s="794"/>
      <c r="U62" s="792"/>
      <c r="V62" s="794"/>
      <c r="W62" s="792"/>
      <c r="X62" s="794"/>
      <c r="Y62" s="792"/>
      <c r="Z62" s="794"/>
      <c r="AA62" s="792"/>
      <c r="AB62" s="794"/>
      <c r="AC62" s="792"/>
      <c r="AD62" s="794"/>
    </row>
    <row r="63" spans="1:30" s="795" customFormat="1" ht="15.75" customHeight="1">
      <c r="A63" s="788"/>
      <c r="B63" s="802" t="s">
        <v>474</v>
      </c>
      <c r="C63" s="797"/>
      <c r="D63" s="791"/>
      <c r="E63" s="792"/>
      <c r="F63" s="793"/>
      <c r="G63" s="792"/>
      <c r="H63" s="793"/>
      <c r="I63" s="792"/>
      <c r="J63" s="793"/>
      <c r="K63" s="792">
        <v>1202052</v>
      </c>
      <c r="L63" s="794"/>
      <c r="M63" s="792">
        <v>1202052</v>
      </c>
      <c r="N63" s="794"/>
      <c r="O63" s="792">
        <v>1202052</v>
      </c>
      <c r="P63" s="794"/>
      <c r="Q63" s="792"/>
      <c r="R63" s="794">
        <v>1202052</v>
      </c>
      <c r="S63" s="792"/>
      <c r="T63" s="794">
        <v>1202052</v>
      </c>
      <c r="U63" s="792"/>
      <c r="V63" s="794">
        <v>1202052</v>
      </c>
      <c r="W63" s="792"/>
      <c r="X63" s="794">
        <v>1202052</v>
      </c>
      <c r="Y63" s="792"/>
      <c r="Z63" s="794">
        <v>1202052</v>
      </c>
      <c r="AA63" s="792"/>
      <c r="AB63" s="794">
        <v>1202052</v>
      </c>
      <c r="AC63" s="792">
        <f>K63+M63+O63</f>
        <v>3606156</v>
      </c>
      <c r="AD63" s="794">
        <f>R63+T63+V63+X63+Z63+AB63</f>
        <v>7212312</v>
      </c>
    </row>
    <row r="64" spans="1:30" s="795" customFormat="1" ht="15.75" customHeight="1">
      <c r="A64" s="788"/>
      <c r="B64" s="802" t="s">
        <v>640</v>
      </c>
      <c r="C64" s="797"/>
      <c r="D64" s="791"/>
      <c r="E64" s="792"/>
      <c r="F64" s="793"/>
      <c r="G64" s="792"/>
      <c r="H64" s="793"/>
      <c r="I64" s="792"/>
      <c r="J64" s="793"/>
      <c r="K64" s="792">
        <v>1202052</v>
      </c>
      <c r="L64" s="794"/>
      <c r="M64" s="792">
        <v>1202052</v>
      </c>
      <c r="N64" s="794"/>
      <c r="O64" s="792">
        <v>1202052</v>
      </c>
      <c r="P64" s="794"/>
      <c r="Q64" s="792"/>
      <c r="R64" s="794">
        <v>1202052</v>
      </c>
      <c r="S64" s="792"/>
      <c r="T64" s="794">
        <v>1202052</v>
      </c>
      <c r="U64" s="792"/>
      <c r="V64" s="794">
        <v>1202052</v>
      </c>
      <c r="W64" s="792"/>
      <c r="X64" s="794">
        <v>1202052</v>
      </c>
      <c r="Y64" s="792"/>
      <c r="Z64" s="794">
        <v>1202052</v>
      </c>
      <c r="AA64" s="792"/>
      <c r="AB64" s="794">
        <v>1202052</v>
      </c>
      <c r="AC64" s="792">
        <f>K64+M64+O64</f>
        <v>3606156</v>
      </c>
      <c r="AD64" s="794">
        <f>R64+T64+V64+X64+Z64+AB64</f>
        <v>7212312</v>
      </c>
    </row>
    <row r="65" spans="1:30" s="795" customFormat="1" ht="15.75" customHeight="1">
      <c r="A65" s="788"/>
      <c r="B65" s="801" t="s">
        <v>641</v>
      </c>
      <c r="C65" s="797"/>
      <c r="D65" s="791"/>
      <c r="E65" s="792"/>
      <c r="F65" s="793"/>
      <c r="G65" s="792"/>
      <c r="H65" s="793"/>
      <c r="I65" s="792"/>
      <c r="J65" s="793"/>
      <c r="K65" s="792"/>
      <c r="L65" s="794"/>
      <c r="M65" s="792"/>
      <c r="N65" s="794"/>
      <c r="O65" s="792"/>
      <c r="P65" s="794"/>
      <c r="Q65" s="792"/>
      <c r="R65" s="794"/>
      <c r="S65" s="792"/>
      <c r="T65" s="794"/>
      <c r="U65" s="792"/>
      <c r="V65" s="794"/>
      <c r="W65" s="792"/>
      <c r="X65" s="794"/>
      <c r="Y65" s="792"/>
      <c r="Z65" s="794"/>
      <c r="AA65" s="792"/>
      <c r="AB65" s="794"/>
      <c r="AC65" s="792"/>
      <c r="AD65" s="794"/>
    </row>
    <row r="66" spans="1:30" s="795" customFormat="1" ht="15.75" customHeight="1">
      <c r="A66" s="788"/>
      <c r="B66" s="802" t="s">
        <v>647</v>
      </c>
      <c r="C66" s="797"/>
      <c r="D66" s="791"/>
      <c r="E66" s="792"/>
      <c r="F66" s="793"/>
      <c r="G66" s="792"/>
      <c r="H66" s="793"/>
      <c r="I66" s="792"/>
      <c r="J66" s="793"/>
      <c r="K66" s="792">
        <v>7796290</v>
      </c>
      <c r="L66" s="794"/>
      <c r="M66" s="792">
        <v>7796290</v>
      </c>
      <c r="N66" s="794"/>
      <c r="O66" s="792">
        <v>7796290</v>
      </c>
      <c r="P66" s="794"/>
      <c r="Q66" s="792"/>
      <c r="R66" s="794">
        <v>7796290</v>
      </c>
      <c r="S66" s="792"/>
      <c r="T66" s="794">
        <v>7796290</v>
      </c>
      <c r="U66" s="792"/>
      <c r="V66" s="794">
        <v>7796290</v>
      </c>
      <c r="W66" s="792"/>
      <c r="X66" s="794">
        <v>7796290</v>
      </c>
      <c r="Y66" s="792"/>
      <c r="Z66" s="794">
        <v>7796290</v>
      </c>
      <c r="AA66" s="792"/>
      <c r="AB66" s="794">
        <v>7796290</v>
      </c>
      <c r="AC66" s="862">
        <f>K66+M66+O66</f>
        <v>23388870</v>
      </c>
      <c r="AD66" s="863">
        <f>R66+T66+V66+X66+AB66</f>
        <v>38981450</v>
      </c>
    </row>
    <row r="67" spans="1:30" s="861" customFormat="1" ht="15.75" customHeight="1">
      <c r="A67" s="858"/>
      <c r="B67" s="858"/>
      <c r="C67" s="859"/>
      <c r="D67" s="859"/>
      <c r="E67" s="859"/>
      <c r="F67" s="859"/>
      <c r="G67" s="860"/>
      <c r="H67" s="860"/>
      <c r="I67" s="860"/>
      <c r="J67" s="860"/>
      <c r="K67" s="860"/>
      <c r="L67" s="860"/>
      <c r="M67" s="860"/>
      <c r="N67" s="860"/>
      <c r="O67" s="860"/>
      <c r="P67" s="860"/>
      <c r="Q67" s="860"/>
      <c r="R67" s="860"/>
      <c r="S67" s="860"/>
      <c r="T67" s="860"/>
      <c r="U67" s="860"/>
      <c r="V67" s="860"/>
      <c r="W67" s="860"/>
      <c r="X67" s="860"/>
      <c r="Y67" s="860"/>
      <c r="Z67" s="860"/>
      <c r="AA67" s="860"/>
      <c r="AB67" s="860"/>
      <c r="AC67" s="859"/>
      <c r="AD67" s="859"/>
    </row>
    <row r="68" spans="1:30" s="861" customFormat="1" ht="15.75" customHeight="1">
      <c r="A68" s="858"/>
      <c r="B68" s="858"/>
      <c r="C68" s="859"/>
      <c r="D68" s="859"/>
      <c r="E68" s="859"/>
      <c r="F68" s="859"/>
      <c r="G68" s="860"/>
      <c r="H68" s="860"/>
      <c r="I68" s="860"/>
      <c r="J68" s="860"/>
      <c r="K68" s="860"/>
      <c r="L68" s="860"/>
      <c r="M68" s="860"/>
      <c r="N68" s="860"/>
      <c r="O68" s="860"/>
      <c r="P68" s="860"/>
      <c r="Q68" s="860"/>
      <c r="R68" s="860"/>
      <c r="S68" s="860"/>
      <c r="T68" s="860"/>
      <c r="U68" s="860"/>
      <c r="V68" s="860"/>
      <c r="W68" s="860"/>
      <c r="X68" s="860"/>
      <c r="Y68" s="860"/>
      <c r="Z68" s="860"/>
      <c r="AA68" s="860"/>
      <c r="AB68" s="860"/>
      <c r="AC68" s="859"/>
      <c r="AD68" s="859"/>
    </row>
    <row r="69" spans="1:30" s="861" customFormat="1" ht="15.75" customHeight="1">
      <c r="A69" s="858"/>
      <c r="B69" s="858"/>
      <c r="C69" s="859"/>
      <c r="D69" s="859"/>
      <c r="E69" s="859"/>
      <c r="F69" s="859"/>
      <c r="G69" s="860"/>
      <c r="H69" s="860"/>
      <c r="I69" s="860"/>
      <c r="J69" s="860"/>
      <c r="K69" s="860"/>
      <c r="L69" s="860"/>
      <c r="M69" s="860"/>
      <c r="N69" s="860"/>
      <c r="O69" s="860"/>
      <c r="P69" s="860"/>
      <c r="Q69" s="860"/>
      <c r="R69" s="860"/>
      <c r="S69" s="860"/>
      <c r="T69" s="860"/>
      <c r="U69" s="860"/>
      <c r="V69" s="860"/>
      <c r="W69" s="860"/>
      <c r="X69" s="860"/>
      <c r="Y69" s="860"/>
      <c r="Z69" s="860"/>
      <c r="AA69" s="860"/>
      <c r="AB69" s="860"/>
      <c r="AC69" s="859"/>
      <c r="AD69" s="859"/>
    </row>
    <row r="70" spans="1:30" s="861" customFormat="1" ht="15.75" customHeight="1">
      <c r="A70" s="858"/>
      <c r="B70" s="858"/>
      <c r="C70" s="859"/>
      <c r="D70" s="859"/>
      <c r="E70" s="859"/>
      <c r="F70" s="859"/>
      <c r="G70" s="860"/>
      <c r="H70" s="860"/>
      <c r="I70" s="860"/>
      <c r="J70" s="860"/>
      <c r="K70" s="860"/>
      <c r="L70" s="860"/>
      <c r="M70" s="860"/>
      <c r="N70" s="860"/>
      <c r="O70" s="860"/>
      <c r="P70" s="860"/>
      <c r="Q70" s="860"/>
      <c r="R70" s="860"/>
      <c r="S70" s="860"/>
      <c r="T70" s="860"/>
      <c r="U70" s="860"/>
      <c r="V70" s="860"/>
      <c r="W70" s="860"/>
      <c r="X70" s="860"/>
      <c r="Y70" s="860"/>
      <c r="Z70" s="860"/>
      <c r="AA70" s="860"/>
      <c r="AB70" s="860"/>
      <c r="AC70" s="859"/>
      <c r="AD70" s="859"/>
    </row>
    <row r="71" spans="1:30" s="861" customFormat="1" ht="15.75" customHeight="1">
      <c r="A71" s="858"/>
      <c r="B71" s="858"/>
      <c r="C71" s="859"/>
      <c r="D71" s="859"/>
      <c r="E71" s="859"/>
      <c r="F71" s="859"/>
      <c r="G71" s="860"/>
      <c r="H71" s="860"/>
      <c r="I71" s="860"/>
      <c r="J71" s="860"/>
      <c r="K71" s="860"/>
      <c r="L71" s="860"/>
      <c r="M71" s="860"/>
      <c r="N71" s="860"/>
      <c r="O71" s="860"/>
      <c r="P71" s="860"/>
      <c r="Q71" s="860"/>
      <c r="R71" s="860"/>
      <c r="S71" s="860"/>
      <c r="T71" s="860"/>
      <c r="U71" s="860"/>
      <c r="V71" s="860"/>
      <c r="W71" s="860"/>
      <c r="X71" s="860"/>
      <c r="Y71" s="860"/>
      <c r="Z71" s="860"/>
      <c r="AA71" s="860"/>
      <c r="AB71" s="860"/>
      <c r="AC71" s="859"/>
      <c r="AD71" s="859"/>
    </row>
    <row r="72" spans="1:30" s="861" customFormat="1" ht="15.75" customHeight="1">
      <c r="A72" s="858"/>
      <c r="B72" s="858"/>
      <c r="C72" s="859"/>
      <c r="D72" s="859"/>
      <c r="E72" s="859"/>
      <c r="F72" s="859"/>
      <c r="G72" s="860"/>
      <c r="H72" s="860"/>
      <c r="I72" s="860"/>
      <c r="J72" s="860"/>
      <c r="K72" s="860"/>
      <c r="L72" s="860"/>
      <c r="M72" s="860"/>
      <c r="N72" s="860"/>
      <c r="O72" s="860"/>
      <c r="P72" s="860"/>
      <c r="Q72" s="860"/>
      <c r="R72" s="860"/>
      <c r="S72" s="860"/>
      <c r="T72" s="860"/>
      <c r="U72" s="860"/>
      <c r="V72" s="860"/>
      <c r="W72" s="860"/>
      <c r="X72" s="860"/>
      <c r="Y72" s="860"/>
      <c r="Z72" s="860"/>
      <c r="AA72" s="860"/>
      <c r="AB72" s="860"/>
      <c r="AC72" s="859"/>
      <c r="AD72" s="859"/>
    </row>
    <row r="73" spans="1:30" s="861" customFormat="1" ht="15.75" customHeight="1">
      <c r="A73" s="858"/>
      <c r="B73" s="858"/>
      <c r="C73" s="859"/>
      <c r="D73" s="859"/>
      <c r="E73" s="859"/>
      <c r="F73" s="859"/>
      <c r="G73" s="860"/>
      <c r="H73" s="860"/>
      <c r="I73" s="860"/>
      <c r="J73" s="860"/>
      <c r="K73" s="860"/>
      <c r="L73" s="860"/>
      <c r="M73" s="860"/>
      <c r="N73" s="860"/>
      <c r="O73" s="860"/>
      <c r="P73" s="860"/>
      <c r="Q73" s="860"/>
      <c r="R73" s="860"/>
      <c r="S73" s="860"/>
      <c r="T73" s="860"/>
      <c r="U73" s="860"/>
      <c r="V73" s="860"/>
      <c r="W73" s="860"/>
      <c r="X73" s="860"/>
      <c r="Y73" s="860"/>
      <c r="Z73" s="860"/>
      <c r="AA73" s="860"/>
      <c r="AB73" s="860"/>
      <c r="AC73" s="859"/>
      <c r="AD73" s="859"/>
    </row>
    <row r="74" spans="1:30" s="861" customFormat="1" ht="15.75" customHeight="1">
      <c r="A74" s="858"/>
      <c r="B74" s="858"/>
      <c r="C74" s="859"/>
      <c r="D74" s="859"/>
      <c r="E74" s="859"/>
      <c r="F74" s="859"/>
      <c r="G74" s="860"/>
      <c r="H74" s="860"/>
      <c r="I74" s="860"/>
      <c r="J74" s="860"/>
      <c r="K74" s="860"/>
      <c r="L74" s="860"/>
      <c r="M74" s="860"/>
      <c r="N74" s="860"/>
      <c r="O74" s="860"/>
      <c r="P74" s="860"/>
      <c r="Q74" s="860"/>
      <c r="R74" s="860"/>
      <c r="S74" s="860"/>
      <c r="T74" s="860"/>
      <c r="U74" s="860"/>
      <c r="V74" s="860"/>
      <c r="W74" s="860"/>
      <c r="X74" s="860"/>
      <c r="Y74" s="860"/>
      <c r="Z74" s="860"/>
      <c r="AA74" s="860"/>
      <c r="AB74" s="860"/>
      <c r="AC74" s="859"/>
      <c r="AD74" s="859"/>
    </row>
    <row r="75" spans="1:30" s="861" customFormat="1" ht="15.75" customHeight="1">
      <c r="A75" s="858"/>
      <c r="B75" s="858"/>
      <c r="C75" s="859"/>
      <c r="D75" s="859"/>
      <c r="E75" s="859"/>
      <c r="F75" s="859"/>
      <c r="G75" s="860"/>
      <c r="H75" s="860"/>
      <c r="I75" s="860"/>
      <c r="J75" s="860"/>
      <c r="K75" s="860"/>
      <c r="L75" s="860"/>
      <c r="M75" s="860"/>
      <c r="N75" s="860"/>
      <c r="O75" s="860"/>
      <c r="P75" s="860"/>
      <c r="Q75" s="860"/>
      <c r="R75" s="860"/>
      <c r="S75" s="860"/>
      <c r="T75" s="860"/>
      <c r="U75" s="860"/>
      <c r="V75" s="860"/>
      <c r="W75" s="860"/>
      <c r="X75" s="860"/>
      <c r="Y75" s="860"/>
      <c r="Z75" s="860"/>
      <c r="AA75" s="860"/>
      <c r="AB75" s="860"/>
      <c r="AC75" s="859"/>
      <c r="AD75" s="859"/>
    </row>
    <row r="76" spans="1:30" s="861" customFormat="1" ht="15.75" customHeight="1">
      <c r="A76" s="858"/>
      <c r="B76" s="858"/>
      <c r="C76" s="859"/>
      <c r="D76" s="859"/>
      <c r="E76" s="859"/>
      <c r="F76" s="859"/>
      <c r="G76" s="860"/>
      <c r="H76" s="860"/>
      <c r="I76" s="860"/>
      <c r="J76" s="860"/>
      <c r="K76" s="860"/>
      <c r="L76" s="860"/>
      <c r="M76" s="860"/>
      <c r="N76" s="860"/>
      <c r="O76" s="860"/>
      <c r="P76" s="860"/>
      <c r="Q76" s="860"/>
      <c r="R76" s="860"/>
      <c r="S76" s="860"/>
      <c r="T76" s="860"/>
      <c r="U76" s="860"/>
      <c r="V76" s="860"/>
      <c r="W76" s="860"/>
      <c r="X76" s="860"/>
      <c r="Y76" s="860"/>
      <c r="Z76" s="860"/>
      <c r="AA76" s="860"/>
      <c r="AB76" s="860"/>
      <c r="AC76" s="859"/>
      <c r="AD76" s="859"/>
    </row>
    <row r="77" spans="1:30" s="861" customFormat="1" ht="15.75" customHeight="1">
      <c r="A77" s="858"/>
      <c r="B77" s="858"/>
      <c r="C77" s="859"/>
      <c r="D77" s="859"/>
      <c r="E77" s="859"/>
      <c r="F77" s="859"/>
      <c r="G77" s="860"/>
      <c r="H77" s="860"/>
      <c r="I77" s="860"/>
      <c r="J77" s="860"/>
      <c r="K77" s="860"/>
      <c r="L77" s="860"/>
      <c r="M77" s="860"/>
      <c r="N77" s="860"/>
      <c r="O77" s="860"/>
      <c r="P77" s="860"/>
      <c r="Q77" s="860"/>
      <c r="R77" s="860"/>
      <c r="S77" s="860"/>
      <c r="T77" s="860"/>
      <c r="U77" s="860"/>
      <c r="V77" s="860"/>
      <c r="W77" s="860"/>
      <c r="X77" s="860"/>
      <c r="Y77" s="860"/>
      <c r="Z77" s="860"/>
      <c r="AA77" s="860"/>
      <c r="AB77" s="860"/>
      <c r="AC77" s="859"/>
      <c r="AD77" s="859"/>
    </row>
    <row r="78" spans="1:30" s="861" customFormat="1" ht="15.75" customHeight="1">
      <c r="A78" s="858"/>
      <c r="B78" s="858"/>
      <c r="C78" s="859"/>
      <c r="D78" s="859"/>
      <c r="E78" s="859"/>
      <c r="F78" s="859"/>
      <c r="G78" s="860"/>
      <c r="H78" s="860"/>
      <c r="I78" s="860"/>
      <c r="J78" s="860"/>
      <c r="K78" s="860"/>
      <c r="L78" s="860"/>
      <c r="M78" s="860"/>
      <c r="N78" s="860"/>
      <c r="O78" s="860"/>
      <c r="P78" s="860"/>
      <c r="Q78" s="860"/>
      <c r="R78" s="860"/>
      <c r="S78" s="860"/>
      <c r="T78" s="860"/>
      <c r="U78" s="860"/>
      <c r="V78" s="860"/>
      <c r="W78" s="860"/>
      <c r="X78" s="860"/>
      <c r="Y78" s="860"/>
      <c r="Z78" s="860"/>
      <c r="AA78" s="860"/>
      <c r="AB78" s="860"/>
      <c r="AC78" s="859"/>
      <c r="AD78" s="859"/>
    </row>
    <row r="79" spans="1:30" s="861" customFormat="1" ht="15.75" customHeight="1">
      <c r="A79" s="858"/>
      <c r="B79" s="858"/>
      <c r="C79" s="859"/>
      <c r="D79" s="859"/>
      <c r="E79" s="859"/>
      <c r="F79" s="859"/>
      <c r="G79" s="860"/>
      <c r="H79" s="860"/>
      <c r="I79" s="860"/>
      <c r="J79" s="860"/>
      <c r="K79" s="860"/>
      <c r="L79" s="860"/>
      <c r="M79" s="860"/>
      <c r="N79" s="860"/>
      <c r="O79" s="860"/>
      <c r="P79" s="860"/>
      <c r="Q79" s="860"/>
      <c r="R79" s="860"/>
      <c r="S79" s="860"/>
      <c r="T79" s="860"/>
      <c r="U79" s="860"/>
      <c r="V79" s="860"/>
      <c r="W79" s="860"/>
      <c r="X79" s="860"/>
      <c r="Y79" s="860"/>
      <c r="Z79" s="860"/>
      <c r="AA79" s="860"/>
      <c r="AB79" s="860"/>
      <c r="AC79" s="859"/>
      <c r="AD79" s="859"/>
    </row>
    <row r="80" spans="1:30" s="861" customFormat="1" ht="15.75" customHeight="1">
      <c r="A80" s="858"/>
      <c r="B80" s="858"/>
      <c r="C80" s="859"/>
      <c r="D80" s="859"/>
      <c r="E80" s="859"/>
      <c r="F80" s="859"/>
      <c r="G80" s="860"/>
      <c r="H80" s="860"/>
      <c r="I80" s="860"/>
      <c r="J80" s="860"/>
      <c r="K80" s="860"/>
      <c r="L80" s="860"/>
      <c r="M80" s="860"/>
      <c r="N80" s="860"/>
      <c r="O80" s="860"/>
      <c r="P80" s="860"/>
      <c r="Q80" s="860"/>
      <c r="R80" s="860"/>
      <c r="S80" s="860"/>
      <c r="T80" s="860"/>
      <c r="U80" s="860"/>
      <c r="V80" s="860"/>
      <c r="W80" s="860"/>
      <c r="X80" s="860"/>
      <c r="Y80" s="860"/>
      <c r="Z80" s="860"/>
      <c r="AA80" s="860"/>
      <c r="AB80" s="860"/>
      <c r="AC80" s="859"/>
      <c r="AD80" s="859"/>
    </row>
    <row r="81" spans="1:30" s="861" customFormat="1" ht="15.75" customHeight="1">
      <c r="A81" s="858"/>
      <c r="B81" s="858"/>
      <c r="C81" s="859"/>
      <c r="D81" s="859"/>
      <c r="E81" s="859"/>
      <c r="F81" s="859"/>
      <c r="G81" s="860"/>
      <c r="H81" s="860"/>
      <c r="I81" s="860"/>
      <c r="J81" s="860"/>
      <c r="K81" s="860"/>
      <c r="L81" s="860"/>
      <c r="M81" s="860"/>
      <c r="N81" s="860"/>
      <c r="O81" s="860"/>
      <c r="P81" s="860"/>
      <c r="Q81" s="860"/>
      <c r="R81" s="860"/>
      <c r="S81" s="860"/>
      <c r="T81" s="860"/>
      <c r="U81" s="860"/>
      <c r="V81" s="860"/>
      <c r="W81" s="860"/>
      <c r="X81" s="860"/>
      <c r="Y81" s="860"/>
      <c r="Z81" s="860"/>
      <c r="AA81" s="860"/>
      <c r="AB81" s="860"/>
      <c r="AC81" s="859"/>
      <c r="AD81" s="859"/>
    </row>
    <row r="82" spans="1:30" s="861" customFormat="1" ht="15.75" customHeight="1">
      <c r="A82" s="858"/>
      <c r="B82" s="858"/>
      <c r="C82" s="859"/>
      <c r="D82" s="859"/>
      <c r="E82" s="859"/>
      <c r="F82" s="859"/>
      <c r="G82" s="860"/>
      <c r="H82" s="860"/>
      <c r="I82" s="860"/>
      <c r="J82" s="860"/>
      <c r="K82" s="860"/>
      <c r="L82" s="860"/>
      <c r="M82" s="860"/>
      <c r="N82" s="860"/>
      <c r="O82" s="860"/>
      <c r="P82" s="860"/>
      <c r="Q82" s="860"/>
      <c r="R82" s="860"/>
      <c r="S82" s="860"/>
      <c r="T82" s="860"/>
      <c r="U82" s="860"/>
      <c r="V82" s="860"/>
      <c r="W82" s="860"/>
      <c r="X82" s="860"/>
      <c r="Y82" s="860"/>
      <c r="Z82" s="860"/>
      <c r="AA82" s="860"/>
      <c r="AB82" s="860"/>
      <c r="AC82" s="859"/>
      <c r="AD82" s="859"/>
    </row>
    <row r="83" spans="1:30" s="861" customFormat="1" ht="15.75" customHeight="1">
      <c r="A83" s="858"/>
      <c r="B83" s="858"/>
      <c r="C83" s="859"/>
      <c r="D83" s="859"/>
      <c r="E83" s="859"/>
      <c r="F83" s="859"/>
      <c r="G83" s="860"/>
      <c r="H83" s="860"/>
      <c r="I83" s="860"/>
      <c r="J83" s="860"/>
      <c r="K83" s="860"/>
      <c r="L83" s="860"/>
      <c r="M83" s="860"/>
      <c r="N83" s="860"/>
      <c r="O83" s="860"/>
      <c r="P83" s="860"/>
      <c r="Q83" s="860"/>
      <c r="R83" s="860"/>
      <c r="S83" s="860"/>
      <c r="T83" s="860"/>
      <c r="U83" s="860"/>
      <c r="V83" s="860"/>
      <c r="W83" s="860"/>
      <c r="X83" s="860"/>
      <c r="Y83" s="860"/>
      <c r="Z83" s="860"/>
      <c r="AA83" s="860"/>
      <c r="AB83" s="860"/>
      <c r="AC83" s="859"/>
      <c r="AD83" s="859"/>
    </row>
    <row r="84" spans="1:30" s="861" customFormat="1" ht="15.75" customHeight="1">
      <c r="A84" s="858"/>
      <c r="B84" s="858"/>
      <c r="C84" s="859"/>
      <c r="D84" s="859"/>
      <c r="E84" s="859"/>
      <c r="F84" s="859"/>
      <c r="G84" s="860"/>
      <c r="H84" s="860"/>
      <c r="I84" s="860"/>
      <c r="J84" s="860"/>
      <c r="K84" s="860"/>
      <c r="L84" s="860"/>
      <c r="M84" s="860"/>
      <c r="N84" s="860"/>
      <c r="O84" s="860"/>
      <c r="P84" s="860"/>
      <c r="Q84" s="860"/>
      <c r="R84" s="860"/>
      <c r="S84" s="860"/>
      <c r="T84" s="860"/>
      <c r="U84" s="860"/>
      <c r="V84" s="860"/>
      <c r="W84" s="860"/>
      <c r="X84" s="860"/>
      <c r="Y84" s="860"/>
      <c r="Z84" s="860"/>
      <c r="AA84" s="860"/>
      <c r="AB84" s="860"/>
      <c r="AC84" s="859"/>
      <c r="AD84" s="859"/>
    </row>
    <row r="85" spans="1:30" s="861" customFormat="1" ht="15.75" customHeight="1">
      <c r="A85" s="858"/>
      <c r="B85" s="858"/>
      <c r="C85" s="859"/>
      <c r="D85" s="859"/>
      <c r="E85" s="859"/>
      <c r="F85" s="859"/>
      <c r="G85" s="860"/>
      <c r="H85" s="860"/>
      <c r="I85" s="860"/>
      <c r="J85" s="860"/>
      <c r="K85" s="860"/>
      <c r="L85" s="860"/>
      <c r="M85" s="860"/>
      <c r="N85" s="860"/>
      <c r="O85" s="860"/>
      <c r="P85" s="860"/>
      <c r="Q85" s="860"/>
      <c r="R85" s="860"/>
      <c r="S85" s="860"/>
      <c r="T85" s="860"/>
      <c r="U85" s="860"/>
      <c r="V85" s="860"/>
      <c r="W85" s="860"/>
      <c r="X85" s="860"/>
      <c r="Y85" s="860"/>
      <c r="Z85" s="860"/>
      <c r="AA85" s="860"/>
      <c r="AB85" s="860"/>
      <c r="AC85" s="859"/>
      <c r="AD85" s="859"/>
    </row>
    <row r="86" spans="1:30" s="861" customFormat="1" ht="15.75" customHeight="1">
      <c r="A86" s="858"/>
      <c r="B86" s="858"/>
      <c r="C86" s="859"/>
      <c r="D86" s="859"/>
      <c r="E86" s="859"/>
      <c r="F86" s="859"/>
      <c r="G86" s="860"/>
      <c r="H86" s="860"/>
      <c r="I86" s="860"/>
      <c r="J86" s="860"/>
      <c r="K86" s="860"/>
      <c r="L86" s="860"/>
      <c r="M86" s="860"/>
      <c r="N86" s="860"/>
      <c r="O86" s="860"/>
      <c r="P86" s="860"/>
      <c r="Q86" s="860"/>
      <c r="R86" s="860"/>
      <c r="S86" s="860"/>
      <c r="T86" s="860"/>
      <c r="U86" s="860"/>
      <c r="V86" s="860"/>
      <c r="W86" s="860"/>
      <c r="X86" s="860"/>
      <c r="Y86" s="860"/>
      <c r="Z86" s="860"/>
      <c r="AA86" s="860"/>
      <c r="AB86" s="860"/>
      <c r="AC86" s="859"/>
      <c r="AD86" s="859"/>
    </row>
    <row r="87" spans="1:30" s="861" customFormat="1" ht="15.75" customHeight="1">
      <c r="A87" s="858"/>
      <c r="B87" s="858"/>
      <c r="C87" s="859"/>
      <c r="D87" s="859"/>
      <c r="E87" s="859"/>
      <c r="F87" s="859"/>
      <c r="G87" s="860"/>
      <c r="H87" s="860"/>
      <c r="I87" s="860"/>
      <c r="J87" s="860"/>
      <c r="K87" s="860"/>
      <c r="L87" s="860"/>
      <c r="M87" s="860"/>
      <c r="N87" s="860"/>
      <c r="O87" s="860"/>
      <c r="P87" s="860"/>
      <c r="Q87" s="860"/>
      <c r="R87" s="860"/>
      <c r="S87" s="860"/>
      <c r="T87" s="860"/>
      <c r="U87" s="860"/>
      <c r="V87" s="860"/>
      <c r="W87" s="860"/>
      <c r="X87" s="860"/>
      <c r="Y87" s="860"/>
      <c r="Z87" s="860"/>
      <c r="AA87" s="860"/>
      <c r="AB87" s="860"/>
      <c r="AC87" s="859"/>
      <c r="AD87" s="859"/>
    </row>
    <row r="88" spans="1:30" s="861" customFormat="1" ht="15.75" customHeight="1">
      <c r="A88" s="858"/>
      <c r="B88" s="858"/>
      <c r="C88" s="859"/>
      <c r="D88" s="859"/>
      <c r="E88" s="859"/>
      <c r="F88" s="859"/>
      <c r="G88" s="860"/>
      <c r="H88" s="860"/>
      <c r="I88" s="860"/>
      <c r="J88" s="860"/>
      <c r="K88" s="860"/>
      <c r="L88" s="860"/>
      <c r="M88" s="860"/>
      <c r="N88" s="860"/>
      <c r="O88" s="860"/>
      <c r="P88" s="860"/>
      <c r="Q88" s="860"/>
      <c r="R88" s="860"/>
      <c r="S88" s="860"/>
      <c r="T88" s="860"/>
      <c r="U88" s="860"/>
      <c r="V88" s="860"/>
      <c r="W88" s="860"/>
      <c r="X88" s="860"/>
      <c r="Y88" s="860"/>
      <c r="Z88" s="860"/>
      <c r="AA88" s="860"/>
      <c r="AB88" s="860"/>
      <c r="AC88" s="859"/>
      <c r="AD88" s="859"/>
    </row>
    <row r="89" spans="1:30" s="861" customFormat="1" ht="15.75" customHeight="1">
      <c r="A89" s="858"/>
      <c r="B89" s="858"/>
      <c r="C89" s="859"/>
      <c r="D89" s="859"/>
      <c r="E89" s="859"/>
      <c r="F89" s="859"/>
      <c r="G89" s="860"/>
      <c r="H89" s="860"/>
      <c r="I89" s="860"/>
      <c r="J89" s="860"/>
      <c r="K89" s="860"/>
      <c r="L89" s="860"/>
      <c r="M89" s="860"/>
      <c r="N89" s="860"/>
      <c r="O89" s="860"/>
      <c r="P89" s="860"/>
      <c r="Q89" s="860"/>
      <c r="R89" s="860"/>
      <c r="S89" s="860"/>
      <c r="T89" s="860"/>
      <c r="U89" s="860"/>
      <c r="V89" s="860"/>
      <c r="W89" s="860"/>
      <c r="X89" s="860"/>
      <c r="Y89" s="860"/>
      <c r="Z89" s="860"/>
      <c r="AA89" s="860"/>
      <c r="AB89" s="860"/>
      <c r="AC89" s="859"/>
      <c r="AD89" s="859"/>
    </row>
    <row r="90" spans="1:30" s="861" customFormat="1" ht="15.75" customHeight="1">
      <c r="A90" s="858"/>
      <c r="B90" s="858"/>
      <c r="C90" s="859"/>
      <c r="D90" s="859"/>
      <c r="E90" s="859"/>
      <c r="F90" s="859"/>
      <c r="G90" s="860"/>
      <c r="H90" s="860"/>
      <c r="I90" s="860"/>
      <c r="J90" s="860"/>
      <c r="K90" s="860"/>
      <c r="L90" s="860"/>
      <c r="M90" s="860"/>
      <c r="N90" s="860"/>
      <c r="O90" s="860"/>
      <c r="P90" s="860"/>
      <c r="Q90" s="860"/>
      <c r="R90" s="860"/>
      <c r="S90" s="860"/>
      <c r="T90" s="860"/>
      <c r="U90" s="860"/>
      <c r="V90" s="860"/>
      <c r="W90" s="860"/>
      <c r="X90" s="860"/>
      <c r="Y90" s="860"/>
      <c r="Z90" s="860"/>
      <c r="AA90" s="860"/>
      <c r="AB90" s="860"/>
      <c r="AC90" s="859"/>
      <c r="AD90" s="859"/>
    </row>
    <row r="91" spans="1:30" s="861" customFormat="1" ht="15.75" customHeight="1">
      <c r="A91" s="858"/>
      <c r="B91" s="858"/>
      <c r="C91" s="859"/>
      <c r="D91" s="859"/>
      <c r="E91" s="859"/>
      <c r="F91" s="859"/>
      <c r="G91" s="860"/>
      <c r="H91" s="860"/>
      <c r="I91" s="860"/>
      <c r="J91" s="860"/>
      <c r="K91" s="860"/>
      <c r="L91" s="860"/>
      <c r="M91" s="860"/>
      <c r="N91" s="860"/>
      <c r="O91" s="860"/>
      <c r="P91" s="860"/>
      <c r="Q91" s="860"/>
      <c r="R91" s="860"/>
      <c r="S91" s="860"/>
      <c r="T91" s="860"/>
      <c r="U91" s="860"/>
      <c r="V91" s="860"/>
      <c r="W91" s="860"/>
      <c r="X91" s="860"/>
      <c r="Y91" s="860"/>
      <c r="Z91" s="860"/>
      <c r="AA91" s="860"/>
      <c r="AB91" s="860"/>
      <c r="AC91" s="859"/>
      <c r="AD91" s="859"/>
    </row>
    <row r="92" spans="1:30" s="861" customFormat="1" ht="15.75" customHeight="1">
      <c r="A92" s="858"/>
      <c r="B92" s="858"/>
      <c r="C92" s="859"/>
      <c r="D92" s="859"/>
      <c r="E92" s="859"/>
      <c r="F92" s="859"/>
      <c r="G92" s="860"/>
      <c r="H92" s="860"/>
      <c r="I92" s="860"/>
      <c r="J92" s="860"/>
      <c r="K92" s="860"/>
      <c r="L92" s="860"/>
      <c r="M92" s="860"/>
      <c r="N92" s="860"/>
      <c r="O92" s="860"/>
      <c r="P92" s="860"/>
      <c r="Q92" s="860"/>
      <c r="R92" s="860"/>
      <c r="S92" s="860"/>
      <c r="T92" s="860"/>
      <c r="U92" s="860"/>
      <c r="V92" s="860"/>
      <c r="W92" s="860"/>
      <c r="X92" s="860"/>
      <c r="Y92" s="860"/>
      <c r="Z92" s="860"/>
      <c r="AA92" s="860"/>
      <c r="AB92" s="860"/>
      <c r="AC92" s="859"/>
      <c r="AD92" s="859"/>
    </row>
    <row r="93" spans="1:30" s="861" customFormat="1" ht="15.75" customHeight="1">
      <c r="A93" s="858"/>
      <c r="B93" s="858"/>
      <c r="C93" s="859"/>
      <c r="D93" s="859"/>
      <c r="E93" s="859"/>
      <c r="F93" s="859"/>
      <c r="G93" s="860"/>
      <c r="H93" s="860"/>
      <c r="I93" s="860"/>
      <c r="J93" s="860"/>
      <c r="K93" s="860"/>
      <c r="L93" s="860"/>
      <c r="M93" s="860"/>
      <c r="N93" s="860"/>
      <c r="O93" s="860"/>
      <c r="P93" s="860"/>
      <c r="Q93" s="860"/>
      <c r="R93" s="860"/>
      <c r="S93" s="860"/>
      <c r="T93" s="860"/>
      <c r="U93" s="860"/>
      <c r="V93" s="860"/>
      <c r="W93" s="860"/>
      <c r="X93" s="860"/>
      <c r="Y93" s="860"/>
      <c r="Z93" s="860"/>
      <c r="AA93" s="860"/>
      <c r="AB93" s="860"/>
      <c r="AC93" s="859"/>
      <c r="AD93" s="859"/>
    </row>
    <row r="94" spans="1:30" s="861" customFormat="1" ht="15.75" customHeight="1">
      <c r="A94" s="858"/>
      <c r="B94" s="858"/>
      <c r="C94" s="859"/>
      <c r="D94" s="859"/>
      <c r="E94" s="859"/>
      <c r="F94" s="859"/>
      <c r="G94" s="860"/>
      <c r="H94" s="860"/>
      <c r="I94" s="860"/>
      <c r="J94" s="860"/>
      <c r="K94" s="860"/>
      <c r="L94" s="860"/>
      <c r="M94" s="860"/>
      <c r="N94" s="860"/>
      <c r="O94" s="860"/>
      <c r="P94" s="860"/>
      <c r="Q94" s="860"/>
      <c r="R94" s="860"/>
      <c r="S94" s="860"/>
      <c r="T94" s="860"/>
      <c r="U94" s="860"/>
      <c r="V94" s="860"/>
      <c r="W94" s="860"/>
      <c r="X94" s="860"/>
      <c r="Y94" s="860"/>
      <c r="Z94" s="860"/>
      <c r="AA94" s="860"/>
      <c r="AB94" s="860"/>
      <c r="AC94" s="859"/>
      <c r="AD94" s="859"/>
    </row>
    <row r="95" spans="1:30" ht="15.75" customHeight="1">
      <c r="A95" s="6"/>
      <c r="B95" s="6"/>
      <c r="C95" s="766"/>
      <c r="D95" s="776"/>
      <c r="E95" s="766"/>
      <c r="F95" s="776"/>
      <c r="AC95" s="766"/>
      <c r="AD95" s="779"/>
    </row>
    <row r="96" spans="1:30" ht="15.75" customHeight="1">
      <c r="A96" s="6"/>
      <c r="B96" s="6"/>
      <c r="C96" s="766"/>
      <c r="D96" s="776"/>
      <c r="E96" s="766"/>
      <c r="F96" s="776"/>
      <c r="AC96" s="766"/>
      <c r="AD96" s="779"/>
    </row>
    <row r="97" spans="1:30" ht="15.75" customHeight="1">
      <c r="A97" s="6"/>
      <c r="B97" s="6"/>
      <c r="C97" s="766"/>
      <c r="D97" s="776"/>
      <c r="E97" s="766"/>
      <c r="F97" s="776"/>
      <c r="AC97" s="766"/>
      <c r="AD97" s="779"/>
    </row>
    <row r="98" spans="1:30" ht="15.75" customHeight="1">
      <c r="A98" s="6"/>
      <c r="B98" s="6"/>
      <c r="C98" s="766"/>
      <c r="D98" s="776"/>
      <c r="E98" s="766"/>
      <c r="F98" s="776"/>
      <c r="AC98" s="766"/>
      <c r="AD98" s="779"/>
    </row>
    <row r="99" spans="1:30" ht="15.75" customHeight="1">
      <c r="A99" s="6"/>
      <c r="B99" s="6"/>
      <c r="C99" s="766"/>
      <c r="D99" s="776"/>
      <c r="E99" s="766"/>
      <c r="F99" s="776"/>
      <c r="AC99" s="766"/>
      <c r="AD99" s="779"/>
    </row>
    <row r="100" spans="1:30" ht="15.75" customHeight="1">
      <c r="A100" s="6"/>
      <c r="B100" s="6"/>
      <c r="C100" s="766"/>
      <c r="D100" s="776"/>
      <c r="E100" s="766"/>
      <c r="F100" s="776"/>
      <c r="AC100" s="766"/>
      <c r="AD100" s="779"/>
    </row>
    <row r="101" spans="1:30" ht="15.75" customHeight="1">
      <c r="A101" s="6"/>
      <c r="B101" s="6"/>
      <c r="C101" s="766"/>
      <c r="D101" s="776"/>
      <c r="E101" s="766"/>
      <c r="F101" s="776"/>
      <c r="AC101" s="766"/>
      <c r="AD101" s="779"/>
    </row>
    <row r="102" spans="1:30" ht="15.75" customHeight="1">
      <c r="A102" s="6"/>
      <c r="B102" s="6"/>
      <c r="C102" s="766"/>
      <c r="D102" s="776"/>
      <c r="E102" s="766"/>
      <c r="F102" s="776"/>
      <c r="AC102" s="766"/>
      <c r="AD102" s="779"/>
    </row>
    <row r="103" spans="1:30" ht="15.75" customHeight="1">
      <c r="A103" s="6"/>
      <c r="B103" s="6"/>
      <c r="C103" s="766"/>
      <c r="D103" s="776"/>
      <c r="E103" s="766"/>
      <c r="F103" s="776"/>
      <c r="AC103" s="766"/>
      <c r="AD103" s="779"/>
    </row>
    <row r="104" spans="1:30" ht="15.75" customHeight="1">
      <c r="A104" s="6"/>
      <c r="B104" s="6"/>
      <c r="C104" s="766"/>
      <c r="D104" s="776"/>
      <c r="E104" s="766"/>
      <c r="F104" s="776"/>
      <c r="AC104" s="766"/>
      <c r="AD104" s="779"/>
    </row>
    <row r="105" spans="1:30" ht="15.75" customHeight="1">
      <c r="A105" s="6"/>
      <c r="B105" s="6"/>
      <c r="C105" s="766"/>
      <c r="D105" s="776"/>
      <c r="E105" s="766"/>
      <c r="F105" s="776"/>
      <c r="AC105" s="766"/>
      <c r="AD105" s="779"/>
    </row>
    <row r="106" spans="1:30" ht="15.75" customHeight="1">
      <c r="A106" s="6"/>
      <c r="B106" s="6"/>
      <c r="C106" s="766"/>
      <c r="D106" s="776"/>
      <c r="E106" s="766"/>
      <c r="F106" s="776"/>
      <c r="AC106" s="766"/>
      <c r="AD106" s="779"/>
    </row>
    <row r="107" spans="1:30" ht="15.75" customHeight="1">
      <c r="A107" s="6"/>
      <c r="B107" s="6"/>
      <c r="C107" s="766"/>
      <c r="D107" s="776"/>
      <c r="E107" s="766"/>
      <c r="F107" s="776"/>
      <c r="AC107" s="766"/>
      <c r="AD107" s="779"/>
    </row>
    <row r="108" spans="1:30" ht="15.75" customHeight="1">
      <c r="A108" s="6"/>
      <c r="B108" s="6"/>
      <c r="C108" s="766"/>
      <c r="D108" s="776"/>
      <c r="E108" s="766"/>
      <c r="F108" s="776"/>
      <c r="AC108" s="766"/>
      <c r="AD108" s="779"/>
    </row>
    <row r="109" spans="1:30" ht="15.75" customHeight="1">
      <c r="A109" s="6"/>
      <c r="B109" s="6"/>
      <c r="C109" s="766"/>
      <c r="D109" s="776"/>
      <c r="E109" s="766"/>
      <c r="F109" s="776"/>
      <c r="AC109" s="766"/>
      <c r="AD109" s="779"/>
    </row>
    <row r="110" spans="1:30" ht="15.75" customHeight="1">
      <c r="A110" s="6"/>
      <c r="B110" s="6"/>
      <c r="C110" s="766"/>
      <c r="D110" s="776"/>
      <c r="E110" s="766"/>
      <c r="F110" s="776"/>
      <c r="AC110" s="766"/>
      <c r="AD110" s="779"/>
    </row>
    <row r="111" spans="1:30" ht="15.75" customHeight="1">
      <c r="A111" s="6"/>
      <c r="B111" s="6"/>
      <c r="C111" s="766"/>
      <c r="D111" s="776"/>
      <c r="E111" s="766"/>
      <c r="F111" s="776"/>
      <c r="AC111" s="766"/>
      <c r="AD111" s="779"/>
    </row>
    <row r="112" spans="1:30" ht="15.75" customHeight="1">
      <c r="A112" s="6"/>
      <c r="B112" s="6"/>
      <c r="C112" s="766"/>
      <c r="D112" s="776"/>
      <c r="E112" s="766"/>
      <c r="F112" s="776"/>
      <c r="AC112" s="766"/>
      <c r="AD112" s="779"/>
    </row>
    <row r="113" spans="1:30" ht="15.75" customHeight="1">
      <c r="A113" s="6"/>
      <c r="B113" s="6"/>
      <c r="C113" s="766"/>
      <c r="D113" s="776"/>
      <c r="E113" s="766"/>
      <c r="F113" s="776"/>
      <c r="AC113" s="766"/>
      <c r="AD113" s="779"/>
    </row>
    <row r="114" spans="1:30" ht="15.75" customHeight="1">
      <c r="A114" s="6"/>
      <c r="B114" s="6"/>
      <c r="C114" s="766"/>
      <c r="D114" s="776"/>
      <c r="E114" s="766"/>
      <c r="F114" s="776"/>
      <c r="AC114" s="766"/>
      <c r="AD114" s="779"/>
    </row>
    <row r="115" spans="1:30" ht="15.75" customHeight="1">
      <c r="A115" s="6"/>
      <c r="B115" s="6"/>
      <c r="C115" s="766"/>
      <c r="D115" s="776"/>
      <c r="E115" s="766"/>
      <c r="F115" s="776"/>
      <c r="AC115" s="766"/>
      <c r="AD115" s="779"/>
    </row>
    <row r="116" spans="1:30" ht="15.75" customHeight="1">
      <c r="A116" s="6"/>
      <c r="B116" s="6"/>
      <c r="C116" s="766"/>
      <c r="D116" s="776"/>
      <c r="E116" s="766"/>
      <c r="F116" s="776"/>
      <c r="AC116" s="766"/>
      <c r="AD116" s="779"/>
    </row>
    <row r="117" spans="1:30" ht="15.75" customHeight="1">
      <c r="A117" s="6"/>
      <c r="B117" s="6"/>
      <c r="C117" s="766"/>
      <c r="D117" s="776"/>
      <c r="E117" s="766"/>
      <c r="F117" s="776"/>
      <c r="AC117" s="766"/>
      <c r="AD117" s="779"/>
    </row>
    <row r="118" spans="1:30" ht="15.75" customHeight="1">
      <c r="A118" s="6"/>
      <c r="B118" s="6"/>
      <c r="C118" s="766"/>
      <c r="D118" s="776"/>
      <c r="E118" s="766"/>
      <c r="F118" s="776"/>
      <c r="AC118" s="766"/>
      <c r="AD118" s="779"/>
    </row>
    <row r="119" spans="1:30" ht="15.75" customHeight="1">
      <c r="A119" s="6"/>
      <c r="B119" s="6"/>
      <c r="C119" s="766"/>
      <c r="D119" s="776"/>
      <c r="E119" s="766"/>
      <c r="F119" s="776"/>
      <c r="AC119" s="766"/>
      <c r="AD119" s="779"/>
    </row>
    <row r="120" spans="1:30" ht="15.75" customHeight="1">
      <c r="A120" s="6"/>
      <c r="B120" s="6"/>
      <c r="C120" s="766"/>
      <c r="D120" s="776"/>
      <c r="E120" s="766"/>
      <c r="F120" s="776"/>
      <c r="AC120" s="766"/>
      <c r="AD120" s="779"/>
    </row>
    <row r="121" spans="1:30" ht="15.75" customHeight="1">
      <c r="A121" s="6"/>
      <c r="B121" s="6"/>
      <c r="C121" s="766"/>
      <c r="D121" s="776"/>
      <c r="E121" s="766"/>
      <c r="F121" s="776"/>
      <c r="AC121" s="766"/>
      <c r="AD121" s="779"/>
    </row>
    <row r="122" spans="1:30" ht="15.75" customHeight="1">
      <c r="A122" s="6"/>
      <c r="B122" s="6"/>
      <c r="C122" s="766"/>
      <c r="D122" s="776"/>
      <c r="E122" s="766"/>
      <c r="F122" s="776"/>
      <c r="AC122" s="766"/>
      <c r="AD122" s="779"/>
    </row>
    <row r="123" spans="1:30" ht="15.75" customHeight="1">
      <c r="A123" s="6"/>
      <c r="B123" s="6"/>
      <c r="C123" s="766"/>
      <c r="D123" s="776"/>
      <c r="E123" s="766"/>
      <c r="F123" s="776"/>
      <c r="AC123" s="766"/>
      <c r="AD123" s="779"/>
    </row>
    <row r="124" spans="1:30" ht="15.75" customHeight="1">
      <c r="A124" s="6"/>
      <c r="B124" s="6"/>
      <c r="C124" s="766"/>
      <c r="D124" s="776"/>
      <c r="E124" s="766"/>
      <c r="F124" s="776"/>
      <c r="AC124" s="766"/>
      <c r="AD124" s="779"/>
    </row>
    <row r="125" spans="1:30" ht="15.75" customHeight="1">
      <c r="A125" s="6"/>
      <c r="B125" s="6"/>
      <c r="C125" s="766"/>
      <c r="D125" s="776"/>
      <c r="E125" s="766"/>
      <c r="F125" s="776"/>
      <c r="AC125" s="766"/>
      <c r="AD125" s="779"/>
    </row>
    <row r="126" spans="1:30" ht="15.75" customHeight="1">
      <c r="A126" s="6"/>
      <c r="B126" s="6"/>
      <c r="C126" s="766"/>
      <c r="D126" s="776"/>
      <c r="E126" s="766"/>
      <c r="F126" s="776"/>
      <c r="AC126" s="766"/>
      <c r="AD126" s="779"/>
    </row>
    <row r="127" spans="1:30" ht="15.75" customHeight="1">
      <c r="A127" s="6"/>
      <c r="B127" s="6"/>
      <c r="C127" s="766"/>
      <c r="D127" s="776"/>
      <c r="E127" s="766"/>
      <c r="F127" s="776"/>
      <c r="AC127" s="766"/>
      <c r="AD127" s="779"/>
    </row>
    <row r="128" spans="1:30" ht="15.75" customHeight="1">
      <c r="A128" s="6"/>
      <c r="B128" s="6"/>
      <c r="C128" s="766"/>
      <c r="D128" s="776"/>
      <c r="E128" s="766"/>
      <c r="F128" s="776"/>
      <c r="AC128" s="766"/>
      <c r="AD128" s="779"/>
    </row>
    <row r="129" spans="1:30" ht="15.75" customHeight="1">
      <c r="A129" s="6"/>
      <c r="B129" s="6"/>
      <c r="C129" s="766"/>
      <c r="D129" s="776"/>
      <c r="E129" s="766"/>
      <c r="F129" s="776"/>
      <c r="AC129" s="766"/>
      <c r="AD129" s="779"/>
    </row>
    <row r="130" spans="1:30" ht="15.75" customHeight="1">
      <c r="A130" s="6"/>
      <c r="B130" s="6"/>
      <c r="C130" s="766"/>
      <c r="D130" s="776"/>
      <c r="E130" s="766"/>
      <c r="F130" s="776"/>
      <c r="AC130" s="766"/>
      <c r="AD130" s="779"/>
    </row>
    <row r="131" spans="1:30" ht="15.75" customHeight="1">
      <c r="A131" s="6"/>
      <c r="B131" s="6"/>
      <c r="C131" s="766"/>
      <c r="D131" s="776"/>
      <c r="E131" s="766"/>
      <c r="F131" s="776"/>
      <c r="AC131" s="766"/>
      <c r="AD131" s="779"/>
    </row>
    <row r="132" spans="1:30" ht="15.75" customHeight="1">
      <c r="A132" s="6"/>
      <c r="B132" s="6"/>
      <c r="C132" s="766"/>
      <c r="D132" s="776"/>
      <c r="E132" s="766"/>
      <c r="F132" s="776"/>
      <c r="AC132" s="766"/>
      <c r="AD132" s="779"/>
    </row>
    <row r="133" spans="1:30" ht="15.75" customHeight="1">
      <c r="A133" s="6"/>
      <c r="B133" s="6"/>
      <c r="C133" s="766"/>
      <c r="D133" s="776"/>
      <c r="E133" s="766"/>
      <c r="F133" s="776"/>
      <c r="AC133" s="766"/>
      <c r="AD133" s="779"/>
    </row>
    <row r="134" spans="1:30" ht="15.75" customHeight="1">
      <c r="A134" s="6"/>
      <c r="B134" s="6"/>
      <c r="C134" s="766"/>
      <c r="D134" s="776"/>
      <c r="E134" s="766"/>
      <c r="F134" s="776"/>
      <c r="AC134" s="766"/>
      <c r="AD134" s="779"/>
    </row>
    <row r="135" spans="1:30" ht="15.75" customHeight="1">
      <c r="A135" s="6"/>
      <c r="B135" s="6"/>
      <c r="C135" s="766"/>
      <c r="D135" s="776"/>
      <c r="E135" s="766"/>
      <c r="F135" s="776"/>
      <c r="AC135" s="766"/>
      <c r="AD135" s="779"/>
    </row>
    <row r="136" spans="1:30" ht="15.75" customHeight="1">
      <c r="A136" s="6"/>
      <c r="B136" s="6"/>
      <c r="C136" s="766"/>
      <c r="D136" s="776"/>
      <c r="E136" s="766"/>
      <c r="F136" s="776"/>
      <c r="AC136" s="766"/>
      <c r="AD136" s="779"/>
    </row>
    <row r="137" spans="1:30" ht="15.75" customHeight="1">
      <c r="A137" s="6"/>
      <c r="B137" s="6"/>
      <c r="C137" s="766"/>
      <c r="D137" s="776"/>
      <c r="E137" s="766"/>
      <c r="F137" s="776"/>
      <c r="AC137" s="766"/>
      <c r="AD137" s="779"/>
    </row>
    <row r="138" spans="1:30" ht="15.75" customHeight="1">
      <c r="A138" s="6"/>
      <c r="B138" s="6"/>
      <c r="C138" s="766"/>
      <c r="D138" s="776"/>
      <c r="E138" s="766"/>
      <c r="F138" s="776"/>
      <c r="AC138" s="766"/>
      <c r="AD138" s="779"/>
    </row>
    <row r="139" spans="1:30" ht="15.75" customHeight="1">
      <c r="A139" s="6"/>
      <c r="B139" s="6"/>
      <c r="C139" s="766"/>
      <c r="D139" s="776"/>
      <c r="E139" s="766"/>
      <c r="F139" s="776"/>
      <c r="AC139" s="766"/>
      <c r="AD139" s="779"/>
    </row>
    <row r="140" spans="1:30" ht="15.75" customHeight="1">
      <c r="A140" s="6"/>
      <c r="B140" s="6"/>
      <c r="C140" s="766"/>
      <c r="D140" s="776"/>
      <c r="E140" s="766"/>
      <c r="F140" s="776"/>
      <c r="AC140" s="766"/>
      <c r="AD140" s="779"/>
    </row>
    <row r="141" spans="1:30" ht="15.75" customHeight="1">
      <c r="A141" s="6"/>
      <c r="B141" s="6"/>
      <c r="C141" s="766"/>
      <c r="D141" s="776"/>
      <c r="E141" s="766"/>
      <c r="F141" s="776"/>
      <c r="AC141" s="766"/>
      <c r="AD141" s="779"/>
    </row>
    <row r="142" spans="1:30" ht="15.75" customHeight="1">
      <c r="A142" s="6"/>
      <c r="B142" s="6"/>
      <c r="C142" s="766"/>
      <c r="D142" s="776"/>
      <c r="E142" s="766"/>
      <c r="F142" s="776"/>
      <c r="AC142" s="766"/>
      <c r="AD142" s="779"/>
    </row>
    <row r="143" spans="1:30" ht="15.75" customHeight="1">
      <c r="A143" s="6"/>
      <c r="B143" s="6"/>
      <c r="C143" s="766"/>
      <c r="D143" s="776"/>
      <c r="E143" s="766"/>
      <c r="F143" s="776"/>
      <c r="AC143" s="766"/>
      <c r="AD143" s="779"/>
    </row>
    <row r="144" spans="1:30" ht="15.75" customHeight="1">
      <c r="A144" s="6"/>
      <c r="B144" s="6"/>
      <c r="C144" s="766"/>
      <c r="D144" s="776"/>
      <c r="E144" s="766"/>
      <c r="F144" s="776"/>
      <c r="AC144" s="766"/>
      <c r="AD144" s="779"/>
    </row>
    <row r="145" spans="1:30" ht="15.75" customHeight="1">
      <c r="A145" s="6"/>
      <c r="B145" s="6"/>
      <c r="C145" s="766"/>
      <c r="D145" s="776"/>
      <c r="E145" s="766"/>
      <c r="F145" s="776"/>
      <c r="AC145" s="766"/>
      <c r="AD145" s="779"/>
    </row>
    <row r="146" spans="1:30" ht="15.75" customHeight="1">
      <c r="A146" s="6"/>
      <c r="B146" s="6"/>
      <c r="C146" s="766"/>
      <c r="D146" s="776"/>
      <c r="E146" s="766"/>
      <c r="F146" s="776"/>
      <c r="AC146" s="766"/>
      <c r="AD146" s="779"/>
    </row>
    <row r="147" spans="1:30" ht="15.75" customHeight="1">
      <c r="A147" s="6"/>
      <c r="B147" s="6"/>
      <c r="C147" s="766"/>
      <c r="D147" s="776"/>
      <c r="E147" s="766"/>
      <c r="F147" s="776"/>
      <c r="AC147" s="766"/>
      <c r="AD147" s="779"/>
    </row>
    <row r="148" spans="1:30" ht="15.75" customHeight="1">
      <c r="A148" s="6"/>
      <c r="B148" s="6"/>
      <c r="C148" s="766"/>
      <c r="D148" s="776"/>
      <c r="E148" s="766"/>
      <c r="F148" s="776"/>
      <c r="AC148" s="766"/>
      <c r="AD148" s="779"/>
    </row>
    <row r="149" spans="1:30" ht="15.75" customHeight="1">
      <c r="A149" s="6"/>
      <c r="B149" s="6"/>
      <c r="C149" s="766"/>
      <c r="D149" s="776"/>
      <c r="E149" s="766"/>
      <c r="F149" s="776"/>
      <c r="AC149" s="766"/>
      <c r="AD149" s="779"/>
    </row>
    <row r="150" spans="1:30" ht="15.75" customHeight="1">
      <c r="A150" s="6"/>
      <c r="B150" s="6"/>
      <c r="C150" s="766"/>
      <c r="D150" s="776"/>
      <c r="E150" s="766"/>
      <c r="F150" s="776"/>
      <c r="AC150" s="766"/>
      <c r="AD150" s="779"/>
    </row>
    <row r="151" spans="1:30" ht="15.75" customHeight="1">
      <c r="A151" s="6"/>
      <c r="B151" s="6"/>
      <c r="C151" s="766"/>
      <c r="D151" s="776"/>
      <c r="E151" s="766"/>
      <c r="F151" s="776"/>
      <c r="AC151" s="766"/>
      <c r="AD151" s="779"/>
    </row>
    <row r="152" spans="1:30" ht="15.75" customHeight="1">
      <c r="A152" s="6"/>
      <c r="B152" s="6"/>
      <c r="C152" s="766"/>
      <c r="D152" s="776"/>
      <c r="E152" s="766"/>
      <c r="F152" s="776"/>
      <c r="AC152" s="766"/>
      <c r="AD152" s="779"/>
    </row>
    <row r="153" spans="1:30" ht="15.75" customHeight="1">
      <c r="A153" s="6"/>
      <c r="B153" s="6"/>
      <c r="C153" s="766"/>
      <c r="D153" s="776"/>
      <c r="E153" s="766"/>
      <c r="F153" s="776"/>
      <c r="AC153" s="766"/>
      <c r="AD153" s="779"/>
    </row>
    <row r="154" spans="1:30" ht="15.75" customHeight="1">
      <c r="A154" s="6"/>
      <c r="B154" s="6"/>
      <c r="C154" s="766"/>
      <c r="D154" s="776"/>
      <c r="E154" s="766"/>
      <c r="F154" s="776"/>
      <c r="AC154" s="766"/>
      <c r="AD154" s="779"/>
    </row>
    <row r="155" spans="1:30" ht="15.75" customHeight="1">
      <c r="A155" s="6"/>
      <c r="B155" s="6"/>
      <c r="C155" s="766"/>
      <c r="D155" s="776"/>
      <c r="E155" s="766"/>
      <c r="F155" s="776"/>
      <c r="AC155" s="766"/>
      <c r="AD155" s="779"/>
    </row>
    <row r="156" spans="1:30" ht="15.75" customHeight="1">
      <c r="A156" s="6"/>
      <c r="B156" s="6"/>
      <c r="C156" s="766"/>
      <c r="D156" s="776"/>
      <c r="E156" s="766"/>
      <c r="F156" s="776"/>
      <c r="AC156" s="766"/>
      <c r="AD156" s="779"/>
    </row>
    <row r="157" spans="1:30" ht="15.75" customHeight="1">
      <c r="A157" s="6"/>
      <c r="B157" s="6"/>
      <c r="C157" s="766"/>
      <c r="D157" s="776"/>
      <c r="E157" s="766"/>
      <c r="F157" s="776"/>
      <c r="AC157" s="766"/>
      <c r="AD157" s="779"/>
    </row>
    <row r="158" spans="1:30" ht="15.75" customHeight="1">
      <c r="A158" s="6"/>
      <c r="B158" s="6"/>
      <c r="C158" s="766"/>
      <c r="D158" s="776"/>
      <c r="E158" s="766"/>
      <c r="F158" s="776"/>
      <c r="AC158" s="766"/>
      <c r="AD158" s="779"/>
    </row>
    <row r="159" spans="1:30" ht="15.75" customHeight="1">
      <c r="A159" s="6"/>
      <c r="B159" s="6"/>
      <c r="C159" s="766"/>
      <c r="D159" s="776"/>
      <c r="E159" s="766"/>
      <c r="F159" s="776"/>
      <c r="AC159" s="766"/>
      <c r="AD159" s="779"/>
    </row>
    <row r="160" spans="1:30" ht="15.75" customHeight="1">
      <c r="A160" s="6"/>
      <c r="B160" s="6"/>
      <c r="C160" s="766"/>
      <c r="D160" s="776"/>
      <c r="E160" s="766"/>
      <c r="F160" s="776"/>
      <c r="AC160" s="766"/>
      <c r="AD160" s="779"/>
    </row>
    <row r="161" spans="1:30" ht="15.75" customHeight="1">
      <c r="A161" s="6"/>
      <c r="B161" s="6"/>
      <c r="C161" s="766"/>
      <c r="D161" s="776"/>
      <c r="E161" s="766"/>
      <c r="F161" s="776"/>
      <c r="AC161" s="766"/>
      <c r="AD161" s="779"/>
    </row>
    <row r="162" spans="1:30" ht="15.75" customHeight="1">
      <c r="A162" s="6"/>
      <c r="B162" s="6"/>
      <c r="C162" s="766"/>
      <c r="D162" s="776"/>
      <c r="E162" s="766"/>
      <c r="F162" s="776"/>
      <c r="AC162" s="766"/>
      <c r="AD162" s="779"/>
    </row>
    <row r="163" spans="1:30" ht="15.75" customHeight="1">
      <c r="A163" s="6"/>
      <c r="B163" s="6"/>
      <c r="C163" s="766"/>
      <c r="D163" s="776"/>
      <c r="E163" s="766"/>
      <c r="F163" s="776"/>
      <c r="AC163" s="766"/>
      <c r="AD163" s="779"/>
    </row>
    <row r="164" spans="1:30" ht="15.75" customHeight="1">
      <c r="A164" s="6"/>
      <c r="B164" s="6"/>
      <c r="C164" s="766"/>
      <c r="D164" s="776"/>
      <c r="E164" s="766"/>
      <c r="F164" s="776"/>
      <c r="AC164" s="766"/>
      <c r="AD164" s="779"/>
    </row>
    <row r="165" spans="1:30" ht="15.75" customHeight="1">
      <c r="A165" s="6"/>
      <c r="B165" s="6"/>
      <c r="C165" s="766"/>
      <c r="D165" s="776"/>
      <c r="E165" s="766"/>
      <c r="F165" s="776"/>
      <c r="AC165" s="766"/>
      <c r="AD165" s="779"/>
    </row>
    <row r="166" spans="1:30" ht="15.75" customHeight="1">
      <c r="A166" s="6"/>
      <c r="B166" s="6"/>
      <c r="C166" s="766"/>
      <c r="D166" s="776"/>
      <c r="E166" s="766"/>
      <c r="F166" s="776"/>
      <c r="AC166" s="766"/>
      <c r="AD166" s="779"/>
    </row>
    <row r="167" spans="1:30" ht="15.75" customHeight="1">
      <c r="A167" s="6"/>
      <c r="B167" s="6"/>
      <c r="C167" s="766"/>
      <c r="D167" s="776"/>
      <c r="E167" s="766"/>
      <c r="F167" s="776"/>
      <c r="AC167" s="766"/>
      <c r="AD167" s="779"/>
    </row>
    <row r="168" spans="1:30" ht="15.75" customHeight="1">
      <c r="A168" s="6"/>
      <c r="B168" s="6"/>
      <c r="C168" s="766"/>
      <c r="D168" s="776"/>
      <c r="E168" s="766"/>
      <c r="F168" s="776"/>
      <c r="AC168" s="766"/>
      <c r="AD168" s="779"/>
    </row>
    <row r="169" spans="1:30" ht="15.75" customHeight="1">
      <c r="A169" s="6"/>
      <c r="B169" s="6"/>
      <c r="C169" s="766"/>
      <c r="D169" s="776"/>
      <c r="E169" s="766"/>
      <c r="F169" s="776"/>
      <c r="AC169" s="766"/>
      <c r="AD169" s="779"/>
    </row>
    <row r="170" spans="1:30" ht="15.75" customHeight="1">
      <c r="A170" s="6"/>
      <c r="B170" s="6"/>
      <c r="C170" s="766"/>
      <c r="D170" s="776"/>
      <c r="E170" s="766"/>
      <c r="F170" s="776"/>
      <c r="AC170" s="766"/>
      <c r="AD170" s="779"/>
    </row>
    <row r="171" spans="1:30" ht="15.75" customHeight="1">
      <c r="A171" s="6"/>
      <c r="B171" s="6"/>
      <c r="C171" s="766"/>
      <c r="D171" s="776"/>
      <c r="E171" s="766"/>
      <c r="F171" s="776"/>
      <c r="AC171" s="766"/>
      <c r="AD171" s="779"/>
    </row>
    <row r="172" spans="1:30" ht="15.75" customHeight="1">
      <c r="A172" s="6"/>
      <c r="B172" s="6"/>
      <c r="C172" s="766"/>
      <c r="D172" s="776"/>
      <c r="E172" s="766"/>
      <c r="F172" s="776"/>
      <c r="AC172" s="766"/>
      <c r="AD172" s="779"/>
    </row>
    <row r="173" spans="1:30" ht="15.75" customHeight="1">
      <c r="A173" s="6"/>
      <c r="B173" s="6"/>
      <c r="C173" s="766"/>
      <c r="D173" s="776"/>
      <c r="E173" s="766"/>
      <c r="F173" s="776"/>
      <c r="AC173" s="766"/>
      <c r="AD173" s="779"/>
    </row>
    <row r="174" spans="1:30" ht="15.75" customHeight="1">
      <c r="A174" s="6"/>
      <c r="B174" s="6"/>
      <c r="C174" s="766"/>
      <c r="D174" s="776"/>
      <c r="E174" s="766"/>
      <c r="F174" s="776"/>
      <c r="AC174" s="766"/>
      <c r="AD174" s="779"/>
    </row>
    <row r="175" spans="1:30" ht="15.75" customHeight="1">
      <c r="A175" s="6"/>
      <c r="B175" s="6"/>
      <c r="C175" s="766"/>
      <c r="D175" s="776"/>
      <c r="E175" s="766"/>
      <c r="F175" s="776"/>
      <c r="AC175" s="766"/>
      <c r="AD175" s="779"/>
    </row>
    <row r="176" spans="1:30" ht="15.75" customHeight="1">
      <c r="A176" s="6"/>
      <c r="B176" s="6"/>
      <c r="C176" s="766"/>
      <c r="D176" s="776"/>
      <c r="E176" s="766"/>
      <c r="F176" s="776"/>
      <c r="AC176" s="766"/>
      <c r="AD176" s="779"/>
    </row>
    <row r="177" spans="1:30" ht="15.75" customHeight="1">
      <c r="A177" s="6"/>
      <c r="B177" s="6"/>
      <c r="C177" s="766"/>
      <c r="D177" s="776"/>
      <c r="E177" s="766"/>
      <c r="F177" s="776"/>
      <c r="AC177" s="766"/>
      <c r="AD177" s="779"/>
    </row>
    <row r="178" spans="1:30" ht="15.75" customHeight="1">
      <c r="A178" s="6"/>
      <c r="B178" s="6"/>
      <c r="C178" s="766"/>
      <c r="D178" s="776"/>
      <c r="E178" s="766"/>
      <c r="F178" s="776"/>
      <c r="AC178" s="766"/>
      <c r="AD178" s="779"/>
    </row>
    <row r="179" spans="1:30" ht="15.75" customHeight="1">
      <c r="A179" s="6"/>
      <c r="B179" s="6"/>
      <c r="C179" s="766"/>
      <c r="D179" s="776"/>
      <c r="E179" s="766"/>
      <c r="F179" s="776"/>
      <c r="AC179" s="766"/>
      <c r="AD179" s="779"/>
    </row>
    <row r="180" spans="1:30" ht="15.75" customHeight="1">
      <c r="A180" s="6"/>
      <c r="B180" s="6"/>
      <c r="C180" s="766"/>
      <c r="D180" s="776"/>
      <c r="E180" s="766"/>
      <c r="F180" s="776"/>
      <c r="AC180" s="766"/>
      <c r="AD180" s="779"/>
    </row>
    <row r="181" spans="1:30" ht="15.75" customHeight="1">
      <c r="A181" s="6"/>
      <c r="B181" s="6"/>
      <c r="C181" s="766"/>
      <c r="D181" s="776"/>
      <c r="E181" s="766"/>
      <c r="F181" s="776"/>
      <c r="AC181" s="766"/>
      <c r="AD181" s="779"/>
    </row>
    <row r="182" spans="1:30" ht="15.75" customHeight="1">
      <c r="A182" s="6"/>
      <c r="B182" s="6"/>
      <c r="C182" s="766"/>
      <c r="D182" s="776"/>
      <c r="E182" s="766"/>
      <c r="F182" s="776"/>
      <c r="AC182" s="766"/>
      <c r="AD182" s="779"/>
    </row>
    <row r="183" spans="1:30" ht="15.75" customHeight="1">
      <c r="A183" s="6"/>
      <c r="B183" s="6"/>
      <c r="C183" s="766"/>
      <c r="D183" s="776"/>
      <c r="E183" s="766"/>
      <c r="F183" s="776"/>
      <c r="AC183" s="766"/>
      <c r="AD183" s="779"/>
    </row>
    <row r="184" spans="1:30" ht="15.75" customHeight="1">
      <c r="A184" s="6"/>
      <c r="B184" s="6"/>
      <c r="C184" s="766"/>
      <c r="D184" s="776"/>
      <c r="E184" s="766"/>
      <c r="F184" s="776"/>
      <c r="AC184" s="766"/>
      <c r="AD184" s="779"/>
    </row>
    <row r="185" spans="1:30" ht="15.75" customHeight="1">
      <c r="A185" s="6"/>
      <c r="B185" s="6"/>
      <c r="C185" s="766"/>
      <c r="D185" s="776"/>
      <c r="E185" s="766"/>
      <c r="F185" s="776"/>
      <c r="AC185" s="766"/>
      <c r="AD185" s="779"/>
    </row>
    <row r="186" spans="1:30" ht="15.75" customHeight="1">
      <c r="A186" s="6"/>
      <c r="B186" s="6"/>
      <c r="C186" s="766"/>
      <c r="D186" s="776"/>
      <c r="E186" s="766"/>
      <c r="F186" s="776"/>
      <c r="AC186" s="766"/>
      <c r="AD186" s="779"/>
    </row>
    <row r="187" spans="1:30" ht="15.75" customHeight="1">
      <c r="A187" s="6"/>
      <c r="B187" s="6"/>
      <c r="C187" s="766"/>
      <c r="D187" s="776"/>
      <c r="E187" s="766"/>
      <c r="F187" s="776"/>
      <c r="AC187" s="766"/>
      <c r="AD187" s="779"/>
    </row>
    <row r="188" spans="1:30" ht="15.75" customHeight="1">
      <c r="A188" s="6"/>
      <c r="B188" s="6"/>
      <c r="C188" s="766"/>
      <c r="D188" s="776"/>
      <c r="E188" s="766"/>
      <c r="F188" s="776"/>
      <c r="AC188" s="766"/>
      <c r="AD188" s="779"/>
    </row>
    <row r="189" spans="1:30" ht="15.75" customHeight="1">
      <c r="A189" s="6"/>
      <c r="B189" s="6"/>
      <c r="C189" s="766"/>
      <c r="D189" s="776"/>
      <c r="E189" s="766"/>
      <c r="F189" s="776"/>
      <c r="AC189" s="766"/>
      <c r="AD189" s="779"/>
    </row>
    <row r="190" spans="1:30" ht="15.75" customHeight="1">
      <c r="A190" s="6"/>
      <c r="B190" s="6"/>
      <c r="C190" s="766"/>
      <c r="D190" s="776"/>
      <c r="E190" s="766"/>
      <c r="F190" s="776"/>
      <c r="AC190" s="766"/>
      <c r="AD190" s="779"/>
    </row>
    <row r="191" spans="1:30" ht="15.75" customHeight="1">
      <c r="A191" s="6"/>
      <c r="B191" s="6"/>
      <c r="C191" s="766"/>
      <c r="D191" s="776"/>
      <c r="E191" s="766"/>
      <c r="F191" s="776"/>
      <c r="AC191" s="766"/>
      <c r="AD191" s="779"/>
    </row>
    <row r="192" spans="1:30" ht="15.75" customHeight="1">
      <c r="A192" s="6"/>
      <c r="B192" s="6"/>
      <c r="C192" s="766"/>
      <c r="D192" s="776"/>
      <c r="E192" s="766"/>
      <c r="F192" s="776"/>
      <c r="AC192" s="766"/>
      <c r="AD192" s="779"/>
    </row>
    <row r="193" spans="1:30" ht="15.75" customHeight="1">
      <c r="A193" s="6"/>
      <c r="B193" s="6"/>
      <c r="C193" s="766"/>
      <c r="D193" s="776"/>
      <c r="E193" s="766"/>
      <c r="F193" s="776"/>
      <c r="AC193" s="766"/>
      <c r="AD193" s="779"/>
    </row>
    <row r="194" spans="1:30" ht="15.75" customHeight="1">
      <c r="A194" s="6"/>
      <c r="B194" s="6"/>
      <c r="C194" s="766"/>
      <c r="D194" s="776"/>
      <c r="E194" s="766"/>
      <c r="F194" s="776"/>
      <c r="AC194" s="766"/>
      <c r="AD194" s="779"/>
    </row>
    <row r="195" spans="1:30" ht="15.75" customHeight="1">
      <c r="A195" s="6"/>
      <c r="B195" s="6"/>
      <c r="C195" s="766"/>
      <c r="D195" s="776"/>
      <c r="E195" s="766"/>
      <c r="F195" s="776"/>
      <c r="AC195" s="766"/>
      <c r="AD195" s="779"/>
    </row>
    <row r="196" spans="1:30" ht="15.75" customHeight="1">
      <c r="A196" s="6"/>
      <c r="B196" s="6"/>
      <c r="C196" s="766"/>
      <c r="D196" s="776"/>
      <c r="E196" s="766"/>
      <c r="F196" s="776"/>
      <c r="AC196" s="766"/>
      <c r="AD196" s="779"/>
    </row>
    <row r="197" spans="1:30" ht="15.75" customHeight="1">
      <c r="A197" s="6"/>
      <c r="B197" s="6"/>
      <c r="C197" s="766"/>
      <c r="D197" s="776"/>
      <c r="E197" s="766"/>
      <c r="F197" s="776"/>
      <c r="AC197" s="766"/>
      <c r="AD197" s="779"/>
    </row>
    <row r="198" spans="1:30" ht="15.75" customHeight="1">
      <c r="A198" s="6"/>
      <c r="B198" s="6"/>
      <c r="C198" s="766"/>
      <c r="D198" s="776"/>
      <c r="E198" s="766"/>
      <c r="F198" s="776"/>
      <c r="AC198" s="766"/>
      <c r="AD198" s="779"/>
    </row>
    <row r="199" spans="1:30" ht="15.75" customHeight="1">
      <c r="A199" s="6"/>
      <c r="B199" s="6"/>
      <c r="C199" s="766"/>
      <c r="D199" s="776"/>
      <c r="E199" s="766"/>
      <c r="F199" s="776"/>
      <c r="AC199" s="766"/>
      <c r="AD199" s="779"/>
    </row>
    <row r="200" spans="1:30" ht="15.75" customHeight="1">
      <c r="A200" s="6"/>
      <c r="B200" s="6"/>
      <c r="C200" s="766"/>
      <c r="D200" s="776"/>
      <c r="E200" s="766"/>
      <c r="F200" s="776"/>
      <c r="AC200" s="766"/>
      <c r="AD200" s="779"/>
    </row>
    <row r="201" spans="1:30" ht="15.75" customHeight="1">
      <c r="A201" s="6"/>
      <c r="B201" s="6"/>
      <c r="C201" s="766"/>
      <c r="D201" s="776"/>
      <c r="E201" s="766"/>
      <c r="F201" s="776"/>
      <c r="AC201" s="766"/>
      <c r="AD201" s="779"/>
    </row>
    <row r="202" spans="1:30" ht="15.75" customHeight="1">
      <c r="A202" s="6"/>
      <c r="B202" s="6"/>
      <c r="C202" s="766"/>
      <c r="D202" s="776"/>
      <c r="E202" s="766"/>
      <c r="F202" s="776"/>
      <c r="AC202" s="766"/>
      <c r="AD202" s="779"/>
    </row>
    <row r="203" spans="1:30" ht="15.75" customHeight="1">
      <c r="A203" s="6"/>
      <c r="B203" s="6"/>
      <c r="C203" s="766"/>
      <c r="D203" s="776"/>
      <c r="E203" s="766"/>
      <c r="F203" s="776"/>
      <c r="AC203" s="766"/>
      <c r="AD203" s="779"/>
    </row>
    <row r="204" spans="1:30" ht="15.75" customHeight="1">
      <c r="A204" s="6"/>
      <c r="B204" s="6"/>
      <c r="C204" s="766"/>
      <c r="D204" s="776"/>
      <c r="E204" s="766"/>
      <c r="F204" s="776"/>
      <c r="AC204" s="766"/>
      <c r="AD204" s="779"/>
    </row>
    <row r="205" spans="1:30" ht="15.75" customHeight="1">
      <c r="A205" s="6"/>
      <c r="B205" s="6"/>
      <c r="C205" s="766"/>
      <c r="D205" s="776"/>
      <c r="E205" s="766"/>
      <c r="F205" s="776"/>
      <c r="AC205" s="766"/>
      <c r="AD205" s="779"/>
    </row>
    <row r="206" spans="1:30" ht="15.75" customHeight="1">
      <c r="A206" s="6"/>
      <c r="B206" s="6"/>
      <c r="C206" s="766"/>
      <c r="D206" s="776"/>
      <c r="E206" s="766"/>
      <c r="F206" s="776"/>
      <c r="AC206" s="766"/>
      <c r="AD206" s="779"/>
    </row>
    <row r="207" spans="1:30" ht="15.75" customHeight="1">
      <c r="A207" s="6"/>
      <c r="B207" s="6"/>
      <c r="C207" s="766"/>
      <c r="D207" s="776"/>
      <c r="E207" s="766"/>
      <c r="F207" s="776"/>
      <c r="AC207" s="766"/>
      <c r="AD207" s="779"/>
    </row>
    <row r="208" spans="1:30" ht="15.75" customHeight="1">
      <c r="A208" s="6"/>
      <c r="B208" s="6"/>
      <c r="C208" s="766"/>
      <c r="D208" s="776"/>
      <c r="E208" s="766"/>
      <c r="F208" s="776"/>
      <c r="AC208" s="766"/>
      <c r="AD208" s="779"/>
    </row>
    <row r="209" spans="1:30" ht="15.75" customHeight="1">
      <c r="A209" s="6"/>
      <c r="B209" s="6"/>
      <c r="C209" s="766"/>
      <c r="D209" s="776"/>
      <c r="E209" s="766"/>
      <c r="F209" s="776"/>
      <c r="AC209" s="766"/>
      <c r="AD209" s="779"/>
    </row>
    <row r="210" spans="1:30" ht="15.75" customHeight="1">
      <c r="A210" s="6"/>
      <c r="B210" s="6"/>
      <c r="C210" s="766"/>
      <c r="D210" s="776"/>
      <c r="E210" s="766"/>
      <c r="F210" s="776"/>
      <c r="AC210" s="766"/>
      <c r="AD210" s="779"/>
    </row>
    <row r="211" spans="1:30" ht="15.75" customHeight="1">
      <c r="A211" s="6"/>
      <c r="B211" s="6"/>
      <c r="C211" s="766"/>
      <c r="D211" s="776"/>
      <c r="E211" s="766"/>
      <c r="F211" s="776"/>
      <c r="AC211" s="766"/>
      <c r="AD211" s="779"/>
    </row>
    <row r="212" spans="1:30" ht="15.75" customHeight="1">
      <c r="A212" s="6"/>
      <c r="B212" s="6"/>
      <c r="C212" s="766"/>
      <c r="D212" s="776"/>
      <c r="E212" s="766"/>
      <c r="F212" s="776"/>
      <c r="AC212" s="766"/>
      <c r="AD212" s="779"/>
    </row>
    <row r="213" spans="1:30" ht="15.75" customHeight="1">
      <c r="A213" s="6"/>
      <c r="B213" s="6"/>
      <c r="C213" s="766"/>
      <c r="D213" s="776"/>
      <c r="E213" s="766"/>
      <c r="F213" s="776"/>
      <c r="AC213" s="766"/>
      <c r="AD213" s="779"/>
    </row>
    <row r="214" spans="1:30" ht="15.75" customHeight="1">
      <c r="A214" s="6"/>
      <c r="B214" s="6"/>
      <c r="C214" s="766"/>
      <c r="D214" s="776"/>
      <c r="E214" s="766"/>
      <c r="F214" s="776"/>
      <c r="AC214" s="766"/>
      <c r="AD214" s="779"/>
    </row>
    <row r="215" spans="1:30" ht="15.75" customHeight="1">
      <c r="A215" s="6"/>
      <c r="B215" s="6"/>
      <c r="C215" s="766"/>
      <c r="D215" s="776"/>
      <c r="E215" s="766"/>
      <c r="F215" s="776"/>
      <c r="AC215" s="766"/>
      <c r="AD215" s="779"/>
    </row>
    <row r="216" spans="1:30" ht="15.75" customHeight="1">
      <c r="A216" s="6"/>
      <c r="B216" s="6"/>
      <c r="C216" s="766"/>
      <c r="D216" s="776"/>
      <c r="E216" s="766"/>
      <c r="F216" s="776"/>
      <c r="AC216" s="766"/>
      <c r="AD216" s="779"/>
    </row>
    <row r="217" spans="1:30" ht="15.75" customHeight="1">
      <c r="A217" s="6"/>
      <c r="B217" s="6"/>
      <c r="C217" s="766"/>
      <c r="D217" s="776"/>
      <c r="E217" s="766"/>
      <c r="F217" s="776"/>
      <c r="AC217" s="766"/>
      <c r="AD217" s="779"/>
    </row>
    <row r="218" spans="1:30" ht="15.75" customHeight="1">
      <c r="A218" s="6"/>
      <c r="B218" s="6"/>
      <c r="C218" s="766"/>
      <c r="D218" s="776"/>
      <c r="E218" s="766"/>
      <c r="F218" s="776"/>
      <c r="AC218" s="766"/>
      <c r="AD218" s="779"/>
    </row>
    <row r="219" spans="1:30" ht="15.75" customHeight="1">
      <c r="A219" s="6"/>
      <c r="B219" s="6"/>
      <c r="C219" s="766"/>
      <c r="D219" s="776"/>
      <c r="E219" s="766"/>
      <c r="F219" s="776"/>
      <c r="AC219" s="766"/>
      <c r="AD219" s="779"/>
    </row>
    <row r="220" spans="1:30" ht="15.75" customHeight="1">
      <c r="A220" s="6"/>
      <c r="B220" s="6"/>
      <c r="C220" s="766"/>
      <c r="D220" s="776"/>
      <c r="E220" s="766"/>
      <c r="F220" s="776"/>
      <c r="AC220" s="766"/>
      <c r="AD220" s="779"/>
    </row>
    <row r="221" spans="1:30" ht="15.75" customHeight="1">
      <c r="A221" s="6"/>
      <c r="B221" s="6"/>
      <c r="C221" s="766"/>
      <c r="D221" s="776"/>
      <c r="E221" s="766"/>
      <c r="F221" s="776"/>
      <c r="AC221" s="766"/>
      <c r="AD221" s="779"/>
    </row>
    <row r="222" spans="1:30" ht="15.75" customHeight="1">
      <c r="A222" s="6"/>
      <c r="B222" s="6"/>
      <c r="C222" s="766"/>
      <c r="D222" s="776"/>
      <c r="E222" s="766"/>
      <c r="F222" s="776"/>
      <c r="AC222" s="766"/>
      <c r="AD222" s="779"/>
    </row>
    <row r="223" spans="1:30" ht="15.75" customHeight="1">
      <c r="A223" s="6"/>
      <c r="B223" s="6"/>
      <c r="C223" s="766"/>
      <c r="D223" s="776"/>
      <c r="E223" s="766"/>
      <c r="F223" s="776"/>
      <c r="AC223" s="766"/>
      <c r="AD223" s="779"/>
    </row>
    <row r="224" spans="1:30" ht="15.75" customHeight="1">
      <c r="A224" s="6"/>
      <c r="B224" s="6"/>
      <c r="C224" s="766"/>
      <c r="D224" s="776"/>
      <c r="E224" s="766"/>
      <c r="F224" s="776"/>
      <c r="AC224" s="766"/>
      <c r="AD224" s="779"/>
    </row>
    <row r="225" spans="1:30" ht="15.75" customHeight="1">
      <c r="A225" s="6"/>
      <c r="B225" s="6"/>
      <c r="C225" s="766"/>
      <c r="D225" s="776"/>
      <c r="E225" s="766"/>
      <c r="F225" s="776"/>
      <c r="AC225" s="766"/>
      <c r="AD225" s="779"/>
    </row>
    <row r="226" spans="1:30" ht="15.75" customHeight="1">
      <c r="A226" s="6"/>
      <c r="B226" s="6"/>
      <c r="C226" s="766"/>
      <c r="D226" s="776"/>
      <c r="E226" s="766"/>
      <c r="F226" s="776"/>
      <c r="AC226" s="766"/>
      <c r="AD226" s="779"/>
    </row>
    <row r="227" spans="1:30" ht="15.75" customHeight="1">
      <c r="A227" s="6"/>
      <c r="B227" s="6"/>
      <c r="C227" s="766"/>
      <c r="D227" s="776"/>
      <c r="E227" s="766"/>
      <c r="F227" s="776"/>
      <c r="AC227" s="766"/>
      <c r="AD227" s="779"/>
    </row>
    <row r="228" spans="1:30" ht="15.75" customHeight="1">
      <c r="A228" s="6"/>
      <c r="B228" s="6"/>
      <c r="C228" s="766"/>
      <c r="D228" s="776"/>
      <c r="E228" s="766"/>
      <c r="F228" s="776"/>
      <c r="AC228" s="766"/>
      <c r="AD228" s="779"/>
    </row>
    <row r="229" spans="1:30" ht="15.75" customHeight="1">
      <c r="A229" s="6"/>
      <c r="B229" s="6"/>
      <c r="C229" s="766"/>
      <c r="D229" s="776"/>
      <c r="E229" s="766"/>
      <c r="F229" s="776"/>
      <c r="AC229" s="766"/>
      <c r="AD229" s="779"/>
    </row>
    <row r="230" spans="1:30" ht="15.75" customHeight="1">
      <c r="A230" s="6"/>
      <c r="B230" s="6"/>
      <c r="C230" s="766"/>
      <c r="D230" s="776"/>
      <c r="E230" s="766"/>
      <c r="F230" s="776"/>
      <c r="AC230" s="766"/>
      <c r="AD230" s="779"/>
    </row>
    <row r="231" spans="1:30" ht="15.75" customHeight="1">
      <c r="A231" s="6"/>
      <c r="B231" s="6"/>
      <c r="C231" s="766"/>
      <c r="D231" s="776"/>
      <c r="E231" s="766"/>
      <c r="F231" s="776"/>
      <c r="AC231" s="766"/>
      <c r="AD231" s="779"/>
    </row>
    <row r="232" spans="1:30" ht="15.75" customHeight="1">
      <c r="A232" s="6"/>
      <c r="B232" s="6"/>
      <c r="C232" s="766"/>
      <c r="D232" s="776"/>
      <c r="E232" s="766"/>
      <c r="F232" s="776"/>
      <c r="AC232" s="766"/>
      <c r="AD232" s="779"/>
    </row>
    <row r="233" spans="1:30" ht="15.75" customHeight="1">
      <c r="A233" s="6"/>
      <c r="B233" s="6"/>
      <c r="C233" s="766"/>
      <c r="D233" s="776"/>
      <c r="E233" s="766"/>
      <c r="F233" s="776"/>
      <c r="AC233" s="766"/>
      <c r="AD233" s="779"/>
    </row>
    <row r="234" spans="1:30" ht="15.75" customHeight="1">
      <c r="A234" s="6"/>
      <c r="B234" s="6"/>
      <c r="C234" s="766"/>
      <c r="D234" s="776"/>
      <c r="E234" s="766"/>
      <c r="F234" s="776"/>
      <c r="AC234" s="766"/>
      <c r="AD234" s="779"/>
    </row>
    <row r="235" spans="1:30" ht="15.75" customHeight="1">
      <c r="A235" s="6"/>
      <c r="B235" s="6"/>
      <c r="C235" s="766"/>
      <c r="D235" s="776"/>
      <c r="E235" s="766"/>
      <c r="F235" s="776"/>
      <c r="AC235" s="766"/>
      <c r="AD235" s="779"/>
    </row>
    <row r="236" spans="1:30" ht="15.75" customHeight="1">
      <c r="A236" s="6"/>
      <c r="B236" s="6"/>
      <c r="C236" s="766"/>
      <c r="D236" s="776"/>
      <c r="E236" s="766"/>
      <c r="F236" s="776"/>
      <c r="AC236" s="766"/>
      <c r="AD236" s="779"/>
    </row>
    <row r="237" spans="1:30" ht="15.75" customHeight="1">
      <c r="A237" s="6"/>
      <c r="B237" s="6"/>
      <c r="C237" s="766"/>
      <c r="D237" s="776"/>
      <c r="E237" s="766"/>
      <c r="F237" s="776"/>
      <c r="AC237" s="766"/>
      <c r="AD237" s="779"/>
    </row>
    <row r="238" spans="1:30" ht="15.75" customHeight="1">
      <c r="A238" s="6"/>
      <c r="B238" s="6"/>
      <c r="C238" s="766"/>
      <c r="D238" s="776"/>
      <c r="E238" s="766"/>
      <c r="F238" s="776"/>
      <c r="AC238" s="766"/>
      <c r="AD238" s="779"/>
    </row>
    <row r="239" spans="1:30" ht="15.75" customHeight="1">
      <c r="A239" s="6"/>
      <c r="B239" s="6"/>
      <c r="C239" s="766"/>
      <c r="D239" s="776"/>
      <c r="E239" s="766"/>
      <c r="F239" s="776"/>
      <c r="AC239" s="766"/>
      <c r="AD239" s="779"/>
    </row>
    <row r="240" spans="1:30" ht="15.75" customHeight="1">
      <c r="A240" s="6"/>
      <c r="B240" s="6"/>
      <c r="C240" s="766"/>
      <c r="D240" s="776"/>
      <c r="E240" s="766"/>
      <c r="F240" s="776"/>
      <c r="AC240" s="766"/>
      <c r="AD240" s="779"/>
    </row>
    <row r="241" spans="1:30" ht="15.75" customHeight="1">
      <c r="A241" s="6"/>
      <c r="B241" s="6"/>
      <c r="C241" s="766"/>
      <c r="D241" s="776"/>
      <c r="E241" s="766"/>
      <c r="F241" s="776"/>
      <c r="AC241" s="766"/>
      <c r="AD241" s="779"/>
    </row>
    <row r="242" spans="1:30" ht="15.75" customHeight="1">
      <c r="A242" s="6"/>
      <c r="B242" s="6"/>
      <c r="C242" s="766"/>
      <c r="D242" s="776"/>
      <c r="E242" s="766"/>
      <c r="F242" s="776"/>
      <c r="AC242" s="766"/>
      <c r="AD242" s="779"/>
    </row>
    <row r="243" spans="1:30" ht="15.75" customHeight="1">
      <c r="A243" s="6"/>
      <c r="B243" s="6"/>
      <c r="C243" s="766"/>
      <c r="D243" s="776"/>
      <c r="E243" s="766"/>
      <c r="F243" s="776"/>
      <c r="AC243" s="766"/>
      <c r="AD243" s="779"/>
    </row>
    <row r="244" spans="1:30" ht="15.75" customHeight="1">
      <c r="A244" s="6"/>
      <c r="B244" s="6"/>
      <c r="C244" s="766"/>
      <c r="D244" s="776"/>
      <c r="E244" s="766"/>
      <c r="F244" s="776"/>
      <c r="AC244" s="766"/>
      <c r="AD244" s="779"/>
    </row>
    <row r="245" spans="1:30" ht="15.75" customHeight="1">
      <c r="A245" s="6"/>
      <c r="B245" s="6"/>
      <c r="C245" s="766"/>
      <c r="D245" s="776"/>
      <c r="E245" s="766"/>
      <c r="F245" s="776"/>
      <c r="AC245" s="766"/>
      <c r="AD245" s="779"/>
    </row>
    <row r="246" spans="1:30" ht="15.75" customHeight="1">
      <c r="A246" s="6"/>
      <c r="B246" s="6"/>
      <c r="C246" s="766"/>
      <c r="D246" s="776"/>
      <c r="E246" s="766"/>
      <c r="F246" s="776"/>
      <c r="AC246" s="766"/>
      <c r="AD246" s="779"/>
    </row>
    <row r="247" spans="1:30" ht="15.75" customHeight="1">
      <c r="A247" s="6"/>
      <c r="B247" s="6"/>
      <c r="C247" s="766"/>
      <c r="D247" s="776"/>
      <c r="E247" s="766"/>
      <c r="F247" s="776"/>
      <c r="AC247" s="766"/>
      <c r="AD247" s="779"/>
    </row>
    <row r="248" spans="1:30" ht="15.75" customHeight="1">
      <c r="A248" s="6"/>
      <c r="B248" s="6"/>
      <c r="C248" s="766"/>
      <c r="D248" s="776"/>
      <c r="E248" s="766"/>
      <c r="F248" s="776"/>
      <c r="AC248" s="766"/>
      <c r="AD248" s="779"/>
    </row>
    <row r="249" spans="1:30" ht="15.75" customHeight="1">
      <c r="A249" s="6"/>
      <c r="B249" s="6"/>
      <c r="C249" s="766"/>
      <c r="D249" s="776"/>
      <c r="E249" s="766"/>
      <c r="F249" s="776"/>
      <c r="AC249" s="766"/>
      <c r="AD249" s="779"/>
    </row>
    <row r="250" spans="1:30" ht="15.75" customHeight="1">
      <c r="A250" s="6"/>
      <c r="B250" s="6"/>
      <c r="C250" s="766"/>
      <c r="D250" s="776"/>
      <c r="E250" s="766"/>
      <c r="F250" s="776"/>
      <c r="AC250" s="766"/>
      <c r="AD250" s="779"/>
    </row>
    <row r="251" spans="1:30" ht="15.75" customHeight="1">
      <c r="A251" s="6"/>
      <c r="B251" s="6"/>
      <c r="C251" s="766"/>
      <c r="D251" s="776"/>
      <c r="E251" s="766"/>
      <c r="F251" s="776"/>
      <c r="AC251" s="766"/>
      <c r="AD251" s="779"/>
    </row>
    <row r="252" spans="1:30" ht="15.75" customHeight="1">
      <c r="A252" s="6"/>
      <c r="B252" s="6"/>
      <c r="C252" s="766"/>
      <c r="D252" s="776"/>
      <c r="E252" s="766"/>
      <c r="F252" s="776"/>
      <c r="AC252" s="766"/>
      <c r="AD252" s="779"/>
    </row>
    <row r="253" spans="1:30" ht="15.75" customHeight="1">
      <c r="A253" s="6"/>
      <c r="B253" s="6"/>
      <c r="C253" s="766"/>
      <c r="D253" s="776"/>
      <c r="E253" s="766"/>
      <c r="F253" s="776"/>
      <c r="AC253" s="766"/>
      <c r="AD253" s="779"/>
    </row>
    <row r="254" spans="1:30" ht="15.75" customHeight="1">
      <c r="A254" s="6"/>
      <c r="B254" s="6"/>
      <c r="C254" s="766"/>
      <c r="D254" s="776"/>
      <c r="E254" s="766"/>
      <c r="F254" s="776"/>
      <c r="AC254" s="766"/>
      <c r="AD254" s="779"/>
    </row>
    <row r="255" spans="1:30" ht="15.75" customHeight="1">
      <c r="A255" s="6"/>
      <c r="B255" s="6"/>
      <c r="C255" s="766"/>
      <c r="D255" s="776"/>
      <c r="E255" s="766"/>
      <c r="F255" s="776"/>
      <c r="AC255" s="766"/>
      <c r="AD255" s="779"/>
    </row>
    <row r="256" spans="1:30" ht="15.75" customHeight="1">
      <c r="A256" s="6"/>
      <c r="B256" s="6"/>
      <c r="C256" s="766"/>
      <c r="D256" s="776"/>
      <c r="E256" s="766"/>
      <c r="F256" s="776"/>
      <c r="AC256" s="766"/>
      <c r="AD256" s="779"/>
    </row>
    <row r="257" spans="1:30" ht="15.75" customHeight="1">
      <c r="A257" s="6"/>
      <c r="B257" s="6"/>
      <c r="C257" s="766"/>
      <c r="D257" s="776"/>
      <c r="E257" s="766"/>
      <c r="F257" s="776"/>
      <c r="AC257" s="766"/>
      <c r="AD257" s="779"/>
    </row>
    <row r="258" spans="1:30" ht="15.75" customHeight="1">
      <c r="A258" s="6"/>
      <c r="B258" s="6"/>
      <c r="C258" s="766"/>
      <c r="D258" s="776"/>
      <c r="E258" s="766"/>
      <c r="F258" s="776"/>
      <c r="AC258" s="766"/>
      <c r="AD258" s="779"/>
    </row>
    <row r="259" spans="1:30" ht="15.75" customHeight="1">
      <c r="A259" s="6"/>
      <c r="B259" s="6"/>
      <c r="C259" s="766"/>
      <c r="D259" s="776"/>
      <c r="E259" s="766"/>
      <c r="F259" s="776"/>
      <c r="AC259" s="766"/>
      <c r="AD259" s="779"/>
    </row>
    <row r="260" spans="1:30" ht="15.75" customHeight="1">
      <c r="A260" s="6"/>
      <c r="B260" s="6"/>
      <c r="C260" s="766"/>
      <c r="D260" s="776"/>
      <c r="E260" s="766"/>
      <c r="F260" s="776"/>
      <c r="AC260" s="766"/>
      <c r="AD260" s="779"/>
    </row>
    <row r="261" spans="1:30" ht="15.75" customHeight="1">
      <c r="A261" s="6"/>
      <c r="B261" s="6"/>
      <c r="C261" s="766"/>
      <c r="D261" s="776"/>
      <c r="E261" s="766"/>
      <c r="F261" s="776"/>
      <c r="AC261" s="766"/>
      <c r="AD261" s="779"/>
    </row>
    <row r="262" spans="1:30" ht="15.75" customHeight="1">
      <c r="A262" s="6"/>
      <c r="B262" s="6"/>
      <c r="C262" s="766"/>
      <c r="D262" s="776"/>
      <c r="E262" s="766"/>
      <c r="F262" s="776"/>
      <c r="AC262" s="766"/>
      <c r="AD262" s="779"/>
    </row>
    <row r="263" spans="1:30" ht="15.75" customHeight="1">
      <c r="A263" s="6"/>
      <c r="B263" s="6"/>
      <c r="C263" s="766"/>
      <c r="D263" s="776"/>
      <c r="E263" s="766"/>
      <c r="F263" s="776"/>
      <c r="AC263" s="766"/>
      <c r="AD263" s="779"/>
    </row>
    <row r="264" spans="1:30" ht="15.75" customHeight="1">
      <c r="A264" s="6"/>
      <c r="B264" s="6"/>
      <c r="C264" s="766"/>
      <c r="D264" s="776"/>
      <c r="E264" s="766"/>
      <c r="F264" s="776"/>
      <c r="AC264" s="766"/>
      <c r="AD264" s="779"/>
    </row>
    <row r="265" spans="1:30" ht="15.75" customHeight="1">
      <c r="A265" s="6"/>
      <c r="B265" s="6"/>
      <c r="C265" s="766"/>
      <c r="D265" s="776"/>
      <c r="E265" s="766"/>
      <c r="F265" s="776"/>
      <c r="AC265" s="766"/>
      <c r="AD265" s="779"/>
    </row>
    <row r="266" spans="1:30" ht="15.75" customHeight="1">
      <c r="A266" s="6"/>
      <c r="B266" s="6"/>
      <c r="C266" s="766"/>
      <c r="D266" s="776"/>
      <c r="E266" s="766"/>
      <c r="F266" s="776"/>
      <c r="AC266" s="766"/>
      <c r="AD266" s="779"/>
    </row>
    <row r="267" spans="1:30" ht="15.75" customHeight="1">
      <c r="A267" s="6"/>
      <c r="B267" s="6"/>
      <c r="C267" s="766"/>
      <c r="D267" s="776"/>
      <c r="E267" s="766"/>
      <c r="F267" s="776"/>
      <c r="AC267" s="766"/>
      <c r="AD267" s="779"/>
    </row>
    <row r="268" spans="1:30" ht="15.75" customHeight="1">
      <c r="A268" s="6"/>
      <c r="B268" s="6"/>
      <c r="C268" s="766"/>
      <c r="D268" s="776"/>
      <c r="E268" s="766"/>
      <c r="F268" s="776"/>
      <c r="AC268" s="766"/>
      <c r="AD268" s="779"/>
    </row>
    <row r="269" spans="1:30" ht="15.75" customHeight="1">
      <c r="A269" s="6"/>
      <c r="B269" s="6"/>
      <c r="C269" s="766"/>
      <c r="D269" s="776"/>
      <c r="E269" s="766"/>
      <c r="F269" s="776"/>
      <c r="AC269" s="766"/>
      <c r="AD269" s="779"/>
    </row>
    <row r="270" spans="1:30" ht="15.75" customHeight="1">
      <c r="A270" s="6"/>
      <c r="B270" s="6"/>
      <c r="C270" s="766"/>
      <c r="D270" s="776"/>
      <c r="E270" s="766"/>
      <c r="F270" s="776"/>
      <c r="AC270" s="766"/>
      <c r="AD270" s="779"/>
    </row>
    <row r="271" spans="1:30" ht="15.75" customHeight="1">
      <c r="A271" s="6"/>
      <c r="B271" s="6"/>
      <c r="C271" s="766"/>
      <c r="D271" s="776"/>
      <c r="E271" s="766"/>
      <c r="F271" s="776"/>
      <c r="AC271" s="766"/>
      <c r="AD271" s="779"/>
    </row>
    <row r="272" spans="1:30" ht="15.75" customHeight="1">
      <c r="A272" s="6"/>
      <c r="B272" s="6"/>
      <c r="C272" s="766"/>
      <c r="D272" s="776"/>
      <c r="E272" s="766"/>
      <c r="F272" s="776"/>
      <c r="AC272" s="766"/>
      <c r="AD272" s="779"/>
    </row>
    <row r="273" spans="1:30" ht="15.75" customHeight="1">
      <c r="A273" s="6"/>
      <c r="B273" s="6"/>
      <c r="C273" s="766"/>
      <c r="D273" s="776"/>
      <c r="E273" s="766"/>
      <c r="F273" s="776"/>
      <c r="AC273" s="766"/>
      <c r="AD273" s="779"/>
    </row>
    <row r="274" spans="1:30" ht="15.75" customHeight="1">
      <c r="A274" s="6"/>
      <c r="B274" s="6"/>
      <c r="C274" s="766"/>
      <c r="D274" s="776"/>
      <c r="E274" s="766"/>
      <c r="F274" s="776"/>
      <c r="AC274" s="766"/>
      <c r="AD274" s="779"/>
    </row>
    <row r="275" spans="1:30" ht="15.75" customHeight="1">
      <c r="A275" s="6"/>
      <c r="B275" s="6"/>
      <c r="C275" s="766"/>
      <c r="D275" s="776"/>
      <c r="E275" s="766"/>
      <c r="F275" s="776"/>
      <c r="AC275" s="766"/>
      <c r="AD275" s="779"/>
    </row>
    <row r="276" spans="1:30" ht="15.75" customHeight="1">
      <c r="A276" s="6"/>
      <c r="B276" s="6"/>
      <c r="C276" s="766"/>
      <c r="D276" s="776"/>
      <c r="E276" s="766"/>
      <c r="F276" s="776"/>
      <c r="AC276" s="766"/>
      <c r="AD276" s="779"/>
    </row>
    <row r="277" spans="1:30" ht="15.75" customHeight="1">
      <c r="A277" s="6"/>
      <c r="B277" s="6"/>
      <c r="C277" s="766"/>
      <c r="D277" s="776"/>
      <c r="E277" s="766"/>
      <c r="F277" s="776"/>
      <c r="AC277" s="766"/>
      <c r="AD277" s="779"/>
    </row>
    <row r="278" spans="1:30" ht="15.75" customHeight="1">
      <c r="A278" s="6"/>
      <c r="B278" s="6"/>
      <c r="C278" s="766"/>
      <c r="D278" s="776"/>
      <c r="E278" s="766"/>
      <c r="F278" s="776"/>
      <c r="AC278" s="766"/>
      <c r="AD278" s="779"/>
    </row>
    <row r="279" spans="1:30" ht="15.75" customHeight="1">
      <c r="A279" s="6"/>
      <c r="B279" s="6"/>
      <c r="C279" s="766"/>
      <c r="D279" s="776"/>
      <c r="E279" s="766"/>
      <c r="F279" s="776"/>
      <c r="AC279" s="766"/>
      <c r="AD279" s="779"/>
    </row>
    <row r="280" spans="1:30" ht="15.75" customHeight="1">
      <c r="A280" s="6"/>
      <c r="B280" s="6"/>
      <c r="C280" s="766"/>
      <c r="D280" s="776"/>
      <c r="E280" s="766"/>
      <c r="F280" s="776"/>
      <c r="AC280" s="766"/>
      <c r="AD280" s="779"/>
    </row>
    <row r="281" spans="1:30" ht="15.75" customHeight="1">
      <c r="A281" s="6"/>
      <c r="B281" s="6"/>
      <c r="C281" s="766"/>
      <c r="D281" s="776"/>
      <c r="E281" s="766"/>
      <c r="F281" s="776"/>
      <c r="AC281" s="766"/>
      <c r="AD281" s="779"/>
    </row>
    <row r="282" spans="1:30" ht="15.75" customHeight="1">
      <c r="A282" s="6"/>
      <c r="B282" s="6"/>
      <c r="C282" s="766"/>
      <c r="D282" s="776"/>
      <c r="E282" s="766"/>
      <c r="F282" s="776"/>
      <c r="AC282" s="766"/>
      <c r="AD282" s="779"/>
    </row>
    <row r="283" spans="1:30" ht="15.75" customHeight="1">
      <c r="A283" s="6"/>
      <c r="B283" s="6"/>
      <c r="C283" s="766"/>
      <c r="D283" s="776"/>
      <c r="E283" s="766"/>
      <c r="F283" s="776"/>
      <c r="AC283" s="766"/>
      <c r="AD283" s="779"/>
    </row>
    <row r="284" spans="1:30" ht="15.75" customHeight="1">
      <c r="A284" s="6"/>
      <c r="B284" s="6"/>
      <c r="C284" s="766"/>
      <c r="D284" s="776"/>
      <c r="E284" s="766"/>
      <c r="F284" s="776"/>
      <c r="AC284" s="766"/>
      <c r="AD284" s="779"/>
    </row>
    <row r="285" spans="1:30" ht="15.75" customHeight="1">
      <c r="A285" s="6"/>
      <c r="B285" s="6"/>
      <c r="C285" s="766"/>
      <c r="D285" s="776"/>
      <c r="E285" s="766"/>
      <c r="F285" s="776"/>
      <c r="AC285" s="766"/>
      <c r="AD285" s="779"/>
    </row>
    <row r="286" spans="1:30" ht="15.75" customHeight="1">
      <c r="A286" s="6"/>
      <c r="B286" s="6"/>
      <c r="C286" s="766"/>
      <c r="D286" s="776"/>
      <c r="E286" s="766"/>
      <c r="F286" s="776"/>
      <c r="AC286" s="766"/>
      <c r="AD286" s="779"/>
    </row>
    <row r="287" spans="1:30" ht="15.75" customHeight="1">
      <c r="A287" s="6"/>
      <c r="B287" s="6"/>
      <c r="C287" s="766"/>
      <c r="D287" s="776"/>
      <c r="E287" s="766"/>
      <c r="F287" s="776"/>
      <c r="AC287" s="766"/>
      <c r="AD287" s="779"/>
    </row>
    <row r="288" spans="1:30" ht="15.75" customHeight="1">
      <c r="A288" s="6"/>
      <c r="B288" s="6"/>
      <c r="C288" s="766"/>
      <c r="D288" s="776"/>
      <c r="E288" s="766"/>
      <c r="F288" s="776"/>
      <c r="AC288" s="766"/>
      <c r="AD288" s="779"/>
    </row>
    <row r="289" spans="1:30" ht="15.75" customHeight="1">
      <c r="A289" s="6"/>
      <c r="B289" s="6"/>
      <c r="C289" s="766"/>
      <c r="D289" s="776"/>
      <c r="E289" s="766"/>
      <c r="F289" s="776"/>
      <c r="AC289" s="766"/>
      <c r="AD289" s="779"/>
    </row>
    <row r="290" spans="1:30" ht="15.75" customHeight="1">
      <c r="A290" s="6"/>
      <c r="B290" s="6"/>
      <c r="C290" s="766"/>
      <c r="D290" s="776"/>
      <c r="E290" s="766"/>
      <c r="F290" s="776"/>
      <c r="AC290" s="766"/>
      <c r="AD290" s="779"/>
    </row>
    <row r="291" spans="1:30" ht="15.75" customHeight="1">
      <c r="A291" s="6"/>
      <c r="B291" s="6"/>
      <c r="C291" s="766"/>
      <c r="D291" s="776"/>
      <c r="E291" s="766"/>
      <c r="F291" s="776"/>
      <c r="AC291" s="766"/>
      <c r="AD291" s="779"/>
    </row>
    <row r="292" spans="1:30" ht="15.75" customHeight="1">
      <c r="A292" s="6"/>
      <c r="B292" s="6"/>
      <c r="C292" s="766"/>
      <c r="D292" s="776"/>
      <c r="E292" s="766"/>
      <c r="F292" s="776"/>
      <c r="AC292" s="766"/>
      <c r="AD292" s="779"/>
    </row>
    <row r="293" spans="1:30" ht="15.75" customHeight="1">
      <c r="A293" s="6"/>
      <c r="B293" s="6"/>
      <c r="C293" s="766"/>
      <c r="D293" s="776"/>
      <c r="E293" s="766"/>
      <c r="F293" s="776"/>
      <c r="AC293" s="766"/>
      <c r="AD293" s="779"/>
    </row>
    <row r="294" spans="1:30" ht="15.75" customHeight="1">
      <c r="A294" s="6"/>
      <c r="B294" s="6"/>
      <c r="C294" s="766"/>
      <c r="D294" s="776"/>
      <c r="E294" s="766"/>
      <c r="F294" s="776"/>
      <c r="AC294" s="766"/>
      <c r="AD294" s="779"/>
    </row>
    <row r="295" spans="1:30" ht="15.75" customHeight="1">
      <c r="A295" s="6"/>
      <c r="B295" s="6"/>
      <c r="C295" s="766"/>
      <c r="D295" s="776"/>
      <c r="E295" s="766"/>
      <c r="F295" s="776"/>
      <c r="AC295" s="766"/>
      <c r="AD295" s="779"/>
    </row>
    <row r="296" spans="1:30" ht="15.75" customHeight="1">
      <c r="A296" s="6"/>
      <c r="B296" s="6"/>
      <c r="C296" s="766"/>
      <c r="D296" s="776"/>
      <c r="E296" s="766"/>
      <c r="F296" s="776"/>
      <c r="AC296" s="766"/>
      <c r="AD296" s="779"/>
    </row>
    <row r="297" spans="1:30" ht="15.75" customHeight="1">
      <c r="A297" s="6"/>
      <c r="B297" s="6"/>
      <c r="C297" s="766"/>
      <c r="D297" s="776"/>
      <c r="E297" s="766"/>
      <c r="F297" s="776"/>
      <c r="AC297" s="766"/>
      <c r="AD297" s="779"/>
    </row>
    <row r="298" spans="1:30" ht="15.75" customHeight="1">
      <c r="A298" s="6"/>
      <c r="B298" s="6"/>
      <c r="C298" s="766"/>
      <c r="D298" s="776"/>
      <c r="E298" s="766"/>
      <c r="F298" s="776"/>
      <c r="AC298" s="766"/>
      <c r="AD298" s="779"/>
    </row>
    <row r="299" spans="1:30" ht="15.75" customHeight="1">
      <c r="A299" s="6"/>
      <c r="B299" s="6"/>
      <c r="C299" s="766"/>
      <c r="D299" s="776"/>
      <c r="E299" s="766"/>
      <c r="F299" s="776"/>
      <c r="AC299" s="766"/>
      <c r="AD299" s="779"/>
    </row>
    <row r="300" spans="1:30" ht="15.75" customHeight="1">
      <c r="A300" s="6"/>
      <c r="B300" s="6"/>
      <c r="C300" s="766"/>
      <c r="D300" s="776"/>
      <c r="E300" s="766"/>
      <c r="F300" s="776"/>
      <c r="AC300" s="766"/>
      <c r="AD300" s="779"/>
    </row>
    <row r="301" spans="1:30" ht="15.75" customHeight="1">
      <c r="A301" s="6"/>
      <c r="B301" s="6"/>
      <c r="C301" s="766"/>
      <c r="D301" s="776"/>
      <c r="E301" s="766"/>
      <c r="F301" s="776"/>
      <c r="AC301" s="766"/>
      <c r="AD301" s="779"/>
    </row>
    <row r="302" spans="1:30" ht="15.75" customHeight="1">
      <c r="A302" s="6"/>
      <c r="B302" s="6"/>
      <c r="C302" s="766"/>
      <c r="D302" s="776"/>
      <c r="E302" s="766"/>
      <c r="F302" s="776"/>
      <c r="AC302" s="766"/>
      <c r="AD302" s="779"/>
    </row>
    <row r="303" spans="1:30" ht="15.75" customHeight="1">
      <c r="A303" s="6"/>
      <c r="B303" s="6"/>
      <c r="C303" s="766"/>
      <c r="D303" s="776"/>
      <c r="E303" s="766"/>
      <c r="F303" s="776"/>
      <c r="AC303" s="766"/>
      <c r="AD303" s="779"/>
    </row>
    <row r="304" spans="1:30" ht="15.75" customHeight="1">
      <c r="A304" s="6"/>
      <c r="B304" s="6"/>
      <c r="C304" s="766"/>
      <c r="D304" s="776"/>
      <c r="E304" s="766"/>
      <c r="F304" s="776"/>
      <c r="AC304" s="766"/>
      <c r="AD304" s="779"/>
    </row>
    <row r="305" spans="1:30" ht="15.75" customHeight="1">
      <c r="A305" s="6"/>
      <c r="B305" s="6"/>
      <c r="C305" s="766"/>
      <c r="D305" s="776"/>
      <c r="E305" s="766"/>
      <c r="F305" s="776"/>
      <c r="AC305" s="766"/>
      <c r="AD305" s="779"/>
    </row>
    <row r="306" spans="1:30" ht="15.75" customHeight="1">
      <c r="A306" s="6"/>
      <c r="B306" s="6"/>
      <c r="C306" s="766"/>
      <c r="D306" s="776"/>
      <c r="E306" s="766"/>
      <c r="F306" s="776"/>
      <c r="AC306" s="766"/>
      <c r="AD306" s="779"/>
    </row>
    <row r="307" spans="1:30" ht="15.75" customHeight="1">
      <c r="A307" s="6"/>
      <c r="B307" s="6"/>
      <c r="C307" s="766"/>
      <c r="D307" s="776"/>
      <c r="E307" s="766"/>
      <c r="F307" s="776"/>
      <c r="AC307" s="766"/>
      <c r="AD307" s="779"/>
    </row>
    <row r="308" spans="1:30" ht="15.75" customHeight="1">
      <c r="A308" s="6"/>
      <c r="B308" s="6"/>
      <c r="C308" s="766"/>
      <c r="D308" s="776"/>
      <c r="E308" s="766"/>
      <c r="F308" s="776"/>
      <c r="AC308" s="766"/>
      <c r="AD308" s="779"/>
    </row>
    <row r="309" spans="1:30" ht="15.75" customHeight="1">
      <c r="A309" s="6"/>
      <c r="B309" s="6"/>
      <c r="C309" s="766"/>
      <c r="D309" s="776"/>
      <c r="E309" s="766"/>
      <c r="F309" s="776"/>
      <c r="AC309" s="766"/>
      <c r="AD309" s="779"/>
    </row>
    <row r="310" spans="1:30" ht="15.75" customHeight="1">
      <c r="A310" s="6"/>
      <c r="B310" s="6"/>
      <c r="C310" s="766"/>
      <c r="D310" s="776"/>
      <c r="E310" s="766"/>
      <c r="F310" s="776"/>
      <c r="AC310" s="766"/>
      <c r="AD310" s="779"/>
    </row>
    <row r="311" spans="1:30" ht="15.75" customHeight="1">
      <c r="A311" s="6"/>
      <c r="B311" s="6"/>
      <c r="C311" s="766"/>
      <c r="D311" s="776"/>
      <c r="E311" s="766"/>
      <c r="F311" s="776"/>
      <c r="AC311" s="766"/>
      <c r="AD311" s="779"/>
    </row>
    <row r="312" spans="1:30" ht="15.75" customHeight="1">
      <c r="A312" s="6"/>
      <c r="B312" s="6"/>
      <c r="C312" s="766"/>
      <c r="D312" s="776"/>
      <c r="E312" s="766"/>
      <c r="F312" s="776"/>
      <c r="AC312" s="766"/>
      <c r="AD312" s="779"/>
    </row>
    <row r="313" spans="1:30" ht="15.75" customHeight="1">
      <c r="A313" s="6"/>
      <c r="B313" s="6"/>
      <c r="C313" s="766"/>
      <c r="D313" s="776"/>
      <c r="E313" s="766"/>
      <c r="F313" s="776"/>
      <c r="AC313" s="766"/>
      <c r="AD313" s="779"/>
    </row>
    <row r="314" spans="1:30" ht="15.75" customHeight="1">
      <c r="A314" s="6"/>
      <c r="B314" s="6"/>
      <c r="C314" s="766"/>
      <c r="D314" s="776"/>
      <c r="E314" s="766"/>
      <c r="F314" s="776"/>
      <c r="AC314" s="766"/>
      <c r="AD314" s="779"/>
    </row>
    <row r="315" spans="1:30" ht="15.75" customHeight="1">
      <c r="A315" s="6"/>
      <c r="B315" s="6"/>
      <c r="C315" s="766"/>
      <c r="D315" s="776"/>
      <c r="E315" s="766"/>
      <c r="F315" s="776"/>
      <c r="AC315" s="766"/>
      <c r="AD315" s="779"/>
    </row>
    <row r="316" spans="1:30" ht="15.75" customHeight="1">
      <c r="A316" s="6"/>
      <c r="B316" s="6"/>
      <c r="C316" s="766"/>
      <c r="D316" s="776"/>
      <c r="E316" s="766"/>
      <c r="F316" s="776"/>
      <c r="AC316" s="766"/>
      <c r="AD316" s="779"/>
    </row>
    <row r="317" spans="1:30" ht="15.75" customHeight="1">
      <c r="A317" s="6"/>
      <c r="B317" s="6"/>
      <c r="C317" s="766"/>
      <c r="D317" s="776"/>
      <c r="E317" s="766"/>
      <c r="F317" s="776"/>
      <c r="AC317" s="766"/>
      <c r="AD317" s="779"/>
    </row>
    <row r="318" spans="1:30" ht="15.75" customHeight="1">
      <c r="A318" s="6"/>
      <c r="B318" s="6"/>
      <c r="C318" s="766"/>
      <c r="D318" s="776"/>
      <c r="E318" s="766"/>
      <c r="F318" s="776"/>
      <c r="AC318" s="766"/>
      <c r="AD318" s="779"/>
    </row>
    <row r="319" spans="1:30" ht="15.75" customHeight="1">
      <c r="A319" s="6"/>
      <c r="B319" s="6"/>
      <c r="C319" s="766"/>
      <c r="D319" s="776"/>
      <c r="E319" s="766"/>
      <c r="F319" s="776"/>
      <c r="AC319" s="766"/>
      <c r="AD319" s="779"/>
    </row>
    <row r="320" spans="1:30" ht="15.75" customHeight="1">
      <c r="A320" s="6"/>
      <c r="B320" s="6"/>
      <c r="C320" s="766"/>
      <c r="D320" s="776"/>
      <c r="E320" s="766"/>
      <c r="F320" s="776"/>
      <c r="AC320" s="766"/>
      <c r="AD320" s="779"/>
    </row>
    <row r="321" spans="1:30" ht="15.75" customHeight="1">
      <c r="A321" s="6"/>
      <c r="B321" s="6"/>
      <c r="C321" s="766"/>
      <c r="D321" s="776"/>
      <c r="E321" s="766"/>
      <c r="F321" s="776"/>
      <c r="AC321" s="766"/>
      <c r="AD321" s="779"/>
    </row>
    <row r="322" spans="1:30" ht="15.75" customHeight="1">
      <c r="A322" s="6"/>
      <c r="B322" s="6"/>
      <c r="C322" s="766"/>
      <c r="D322" s="776"/>
      <c r="E322" s="766"/>
      <c r="F322" s="776"/>
      <c r="AC322" s="766"/>
      <c r="AD322" s="779"/>
    </row>
    <row r="323" spans="1:30" ht="15.75" customHeight="1">
      <c r="A323" s="6"/>
      <c r="B323" s="6"/>
      <c r="C323" s="766"/>
      <c r="D323" s="776"/>
      <c r="E323" s="766"/>
      <c r="F323" s="776"/>
      <c r="AC323" s="766"/>
      <c r="AD323" s="779"/>
    </row>
    <row r="324" spans="1:30" ht="15.75" customHeight="1">
      <c r="A324" s="6"/>
      <c r="B324" s="6"/>
      <c r="C324" s="766"/>
      <c r="D324" s="776"/>
      <c r="E324" s="766"/>
      <c r="F324" s="776"/>
      <c r="AC324" s="766"/>
      <c r="AD324" s="779"/>
    </row>
    <row r="325" spans="1:30" ht="15.75" customHeight="1">
      <c r="A325" s="6"/>
      <c r="B325" s="6"/>
      <c r="C325" s="766"/>
      <c r="D325" s="776"/>
      <c r="E325" s="766"/>
      <c r="F325" s="776"/>
      <c r="AC325" s="766"/>
      <c r="AD325" s="779"/>
    </row>
    <row r="326" spans="1:30" ht="15.75" customHeight="1">
      <c r="A326" s="6"/>
      <c r="B326" s="6"/>
      <c r="C326" s="766"/>
      <c r="D326" s="776"/>
      <c r="E326" s="766"/>
      <c r="F326" s="776"/>
      <c r="AC326" s="766"/>
      <c r="AD326" s="779"/>
    </row>
    <row r="327" spans="1:30" ht="15.75" customHeight="1">
      <c r="A327" s="6"/>
      <c r="B327" s="6"/>
      <c r="C327" s="766"/>
      <c r="D327" s="776"/>
      <c r="E327" s="766"/>
      <c r="F327" s="776"/>
      <c r="AC327" s="766"/>
      <c r="AD327" s="779"/>
    </row>
    <row r="328" spans="1:30" ht="15.75" customHeight="1">
      <c r="A328" s="6"/>
      <c r="B328" s="6"/>
      <c r="C328" s="766"/>
      <c r="D328" s="776"/>
      <c r="E328" s="766"/>
      <c r="F328" s="776"/>
      <c r="AC328" s="766"/>
      <c r="AD328" s="779"/>
    </row>
    <row r="329" spans="1:30" ht="15.75" customHeight="1">
      <c r="A329" s="6"/>
      <c r="B329" s="6"/>
      <c r="C329" s="766"/>
      <c r="D329" s="776"/>
      <c r="E329" s="766"/>
      <c r="F329" s="776"/>
      <c r="AC329" s="766"/>
      <c r="AD329" s="779"/>
    </row>
    <row r="330" spans="1:30" ht="15.75" customHeight="1">
      <c r="A330" s="6"/>
      <c r="B330" s="6"/>
      <c r="C330" s="766"/>
      <c r="D330" s="776"/>
      <c r="E330" s="766"/>
      <c r="F330" s="776"/>
      <c r="AC330" s="766"/>
      <c r="AD330" s="779"/>
    </row>
    <row r="331" spans="1:30" ht="15.75" customHeight="1">
      <c r="A331" s="6"/>
      <c r="B331" s="6"/>
      <c r="C331" s="766"/>
      <c r="D331" s="776"/>
      <c r="E331" s="766"/>
      <c r="F331" s="776"/>
      <c r="AC331" s="766"/>
      <c r="AD331" s="779"/>
    </row>
    <row r="332" spans="1:30" ht="15.75" customHeight="1">
      <c r="A332" s="6"/>
      <c r="B332" s="6"/>
      <c r="C332" s="766"/>
      <c r="D332" s="776"/>
      <c r="E332" s="766"/>
      <c r="F332" s="776"/>
      <c r="AC332" s="766"/>
      <c r="AD332" s="779"/>
    </row>
    <row r="333" spans="1:30" ht="15.75" customHeight="1">
      <c r="A333" s="6"/>
      <c r="B333" s="6"/>
      <c r="C333" s="766"/>
      <c r="D333" s="776"/>
      <c r="E333" s="766"/>
      <c r="F333" s="776"/>
      <c r="AC333" s="766"/>
      <c r="AD333" s="779"/>
    </row>
    <row r="334" spans="1:30" ht="15.75" customHeight="1">
      <c r="A334" s="6"/>
      <c r="B334" s="6"/>
      <c r="C334" s="766"/>
      <c r="D334" s="776"/>
      <c r="E334" s="766"/>
      <c r="F334" s="776"/>
      <c r="AC334" s="766"/>
      <c r="AD334" s="779"/>
    </row>
    <row r="335" spans="1:30" ht="15.75" customHeight="1">
      <c r="A335" s="6"/>
      <c r="B335" s="6"/>
      <c r="C335" s="766"/>
      <c r="D335" s="776"/>
      <c r="E335" s="766"/>
      <c r="F335" s="776"/>
      <c r="AC335" s="766"/>
      <c r="AD335" s="779"/>
    </row>
    <row r="336" spans="1:30" ht="15.75" customHeight="1">
      <c r="A336" s="6"/>
      <c r="B336" s="6"/>
      <c r="C336" s="766"/>
      <c r="D336" s="776"/>
      <c r="E336" s="766"/>
      <c r="F336" s="776"/>
      <c r="AC336" s="766"/>
      <c r="AD336" s="779"/>
    </row>
    <row r="337" spans="1:30" ht="15.75" customHeight="1">
      <c r="A337" s="6"/>
      <c r="B337" s="6"/>
      <c r="C337" s="766"/>
      <c r="D337" s="776"/>
      <c r="E337" s="766"/>
      <c r="F337" s="776"/>
      <c r="AC337" s="766"/>
      <c r="AD337" s="779"/>
    </row>
    <row r="338" spans="1:30" ht="15.75" customHeight="1">
      <c r="A338" s="6"/>
      <c r="B338" s="6"/>
      <c r="C338" s="766"/>
      <c r="D338" s="776"/>
      <c r="E338" s="766"/>
      <c r="F338" s="776"/>
      <c r="AC338" s="766"/>
      <c r="AD338" s="779"/>
    </row>
    <row r="339" spans="1:30" ht="15.75" customHeight="1">
      <c r="A339" s="6"/>
      <c r="B339" s="6"/>
      <c r="C339" s="766"/>
      <c r="D339" s="776"/>
      <c r="E339" s="766"/>
      <c r="F339" s="776"/>
      <c r="AC339" s="766"/>
      <c r="AD339" s="779"/>
    </row>
    <row r="340" spans="1:30" ht="15.75" customHeight="1">
      <c r="A340" s="6"/>
      <c r="B340" s="6"/>
      <c r="C340" s="766"/>
      <c r="D340" s="776"/>
      <c r="E340" s="766"/>
      <c r="F340" s="776"/>
      <c r="AC340" s="766"/>
      <c r="AD340" s="779"/>
    </row>
    <row r="341" spans="1:30" ht="15.75" customHeight="1">
      <c r="A341" s="6"/>
      <c r="B341" s="6"/>
      <c r="C341" s="766"/>
      <c r="D341" s="776"/>
      <c r="E341" s="766"/>
      <c r="F341" s="776"/>
      <c r="AC341" s="766"/>
      <c r="AD341" s="779"/>
    </row>
    <row r="342" spans="1:30" ht="15.75" customHeight="1">
      <c r="A342" s="6"/>
      <c r="B342" s="6"/>
      <c r="C342" s="766"/>
      <c r="D342" s="776"/>
      <c r="E342" s="766"/>
      <c r="F342" s="776"/>
      <c r="AC342" s="766"/>
      <c r="AD342" s="779"/>
    </row>
    <row r="343" spans="1:30" ht="15.75" customHeight="1">
      <c r="A343" s="6"/>
      <c r="B343" s="6"/>
      <c r="C343" s="766"/>
      <c r="D343" s="776"/>
      <c r="E343" s="766"/>
      <c r="F343" s="776"/>
      <c r="AC343" s="766"/>
      <c r="AD343" s="779"/>
    </row>
    <row r="344" spans="1:30" ht="15.75" customHeight="1">
      <c r="A344" s="6"/>
      <c r="B344" s="6"/>
      <c r="C344" s="766"/>
      <c r="D344" s="776"/>
      <c r="E344" s="766"/>
      <c r="F344" s="776"/>
      <c r="AC344" s="766"/>
      <c r="AD344" s="779"/>
    </row>
    <row r="345" spans="1:30" ht="15.75" customHeight="1">
      <c r="A345" s="6"/>
      <c r="B345" s="6"/>
      <c r="C345" s="766"/>
      <c r="D345" s="776"/>
      <c r="E345" s="766"/>
      <c r="F345" s="776"/>
      <c r="AC345" s="766"/>
      <c r="AD345" s="779"/>
    </row>
    <row r="346" spans="1:30" ht="15.75" customHeight="1">
      <c r="A346" s="6"/>
      <c r="B346" s="6"/>
      <c r="C346" s="766"/>
      <c r="D346" s="776"/>
      <c r="E346" s="766"/>
      <c r="F346" s="776"/>
      <c r="AC346" s="766"/>
      <c r="AD346" s="779"/>
    </row>
    <row r="347" spans="1:30" ht="15.75" customHeight="1">
      <c r="A347" s="6"/>
      <c r="B347" s="6"/>
      <c r="C347" s="766"/>
      <c r="D347" s="776"/>
      <c r="E347" s="766"/>
      <c r="F347" s="776"/>
      <c r="AC347" s="766"/>
      <c r="AD347" s="779"/>
    </row>
    <row r="348" spans="1:30" ht="15.75" customHeight="1">
      <c r="A348" s="6"/>
      <c r="B348" s="6"/>
      <c r="C348" s="766"/>
      <c r="D348" s="776"/>
      <c r="E348" s="766"/>
      <c r="F348" s="776"/>
      <c r="AC348" s="766"/>
      <c r="AD348" s="779"/>
    </row>
    <row r="349" spans="1:30" ht="15.75" customHeight="1">
      <c r="A349" s="6"/>
      <c r="B349" s="6"/>
      <c r="C349" s="766"/>
      <c r="D349" s="776"/>
      <c r="E349" s="766"/>
      <c r="F349" s="776"/>
      <c r="AC349" s="766"/>
      <c r="AD349" s="779"/>
    </row>
    <row r="350" spans="1:30" ht="15.75" customHeight="1">
      <c r="A350" s="6"/>
      <c r="B350" s="6"/>
      <c r="C350" s="766"/>
      <c r="D350" s="776"/>
      <c r="E350" s="766"/>
      <c r="F350" s="776"/>
      <c r="AC350" s="766"/>
      <c r="AD350" s="779"/>
    </row>
    <row r="351" spans="1:30" ht="15.75" customHeight="1">
      <c r="A351" s="6"/>
      <c r="B351" s="6"/>
      <c r="C351" s="766"/>
      <c r="D351" s="776"/>
      <c r="E351" s="766"/>
      <c r="F351" s="776"/>
      <c r="AC351" s="766"/>
      <c r="AD351" s="779"/>
    </row>
    <row r="352" spans="1:30" ht="15.75" customHeight="1">
      <c r="A352" s="6"/>
      <c r="B352" s="6"/>
      <c r="C352" s="766"/>
      <c r="D352" s="776"/>
      <c r="E352" s="766"/>
      <c r="F352" s="776"/>
      <c r="AC352" s="766"/>
      <c r="AD352" s="779"/>
    </row>
    <row r="353" spans="1:30" ht="15.75" customHeight="1">
      <c r="A353" s="6"/>
      <c r="B353" s="6"/>
      <c r="C353" s="766"/>
      <c r="D353" s="776"/>
      <c r="E353" s="766"/>
      <c r="F353" s="776"/>
      <c r="AC353" s="766"/>
      <c r="AD353" s="779"/>
    </row>
    <row r="354" spans="1:30" ht="15.75" customHeight="1">
      <c r="A354" s="6"/>
      <c r="B354" s="6"/>
      <c r="C354" s="766"/>
      <c r="D354" s="776"/>
      <c r="E354" s="766"/>
      <c r="F354" s="776"/>
      <c r="AC354" s="766"/>
      <c r="AD354" s="779"/>
    </row>
    <row r="355" spans="1:30" ht="15.75" customHeight="1">
      <c r="A355" s="6"/>
      <c r="B355" s="6"/>
      <c r="C355" s="766"/>
      <c r="D355" s="776"/>
      <c r="E355" s="766"/>
      <c r="F355" s="776"/>
      <c r="AC355" s="766"/>
      <c r="AD355" s="779"/>
    </row>
    <row r="356" spans="1:30" ht="15.75" customHeight="1">
      <c r="A356" s="6"/>
      <c r="B356" s="6"/>
      <c r="C356" s="766"/>
      <c r="D356" s="776"/>
      <c r="E356" s="766"/>
      <c r="F356" s="776"/>
      <c r="AC356" s="766"/>
      <c r="AD356" s="779"/>
    </row>
    <row r="357" spans="1:30" ht="15.75" customHeight="1">
      <c r="A357" s="6"/>
      <c r="B357" s="6"/>
      <c r="C357" s="766"/>
      <c r="D357" s="776"/>
      <c r="E357" s="766"/>
      <c r="F357" s="776"/>
      <c r="AC357" s="766"/>
      <c r="AD357" s="779"/>
    </row>
    <row r="358" spans="1:30" ht="15.75" customHeight="1">
      <c r="A358" s="6"/>
      <c r="B358" s="6"/>
      <c r="C358" s="766"/>
      <c r="D358" s="776"/>
      <c r="E358" s="766"/>
      <c r="F358" s="776"/>
      <c r="AC358" s="766"/>
      <c r="AD358" s="779"/>
    </row>
    <row r="359" spans="1:30" ht="15.75" customHeight="1">
      <c r="A359" s="6"/>
      <c r="B359" s="6"/>
      <c r="C359" s="766"/>
      <c r="D359" s="776"/>
      <c r="E359" s="766"/>
      <c r="F359" s="776"/>
      <c r="AC359" s="766"/>
      <c r="AD359" s="779"/>
    </row>
    <row r="360" spans="1:30" ht="15.75" customHeight="1">
      <c r="A360" s="6"/>
      <c r="B360" s="6"/>
      <c r="C360" s="766"/>
      <c r="D360" s="776"/>
      <c r="E360" s="766"/>
      <c r="F360" s="776"/>
      <c r="AC360" s="766"/>
      <c r="AD360" s="779"/>
    </row>
    <row r="361" spans="1:30" ht="15.75" customHeight="1">
      <c r="A361" s="6"/>
      <c r="B361" s="6"/>
      <c r="C361" s="766"/>
      <c r="D361" s="776"/>
      <c r="E361" s="766"/>
      <c r="F361" s="776"/>
      <c r="AC361" s="766"/>
      <c r="AD361" s="779"/>
    </row>
    <row r="362" spans="1:30" ht="15.75" customHeight="1">
      <c r="A362" s="6"/>
      <c r="B362" s="6"/>
      <c r="C362" s="766"/>
      <c r="D362" s="776"/>
      <c r="E362" s="766"/>
      <c r="F362" s="776"/>
      <c r="AC362" s="766"/>
      <c r="AD362" s="779"/>
    </row>
    <row r="363" spans="1:30" ht="15.75" customHeight="1">
      <c r="A363" s="6"/>
      <c r="B363" s="6"/>
      <c r="C363" s="766"/>
      <c r="D363" s="776"/>
      <c r="E363" s="766"/>
      <c r="F363" s="776"/>
      <c r="AC363" s="766"/>
      <c r="AD363" s="779"/>
    </row>
    <row r="364" spans="1:30" ht="15.75" customHeight="1">
      <c r="A364" s="6"/>
      <c r="B364" s="6"/>
      <c r="C364" s="766"/>
      <c r="D364" s="776"/>
      <c r="E364" s="766"/>
      <c r="F364" s="776"/>
      <c r="AC364" s="766"/>
      <c r="AD364" s="779"/>
    </row>
    <row r="365" spans="1:30" ht="15.75" customHeight="1">
      <c r="A365" s="6"/>
      <c r="B365" s="6"/>
      <c r="C365" s="766"/>
      <c r="D365" s="776"/>
      <c r="E365" s="766"/>
      <c r="F365" s="776"/>
      <c r="AC365" s="766"/>
      <c r="AD365" s="779"/>
    </row>
    <row r="366" spans="1:30" ht="15.75" customHeight="1">
      <c r="A366" s="6"/>
      <c r="B366" s="6"/>
      <c r="C366" s="766"/>
      <c r="D366" s="776"/>
      <c r="E366" s="766"/>
      <c r="F366" s="776"/>
      <c r="AC366" s="766"/>
      <c r="AD366" s="779"/>
    </row>
    <row r="367" spans="1:30" ht="15.75" customHeight="1">
      <c r="A367" s="6"/>
      <c r="B367" s="6"/>
      <c r="C367" s="766"/>
      <c r="D367" s="776"/>
      <c r="E367" s="766"/>
      <c r="F367" s="776"/>
      <c r="AC367" s="766"/>
      <c r="AD367" s="779"/>
    </row>
    <row r="368" spans="1:30" ht="15.75" customHeight="1">
      <c r="A368" s="6"/>
      <c r="B368" s="6"/>
      <c r="C368" s="766"/>
      <c r="D368" s="776"/>
      <c r="E368" s="766"/>
      <c r="F368" s="776"/>
      <c r="AC368" s="766"/>
      <c r="AD368" s="779"/>
    </row>
    <row r="369" spans="1:30" ht="15.75" customHeight="1">
      <c r="A369" s="6"/>
      <c r="B369" s="6"/>
      <c r="C369" s="766"/>
      <c r="D369" s="776"/>
      <c r="E369" s="766"/>
      <c r="F369" s="776"/>
      <c r="AC369" s="766"/>
      <c r="AD369" s="779"/>
    </row>
    <row r="370" spans="1:30" ht="15.75" customHeight="1">
      <c r="A370" s="6"/>
      <c r="B370" s="6"/>
      <c r="C370" s="766"/>
      <c r="D370" s="776"/>
      <c r="E370" s="766"/>
      <c r="F370" s="776"/>
      <c r="AC370" s="766"/>
      <c r="AD370" s="779"/>
    </row>
    <row r="371" spans="1:30" ht="15.75" customHeight="1">
      <c r="A371" s="6"/>
      <c r="B371" s="6"/>
      <c r="C371" s="766"/>
      <c r="D371" s="776"/>
      <c r="E371" s="766"/>
      <c r="F371" s="776"/>
      <c r="AC371" s="766"/>
      <c r="AD371" s="779"/>
    </row>
    <row r="372" spans="1:30" ht="15.75" customHeight="1">
      <c r="A372" s="6"/>
      <c r="B372" s="6"/>
      <c r="C372" s="766"/>
      <c r="D372" s="776"/>
      <c r="E372" s="766"/>
      <c r="F372" s="776"/>
      <c r="AC372" s="766"/>
      <c r="AD372" s="779"/>
    </row>
    <row r="373" spans="1:30" ht="15.75" customHeight="1">
      <c r="A373" s="6"/>
      <c r="B373" s="6"/>
      <c r="C373" s="766"/>
      <c r="D373" s="776"/>
      <c r="E373" s="766"/>
      <c r="F373" s="776"/>
      <c r="AC373" s="766"/>
      <c r="AD373" s="779"/>
    </row>
    <row r="374" spans="1:30" ht="15.75" customHeight="1">
      <c r="A374" s="6"/>
      <c r="B374" s="6"/>
      <c r="C374" s="766"/>
      <c r="D374" s="776"/>
      <c r="E374" s="766"/>
      <c r="F374" s="776"/>
      <c r="AC374" s="766"/>
      <c r="AD374" s="779"/>
    </row>
    <row r="375" spans="1:30" ht="15.75" customHeight="1">
      <c r="A375" s="6"/>
      <c r="B375" s="6"/>
      <c r="C375" s="766"/>
      <c r="D375" s="776"/>
      <c r="E375" s="766"/>
      <c r="F375" s="776"/>
      <c r="AC375" s="766"/>
      <c r="AD375" s="779"/>
    </row>
    <row r="376" spans="1:30" ht="15.75" customHeight="1">
      <c r="A376" s="6"/>
      <c r="B376" s="6"/>
      <c r="C376" s="766"/>
      <c r="D376" s="776"/>
      <c r="E376" s="766"/>
      <c r="F376" s="776"/>
      <c r="AC376" s="766"/>
      <c r="AD376" s="779"/>
    </row>
    <row r="377" spans="1:30" ht="15.75" customHeight="1">
      <c r="A377" s="6"/>
      <c r="B377" s="6"/>
      <c r="C377" s="766"/>
      <c r="D377" s="776"/>
      <c r="E377" s="766"/>
      <c r="F377" s="776"/>
      <c r="AC377" s="766"/>
      <c r="AD377" s="779"/>
    </row>
    <row r="378" spans="1:30" ht="15.75" customHeight="1">
      <c r="A378" s="6"/>
      <c r="B378" s="6"/>
      <c r="C378" s="766"/>
      <c r="D378" s="776"/>
      <c r="E378" s="766"/>
      <c r="F378" s="776"/>
      <c r="AC378" s="766"/>
      <c r="AD378" s="779"/>
    </row>
    <row r="379" spans="1:30" ht="15.75" customHeight="1">
      <c r="A379" s="6"/>
      <c r="B379" s="6"/>
      <c r="C379" s="766"/>
      <c r="D379" s="776"/>
      <c r="E379" s="766"/>
      <c r="F379" s="776"/>
      <c r="AC379" s="766"/>
      <c r="AD379" s="779"/>
    </row>
    <row r="380" spans="1:30" ht="15.75" customHeight="1">
      <c r="A380" s="6"/>
      <c r="B380" s="6"/>
      <c r="C380" s="766"/>
      <c r="D380" s="776"/>
      <c r="E380" s="766"/>
      <c r="F380" s="776"/>
      <c r="AC380" s="766"/>
      <c r="AD380" s="779"/>
    </row>
    <row r="381" spans="1:30" ht="15.75" customHeight="1">
      <c r="A381" s="6"/>
      <c r="B381" s="6"/>
      <c r="C381" s="766"/>
      <c r="D381" s="776"/>
      <c r="E381" s="766"/>
      <c r="F381" s="776"/>
      <c r="AC381" s="766"/>
      <c r="AD381" s="779"/>
    </row>
    <row r="382" spans="1:30" ht="15.75" customHeight="1">
      <c r="A382" s="6"/>
      <c r="B382" s="6"/>
      <c r="C382" s="766"/>
      <c r="D382" s="776"/>
      <c r="E382" s="766"/>
      <c r="F382" s="776"/>
      <c r="AC382" s="766"/>
      <c r="AD382" s="779"/>
    </row>
    <row r="383" spans="1:30" ht="15.75" customHeight="1">
      <c r="A383" s="6"/>
      <c r="B383" s="6"/>
      <c r="C383" s="766"/>
      <c r="D383" s="776"/>
      <c r="E383" s="766"/>
      <c r="F383" s="776"/>
      <c r="AC383" s="766"/>
      <c r="AD383" s="779"/>
    </row>
    <row r="384" spans="1:30" ht="15.75" customHeight="1">
      <c r="A384" s="6"/>
      <c r="B384" s="6"/>
      <c r="C384" s="766"/>
      <c r="D384" s="776"/>
      <c r="E384" s="766"/>
      <c r="F384" s="776"/>
      <c r="AC384" s="766"/>
      <c r="AD384" s="779"/>
    </row>
    <row r="385" spans="1:30" ht="15.75" customHeight="1">
      <c r="A385" s="6"/>
      <c r="B385" s="6"/>
      <c r="C385" s="766"/>
      <c r="D385" s="776"/>
      <c r="E385" s="766"/>
      <c r="F385" s="776"/>
      <c r="AC385" s="766"/>
      <c r="AD385" s="779"/>
    </row>
    <row r="386" spans="1:30" ht="15.75" customHeight="1">
      <c r="A386" s="6"/>
      <c r="B386" s="6"/>
      <c r="C386" s="766"/>
      <c r="D386" s="776"/>
      <c r="E386" s="766"/>
      <c r="F386" s="776"/>
      <c r="AC386" s="766"/>
      <c r="AD386" s="779"/>
    </row>
    <row r="387" spans="1:30" ht="15.75" customHeight="1">
      <c r="A387" s="6"/>
      <c r="B387" s="6"/>
      <c r="C387" s="766"/>
      <c r="D387" s="776"/>
      <c r="E387" s="766"/>
      <c r="F387" s="776"/>
      <c r="AC387" s="766"/>
      <c r="AD387" s="779"/>
    </row>
    <row r="388" spans="1:30" ht="15.75" customHeight="1">
      <c r="A388" s="6"/>
      <c r="B388" s="6"/>
      <c r="C388" s="766"/>
      <c r="D388" s="776"/>
      <c r="E388" s="766"/>
      <c r="F388" s="776"/>
      <c r="AC388" s="766"/>
      <c r="AD388" s="779"/>
    </row>
    <row r="389" spans="1:30" ht="15.75" customHeight="1">
      <c r="A389" s="6"/>
      <c r="B389" s="6"/>
      <c r="C389" s="766"/>
      <c r="D389" s="776"/>
      <c r="E389" s="766"/>
      <c r="F389" s="776"/>
      <c r="AC389" s="766"/>
      <c r="AD389" s="779"/>
    </row>
    <row r="390" spans="1:30" ht="15.75" customHeight="1">
      <c r="A390" s="6"/>
      <c r="B390" s="6"/>
      <c r="C390" s="766"/>
      <c r="D390" s="776"/>
      <c r="E390" s="766"/>
      <c r="F390" s="776"/>
      <c r="AC390" s="766"/>
      <c r="AD390" s="779"/>
    </row>
    <row r="391" spans="1:30" ht="15.75" customHeight="1">
      <c r="A391" s="6"/>
      <c r="B391" s="6"/>
      <c r="C391" s="766"/>
      <c r="D391" s="776"/>
      <c r="E391" s="766"/>
      <c r="F391" s="776"/>
      <c r="AC391" s="766"/>
      <c r="AD391" s="779"/>
    </row>
    <row r="392" spans="1:30" ht="15.75" customHeight="1">
      <c r="A392" s="6"/>
      <c r="B392" s="6"/>
      <c r="C392" s="766"/>
      <c r="D392" s="776"/>
      <c r="E392" s="766"/>
      <c r="F392" s="776"/>
      <c r="AC392" s="766"/>
      <c r="AD392" s="779"/>
    </row>
    <row r="393" spans="1:30" ht="15.75" customHeight="1">
      <c r="A393" s="6"/>
      <c r="B393" s="6"/>
      <c r="C393" s="766"/>
      <c r="D393" s="776"/>
      <c r="E393" s="766"/>
      <c r="F393" s="776"/>
      <c r="AC393" s="766"/>
      <c r="AD393" s="779"/>
    </row>
    <row r="394" spans="1:30" ht="15.75" customHeight="1">
      <c r="A394" s="6"/>
      <c r="B394" s="6"/>
      <c r="C394" s="766"/>
      <c r="D394" s="776"/>
      <c r="E394" s="766"/>
      <c r="F394" s="776"/>
      <c r="AC394" s="766"/>
      <c r="AD394" s="779"/>
    </row>
    <row r="395" spans="1:30" ht="15.75" customHeight="1">
      <c r="A395" s="6"/>
      <c r="B395" s="6"/>
      <c r="C395" s="766"/>
      <c r="D395" s="776"/>
      <c r="E395" s="766"/>
      <c r="F395" s="776"/>
      <c r="AC395" s="766"/>
      <c r="AD395" s="779"/>
    </row>
    <row r="396" spans="1:30" ht="15.75" customHeight="1">
      <c r="A396" s="6"/>
      <c r="B396" s="6"/>
      <c r="C396" s="766"/>
      <c r="D396" s="776"/>
      <c r="E396" s="766"/>
      <c r="F396" s="776"/>
      <c r="AC396" s="766"/>
      <c r="AD396" s="779"/>
    </row>
    <row r="397" spans="1:30" ht="15.75" customHeight="1">
      <c r="A397" s="6"/>
      <c r="B397" s="6"/>
      <c r="C397" s="766"/>
      <c r="D397" s="776"/>
      <c r="E397" s="766"/>
      <c r="F397" s="776"/>
      <c r="AC397" s="766"/>
      <c r="AD397" s="779"/>
    </row>
    <row r="398" spans="1:30" ht="15.75" customHeight="1">
      <c r="A398" s="6"/>
      <c r="B398" s="6"/>
      <c r="C398" s="766"/>
      <c r="D398" s="776"/>
      <c r="E398" s="766"/>
      <c r="F398" s="776"/>
      <c r="AC398" s="766"/>
      <c r="AD398" s="779"/>
    </row>
    <row r="399" spans="1:30" ht="15.75" customHeight="1">
      <c r="A399" s="6"/>
      <c r="B399" s="6"/>
      <c r="C399" s="766"/>
      <c r="D399" s="776"/>
      <c r="E399" s="766"/>
      <c r="F399" s="776"/>
      <c r="AC399" s="766"/>
      <c r="AD399" s="779"/>
    </row>
    <row r="400" spans="1:30" ht="15.75" customHeight="1">
      <c r="A400" s="6"/>
      <c r="B400" s="6"/>
      <c r="C400" s="766"/>
      <c r="D400" s="776"/>
      <c r="E400" s="766"/>
      <c r="F400" s="776"/>
      <c r="AC400" s="766"/>
      <c r="AD400" s="779"/>
    </row>
    <row r="401" spans="1:30" ht="15.75" customHeight="1">
      <c r="A401" s="6"/>
      <c r="B401" s="6"/>
      <c r="C401" s="766"/>
      <c r="D401" s="776"/>
      <c r="E401" s="766"/>
      <c r="F401" s="776"/>
      <c r="AC401" s="766"/>
      <c r="AD401" s="779"/>
    </row>
    <row r="402" spans="1:30" ht="15.75" customHeight="1">
      <c r="A402" s="6"/>
      <c r="B402" s="6"/>
      <c r="C402" s="766"/>
      <c r="D402" s="776"/>
      <c r="E402" s="766"/>
      <c r="F402" s="776"/>
      <c r="AC402" s="766"/>
      <c r="AD402" s="779"/>
    </row>
    <row r="403" spans="1:30" ht="15.75" customHeight="1">
      <c r="A403" s="6"/>
      <c r="B403" s="6"/>
      <c r="C403" s="766"/>
      <c r="D403" s="776"/>
      <c r="E403" s="766"/>
      <c r="F403" s="776"/>
      <c r="AC403" s="766"/>
      <c r="AD403" s="779"/>
    </row>
    <row r="404" spans="1:30" ht="15.75" customHeight="1">
      <c r="A404" s="6"/>
      <c r="B404" s="6"/>
      <c r="C404" s="766"/>
      <c r="D404" s="776"/>
      <c r="E404" s="766"/>
      <c r="F404" s="776"/>
      <c r="AC404" s="766"/>
      <c r="AD404" s="779"/>
    </row>
    <row r="405" spans="1:30" ht="15.75" customHeight="1">
      <c r="A405" s="6"/>
      <c r="B405" s="6"/>
      <c r="C405" s="766"/>
      <c r="D405" s="776"/>
      <c r="E405" s="766"/>
      <c r="F405" s="776"/>
      <c r="AC405" s="766"/>
      <c r="AD405" s="779"/>
    </row>
    <row r="406" spans="1:30" ht="15.75" customHeight="1">
      <c r="A406" s="6"/>
      <c r="B406" s="6"/>
      <c r="C406" s="766"/>
      <c r="D406" s="776"/>
      <c r="E406" s="766"/>
      <c r="F406" s="776"/>
      <c r="AC406" s="766"/>
      <c r="AD406" s="779"/>
    </row>
    <row r="407" spans="1:30" ht="15.75" customHeight="1">
      <c r="A407" s="6"/>
      <c r="B407" s="6"/>
      <c r="C407" s="766"/>
      <c r="D407" s="776"/>
      <c r="E407" s="766"/>
      <c r="F407" s="776"/>
      <c r="AC407" s="766"/>
      <c r="AD407" s="779"/>
    </row>
    <row r="408" spans="1:30" ht="15.75" customHeight="1">
      <c r="A408" s="6"/>
      <c r="B408" s="6"/>
      <c r="C408" s="766"/>
      <c r="D408" s="776"/>
      <c r="E408" s="766"/>
      <c r="F408" s="776"/>
      <c r="AC408" s="766"/>
      <c r="AD408" s="779"/>
    </row>
    <row r="409" spans="1:30" ht="15.75" customHeight="1">
      <c r="A409" s="6"/>
      <c r="B409" s="6"/>
      <c r="C409" s="766"/>
      <c r="D409" s="776"/>
      <c r="E409" s="766"/>
      <c r="F409" s="776"/>
      <c r="AC409" s="766"/>
      <c r="AD409" s="779"/>
    </row>
    <row r="410" spans="1:30" ht="15.75" customHeight="1">
      <c r="A410" s="6"/>
      <c r="B410" s="6"/>
      <c r="C410" s="766"/>
      <c r="D410" s="776"/>
      <c r="E410" s="766"/>
      <c r="F410" s="776"/>
      <c r="AC410" s="766"/>
      <c r="AD410" s="779"/>
    </row>
    <row r="411" spans="1:30" ht="15.75" customHeight="1">
      <c r="A411" s="6"/>
      <c r="B411" s="6"/>
      <c r="C411" s="766"/>
      <c r="D411" s="776"/>
      <c r="E411" s="766"/>
      <c r="F411" s="776"/>
      <c r="AC411" s="766"/>
      <c r="AD411" s="779"/>
    </row>
    <row r="412" spans="1:30" ht="15.75" customHeight="1">
      <c r="A412" s="6"/>
      <c r="B412" s="6"/>
      <c r="C412" s="766"/>
      <c r="D412" s="776"/>
      <c r="E412" s="766"/>
      <c r="F412" s="776"/>
      <c r="AC412" s="766"/>
      <c r="AD412" s="779"/>
    </row>
    <row r="413" spans="1:30" ht="15.75" customHeight="1">
      <c r="A413" s="6"/>
      <c r="B413" s="6"/>
      <c r="C413" s="766"/>
      <c r="D413" s="776"/>
      <c r="E413" s="766"/>
      <c r="F413" s="776"/>
      <c r="AC413" s="766"/>
      <c r="AD413" s="779"/>
    </row>
    <row r="414" spans="1:30" ht="15.75" customHeight="1">
      <c r="A414" s="6"/>
      <c r="B414" s="6"/>
      <c r="C414" s="766"/>
      <c r="D414" s="776"/>
      <c r="E414" s="766"/>
      <c r="F414" s="776"/>
      <c r="AC414" s="766"/>
      <c r="AD414" s="779"/>
    </row>
    <row r="415" spans="1:30" ht="15.75" customHeight="1">
      <c r="A415" s="6"/>
      <c r="B415" s="6"/>
      <c r="C415" s="766"/>
      <c r="D415" s="776"/>
      <c r="E415" s="766"/>
      <c r="F415" s="776"/>
      <c r="AC415" s="766"/>
      <c r="AD415" s="779"/>
    </row>
    <row r="416" spans="1:30" ht="15.75" customHeight="1">
      <c r="A416" s="6"/>
      <c r="B416" s="6"/>
      <c r="C416" s="766"/>
      <c r="D416" s="776"/>
      <c r="E416" s="766"/>
      <c r="F416" s="776"/>
      <c r="AC416" s="766"/>
      <c r="AD416" s="779"/>
    </row>
    <row r="417" spans="1:30" ht="15.75" customHeight="1">
      <c r="A417" s="6"/>
      <c r="B417" s="6"/>
      <c r="C417" s="766"/>
      <c r="D417" s="776"/>
      <c r="E417" s="766"/>
      <c r="F417" s="776"/>
      <c r="AC417" s="766"/>
      <c r="AD417" s="779"/>
    </row>
    <row r="418" spans="1:30" ht="15.75" customHeight="1">
      <c r="A418" s="6"/>
      <c r="B418" s="6"/>
      <c r="C418" s="766"/>
      <c r="D418" s="776"/>
      <c r="E418" s="766"/>
      <c r="F418" s="776"/>
      <c r="AC418" s="766"/>
      <c r="AD418" s="779"/>
    </row>
    <row r="419" spans="1:30" ht="15.75" customHeight="1">
      <c r="A419" s="6"/>
      <c r="B419" s="6"/>
      <c r="C419" s="766"/>
      <c r="D419" s="776"/>
      <c r="E419" s="766"/>
      <c r="F419" s="776"/>
      <c r="AC419" s="766"/>
      <c r="AD419" s="779"/>
    </row>
    <row r="420" spans="1:30" ht="15.75" customHeight="1">
      <c r="A420" s="6"/>
      <c r="B420" s="6"/>
      <c r="C420" s="766"/>
      <c r="D420" s="776"/>
      <c r="E420" s="766"/>
      <c r="F420" s="776"/>
      <c r="AC420" s="766"/>
      <c r="AD420" s="779"/>
    </row>
    <row r="421" spans="1:30" ht="15.75" customHeight="1">
      <c r="A421" s="6"/>
      <c r="B421" s="6"/>
      <c r="C421" s="766"/>
      <c r="D421" s="776"/>
      <c r="E421" s="766"/>
      <c r="F421" s="776"/>
      <c r="AC421" s="766"/>
      <c r="AD421" s="779"/>
    </row>
    <row r="422" spans="1:30" ht="15.75" customHeight="1">
      <c r="A422" s="6"/>
      <c r="B422" s="6"/>
      <c r="C422" s="766"/>
      <c r="D422" s="776"/>
      <c r="E422" s="766"/>
      <c r="F422" s="776"/>
      <c r="AC422" s="766"/>
      <c r="AD422" s="779"/>
    </row>
    <row r="423" spans="1:30" ht="15.75" customHeight="1">
      <c r="A423" s="6"/>
      <c r="B423" s="6"/>
      <c r="C423" s="766"/>
      <c r="D423" s="776"/>
      <c r="E423" s="766"/>
      <c r="F423" s="776"/>
      <c r="AC423" s="766"/>
      <c r="AD423" s="779"/>
    </row>
    <row r="424" spans="1:30" ht="15.75" customHeight="1">
      <c r="A424" s="6"/>
      <c r="B424" s="6"/>
      <c r="C424" s="766"/>
      <c r="D424" s="776"/>
      <c r="E424" s="766"/>
      <c r="F424" s="776"/>
      <c r="AC424" s="766"/>
      <c r="AD424" s="779"/>
    </row>
    <row r="425" spans="1:30" ht="15.75" customHeight="1">
      <c r="A425" s="6"/>
      <c r="B425" s="6"/>
      <c r="C425" s="766"/>
      <c r="D425" s="776"/>
      <c r="E425" s="766"/>
      <c r="F425" s="776"/>
      <c r="AC425" s="766"/>
      <c r="AD425" s="779"/>
    </row>
    <row r="426" spans="1:30" ht="15.75" customHeight="1">
      <c r="A426" s="6"/>
      <c r="B426" s="6"/>
      <c r="C426" s="766"/>
      <c r="D426" s="776"/>
      <c r="E426" s="766"/>
      <c r="F426" s="776"/>
      <c r="AC426" s="766"/>
      <c r="AD426" s="779"/>
    </row>
    <row r="427" spans="1:30" ht="15.75" customHeight="1">
      <c r="A427" s="6"/>
      <c r="B427" s="6"/>
      <c r="C427" s="766"/>
      <c r="D427" s="776"/>
      <c r="E427" s="766"/>
      <c r="F427" s="776"/>
      <c r="AC427" s="766"/>
      <c r="AD427" s="779"/>
    </row>
    <row r="428" spans="1:30" ht="15.75" customHeight="1">
      <c r="A428" s="6"/>
      <c r="B428" s="6"/>
      <c r="C428" s="766"/>
      <c r="D428" s="776"/>
      <c r="E428" s="766"/>
      <c r="F428" s="776"/>
      <c r="AC428" s="766"/>
      <c r="AD428" s="779"/>
    </row>
    <row r="429" spans="1:30" ht="15.75" customHeight="1">
      <c r="A429" s="6"/>
      <c r="B429" s="6"/>
      <c r="C429" s="766"/>
      <c r="D429" s="776"/>
      <c r="E429" s="766"/>
      <c r="F429" s="776"/>
      <c r="AC429" s="766"/>
      <c r="AD429" s="779"/>
    </row>
    <row r="430" spans="1:30" ht="15.75" customHeight="1">
      <c r="A430" s="6"/>
      <c r="B430" s="6"/>
      <c r="C430" s="766"/>
      <c r="D430" s="776"/>
      <c r="E430" s="766"/>
      <c r="F430" s="776"/>
      <c r="AC430" s="766"/>
      <c r="AD430" s="779"/>
    </row>
    <row r="431" spans="1:30" ht="15.75" customHeight="1">
      <c r="A431" s="6"/>
      <c r="B431" s="6"/>
      <c r="C431" s="766"/>
      <c r="D431" s="776"/>
      <c r="E431" s="766"/>
      <c r="F431" s="776"/>
      <c r="AC431" s="766"/>
      <c r="AD431" s="779"/>
    </row>
    <row r="432" spans="1:30" ht="15.75" customHeight="1">
      <c r="A432" s="6"/>
      <c r="B432" s="6"/>
      <c r="C432" s="766"/>
      <c r="D432" s="776"/>
      <c r="E432" s="766"/>
      <c r="F432" s="776"/>
      <c r="AC432" s="766"/>
      <c r="AD432" s="779"/>
    </row>
    <row r="433" spans="1:30" ht="15.75" customHeight="1">
      <c r="A433" s="6"/>
      <c r="B433" s="6"/>
      <c r="C433" s="766"/>
      <c r="D433" s="776"/>
      <c r="E433" s="766"/>
      <c r="F433" s="776"/>
      <c r="AC433" s="766"/>
      <c r="AD433" s="779"/>
    </row>
    <row r="434" spans="1:30" ht="15.75" customHeight="1">
      <c r="A434" s="6"/>
      <c r="B434" s="6"/>
      <c r="C434" s="766"/>
      <c r="D434" s="776"/>
      <c r="E434" s="766"/>
      <c r="F434" s="776"/>
      <c r="AC434" s="766"/>
      <c r="AD434" s="779"/>
    </row>
    <row r="435" spans="1:30" ht="15.75" customHeight="1">
      <c r="A435" s="6"/>
      <c r="B435" s="6"/>
      <c r="C435" s="766"/>
      <c r="D435" s="776"/>
      <c r="E435" s="766"/>
      <c r="F435" s="776"/>
      <c r="AC435" s="766"/>
      <c r="AD435" s="779"/>
    </row>
    <row r="436" spans="1:30" ht="15.75" customHeight="1">
      <c r="A436" s="6"/>
      <c r="B436" s="6"/>
      <c r="C436" s="766"/>
      <c r="D436" s="776"/>
      <c r="E436" s="766"/>
      <c r="F436" s="776"/>
      <c r="AC436" s="766"/>
      <c r="AD436" s="779"/>
    </row>
    <row r="437" spans="1:30" ht="15.75" customHeight="1">
      <c r="A437" s="6"/>
      <c r="B437" s="6"/>
      <c r="C437" s="766"/>
      <c r="D437" s="776"/>
      <c r="E437" s="766"/>
      <c r="F437" s="776"/>
      <c r="AC437" s="766"/>
      <c r="AD437" s="779"/>
    </row>
    <row r="438" spans="1:30" ht="15.75" customHeight="1">
      <c r="A438" s="6"/>
      <c r="B438" s="6"/>
      <c r="C438" s="766"/>
      <c r="D438" s="776"/>
      <c r="E438" s="766"/>
      <c r="F438" s="776"/>
      <c r="AC438" s="766"/>
      <c r="AD438" s="779"/>
    </row>
    <row r="439" spans="1:30" ht="15.75" customHeight="1">
      <c r="A439" s="6"/>
      <c r="B439" s="6"/>
      <c r="C439" s="766"/>
      <c r="D439" s="776"/>
      <c r="E439" s="766"/>
      <c r="F439" s="776"/>
      <c r="AC439" s="766"/>
      <c r="AD439" s="779"/>
    </row>
    <row r="440" spans="1:30" ht="15.75" customHeight="1">
      <c r="A440" s="6"/>
      <c r="B440" s="6"/>
      <c r="C440" s="766"/>
      <c r="D440" s="776"/>
      <c r="E440" s="766"/>
      <c r="F440" s="776"/>
      <c r="AC440" s="766"/>
      <c r="AD440" s="779"/>
    </row>
    <row r="441" spans="1:30" ht="15.75" customHeight="1">
      <c r="A441" s="6"/>
      <c r="B441" s="6"/>
      <c r="C441" s="766"/>
      <c r="D441" s="776"/>
      <c r="E441" s="766"/>
      <c r="F441" s="776"/>
      <c r="AC441" s="766"/>
      <c r="AD441" s="779"/>
    </row>
    <row r="442" spans="1:30" ht="15.75" customHeight="1">
      <c r="A442" s="6"/>
      <c r="B442" s="6"/>
      <c r="C442" s="766"/>
      <c r="D442" s="776"/>
      <c r="E442" s="766"/>
      <c r="F442" s="776"/>
      <c r="AC442" s="766"/>
      <c r="AD442" s="779"/>
    </row>
    <row r="443" spans="1:30" ht="15.75" customHeight="1">
      <c r="A443" s="6"/>
      <c r="B443" s="6"/>
      <c r="C443" s="766"/>
      <c r="D443" s="776"/>
      <c r="E443" s="766"/>
      <c r="F443" s="776"/>
      <c r="AC443" s="766"/>
      <c r="AD443" s="779"/>
    </row>
    <row r="444" spans="1:30" ht="15.75" customHeight="1">
      <c r="A444" s="6"/>
      <c r="B444" s="6"/>
      <c r="C444" s="766"/>
      <c r="D444" s="776"/>
      <c r="E444" s="766"/>
      <c r="F444" s="776"/>
      <c r="AC444" s="766"/>
      <c r="AD444" s="779"/>
    </row>
    <row r="445" spans="1:30" ht="15.75" customHeight="1">
      <c r="A445" s="6"/>
      <c r="B445" s="6"/>
      <c r="C445" s="766"/>
      <c r="D445" s="776"/>
      <c r="E445" s="766"/>
      <c r="F445" s="776"/>
      <c r="AC445" s="766"/>
      <c r="AD445" s="779"/>
    </row>
    <row r="446" spans="1:30" ht="15.75" customHeight="1">
      <c r="A446" s="6"/>
      <c r="B446" s="6"/>
      <c r="C446" s="766"/>
      <c r="D446" s="776"/>
      <c r="E446" s="766"/>
      <c r="F446" s="776"/>
      <c r="AC446" s="766"/>
      <c r="AD446" s="779"/>
    </row>
    <row r="447" spans="1:30" ht="15.75" customHeight="1">
      <c r="A447" s="6"/>
      <c r="B447" s="6"/>
      <c r="C447" s="766"/>
      <c r="D447" s="776"/>
      <c r="E447" s="766"/>
      <c r="F447" s="776"/>
      <c r="AC447" s="766"/>
      <c r="AD447" s="779"/>
    </row>
    <row r="448" spans="1:30" ht="15.75" customHeight="1">
      <c r="A448" s="6"/>
      <c r="B448" s="6"/>
      <c r="C448" s="766"/>
      <c r="D448" s="776"/>
      <c r="E448" s="766"/>
      <c r="F448" s="776"/>
      <c r="AC448" s="766"/>
      <c r="AD448" s="779"/>
    </row>
    <row r="449" spans="1:30" ht="15.75" customHeight="1">
      <c r="A449" s="6"/>
      <c r="B449" s="6"/>
      <c r="C449" s="766"/>
      <c r="D449" s="776"/>
      <c r="E449" s="766"/>
      <c r="F449" s="776"/>
      <c r="AC449" s="766"/>
      <c r="AD449" s="779"/>
    </row>
    <row r="450" spans="1:30" ht="15.75" customHeight="1">
      <c r="A450" s="6"/>
      <c r="B450" s="6"/>
      <c r="C450" s="766"/>
      <c r="D450" s="776"/>
      <c r="E450" s="766"/>
      <c r="F450" s="776"/>
      <c r="AC450" s="766"/>
      <c r="AD450" s="779"/>
    </row>
    <row r="451" spans="1:30" ht="15.75" customHeight="1">
      <c r="A451" s="6"/>
      <c r="B451" s="6"/>
      <c r="C451" s="766"/>
      <c r="D451" s="776"/>
      <c r="E451" s="766"/>
      <c r="F451" s="776"/>
      <c r="AC451" s="766"/>
      <c r="AD451" s="779"/>
    </row>
    <row r="452" spans="1:30" ht="15.75" customHeight="1">
      <c r="A452" s="6"/>
      <c r="B452" s="6"/>
      <c r="C452" s="766"/>
      <c r="D452" s="776"/>
      <c r="E452" s="766"/>
      <c r="F452" s="776"/>
      <c r="AC452" s="766"/>
      <c r="AD452" s="779"/>
    </row>
    <row r="453" spans="1:30" ht="15.75" customHeight="1">
      <c r="A453" s="6"/>
      <c r="B453" s="6"/>
      <c r="C453" s="766"/>
      <c r="D453" s="776"/>
      <c r="E453" s="766"/>
      <c r="F453" s="776"/>
      <c r="AC453" s="766"/>
      <c r="AD453" s="779"/>
    </row>
    <row r="454" spans="1:30" ht="15.75" customHeight="1">
      <c r="A454" s="6"/>
      <c r="B454" s="6"/>
      <c r="C454" s="766"/>
      <c r="D454" s="776"/>
      <c r="E454" s="766"/>
      <c r="F454" s="776"/>
      <c r="AC454" s="766"/>
      <c r="AD454" s="779"/>
    </row>
    <row r="455" spans="1:30" ht="15.75" customHeight="1">
      <c r="A455" s="6"/>
      <c r="B455" s="6"/>
      <c r="C455" s="766"/>
      <c r="D455" s="776"/>
      <c r="E455" s="766"/>
      <c r="F455" s="776"/>
      <c r="AC455" s="766"/>
      <c r="AD455" s="779"/>
    </row>
    <row r="456" spans="1:30" ht="15.75" customHeight="1">
      <c r="A456" s="6"/>
      <c r="B456" s="6"/>
      <c r="C456" s="766"/>
      <c r="D456" s="776"/>
      <c r="E456" s="766"/>
      <c r="F456" s="776"/>
      <c r="AC456" s="766"/>
      <c r="AD456" s="779"/>
    </row>
    <row r="457" spans="1:30" ht="15.75" customHeight="1">
      <c r="A457" s="6"/>
      <c r="B457" s="6"/>
      <c r="C457" s="766"/>
      <c r="D457" s="776"/>
      <c r="E457" s="766"/>
      <c r="F457" s="776"/>
      <c r="AC457" s="766"/>
      <c r="AD457" s="779"/>
    </row>
    <row r="458" spans="1:30" ht="15.75" customHeight="1">
      <c r="A458" s="6"/>
      <c r="B458" s="6"/>
      <c r="C458" s="766"/>
      <c r="D458" s="776"/>
      <c r="E458" s="766"/>
      <c r="F458" s="776"/>
      <c r="AC458" s="766"/>
      <c r="AD458" s="779"/>
    </row>
    <row r="459" spans="1:30" ht="15.75" customHeight="1">
      <c r="A459" s="6"/>
      <c r="B459" s="6"/>
      <c r="C459" s="766"/>
      <c r="D459" s="776"/>
      <c r="E459" s="766"/>
      <c r="F459" s="776"/>
      <c r="AC459" s="766"/>
      <c r="AD459" s="779"/>
    </row>
    <row r="460" spans="1:30" ht="15.75" customHeight="1">
      <c r="A460" s="6"/>
      <c r="B460" s="6"/>
      <c r="C460" s="766"/>
      <c r="D460" s="776"/>
      <c r="E460" s="766"/>
      <c r="F460" s="776"/>
      <c r="AC460" s="766"/>
      <c r="AD460" s="779"/>
    </row>
    <row r="461" spans="1:30" ht="15.75" customHeight="1">
      <c r="A461" s="6"/>
      <c r="B461" s="6"/>
      <c r="C461" s="766"/>
      <c r="D461" s="776"/>
      <c r="E461" s="766"/>
      <c r="F461" s="776"/>
      <c r="AC461" s="766"/>
      <c r="AD461" s="779"/>
    </row>
    <row r="462" spans="1:30" ht="15.75" customHeight="1">
      <c r="A462" s="6"/>
      <c r="B462" s="6"/>
      <c r="C462" s="766"/>
      <c r="D462" s="776"/>
      <c r="E462" s="766"/>
      <c r="F462" s="776"/>
      <c r="AC462" s="766"/>
      <c r="AD462" s="779"/>
    </row>
    <row r="463" spans="1:30" ht="15.75" customHeight="1">
      <c r="A463" s="6"/>
      <c r="B463" s="6"/>
      <c r="C463" s="766"/>
      <c r="D463" s="776"/>
      <c r="E463" s="766"/>
      <c r="F463" s="776"/>
      <c r="AC463" s="766"/>
      <c r="AD463" s="779"/>
    </row>
    <row r="464" spans="1:30" ht="15.75" customHeight="1">
      <c r="A464" s="6"/>
      <c r="B464" s="6"/>
      <c r="C464" s="766"/>
      <c r="D464" s="776"/>
      <c r="E464" s="766"/>
      <c r="F464" s="776"/>
      <c r="AC464" s="766"/>
      <c r="AD464" s="779"/>
    </row>
    <row r="465" spans="1:30" ht="15.75" customHeight="1">
      <c r="A465" s="6"/>
      <c r="B465" s="6"/>
      <c r="C465" s="766"/>
      <c r="D465" s="776"/>
      <c r="E465" s="766"/>
      <c r="F465" s="776"/>
      <c r="AC465" s="766"/>
      <c r="AD465" s="779"/>
    </row>
    <row r="466" spans="1:30" ht="15.75" customHeight="1">
      <c r="A466" s="6"/>
      <c r="B466" s="6"/>
      <c r="C466" s="766"/>
      <c r="D466" s="776"/>
      <c r="E466" s="766"/>
      <c r="F466" s="776"/>
      <c r="AC466" s="766"/>
      <c r="AD466" s="779"/>
    </row>
    <row r="467" spans="1:30" ht="15.75" customHeight="1">
      <c r="A467" s="6"/>
      <c r="B467" s="6"/>
      <c r="C467" s="766"/>
      <c r="D467" s="776"/>
      <c r="E467" s="766"/>
      <c r="F467" s="776"/>
      <c r="AC467" s="766"/>
      <c r="AD467" s="779"/>
    </row>
    <row r="468" spans="1:30" ht="15.75" customHeight="1">
      <c r="A468" s="6"/>
      <c r="B468" s="6"/>
      <c r="C468" s="766"/>
      <c r="D468" s="776"/>
      <c r="E468" s="766"/>
      <c r="F468" s="776"/>
      <c r="AC468" s="766"/>
      <c r="AD468" s="779"/>
    </row>
    <row r="469" spans="1:30" ht="15.75" customHeight="1">
      <c r="A469" s="6"/>
      <c r="B469" s="6"/>
      <c r="C469" s="766"/>
      <c r="D469" s="776"/>
      <c r="E469" s="766"/>
      <c r="F469" s="776"/>
      <c r="AC469" s="766"/>
      <c r="AD469" s="779"/>
    </row>
    <row r="470" spans="1:30" ht="15.75" customHeight="1">
      <c r="A470" s="6"/>
      <c r="B470" s="6"/>
      <c r="C470" s="766"/>
      <c r="D470" s="776"/>
      <c r="E470" s="766"/>
      <c r="F470" s="776"/>
      <c r="AC470" s="766"/>
      <c r="AD470" s="779"/>
    </row>
    <row r="471" spans="1:30" ht="15.75" customHeight="1">
      <c r="A471" s="6"/>
      <c r="B471" s="6"/>
      <c r="C471" s="766"/>
      <c r="D471" s="776"/>
      <c r="E471" s="766"/>
      <c r="F471" s="776"/>
      <c r="AC471" s="766"/>
      <c r="AD471" s="779"/>
    </row>
    <row r="472" spans="1:30" ht="15.75" customHeight="1">
      <c r="A472" s="6"/>
      <c r="B472" s="6"/>
      <c r="C472" s="766"/>
      <c r="D472" s="776"/>
      <c r="E472" s="766"/>
      <c r="F472" s="776"/>
      <c r="AC472" s="766"/>
      <c r="AD472" s="779"/>
    </row>
    <row r="473" spans="1:30" ht="15.75" customHeight="1">
      <c r="A473" s="6"/>
      <c r="B473" s="6"/>
      <c r="C473" s="766"/>
      <c r="D473" s="776"/>
      <c r="E473" s="766"/>
      <c r="F473" s="776"/>
      <c r="AC473" s="766"/>
      <c r="AD473" s="779"/>
    </row>
    <row r="474" spans="1:30" ht="15.75" customHeight="1">
      <c r="A474" s="6"/>
      <c r="B474" s="6"/>
      <c r="C474" s="766"/>
      <c r="D474" s="776"/>
      <c r="E474" s="766"/>
      <c r="F474" s="776"/>
      <c r="AC474" s="766"/>
      <c r="AD474" s="779"/>
    </row>
    <row r="475" spans="1:30" ht="15.75" customHeight="1">
      <c r="A475" s="6"/>
      <c r="B475" s="6"/>
      <c r="C475" s="766"/>
      <c r="D475" s="776"/>
      <c r="E475" s="766"/>
      <c r="F475" s="776"/>
      <c r="AC475" s="766"/>
      <c r="AD475" s="779"/>
    </row>
    <row r="476" spans="1:30" ht="15.75" customHeight="1">
      <c r="A476" s="6"/>
      <c r="B476" s="6"/>
      <c r="C476" s="766"/>
      <c r="D476" s="776"/>
      <c r="E476" s="766"/>
      <c r="F476" s="776"/>
      <c r="AC476" s="766"/>
      <c r="AD476" s="779"/>
    </row>
    <row r="477" spans="1:30" ht="15.75" customHeight="1">
      <c r="A477" s="6"/>
      <c r="B477" s="6"/>
      <c r="C477" s="766"/>
      <c r="D477" s="776"/>
      <c r="E477" s="766"/>
      <c r="F477" s="776"/>
      <c r="AC477" s="766"/>
      <c r="AD477" s="779"/>
    </row>
    <row r="478" spans="1:30" ht="15.75" customHeight="1">
      <c r="A478" s="6"/>
      <c r="B478" s="6"/>
      <c r="C478" s="766"/>
      <c r="D478" s="776"/>
      <c r="E478" s="766"/>
      <c r="F478" s="776"/>
      <c r="AC478" s="766"/>
      <c r="AD478" s="779"/>
    </row>
    <row r="479" spans="1:30" ht="15.75" customHeight="1">
      <c r="A479" s="6"/>
      <c r="B479" s="6"/>
      <c r="C479" s="766"/>
      <c r="D479" s="776"/>
      <c r="E479" s="766"/>
      <c r="F479" s="776"/>
      <c r="AC479" s="766"/>
      <c r="AD479" s="779"/>
    </row>
    <row r="480" spans="1:30" ht="15.75" customHeight="1">
      <c r="A480" s="6"/>
      <c r="B480" s="6"/>
      <c r="C480" s="766"/>
      <c r="D480" s="776"/>
      <c r="E480" s="766"/>
      <c r="F480" s="776"/>
      <c r="AC480" s="766"/>
      <c r="AD480" s="779"/>
    </row>
    <row r="481" spans="1:30" ht="15.75" customHeight="1">
      <c r="A481" s="6"/>
      <c r="B481" s="6"/>
      <c r="C481" s="766"/>
      <c r="D481" s="776"/>
      <c r="E481" s="766"/>
      <c r="F481" s="776"/>
      <c r="AC481" s="766"/>
      <c r="AD481" s="779"/>
    </row>
    <row r="482" spans="1:30" ht="15.75" customHeight="1">
      <c r="A482" s="6"/>
      <c r="B482" s="6"/>
      <c r="C482" s="766"/>
      <c r="D482" s="776"/>
      <c r="E482" s="766"/>
      <c r="F482" s="776"/>
      <c r="AC482" s="766"/>
      <c r="AD482" s="779"/>
    </row>
    <row r="483" spans="1:30" ht="15.75" customHeight="1">
      <c r="A483" s="6"/>
      <c r="B483" s="6"/>
      <c r="C483" s="766"/>
      <c r="D483" s="776"/>
      <c r="E483" s="766"/>
      <c r="F483" s="776"/>
      <c r="AC483" s="766"/>
      <c r="AD483" s="779"/>
    </row>
    <row r="484" spans="1:30" ht="15.75" customHeight="1">
      <c r="A484" s="6"/>
      <c r="B484" s="6"/>
      <c r="C484" s="766"/>
      <c r="D484" s="776"/>
      <c r="E484" s="766"/>
      <c r="F484" s="776"/>
      <c r="AC484" s="766"/>
      <c r="AD484" s="779"/>
    </row>
    <row r="485" spans="1:30" ht="15.75" customHeight="1">
      <c r="A485" s="6"/>
      <c r="B485" s="6"/>
      <c r="C485" s="766"/>
      <c r="D485" s="776"/>
      <c r="E485" s="766"/>
      <c r="F485" s="776"/>
      <c r="AC485" s="766"/>
      <c r="AD485" s="779"/>
    </row>
    <row r="486" spans="1:30" ht="15.75" customHeight="1">
      <c r="A486" s="6"/>
      <c r="B486" s="6"/>
      <c r="C486" s="766"/>
      <c r="D486" s="776"/>
      <c r="E486" s="766"/>
      <c r="F486" s="776"/>
      <c r="AC486" s="766"/>
      <c r="AD486" s="779"/>
    </row>
    <row r="487" spans="1:30" ht="15.75" customHeight="1">
      <c r="A487" s="6"/>
      <c r="B487" s="6"/>
      <c r="C487" s="766"/>
      <c r="D487" s="776"/>
      <c r="E487" s="766"/>
      <c r="F487" s="776"/>
      <c r="AC487" s="766"/>
      <c r="AD487" s="779"/>
    </row>
    <row r="488" spans="1:30" ht="15.75" customHeight="1">
      <c r="A488" s="6"/>
      <c r="B488" s="6"/>
      <c r="C488" s="766"/>
      <c r="D488" s="776"/>
      <c r="E488" s="766"/>
      <c r="F488" s="776"/>
      <c r="AC488" s="766"/>
      <c r="AD488" s="779"/>
    </row>
    <row r="489" spans="1:30" ht="15.75" customHeight="1">
      <c r="A489" s="6"/>
      <c r="B489" s="6"/>
      <c r="C489" s="766"/>
      <c r="D489" s="776"/>
      <c r="E489" s="766"/>
      <c r="F489" s="776"/>
      <c r="AC489" s="766"/>
      <c r="AD489" s="779"/>
    </row>
    <row r="490" spans="1:30" ht="15.75" customHeight="1">
      <c r="A490" s="6"/>
      <c r="B490" s="6"/>
      <c r="C490" s="766"/>
      <c r="D490" s="776"/>
      <c r="E490" s="766"/>
      <c r="F490" s="776"/>
      <c r="AC490" s="766"/>
      <c r="AD490" s="779"/>
    </row>
    <row r="491" spans="1:30" ht="15.75" customHeight="1">
      <c r="A491" s="6"/>
      <c r="B491" s="6"/>
      <c r="C491" s="766"/>
      <c r="D491" s="776"/>
      <c r="E491" s="766"/>
      <c r="F491" s="776"/>
      <c r="AC491" s="766"/>
      <c r="AD491" s="779"/>
    </row>
    <row r="492" spans="1:30" ht="15.75" customHeight="1">
      <c r="A492" s="6"/>
      <c r="B492" s="6"/>
      <c r="C492" s="766"/>
      <c r="D492" s="776"/>
      <c r="E492" s="766"/>
      <c r="F492" s="776"/>
      <c r="AC492" s="766"/>
      <c r="AD492" s="779"/>
    </row>
    <row r="493" spans="1:30" ht="15.75" customHeight="1">
      <c r="A493" s="6"/>
      <c r="B493" s="6"/>
      <c r="C493" s="766"/>
      <c r="D493" s="776"/>
      <c r="E493" s="766"/>
      <c r="F493" s="776"/>
      <c r="AC493" s="766"/>
      <c r="AD493" s="779"/>
    </row>
    <row r="494" spans="1:30" ht="15.75" customHeight="1">
      <c r="A494" s="6"/>
      <c r="B494" s="6"/>
      <c r="C494" s="766"/>
      <c r="D494" s="776"/>
      <c r="E494" s="766"/>
      <c r="F494" s="776"/>
      <c r="AC494" s="766"/>
      <c r="AD494" s="779"/>
    </row>
    <row r="495" spans="1:30" ht="15.75" customHeight="1">
      <c r="A495" s="6"/>
      <c r="B495" s="6"/>
      <c r="C495" s="766"/>
      <c r="D495" s="776"/>
      <c r="E495" s="766"/>
      <c r="F495" s="776"/>
      <c r="AC495" s="766"/>
      <c r="AD495" s="779"/>
    </row>
    <row r="496" spans="1:30" ht="15.75" customHeight="1">
      <c r="A496" s="6"/>
      <c r="B496" s="6"/>
      <c r="C496" s="766"/>
      <c r="D496" s="776"/>
      <c r="E496" s="766"/>
      <c r="F496" s="776"/>
      <c r="AC496" s="766"/>
      <c r="AD496" s="779"/>
    </row>
    <row r="497" spans="1:30" ht="15.75" customHeight="1">
      <c r="A497" s="6"/>
      <c r="B497" s="6"/>
      <c r="C497" s="766"/>
      <c r="D497" s="776"/>
      <c r="E497" s="766"/>
      <c r="F497" s="776"/>
      <c r="AC497" s="766"/>
      <c r="AD497" s="779"/>
    </row>
    <row r="498" spans="1:30" ht="15.75" customHeight="1">
      <c r="A498" s="6"/>
      <c r="B498" s="6"/>
      <c r="C498" s="766"/>
      <c r="D498" s="776"/>
      <c r="E498" s="766"/>
      <c r="F498" s="776"/>
      <c r="AC498" s="766"/>
      <c r="AD498" s="779"/>
    </row>
    <row r="499" spans="1:30" ht="15.75" customHeight="1">
      <c r="A499" s="6"/>
      <c r="B499" s="6"/>
      <c r="C499" s="766"/>
      <c r="D499" s="776"/>
      <c r="E499" s="766"/>
      <c r="F499" s="776"/>
      <c r="AC499" s="766"/>
      <c r="AD499" s="779"/>
    </row>
    <row r="500" spans="1:30" ht="15.75" customHeight="1">
      <c r="A500" s="6"/>
      <c r="B500" s="6"/>
      <c r="C500" s="766"/>
      <c r="D500" s="776"/>
      <c r="E500" s="766"/>
      <c r="F500" s="776"/>
      <c r="AC500" s="766"/>
      <c r="AD500" s="779"/>
    </row>
    <row r="501" spans="1:30" ht="15.75" customHeight="1">
      <c r="A501" s="6"/>
      <c r="B501" s="6"/>
      <c r="C501" s="766"/>
      <c r="D501" s="776"/>
      <c r="E501" s="766"/>
      <c r="F501" s="776"/>
      <c r="AC501" s="766"/>
      <c r="AD501" s="779"/>
    </row>
    <row r="502" spans="1:30" ht="15.75" customHeight="1">
      <c r="A502" s="6"/>
      <c r="B502" s="6"/>
      <c r="C502" s="766"/>
      <c r="D502" s="776"/>
      <c r="E502" s="766"/>
      <c r="F502" s="776"/>
      <c r="AC502" s="766"/>
      <c r="AD502" s="779"/>
    </row>
    <row r="503" spans="1:30" ht="15.75" customHeight="1">
      <c r="A503" s="6"/>
      <c r="B503" s="6"/>
      <c r="C503" s="766"/>
      <c r="D503" s="776"/>
      <c r="E503" s="766"/>
      <c r="F503" s="776"/>
      <c r="AC503" s="766"/>
      <c r="AD503" s="779"/>
    </row>
    <row r="504" spans="1:30" ht="15.75" customHeight="1">
      <c r="A504" s="6"/>
      <c r="B504" s="6"/>
      <c r="C504" s="766"/>
      <c r="D504" s="776"/>
      <c r="E504" s="766"/>
      <c r="F504" s="776"/>
      <c r="AC504" s="766"/>
      <c r="AD504" s="779"/>
    </row>
    <row r="505" spans="1:30" ht="15.75" customHeight="1">
      <c r="A505" s="6"/>
      <c r="B505" s="6"/>
      <c r="C505" s="766"/>
      <c r="D505" s="776"/>
      <c r="E505" s="766"/>
      <c r="F505" s="776"/>
      <c r="AC505" s="766"/>
      <c r="AD505" s="779"/>
    </row>
    <row r="506" spans="1:30" ht="15.75" customHeight="1">
      <c r="A506" s="6"/>
      <c r="B506" s="6"/>
      <c r="C506" s="766"/>
      <c r="D506" s="776"/>
      <c r="E506" s="766"/>
      <c r="F506" s="776"/>
      <c r="AC506" s="766"/>
      <c r="AD506" s="779"/>
    </row>
    <row r="507" spans="1:30" ht="15.75" customHeight="1">
      <c r="A507" s="6"/>
      <c r="B507" s="6"/>
      <c r="C507" s="766"/>
      <c r="D507" s="776"/>
      <c r="E507" s="766"/>
      <c r="F507" s="776"/>
      <c r="AC507" s="766"/>
      <c r="AD507" s="779"/>
    </row>
    <row r="508" spans="1:30" ht="15.75" customHeight="1">
      <c r="A508" s="6"/>
      <c r="B508" s="6"/>
      <c r="C508" s="766"/>
      <c r="D508" s="776"/>
      <c r="E508" s="766"/>
      <c r="F508" s="776"/>
      <c r="AC508" s="766"/>
      <c r="AD508" s="779"/>
    </row>
    <row r="509" spans="1:30" ht="15.75" customHeight="1">
      <c r="A509" s="6"/>
      <c r="B509" s="6"/>
      <c r="C509" s="766"/>
      <c r="D509" s="776"/>
      <c r="E509" s="766"/>
      <c r="F509" s="776"/>
      <c r="AC509" s="766"/>
      <c r="AD509" s="779"/>
    </row>
    <row r="510" spans="1:30" ht="15.75" customHeight="1">
      <c r="A510" s="6"/>
      <c r="B510" s="6"/>
      <c r="C510" s="766"/>
      <c r="D510" s="776"/>
      <c r="E510" s="766"/>
      <c r="F510" s="776"/>
      <c r="AC510" s="766"/>
      <c r="AD510" s="779"/>
    </row>
    <row r="511" spans="1:30" ht="15.75" customHeight="1">
      <c r="A511" s="6"/>
      <c r="B511" s="6"/>
      <c r="C511" s="766"/>
      <c r="D511" s="776"/>
      <c r="E511" s="766"/>
      <c r="F511" s="776"/>
      <c r="AC511" s="766"/>
      <c r="AD511" s="779"/>
    </row>
    <row r="512" spans="1:30" ht="15.75" customHeight="1">
      <c r="A512" s="6"/>
      <c r="B512" s="6"/>
      <c r="C512" s="766"/>
      <c r="D512" s="776"/>
      <c r="E512" s="766"/>
      <c r="F512" s="776"/>
      <c r="AC512" s="766"/>
      <c r="AD512" s="779"/>
    </row>
    <row r="513" spans="1:30" ht="15.75" customHeight="1">
      <c r="A513" s="6"/>
      <c r="B513" s="6"/>
      <c r="C513" s="766"/>
      <c r="D513" s="776"/>
      <c r="E513" s="766"/>
      <c r="F513" s="776"/>
      <c r="AC513" s="766"/>
      <c r="AD513" s="779"/>
    </row>
    <row r="514" spans="1:30" ht="15.75" customHeight="1">
      <c r="A514" s="6"/>
      <c r="B514" s="6"/>
      <c r="C514" s="766"/>
      <c r="D514" s="776"/>
      <c r="E514" s="766"/>
      <c r="F514" s="776"/>
      <c r="AC514" s="766"/>
      <c r="AD514" s="779"/>
    </row>
    <row r="515" spans="1:30" ht="15.75" customHeight="1">
      <c r="A515" s="6"/>
      <c r="B515" s="6"/>
      <c r="C515" s="766"/>
      <c r="D515" s="776"/>
      <c r="E515" s="766"/>
      <c r="F515" s="776"/>
      <c r="AC515" s="766"/>
      <c r="AD515" s="779"/>
    </row>
    <row r="516" spans="1:30" ht="15.75" customHeight="1">
      <c r="A516" s="6"/>
      <c r="B516" s="6"/>
      <c r="C516" s="766"/>
      <c r="D516" s="776"/>
      <c r="E516" s="766"/>
      <c r="F516" s="776"/>
      <c r="AC516" s="766"/>
      <c r="AD516" s="779"/>
    </row>
    <row r="517" spans="1:30" ht="15.75" customHeight="1">
      <c r="A517" s="6"/>
      <c r="B517" s="6"/>
      <c r="C517" s="766"/>
      <c r="D517" s="776"/>
      <c r="E517" s="766"/>
      <c r="F517" s="776"/>
      <c r="AC517" s="766"/>
      <c r="AD517" s="779"/>
    </row>
    <row r="518" spans="1:30" ht="15.75" customHeight="1">
      <c r="A518" s="6"/>
      <c r="B518" s="6"/>
      <c r="C518" s="766"/>
      <c r="D518" s="776"/>
      <c r="E518" s="766"/>
      <c r="F518" s="776"/>
      <c r="AC518" s="766"/>
      <c r="AD518" s="779"/>
    </row>
    <row r="519" spans="1:30" ht="15.75" customHeight="1">
      <c r="A519" s="6"/>
      <c r="B519" s="6"/>
      <c r="C519" s="766"/>
      <c r="D519" s="776"/>
      <c r="E519" s="766"/>
      <c r="F519" s="776"/>
      <c r="AC519" s="766"/>
      <c r="AD519" s="779"/>
    </row>
    <row r="520" spans="1:30" ht="15.75" customHeight="1">
      <c r="A520" s="6"/>
      <c r="B520" s="6"/>
      <c r="C520" s="766"/>
      <c r="D520" s="776"/>
      <c r="E520" s="766"/>
      <c r="F520" s="776"/>
      <c r="AC520" s="766"/>
      <c r="AD520" s="779"/>
    </row>
    <row r="521" spans="1:30" ht="15.75" customHeight="1">
      <c r="A521" s="6"/>
      <c r="B521" s="6"/>
      <c r="C521" s="766"/>
      <c r="D521" s="776"/>
      <c r="E521" s="766"/>
      <c r="F521" s="776"/>
      <c r="AC521" s="766"/>
      <c r="AD521" s="779"/>
    </row>
    <row r="522" spans="1:30" ht="15.75" customHeight="1">
      <c r="A522" s="6"/>
      <c r="B522" s="6"/>
      <c r="C522" s="766"/>
      <c r="D522" s="776"/>
      <c r="E522" s="766"/>
      <c r="F522" s="776"/>
      <c r="AC522" s="766"/>
      <c r="AD522" s="779"/>
    </row>
    <row r="523" spans="1:30" ht="15.75" customHeight="1">
      <c r="A523" s="6"/>
      <c r="B523" s="6"/>
      <c r="C523" s="766"/>
      <c r="D523" s="776"/>
      <c r="E523" s="766"/>
      <c r="F523" s="776"/>
      <c r="AC523" s="766"/>
      <c r="AD523" s="779"/>
    </row>
    <row r="524" spans="1:30" ht="15.75" customHeight="1">
      <c r="A524" s="6"/>
      <c r="B524" s="6"/>
      <c r="C524" s="766"/>
      <c r="D524" s="776"/>
      <c r="E524" s="766"/>
      <c r="F524" s="776"/>
      <c r="AC524" s="766"/>
      <c r="AD524" s="779"/>
    </row>
    <row r="525" spans="1:30" ht="15.75" customHeight="1">
      <c r="A525" s="6"/>
      <c r="B525" s="6"/>
      <c r="C525" s="766"/>
      <c r="D525" s="776"/>
      <c r="E525" s="766"/>
      <c r="F525" s="776"/>
      <c r="AC525" s="766"/>
      <c r="AD525" s="779"/>
    </row>
    <row r="526" spans="1:30" ht="15.75" customHeight="1">
      <c r="A526" s="6"/>
      <c r="B526" s="6"/>
      <c r="C526" s="766"/>
      <c r="D526" s="776"/>
      <c r="E526" s="766"/>
      <c r="F526" s="776"/>
      <c r="AC526" s="766"/>
      <c r="AD526" s="779"/>
    </row>
    <row r="527" spans="1:30" ht="15.75" customHeight="1">
      <c r="A527" s="6"/>
      <c r="B527" s="6"/>
      <c r="C527" s="766"/>
      <c r="D527" s="776"/>
      <c r="E527" s="766"/>
      <c r="F527" s="776"/>
      <c r="AC527" s="766"/>
      <c r="AD527" s="779"/>
    </row>
    <row r="528" spans="1:30" ht="15.75" customHeight="1">
      <c r="A528" s="6"/>
      <c r="B528" s="6"/>
      <c r="C528" s="766"/>
      <c r="D528" s="776"/>
      <c r="E528" s="766"/>
      <c r="F528" s="776"/>
      <c r="AC528" s="766"/>
      <c r="AD528" s="779"/>
    </row>
    <row r="529" spans="1:30" ht="15.75" customHeight="1">
      <c r="A529" s="6"/>
      <c r="B529" s="6"/>
      <c r="C529" s="766"/>
      <c r="D529" s="776"/>
      <c r="E529" s="766"/>
      <c r="F529" s="776"/>
      <c r="AC529" s="766"/>
      <c r="AD529" s="779"/>
    </row>
    <row r="530" spans="1:30" ht="15.75" customHeight="1">
      <c r="A530" s="6"/>
      <c r="B530" s="6"/>
      <c r="C530" s="766"/>
      <c r="D530" s="776"/>
      <c r="E530" s="766"/>
      <c r="F530" s="776"/>
      <c r="AC530" s="766"/>
      <c r="AD530" s="779"/>
    </row>
    <row r="531" spans="1:30" ht="15.75" customHeight="1">
      <c r="A531" s="6"/>
      <c r="B531" s="6"/>
      <c r="C531" s="766"/>
      <c r="D531" s="776"/>
      <c r="E531" s="766"/>
      <c r="F531" s="776"/>
      <c r="AC531" s="766"/>
      <c r="AD531" s="779"/>
    </row>
    <row r="532" spans="1:30" ht="15.75" customHeight="1">
      <c r="A532" s="6"/>
      <c r="B532" s="6"/>
      <c r="C532" s="766"/>
      <c r="D532" s="776"/>
      <c r="E532" s="766"/>
      <c r="F532" s="776"/>
      <c r="AC532" s="766"/>
      <c r="AD532" s="779"/>
    </row>
    <row r="533" spans="1:30" ht="15.75" customHeight="1">
      <c r="A533" s="6"/>
      <c r="B533" s="6"/>
      <c r="C533" s="766"/>
      <c r="D533" s="776"/>
      <c r="E533" s="766"/>
      <c r="F533" s="776"/>
      <c r="AC533" s="766"/>
      <c r="AD533" s="779"/>
    </row>
    <row r="534" spans="1:30" ht="15.75" customHeight="1">
      <c r="A534" s="6"/>
      <c r="B534" s="6"/>
      <c r="C534" s="766"/>
      <c r="D534" s="776"/>
      <c r="E534" s="766"/>
      <c r="F534" s="776"/>
      <c r="AC534" s="766"/>
      <c r="AD534" s="779"/>
    </row>
    <row r="535" spans="1:30" ht="15.75" customHeight="1">
      <c r="A535" s="6"/>
      <c r="B535" s="6"/>
      <c r="C535" s="766"/>
      <c r="D535" s="776"/>
      <c r="E535" s="766"/>
      <c r="F535" s="776"/>
      <c r="AC535" s="766"/>
      <c r="AD535" s="779"/>
    </row>
    <row r="536" spans="1:30" ht="15.75" customHeight="1">
      <c r="A536" s="6"/>
      <c r="B536" s="6"/>
      <c r="C536" s="766"/>
      <c r="D536" s="776"/>
      <c r="E536" s="766"/>
      <c r="F536" s="776"/>
      <c r="AC536" s="766"/>
      <c r="AD536" s="779"/>
    </row>
    <row r="537" spans="1:30" ht="15.75" customHeight="1">
      <c r="A537" s="6"/>
      <c r="B537" s="6"/>
      <c r="C537" s="766"/>
      <c r="D537" s="776"/>
      <c r="E537" s="766"/>
      <c r="F537" s="776"/>
      <c r="AC537" s="766"/>
      <c r="AD537" s="779"/>
    </row>
    <row r="538" spans="1:30" ht="15.75" customHeight="1">
      <c r="A538" s="6"/>
      <c r="B538" s="6"/>
      <c r="C538" s="766"/>
      <c r="D538" s="776"/>
      <c r="E538" s="766"/>
      <c r="F538" s="776"/>
      <c r="AC538" s="766"/>
      <c r="AD538" s="779"/>
    </row>
    <row r="539" spans="1:30" ht="15.75" customHeight="1">
      <c r="A539" s="6"/>
      <c r="B539" s="6"/>
      <c r="C539" s="766"/>
      <c r="D539" s="776"/>
      <c r="E539" s="766"/>
      <c r="F539" s="776"/>
      <c r="AC539" s="766"/>
      <c r="AD539" s="779"/>
    </row>
    <row r="540" spans="1:30" ht="15.75" customHeight="1">
      <c r="A540" s="6"/>
      <c r="B540" s="6"/>
      <c r="C540" s="766"/>
      <c r="D540" s="776"/>
      <c r="E540" s="766"/>
      <c r="F540" s="776"/>
      <c r="AC540" s="766"/>
      <c r="AD540" s="779"/>
    </row>
    <row r="541" spans="1:30" ht="15.75" customHeight="1">
      <c r="A541" s="6"/>
      <c r="B541" s="6"/>
      <c r="C541" s="766"/>
      <c r="D541" s="776"/>
      <c r="E541" s="766"/>
      <c r="F541" s="776"/>
      <c r="AC541" s="766"/>
      <c r="AD541" s="779"/>
    </row>
    <row r="542" spans="1:30" ht="15.75" customHeight="1">
      <c r="A542" s="6"/>
      <c r="B542" s="6"/>
      <c r="C542" s="766"/>
      <c r="D542" s="776"/>
      <c r="E542" s="766"/>
      <c r="F542" s="776"/>
      <c r="AC542" s="766"/>
      <c r="AD542" s="779"/>
    </row>
    <row r="543" spans="1:30" ht="15.75" customHeight="1">
      <c r="A543" s="6"/>
      <c r="B543" s="6"/>
      <c r="C543" s="766"/>
      <c r="D543" s="776"/>
      <c r="E543" s="766"/>
      <c r="F543" s="776"/>
      <c r="AC543" s="766"/>
      <c r="AD543" s="779"/>
    </row>
    <row r="544" spans="1:30" ht="15.75" customHeight="1">
      <c r="A544" s="6"/>
      <c r="B544" s="6"/>
      <c r="C544" s="766"/>
      <c r="D544" s="776"/>
      <c r="E544" s="766"/>
      <c r="F544" s="776"/>
      <c r="AC544" s="766"/>
      <c r="AD544" s="779"/>
    </row>
    <row r="545" spans="1:30" ht="15.75" customHeight="1">
      <c r="A545" s="6"/>
      <c r="B545" s="6"/>
      <c r="C545" s="766"/>
      <c r="D545" s="776"/>
      <c r="E545" s="766"/>
      <c r="F545" s="776"/>
      <c r="AC545" s="766"/>
      <c r="AD545" s="779"/>
    </row>
    <row r="546" spans="1:30" ht="15.75" customHeight="1">
      <c r="A546" s="6"/>
      <c r="B546" s="6"/>
      <c r="C546" s="766"/>
      <c r="D546" s="776"/>
      <c r="E546" s="766"/>
      <c r="F546" s="776"/>
      <c r="AC546" s="766"/>
      <c r="AD546" s="779"/>
    </row>
    <row r="547" spans="1:30" ht="15.75" customHeight="1">
      <c r="A547" s="6"/>
      <c r="B547" s="6"/>
      <c r="C547" s="766"/>
      <c r="D547" s="776"/>
      <c r="E547" s="766"/>
      <c r="F547" s="776"/>
      <c r="AC547" s="766"/>
      <c r="AD547" s="779"/>
    </row>
    <row r="548" spans="1:30" ht="15.75" customHeight="1">
      <c r="A548" s="6"/>
      <c r="B548" s="6"/>
      <c r="C548" s="766"/>
      <c r="D548" s="776"/>
      <c r="E548" s="766"/>
      <c r="F548" s="776"/>
      <c r="AC548" s="766"/>
      <c r="AD548" s="779"/>
    </row>
    <row r="549" spans="1:30" ht="15.75" customHeight="1">
      <c r="A549" s="6"/>
      <c r="B549" s="6"/>
      <c r="C549" s="766"/>
      <c r="D549" s="776"/>
      <c r="E549" s="766"/>
      <c r="F549" s="776"/>
      <c r="AC549" s="766"/>
      <c r="AD549" s="779"/>
    </row>
    <row r="550" spans="1:30" ht="15.75" customHeight="1">
      <c r="A550" s="6"/>
      <c r="B550" s="6"/>
      <c r="C550" s="766"/>
      <c r="D550" s="776"/>
      <c r="E550" s="766"/>
      <c r="F550" s="776"/>
      <c r="AC550" s="766"/>
      <c r="AD550" s="779"/>
    </row>
    <row r="551" spans="1:30" ht="15.75" customHeight="1">
      <c r="A551" s="6"/>
      <c r="B551" s="6"/>
      <c r="C551" s="766"/>
      <c r="D551" s="776"/>
      <c r="E551" s="766"/>
      <c r="F551" s="776"/>
      <c r="AC551" s="766"/>
      <c r="AD551" s="779"/>
    </row>
    <row r="552" spans="1:30" ht="15.75" customHeight="1">
      <c r="A552" s="6"/>
      <c r="B552" s="6"/>
      <c r="C552" s="766"/>
      <c r="D552" s="776"/>
      <c r="E552" s="766"/>
      <c r="F552" s="776"/>
      <c r="AC552" s="766"/>
      <c r="AD552" s="779"/>
    </row>
    <row r="553" spans="1:30" ht="15.75" customHeight="1">
      <c r="A553" s="6"/>
      <c r="B553" s="6"/>
      <c r="C553" s="766"/>
      <c r="D553" s="776"/>
      <c r="E553" s="766"/>
      <c r="F553" s="776"/>
      <c r="AC553" s="766"/>
      <c r="AD553" s="779"/>
    </row>
    <row r="554" spans="1:30" ht="15.75" customHeight="1">
      <c r="A554" s="6"/>
      <c r="B554" s="6"/>
      <c r="C554" s="766"/>
      <c r="D554" s="776"/>
      <c r="E554" s="766"/>
      <c r="F554" s="776"/>
      <c r="AC554" s="766"/>
      <c r="AD554" s="779"/>
    </row>
    <row r="555" spans="1:30" ht="15.75" customHeight="1">
      <c r="A555" s="6"/>
      <c r="B555" s="6"/>
      <c r="C555" s="766"/>
      <c r="D555" s="776"/>
      <c r="E555" s="766"/>
      <c r="F555" s="776"/>
      <c r="AC555" s="766"/>
      <c r="AD555" s="779"/>
    </row>
    <row r="556" spans="1:30" ht="15.75" customHeight="1">
      <c r="A556" s="6"/>
      <c r="B556" s="6"/>
      <c r="C556" s="766"/>
      <c r="D556" s="776"/>
      <c r="E556" s="766"/>
      <c r="F556" s="776"/>
      <c r="AC556" s="766"/>
      <c r="AD556" s="779"/>
    </row>
    <row r="557" spans="1:30" ht="15.75" customHeight="1">
      <c r="A557" s="6"/>
      <c r="B557" s="6"/>
      <c r="C557" s="766"/>
      <c r="D557" s="776"/>
      <c r="E557" s="766"/>
      <c r="F557" s="776"/>
      <c r="AC557" s="766"/>
      <c r="AD557" s="779"/>
    </row>
    <row r="558" spans="1:30" ht="15.75" customHeight="1">
      <c r="A558" s="6"/>
      <c r="B558" s="6"/>
      <c r="C558" s="766"/>
      <c r="D558" s="776"/>
      <c r="E558" s="766"/>
      <c r="F558" s="776"/>
      <c r="AC558" s="766"/>
      <c r="AD558" s="779"/>
    </row>
    <row r="559" spans="1:30" ht="15.75" customHeight="1">
      <c r="A559" s="6"/>
      <c r="B559" s="6"/>
      <c r="C559" s="766"/>
      <c r="D559" s="776"/>
      <c r="E559" s="766"/>
      <c r="F559" s="776"/>
      <c r="AC559" s="766"/>
      <c r="AD559" s="779"/>
    </row>
    <row r="560" spans="1:30" ht="15.75" customHeight="1">
      <c r="A560" s="6"/>
      <c r="B560" s="6"/>
      <c r="C560" s="766"/>
      <c r="D560" s="776"/>
      <c r="E560" s="766"/>
      <c r="F560" s="776"/>
      <c r="AC560" s="766"/>
      <c r="AD560" s="779"/>
    </row>
    <row r="561" spans="1:30" ht="15.75" customHeight="1">
      <c r="A561" s="6"/>
      <c r="B561" s="6"/>
      <c r="C561" s="766"/>
      <c r="D561" s="776"/>
      <c r="E561" s="766"/>
      <c r="F561" s="776"/>
      <c r="AC561" s="766"/>
      <c r="AD561" s="779"/>
    </row>
    <row r="562" spans="1:30" ht="15.75" customHeight="1">
      <c r="A562" s="6"/>
      <c r="B562" s="6"/>
      <c r="C562" s="766"/>
      <c r="D562" s="776"/>
      <c r="E562" s="766"/>
      <c r="F562" s="776"/>
      <c r="AC562" s="766"/>
      <c r="AD562" s="779"/>
    </row>
    <row r="563" spans="1:30" ht="15.75" customHeight="1">
      <c r="A563" s="6"/>
      <c r="B563" s="6"/>
      <c r="C563" s="766"/>
      <c r="D563" s="776"/>
      <c r="E563" s="766"/>
      <c r="F563" s="776"/>
      <c r="AC563" s="766"/>
      <c r="AD563" s="779"/>
    </row>
    <row r="564" spans="1:30" ht="15.75" customHeight="1">
      <c r="A564" s="6"/>
      <c r="B564" s="6"/>
      <c r="C564" s="766"/>
      <c r="D564" s="776"/>
      <c r="E564" s="766"/>
      <c r="F564" s="776"/>
      <c r="AC564" s="766"/>
      <c r="AD564" s="779"/>
    </row>
    <row r="565" spans="1:30" ht="15.75" customHeight="1">
      <c r="A565" s="6"/>
      <c r="B565" s="6"/>
      <c r="C565" s="766"/>
      <c r="D565" s="776"/>
      <c r="E565" s="766"/>
      <c r="F565" s="776"/>
      <c r="AC565" s="766"/>
      <c r="AD565" s="779"/>
    </row>
    <row r="566" spans="1:30" ht="15.75" customHeight="1">
      <c r="A566" s="6"/>
      <c r="B566" s="6"/>
      <c r="C566" s="766"/>
      <c r="D566" s="776"/>
      <c r="E566" s="766"/>
      <c r="F566" s="776"/>
      <c r="AC566" s="766"/>
      <c r="AD566" s="779"/>
    </row>
    <row r="567" spans="1:30" ht="15.75" customHeight="1">
      <c r="A567" s="6"/>
      <c r="B567" s="6"/>
      <c r="C567" s="766"/>
      <c r="D567" s="776"/>
      <c r="E567" s="766"/>
      <c r="F567" s="776"/>
      <c r="AC567" s="766"/>
      <c r="AD567" s="779"/>
    </row>
    <row r="568" spans="1:30" ht="15.75" customHeight="1">
      <c r="A568" s="6"/>
      <c r="B568" s="6"/>
      <c r="C568" s="766"/>
      <c r="D568" s="776"/>
      <c r="E568" s="766"/>
      <c r="F568" s="776"/>
      <c r="AC568" s="766"/>
      <c r="AD568" s="779"/>
    </row>
    <row r="569" spans="1:30" ht="15.75" customHeight="1">
      <c r="A569" s="6"/>
      <c r="B569" s="6"/>
      <c r="C569" s="766"/>
      <c r="D569" s="776"/>
      <c r="E569" s="766"/>
      <c r="F569" s="776"/>
      <c r="AC569" s="766"/>
      <c r="AD569" s="779"/>
    </row>
    <row r="570" spans="1:30" ht="15.75" customHeight="1">
      <c r="A570" s="6"/>
      <c r="B570" s="6"/>
      <c r="C570" s="766"/>
      <c r="D570" s="776"/>
      <c r="E570" s="766"/>
      <c r="F570" s="776"/>
      <c r="AC570" s="766"/>
      <c r="AD570" s="779"/>
    </row>
    <row r="571" spans="1:30" ht="15.75" customHeight="1">
      <c r="A571" s="6"/>
      <c r="B571" s="6"/>
      <c r="C571" s="766"/>
      <c r="D571" s="776"/>
      <c r="E571" s="766"/>
      <c r="F571" s="776"/>
      <c r="AC571" s="766"/>
      <c r="AD571" s="779"/>
    </row>
    <row r="572" spans="1:30" ht="15.75" customHeight="1">
      <c r="A572" s="6"/>
      <c r="B572" s="6"/>
      <c r="C572" s="766"/>
      <c r="D572" s="776"/>
      <c r="E572" s="766"/>
      <c r="F572" s="776"/>
      <c r="AC572" s="766"/>
      <c r="AD572" s="779"/>
    </row>
    <row r="573" spans="1:30" ht="15.75" customHeight="1">
      <c r="A573" s="6"/>
      <c r="B573" s="6"/>
      <c r="C573" s="766"/>
      <c r="D573" s="776"/>
      <c r="E573" s="766"/>
      <c r="F573" s="776"/>
      <c r="AC573" s="766"/>
      <c r="AD573" s="779"/>
    </row>
    <row r="574" spans="1:30" ht="15.75" customHeight="1">
      <c r="A574" s="6"/>
      <c r="B574" s="6"/>
      <c r="C574" s="766"/>
      <c r="D574" s="776"/>
      <c r="E574" s="766"/>
      <c r="F574" s="776"/>
      <c r="AC574" s="766"/>
      <c r="AD574" s="779"/>
    </row>
    <row r="575" spans="1:30" ht="15.75" customHeight="1">
      <c r="A575" s="6"/>
      <c r="B575" s="6"/>
      <c r="C575" s="766"/>
      <c r="D575" s="776"/>
      <c r="E575" s="766"/>
      <c r="F575" s="776"/>
      <c r="AC575" s="766"/>
      <c r="AD575" s="779"/>
    </row>
    <row r="576" spans="1:30" ht="15.75" customHeight="1">
      <c r="A576" s="6"/>
      <c r="B576" s="6"/>
      <c r="C576" s="766"/>
      <c r="D576" s="776"/>
      <c r="E576" s="766"/>
      <c r="F576" s="776"/>
      <c r="AC576" s="766"/>
      <c r="AD576" s="779"/>
    </row>
    <row r="577" spans="1:30" ht="15.75" customHeight="1">
      <c r="A577" s="6"/>
      <c r="B577" s="6"/>
      <c r="C577" s="766"/>
      <c r="D577" s="776"/>
      <c r="E577" s="766"/>
      <c r="F577" s="776"/>
      <c r="AC577" s="766"/>
      <c r="AD577" s="779"/>
    </row>
    <row r="578" spans="1:30" ht="15.75" customHeight="1">
      <c r="A578" s="6"/>
      <c r="B578" s="6"/>
      <c r="C578" s="766"/>
      <c r="D578" s="776"/>
      <c r="E578" s="766"/>
      <c r="F578" s="776"/>
      <c r="AC578" s="766"/>
      <c r="AD578" s="779"/>
    </row>
    <row r="579" spans="1:30" ht="15.75" customHeight="1">
      <c r="A579" s="6"/>
      <c r="B579" s="6"/>
      <c r="C579" s="766"/>
      <c r="D579" s="776"/>
      <c r="E579" s="766"/>
      <c r="F579" s="776"/>
      <c r="AC579" s="766"/>
      <c r="AD579" s="779"/>
    </row>
    <row r="580" spans="1:30" ht="15.75" customHeight="1">
      <c r="A580" s="6"/>
      <c r="B580" s="6"/>
      <c r="C580" s="766"/>
      <c r="D580" s="776"/>
      <c r="E580" s="766"/>
      <c r="F580" s="776"/>
      <c r="AC580" s="766"/>
      <c r="AD580" s="779"/>
    </row>
    <row r="581" spans="1:30" ht="15.75" customHeight="1">
      <c r="A581" s="6"/>
      <c r="B581" s="6"/>
      <c r="C581" s="766"/>
      <c r="D581" s="776"/>
      <c r="E581" s="766"/>
      <c r="F581" s="776"/>
      <c r="AC581" s="766"/>
      <c r="AD581" s="779"/>
    </row>
    <row r="582" spans="1:30" ht="15.75" customHeight="1">
      <c r="A582" s="6"/>
      <c r="B582" s="6"/>
      <c r="C582" s="766"/>
      <c r="D582" s="776"/>
      <c r="E582" s="766"/>
      <c r="F582" s="776"/>
      <c r="AC582" s="766"/>
      <c r="AD582" s="779"/>
    </row>
    <row r="583" spans="1:30" ht="15.75" customHeight="1">
      <c r="A583" s="6"/>
      <c r="B583" s="6"/>
      <c r="C583" s="766"/>
      <c r="D583" s="776"/>
      <c r="E583" s="766"/>
      <c r="F583" s="776"/>
      <c r="AC583" s="766"/>
      <c r="AD583" s="779"/>
    </row>
    <row r="584" spans="1:30" ht="15.75" customHeight="1">
      <c r="A584" s="6"/>
      <c r="B584" s="6"/>
      <c r="C584" s="766"/>
      <c r="D584" s="776"/>
      <c r="E584" s="766"/>
      <c r="F584" s="776"/>
      <c r="AC584" s="766"/>
      <c r="AD584" s="779"/>
    </row>
    <row r="585" spans="1:30" ht="15.75" customHeight="1">
      <c r="A585" s="6"/>
      <c r="B585" s="6"/>
      <c r="C585" s="766"/>
      <c r="D585" s="776"/>
      <c r="E585" s="766"/>
      <c r="F585" s="776"/>
      <c r="AC585" s="766"/>
      <c r="AD585" s="779"/>
    </row>
    <row r="586" spans="1:30" ht="15.75" customHeight="1">
      <c r="A586" s="6"/>
      <c r="B586" s="6"/>
      <c r="C586" s="766"/>
      <c r="D586" s="776"/>
      <c r="E586" s="766"/>
      <c r="F586" s="776"/>
      <c r="AC586" s="766"/>
      <c r="AD586" s="779"/>
    </row>
    <row r="587" spans="1:30" ht="15.75" customHeight="1">
      <c r="A587" s="6"/>
      <c r="B587" s="6"/>
      <c r="C587" s="766"/>
      <c r="D587" s="776"/>
      <c r="E587" s="766"/>
      <c r="F587" s="776"/>
      <c r="AC587" s="766"/>
      <c r="AD587" s="779"/>
    </row>
    <row r="588" spans="1:30" ht="15.75" customHeight="1">
      <c r="A588" s="6"/>
      <c r="B588" s="6"/>
      <c r="C588" s="766"/>
      <c r="D588" s="776"/>
      <c r="E588" s="766"/>
      <c r="F588" s="776"/>
      <c r="AC588" s="766"/>
      <c r="AD588" s="779"/>
    </row>
    <row r="589" spans="1:30" ht="15.75" customHeight="1">
      <c r="A589" s="6"/>
      <c r="B589" s="6"/>
      <c r="C589" s="766"/>
      <c r="D589" s="776"/>
      <c r="E589" s="766"/>
      <c r="F589" s="776"/>
      <c r="AC589" s="766"/>
      <c r="AD589" s="779"/>
    </row>
  </sheetData>
  <mergeCells count="15">
    <mergeCell ref="AC1:AC2"/>
    <mergeCell ref="AD1:AD2"/>
    <mergeCell ref="Y1:Z1"/>
    <mergeCell ref="AA1:AB1"/>
    <mergeCell ref="C1:D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13</vt:i4>
      </vt:variant>
    </vt:vector>
  </HeadingPairs>
  <TitlesOfParts>
    <vt:vector size="40" baseType="lpstr">
      <vt:lpstr>Proyecciones</vt:lpstr>
      <vt:lpstr>Bases</vt:lpstr>
      <vt:lpstr>P&amp;G</vt:lpstr>
      <vt:lpstr>Balance</vt:lpstr>
      <vt:lpstr>Flujo de Caja</vt:lpstr>
      <vt:lpstr>Salidas</vt:lpstr>
      <vt:lpstr>Deuda $</vt:lpstr>
      <vt:lpstr>Terrenos</vt:lpstr>
      <vt:lpstr>Construcciones</vt:lpstr>
      <vt:lpstr>Maquinaria</vt:lpstr>
      <vt:lpstr>Muebles</vt:lpstr>
      <vt:lpstr>Transporte</vt:lpstr>
      <vt:lpstr>Oficina</vt:lpstr>
      <vt:lpstr>Semovientes</vt:lpstr>
      <vt:lpstr>Permanentes</vt:lpstr>
      <vt:lpstr>Anticipados</vt:lpstr>
      <vt:lpstr>PLAN DE PRODUCCCION</vt:lpstr>
      <vt:lpstr>PLAN DE VENTAS</vt:lpstr>
      <vt:lpstr>INVERSIONES</vt:lpstr>
      <vt:lpstr>NOMINA PROYECCION</vt:lpstr>
      <vt:lpstr>COSTOS MATERIA PRIMA</vt:lpstr>
      <vt:lpstr>COSTOS MANO DE OBRA</vt:lpstr>
      <vt:lpstr>GASTOS ADMINISTRATIVOS</vt:lpstr>
      <vt:lpstr>GASTOS VENTAS</vt:lpstr>
      <vt:lpstr>fij precios</vt:lpstr>
      <vt:lpstr>RESUMEN INVERSIONES FONDO</vt:lpstr>
      <vt:lpstr>PLAN OPERATIVO</vt:lpstr>
      <vt:lpstr>Balance!Print_Area</vt:lpstr>
      <vt:lpstr>Bases!Print_Area</vt:lpstr>
      <vt:lpstr>'Flujo de Caja'!Print_Area</vt:lpstr>
      <vt:lpstr>'P&amp;G'!Print_Area</vt:lpstr>
      <vt:lpstr>Proyecciones!Print_Area</vt:lpstr>
      <vt:lpstr>Salidas!Print_Area</vt:lpstr>
      <vt:lpstr>Proyecciones!Print_Titles</vt:lpstr>
      <vt:lpstr>Balance!Z_63916809_C01D_4B23_BE77_5F659C46351E_.wvu.PrintArea</vt:lpstr>
      <vt:lpstr>Bases!Z_63916809_C01D_4B23_BE77_5F659C46351E_.wvu.PrintArea</vt:lpstr>
      <vt:lpstr>'Flujo de Caja'!Z_63916809_C01D_4B23_BE77_5F659C46351E_.wvu.PrintArea</vt:lpstr>
      <vt:lpstr>'P&amp;G'!Z_63916809_C01D_4B23_BE77_5F659C46351E_.wvu.PrintArea</vt:lpstr>
      <vt:lpstr>Proyecciones!Z_63916809_C01D_4B23_BE77_5F659C46351E_.wvu.PrintArea</vt:lpstr>
      <vt:lpstr>Proyecciones!Z_63916809_C01D_4B23_BE77_5F659C46351E_.wvu.PrintTitles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Usuario de Windows</cp:lastModifiedBy>
  <dcterms:created xsi:type="dcterms:W3CDTF">2017-03-16T00:31:08Z</dcterms:created>
  <dcterms:modified xsi:type="dcterms:W3CDTF">2017-04-30T16:47:36Z</dcterms:modified>
</cp:coreProperties>
</file>