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s Santana\Documents\"/>
    </mc:Choice>
  </mc:AlternateContent>
  <bookViews>
    <workbookView xWindow="0" yWindow="0" windowWidth="21570" windowHeight="8145" tabRatio="920" firstSheet="3" activeTab="10"/>
  </bookViews>
  <sheets>
    <sheet name="Tabla Crecimiento" sheetId="11" r:id="rId1"/>
    <sheet name="Presupuesto Inicial" sheetId="1" r:id="rId2"/>
    <sheet name="Salarios, gastos y costos" sheetId="3" r:id="rId3"/>
    <sheet name="Estado de situacion financiera " sheetId="2" r:id="rId4"/>
    <sheet name="Prestamo" sheetId="14" r:id="rId5"/>
    <sheet name="Estado de resultados PyG - 12 m" sheetId="4" r:id="rId6"/>
    <sheet name="Estado de resultados PyG - 5 añ" sheetId="5" r:id="rId7"/>
    <sheet name="Flujo de caja - 12 meses" sheetId="8" r:id="rId8"/>
    <sheet name="Flujo de caja - 5 años" sheetId="6" r:id="rId9"/>
    <sheet name="Flujo de Caja (Profesor) - 5 añ" sheetId="7" r:id="rId10"/>
    <sheet name="VAN y TIR" sheetId="9" r:id="rId11"/>
    <sheet name="Balance General" sheetId="10" r:id="rId12"/>
    <sheet name="Calculo % Rentabilidad" sheetId="12" r:id="rId13"/>
    <sheet name="Análisis metros cuadrados" sheetId="13" r:id="rId14"/>
  </sheets>
  <calcPr calcId="152511"/>
</workbook>
</file>

<file path=xl/calcChain.xml><?xml version="1.0" encoding="utf-8"?>
<calcChain xmlns="http://schemas.openxmlformats.org/spreadsheetml/2006/main">
  <c r="M34" i="9" l="1"/>
  <c r="M35" i="9"/>
  <c r="M36" i="9"/>
  <c r="M37" i="9"/>
  <c r="M38" i="9"/>
  <c r="M39" i="9"/>
  <c r="M40" i="9"/>
  <c r="M41" i="9"/>
  <c r="M42" i="9"/>
  <c r="M43" i="9"/>
  <c r="M44" i="9"/>
  <c r="M45" i="9"/>
  <c r="M46" i="9"/>
  <c r="M47" i="9"/>
  <c r="M48" i="9"/>
  <c r="M49" i="9"/>
  <c r="M50" i="9"/>
  <c r="M51" i="9"/>
  <c r="M52" i="9"/>
  <c r="M53" i="9"/>
  <c r="M54" i="9"/>
  <c r="M55" i="9"/>
  <c r="M56" i="9"/>
  <c r="M57" i="9"/>
  <c r="M58" i="9"/>
  <c r="M59" i="9"/>
  <c r="M60" i="9"/>
  <c r="M61" i="9"/>
  <c r="M62" i="9"/>
  <c r="M63" i="9"/>
  <c r="M64" i="9"/>
  <c r="M65" i="9"/>
  <c r="M66" i="9"/>
  <c r="M31" i="9"/>
  <c r="M32" i="9"/>
  <c r="M33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B34" i="9"/>
  <c r="B39" i="9"/>
  <c r="B38" i="9"/>
  <c r="C26" i="9"/>
  <c r="B5" i="9"/>
  <c r="H1" i="9"/>
  <c r="O5" i="11"/>
  <c r="O3" i="11"/>
  <c r="C5" i="11" s="1"/>
  <c r="I2" i="11"/>
  <c r="F23" i="11" l="1"/>
  <c r="F24" i="11"/>
  <c r="F25" i="11"/>
  <c r="F26" i="11"/>
  <c r="F27" i="11"/>
  <c r="F28" i="11"/>
  <c r="F29" i="11"/>
  <c r="F30" i="11"/>
  <c r="F31" i="11"/>
  <c r="F32" i="11"/>
  <c r="F33" i="11"/>
  <c r="F34" i="11"/>
  <c r="F35" i="11"/>
  <c r="F22" i="11"/>
  <c r="F7" i="11"/>
  <c r="G66" i="3"/>
  <c r="E50" i="3"/>
  <c r="I3" i="11"/>
  <c r="F10" i="11"/>
  <c r="F4" i="11"/>
  <c r="F5" i="11"/>
  <c r="F6" i="11"/>
  <c r="F8" i="11"/>
  <c r="F9" i="11"/>
  <c r="F11" i="11"/>
  <c r="F12" i="11"/>
  <c r="F3" i="11"/>
  <c r="F2" i="11"/>
  <c r="F4" i="7" l="1"/>
  <c r="B23" i="9"/>
  <c r="C47" i="9" l="1"/>
  <c r="C48" i="9"/>
  <c r="C49" i="9"/>
  <c r="C50" i="9"/>
  <c r="C51" i="9"/>
  <c r="B1" i="9"/>
  <c r="K8" i="10"/>
  <c r="I8" i="10"/>
  <c r="G8" i="10"/>
  <c r="E8" i="10"/>
  <c r="C8" i="10"/>
  <c r="L6" i="7"/>
  <c r="J6" i="7"/>
  <c r="H6" i="7"/>
  <c r="H4" i="7" s="1"/>
  <c r="L5" i="7"/>
  <c r="J5" i="7"/>
  <c r="H5" i="7"/>
  <c r="H7" i="7"/>
  <c r="H17" i="7"/>
  <c r="F6" i="7"/>
  <c r="F5" i="7"/>
  <c r="E5" i="5"/>
  <c r="F7" i="7"/>
  <c r="M6" i="6"/>
  <c r="K6" i="6"/>
  <c r="I6" i="6"/>
  <c r="G6" i="6"/>
  <c r="E6" i="6"/>
  <c r="V12" i="4"/>
  <c r="V13" i="4"/>
  <c r="I4" i="4"/>
  <c r="B15" i="4"/>
  <c r="C15" i="4"/>
  <c r="D15" i="4"/>
  <c r="E15" i="4"/>
  <c r="F15" i="4"/>
  <c r="G15" i="4"/>
  <c r="AA6" i="8"/>
  <c r="Y6" i="8"/>
  <c r="AC6" i="8"/>
  <c r="W6" i="8"/>
  <c r="U6" i="8"/>
  <c r="S6" i="8"/>
  <c r="Q6" i="8"/>
  <c r="B9" i="6"/>
  <c r="B8" i="6"/>
  <c r="B7" i="6"/>
  <c r="B6" i="6"/>
  <c r="B5" i="6"/>
  <c r="B4" i="6"/>
  <c r="B3" i="6"/>
  <c r="B2" i="6"/>
  <c r="C10" i="6"/>
  <c r="B11" i="6" s="1"/>
  <c r="C8" i="6"/>
  <c r="C6" i="6"/>
  <c r="C5" i="6"/>
  <c r="C2" i="6"/>
  <c r="AC3" i="8"/>
  <c r="AC4" i="8"/>
  <c r="AC5" i="8"/>
  <c r="AC8" i="8"/>
  <c r="AC12" i="8"/>
  <c r="AC7" i="8"/>
  <c r="O7" i="8"/>
  <c r="F10" i="4"/>
  <c r="G41" i="3"/>
  <c r="G10" i="4"/>
  <c r="E62" i="3"/>
  <c r="E3" i="14"/>
  <c r="AA7" i="8"/>
  <c r="Y7" i="8"/>
  <c r="W7" i="8"/>
  <c r="U7" i="8"/>
  <c r="S7" i="8"/>
  <c r="Q7" i="8"/>
  <c r="M7" i="8"/>
  <c r="K7" i="8"/>
  <c r="I7" i="8"/>
  <c r="D10" i="4"/>
  <c r="G7" i="8"/>
  <c r="C10" i="8"/>
  <c r="C6" i="8"/>
  <c r="B10" i="6" l="1"/>
  <c r="B12" i="6"/>
  <c r="K5" i="5"/>
  <c r="I5" i="5"/>
  <c r="G5" i="5"/>
  <c r="E7" i="5"/>
  <c r="G6" i="5"/>
  <c r="E6" i="5"/>
  <c r="N18" i="5"/>
  <c r="K6" i="5"/>
  <c r="I6" i="5"/>
  <c r="S5" i="4"/>
  <c r="Q5" i="4"/>
  <c r="O5" i="4"/>
  <c r="M5" i="4"/>
  <c r="K5" i="4"/>
  <c r="I5" i="4"/>
  <c r="B5" i="4"/>
  <c r="E4" i="14"/>
  <c r="E5" i="14"/>
  <c r="E60" i="3"/>
  <c r="E56" i="3"/>
  <c r="B10" i="1"/>
  <c r="B15" i="1" s="1"/>
  <c r="B14" i="1"/>
  <c r="G5" i="4" l="1"/>
  <c r="B10" i="11"/>
  <c r="B11" i="11"/>
  <c r="B12" i="11"/>
  <c r="B13" i="11"/>
  <c r="B9" i="11"/>
  <c r="B4" i="11"/>
  <c r="B5" i="11"/>
  <c r="B6" i="11"/>
  <c r="B7" i="11"/>
  <c r="B8" i="11"/>
  <c r="B3" i="11"/>
  <c r="C7" i="11" l="1"/>
  <c r="C3" i="11"/>
  <c r="I18" i="4"/>
  <c r="L22" i="7"/>
  <c r="J22" i="7"/>
  <c r="H22" i="7"/>
  <c r="C10" i="11"/>
  <c r="F22" i="7"/>
  <c r="S18" i="4"/>
  <c r="C10" i="2"/>
  <c r="D9" i="2"/>
  <c r="E61" i="3"/>
  <c r="E49" i="3"/>
  <c r="E51" i="3"/>
  <c r="E52" i="3"/>
  <c r="E59" i="3"/>
  <c r="J24" i="1"/>
  <c r="J17" i="1"/>
  <c r="I24" i="1"/>
  <c r="I17" i="1"/>
  <c r="I20" i="4" l="1"/>
  <c r="F23" i="7"/>
  <c r="H3" i="7" s="1"/>
  <c r="H2" i="7" s="1"/>
  <c r="H8" i="7" s="1"/>
  <c r="E19" i="5"/>
  <c r="C8" i="11"/>
  <c r="C12" i="11"/>
  <c r="C9" i="11"/>
  <c r="C13" i="11"/>
  <c r="C4" i="11"/>
  <c r="C11" i="11"/>
  <c r="I3" i="4"/>
  <c r="I2" i="4" s="1"/>
  <c r="I8" i="4" s="1"/>
  <c r="I11" i="4" s="1"/>
  <c r="I14" i="4" s="1"/>
  <c r="I15" i="4" s="1"/>
  <c r="Q9" i="8" s="1"/>
  <c r="C6" i="11"/>
  <c r="E54" i="3"/>
  <c r="E63" i="3" s="1"/>
  <c r="D23" i="1"/>
  <c r="S10" i="4"/>
  <c r="Q10" i="4"/>
  <c r="O10" i="4"/>
  <c r="M10" i="4"/>
  <c r="K10" i="4"/>
  <c r="I10" i="4"/>
  <c r="C10" i="4"/>
  <c r="G43" i="3"/>
  <c r="G42" i="3"/>
  <c r="G40" i="3"/>
  <c r="G39" i="3"/>
  <c r="E10" i="4" s="1"/>
  <c r="G38" i="3"/>
  <c r="G37" i="3"/>
  <c r="L3" i="7" l="1"/>
  <c r="J3" i="7"/>
  <c r="I16" i="4"/>
  <c r="F3" i="5"/>
  <c r="H3" i="5"/>
  <c r="J3" i="5"/>
  <c r="F3" i="7"/>
  <c r="F2" i="7" s="1"/>
  <c r="F8" i="7" s="1"/>
  <c r="K2" i="3"/>
  <c r="D8" i="13" l="1"/>
  <c r="C8" i="13"/>
  <c r="B8" i="13"/>
  <c r="D7" i="13"/>
  <c r="D6" i="13"/>
  <c r="D5" i="13"/>
  <c r="D4" i="13"/>
  <c r="D3" i="13"/>
  <c r="D2" i="13"/>
  <c r="F7" i="12"/>
  <c r="E7" i="12"/>
  <c r="D7" i="12"/>
  <c r="C7" i="12"/>
  <c r="B7" i="12"/>
  <c r="E5" i="12"/>
  <c r="D5" i="12"/>
  <c r="C5" i="12"/>
  <c r="B5" i="12"/>
  <c r="E4" i="12"/>
  <c r="D4" i="12"/>
  <c r="C4" i="12"/>
  <c r="B4" i="12"/>
  <c r="M18" i="4"/>
  <c r="M3" i="4" s="1"/>
  <c r="K18" i="4"/>
  <c r="C6" i="10"/>
  <c r="H7" i="9"/>
  <c r="J1" i="9"/>
  <c r="B12" i="8"/>
  <c r="Q11" i="8"/>
  <c r="B11" i="8"/>
  <c r="O10" i="8"/>
  <c r="M10" i="8"/>
  <c r="K10" i="8"/>
  <c r="I10" i="8"/>
  <c r="G10" i="8"/>
  <c r="E10" i="8"/>
  <c r="B10" i="8"/>
  <c r="C8" i="8"/>
  <c r="K6" i="8"/>
  <c r="I6" i="8"/>
  <c r="G6" i="8"/>
  <c r="U5" i="8"/>
  <c r="S5" i="8"/>
  <c r="Q5" i="8"/>
  <c r="G5" i="8"/>
  <c r="E5" i="8"/>
  <c r="AA4" i="8"/>
  <c r="U4" i="8"/>
  <c r="E4" i="8"/>
  <c r="S22" i="7"/>
  <c r="R22" i="7"/>
  <c r="Q22" i="7"/>
  <c r="P22" i="7"/>
  <c r="O22" i="7"/>
  <c r="B19" i="7"/>
  <c r="E5" i="6"/>
  <c r="G5" i="6" s="1"/>
  <c r="I5" i="6" s="1"/>
  <c r="K5" i="6" s="1"/>
  <c r="M5" i="6" s="1"/>
  <c r="O18" i="5"/>
  <c r="P18" i="5" s="1"/>
  <c r="Q18" i="5" s="1"/>
  <c r="R18" i="5" s="1"/>
  <c r="G18" i="5"/>
  <c r="G3" i="5" s="1"/>
  <c r="E18" i="5"/>
  <c r="E3" i="5" s="1"/>
  <c r="G11" i="6" s="1"/>
  <c r="S3" i="4"/>
  <c r="AA11" i="8" s="1"/>
  <c r="Q18" i="4"/>
  <c r="O18" i="4"/>
  <c r="O3" i="4" s="1"/>
  <c r="W11" i="8" s="1"/>
  <c r="I9" i="4"/>
  <c r="G9" i="4"/>
  <c r="F9" i="4"/>
  <c r="E9" i="4"/>
  <c r="E5" i="4"/>
  <c r="D5" i="4"/>
  <c r="C5" i="4"/>
  <c r="G2" i="4"/>
  <c r="F2" i="4"/>
  <c r="E2" i="4"/>
  <c r="D2" i="4"/>
  <c r="C2" i="4"/>
  <c r="B2" i="4"/>
  <c r="F29" i="3"/>
  <c r="B27" i="3"/>
  <c r="Q3" i="8" s="1"/>
  <c r="N11" i="3"/>
  <c r="K11" i="3"/>
  <c r="Y4" i="8" s="1"/>
  <c r="H11" i="3"/>
  <c r="O6" i="8" s="1"/>
  <c r="E11" i="3"/>
  <c r="C5" i="8" s="1"/>
  <c r="C2" i="8" s="1"/>
  <c r="B11" i="3"/>
  <c r="B9" i="2"/>
  <c r="B25" i="1"/>
  <c r="D21" i="1"/>
  <c r="J20" i="1"/>
  <c r="L7" i="7" s="1"/>
  <c r="L17" i="7" s="1"/>
  <c r="B19" i="1"/>
  <c r="B6" i="1"/>
  <c r="B3" i="1"/>
  <c r="B2" i="1"/>
  <c r="W10" i="8" l="1"/>
  <c r="E6" i="10"/>
  <c r="G6" i="10" s="1"/>
  <c r="I6" i="10" s="1"/>
  <c r="K6" i="10" s="1"/>
  <c r="B2" i="8"/>
  <c r="L7" i="8"/>
  <c r="F7" i="8"/>
  <c r="D7" i="8"/>
  <c r="V7" i="8"/>
  <c r="H7" i="8"/>
  <c r="T7" i="8"/>
  <c r="N7" i="8"/>
  <c r="B7" i="8"/>
  <c r="X7" i="8"/>
  <c r="B8" i="8"/>
  <c r="P7" i="8"/>
  <c r="R7" i="8"/>
  <c r="Z7" i="8"/>
  <c r="J7" i="8"/>
  <c r="Q10" i="8"/>
  <c r="P10" i="8" s="1"/>
  <c r="I3" i="8"/>
  <c r="B12" i="3"/>
  <c r="W5" i="8"/>
  <c r="M6" i="8"/>
  <c r="Y5" i="8"/>
  <c r="B18" i="9"/>
  <c r="K4" i="8"/>
  <c r="K5" i="8"/>
  <c r="AA5" i="8"/>
  <c r="M9" i="4"/>
  <c r="O9" i="4"/>
  <c r="Q9" i="4"/>
  <c r="M4" i="8"/>
  <c r="M5" i="8"/>
  <c r="F5" i="4"/>
  <c r="I5" i="8"/>
  <c r="D9" i="4"/>
  <c r="S4" i="8"/>
  <c r="O5" i="8"/>
  <c r="E6" i="8"/>
  <c r="O7" i="4"/>
  <c r="C13" i="6"/>
  <c r="I7" i="5"/>
  <c r="S7" i="4"/>
  <c r="Q7" i="4"/>
  <c r="K7" i="5"/>
  <c r="D7" i="4"/>
  <c r="E7" i="4"/>
  <c r="C7" i="4"/>
  <c r="F7" i="4"/>
  <c r="G7" i="5"/>
  <c r="I7" i="4"/>
  <c r="F17" i="7"/>
  <c r="K7" i="4"/>
  <c r="J7" i="7"/>
  <c r="J17" i="7" s="1"/>
  <c r="C7" i="10"/>
  <c r="G7" i="4"/>
  <c r="B7" i="4"/>
  <c r="M7" i="4"/>
  <c r="B6" i="8"/>
  <c r="B4" i="8"/>
  <c r="B5" i="8"/>
  <c r="B9" i="8"/>
  <c r="C13" i="8"/>
  <c r="B3" i="8"/>
  <c r="I18" i="5"/>
  <c r="I3" i="5" s="1"/>
  <c r="K18" i="5"/>
  <c r="K3" i="5" s="1"/>
  <c r="G13" i="7"/>
  <c r="J2" i="7"/>
  <c r="I5" i="7" s="1"/>
  <c r="AA10" i="8"/>
  <c r="Z10" i="8" s="1"/>
  <c r="E11" i="10"/>
  <c r="G10" i="6"/>
  <c r="F10" i="6" s="1"/>
  <c r="U11" i="8"/>
  <c r="M2" i="4"/>
  <c r="L2" i="7"/>
  <c r="K5" i="7" s="1"/>
  <c r="O2" i="4"/>
  <c r="G4" i="10"/>
  <c r="K3" i="4"/>
  <c r="E2" i="5"/>
  <c r="E8" i="5" s="1"/>
  <c r="G2" i="5"/>
  <c r="F5" i="5" s="1"/>
  <c r="I11" i="6"/>
  <c r="E4" i="10"/>
  <c r="S2" i="4"/>
  <c r="Q3" i="4"/>
  <c r="H13" i="4"/>
  <c r="H12" i="4"/>
  <c r="H10" i="4"/>
  <c r="U3" i="8"/>
  <c r="W3" i="8"/>
  <c r="S3" i="8"/>
  <c r="Y3" i="8"/>
  <c r="AA3" i="8"/>
  <c r="G6" i="4"/>
  <c r="O6" i="4"/>
  <c r="K3" i="8"/>
  <c r="M3" i="8"/>
  <c r="I6" i="4"/>
  <c r="B6" i="4"/>
  <c r="C6" i="4"/>
  <c r="C4" i="4" s="1"/>
  <c r="C8" i="4" s="1"/>
  <c r="Q6" i="4"/>
  <c r="E3" i="8"/>
  <c r="E6" i="4"/>
  <c r="G3" i="8"/>
  <c r="O3" i="8"/>
  <c r="K6" i="4"/>
  <c r="S6" i="4"/>
  <c r="D6" i="4"/>
  <c r="D4" i="4" s="1"/>
  <c r="D8" i="4" s="1"/>
  <c r="D11" i="4" s="1"/>
  <c r="D14" i="4" s="1"/>
  <c r="M6" i="4"/>
  <c r="F6" i="4"/>
  <c r="H9" i="4"/>
  <c r="G4" i="8"/>
  <c r="O4" i="8"/>
  <c r="W4" i="8"/>
  <c r="B9" i="4"/>
  <c r="C9" i="4"/>
  <c r="K9" i="4"/>
  <c r="S9" i="4"/>
  <c r="I4" i="8"/>
  <c r="Q4" i="8"/>
  <c r="K13" i="7" l="1"/>
  <c r="K2" i="8"/>
  <c r="J4" i="8" s="1"/>
  <c r="P11" i="8"/>
  <c r="H7" i="4"/>
  <c r="G6" i="7"/>
  <c r="K11" i="6"/>
  <c r="K3" i="6"/>
  <c r="I13" i="10" s="1"/>
  <c r="H5" i="4"/>
  <c r="M2" i="8"/>
  <c r="L2" i="8" s="1"/>
  <c r="E4" i="4"/>
  <c r="E8" i="4" s="1"/>
  <c r="E11" i="4" s="1"/>
  <c r="E14" i="4" s="1"/>
  <c r="B4" i="4"/>
  <c r="B8" i="4" s="1"/>
  <c r="F4" i="4"/>
  <c r="F8" i="4" s="1"/>
  <c r="F11" i="4" s="1"/>
  <c r="F14" i="4" s="1"/>
  <c r="F16" i="4" s="1"/>
  <c r="G4" i="4"/>
  <c r="G8" i="4" s="1"/>
  <c r="G11" i="4" s="1"/>
  <c r="G14" i="4" s="1"/>
  <c r="E7" i="10"/>
  <c r="B17" i="9"/>
  <c r="B16" i="9" s="1"/>
  <c r="E2" i="8"/>
  <c r="E13" i="8" s="1"/>
  <c r="U3" i="4"/>
  <c r="C3" i="5" s="1"/>
  <c r="G7" i="7"/>
  <c r="F11" i="6"/>
  <c r="I6" i="7"/>
  <c r="G17" i="7"/>
  <c r="Z11" i="8"/>
  <c r="N6" i="4"/>
  <c r="G12" i="7"/>
  <c r="M3" i="6"/>
  <c r="K13" i="10" s="1"/>
  <c r="G18" i="7"/>
  <c r="Q2" i="4"/>
  <c r="P6" i="4" s="1"/>
  <c r="Y11" i="8"/>
  <c r="N10" i="4"/>
  <c r="N9" i="4"/>
  <c r="N13" i="4"/>
  <c r="N7" i="4"/>
  <c r="N12" i="4"/>
  <c r="K6" i="7"/>
  <c r="N5" i="4"/>
  <c r="L9" i="4"/>
  <c r="L12" i="4"/>
  <c r="L7" i="4"/>
  <c r="L13" i="4"/>
  <c r="L10" i="4"/>
  <c r="J4" i="7"/>
  <c r="J8" i="7" s="1"/>
  <c r="R13" i="4"/>
  <c r="R10" i="4"/>
  <c r="R7" i="4"/>
  <c r="R12" i="4"/>
  <c r="K2" i="4"/>
  <c r="J6" i="4" s="1"/>
  <c r="S11" i="8"/>
  <c r="U10" i="8"/>
  <c r="T10" i="8" s="1"/>
  <c r="I18" i="7"/>
  <c r="I7" i="7"/>
  <c r="I17" i="7"/>
  <c r="I12" i="7"/>
  <c r="O4" i="4"/>
  <c r="O8" i="4" s="1"/>
  <c r="I10" i="6"/>
  <c r="H10" i="6" s="1"/>
  <c r="G11" i="10"/>
  <c r="I13" i="7"/>
  <c r="D7" i="5"/>
  <c r="D12" i="5"/>
  <c r="K4" i="10"/>
  <c r="K2" i="5"/>
  <c r="J5" i="5" s="1"/>
  <c r="M11" i="6"/>
  <c r="F13" i="5"/>
  <c r="F12" i="5"/>
  <c r="F7" i="5"/>
  <c r="K17" i="7"/>
  <c r="K7" i="7"/>
  <c r="K12" i="7"/>
  <c r="K18" i="7"/>
  <c r="L5" i="4"/>
  <c r="D5" i="5"/>
  <c r="R5" i="4"/>
  <c r="D13" i="5"/>
  <c r="F6" i="5"/>
  <c r="G4" i="5"/>
  <c r="I3" i="6"/>
  <c r="G13" i="10" s="1"/>
  <c r="G3" i="6"/>
  <c r="E13" i="10" s="1"/>
  <c r="E4" i="5"/>
  <c r="D6" i="5"/>
  <c r="J9" i="8"/>
  <c r="J8" i="8"/>
  <c r="J6" i="8"/>
  <c r="J5" i="8"/>
  <c r="D16" i="4"/>
  <c r="J2" i="8"/>
  <c r="E16" i="4"/>
  <c r="L6" i="4"/>
  <c r="M4" i="4"/>
  <c r="D3" i="8"/>
  <c r="S4" i="4"/>
  <c r="R6" i="4"/>
  <c r="C11" i="4"/>
  <c r="C14" i="4" s="1"/>
  <c r="J3" i="8"/>
  <c r="D5" i="8"/>
  <c r="H6" i="4"/>
  <c r="O2" i="8"/>
  <c r="G2" i="8"/>
  <c r="F4" i="8" s="1"/>
  <c r="I2" i="8"/>
  <c r="R9" i="4"/>
  <c r="Q2" i="8"/>
  <c r="AC11" i="8" l="1"/>
  <c r="C2" i="5"/>
  <c r="C4" i="10"/>
  <c r="C2" i="10" s="1"/>
  <c r="B2" i="10" s="1"/>
  <c r="V10" i="8"/>
  <c r="D9" i="8"/>
  <c r="D4" i="8"/>
  <c r="L3" i="8"/>
  <c r="L8" i="8"/>
  <c r="L6" i="8"/>
  <c r="L5" i="8"/>
  <c r="L4" i="8"/>
  <c r="D2" i="8"/>
  <c r="L9" i="8"/>
  <c r="P5" i="4"/>
  <c r="K4" i="5"/>
  <c r="I4" i="10"/>
  <c r="J5" i="4"/>
  <c r="I2" i="5"/>
  <c r="H13" i="5" s="1"/>
  <c r="J9" i="4"/>
  <c r="D6" i="8"/>
  <c r="G16" i="4"/>
  <c r="D8" i="8"/>
  <c r="E2" i="10"/>
  <c r="G7" i="10"/>
  <c r="T11" i="8"/>
  <c r="I4" i="7"/>
  <c r="H11" i="6"/>
  <c r="V11" i="8"/>
  <c r="K4" i="4"/>
  <c r="J4" i="4" s="1"/>
  <c r="Q4" i="4"/>
  <c r="P4" i="4" s="1"/>
  <c r="G5" i="7"/>
  <c r="I4" i="5"/>
  <c r="J4" i="5"/>
  <c r="K10" i="6"/>
  <c r="J10" i="6" s="1"/>
  <c r="I11" i="10"/>
  <c r="D3" i="7"/>
  <c r="D2" i="7" s="1"/>
  <c r="M10" i="6"/>
  <c r="L10" i="6" s="1"/>
  <c r="K11" i="10"/>
  <c r="J13" i="5"/>
  <c r="S10" i="8"/>
  <c r="Y10" i="8"/>
  <c r="X10" i="8" s="1"/>
  <c r="J12" i="5"/>
  <c r="J7" i="5"/>
  <c r="J6" i="5"/>
  <c r="K8" i="5"/>
  <c r="N4" i="4"/>
  <c r="L4" i="7"/>
  <c r="J10" i="4"/>
  <c r="J13" i="4"/>
  <c r="J12" i="4"/>
  <c r="J7" i="4"/>
  <c r="U2" i="4"/>
  <c r="P10" i="4"/>
  <c r="P7" i="4"/>
  <c r="P13" i="4"/>
  <c r="P12" i="4"/>
  <c r="P9" i="4"/>
  <c r="I8" i="7"/>
  <c r="D4" i="5"/>
  <c r="F4" i="5"/>
  <c r="G8" i="5"/>
  <c r="C16" i="4"/>
  <c r="U6" i="4"/>
  <c r="G13" i="8"/>
  <c r="I13" i="8" s="1"/>
  <c r="K13" i="8" s="1"/>
  <c r="M13" i="8" s="1"/>
  <c r="O13" i="8" s="1"/>
  <c r="Q13" i="8" s="1"/>
  <c r="R4" i="4"/>
  <c r="S8" i="4"/>
  <c r="L4" i="4"/>
  <c r="M8" i="4"/>
  <c r="H4" i="4"/>
  <c r="N8" i="4"/>
  <c r="O11" i="4"/>
  <c r="N5" i="8"/>
  <c r="N2" i="8"/>
  <c r="N9" i="8"/>
  <c r="N8" i="8"/>
  <c r="N3" i="8"/>
  <c r="N6" i="8"/>
  <c r="H8" i="8"/>
  <c r="H6" i="8"/>
  <c r="H3" i="8"/>
  <c r="H9" i="8"/>
  <c r="H2" i="8"/>
  <c r="H5" i="8"/>
  <c r="N4" i="8"/>
  <c r="H4" i="8"/>
  <c r="P9" i="8"/>
  <c r="P6" i="8"/>
  <c r="P3" i="8"/>
  <c r="P8" i="8"/>
  <c r="P5" i="8"/>
  <c r="P2" i="8"/>
  <c r="P4" i="8"/>
  <c r="F5" i="8"/>
  <c r="F2" i="8"/>
  <c r="F8" i="8"/>
  <c r="F9" i="8"/>
  <c r="F6" i="8"/>
  <c r="F3" i="8"/>
  <c r="U5" i="4" l="1"/>
  <c r="D5" i="7" s="1"/>
  <c r="C5" i="7" s="1"/>
  <c r="D4" i="10"/>
  <c r="D8" i="10"/>
  <c r="AC10" i="8"/>
  <c r="U12" i="4"/>
  <c r="U13" i="4"/>
  <c r="D13" i="7" s="1"/>
  <c r="C13" i="7" s="1"/>
  <c r="H5" i="5"/>
  <c r="L11" i="6"/>
  <c r="H6" i="5"/>
  <c r="H12" i="5"/>
  <c r="H7" i="5"/>
  <c r="D6" i="10"/>
  <c r="D2" i="10"/>
  <c r="U9" i="4"/>
  <c r="K8" i="4"/>
  <c r="D7" i="10"/>
  <c r="I7" i="10"/>
  <c r="D6" i="7"/>
  <c r="C6" i="7" s="1"/>
  <c r="Q8" i="4"/>
  <c r="P8" i="4" s="1"/>
  <c r="C6" i="5"/>
  <c r="C5" i="5"/>
  <c r="G8" i="7"/>
  <c r="G4" i="7"/>
  <c r="X11" i="8"/>
  <c r="C12" i="7"/>
  <c r="C18" i="7"/>
  <c r="B12" i="5"/>
  <c r="E11" i="6"/>
  <c r="J11" i="6"/>
  <c r="I8" i="5"/>
  <c r="H4" i="5"/>
  <c r="U7" i="4"/>
  <c r="J8" i="5"/>
  <c r="U10" i="4"/>
  <c r="R10" i="8"/>
  <c r="R11" i="8"/>
  <c r="K4" i="7"/>
  <c r="L8" i="7"/>
  <c r="F8" i="5"/>
  <c r="D8" i="5"/>
  <c r="U4" i="4"/>
  <c r="N11" i="4"/>
  <c r="O14" i="4"/>
  <c r="O15" i="4" s="1"/>
  <c r="W9" i="8" s="1"/>
  <c r="B11" i="4"/>
  <c r="H8" i="4"/>
  <c r="R8" i="4"/>
  <c r="S11" i="4"/>
  <c r="L8" i="4"/>
  <c r="M11" i="4"/>
  <c r="E3" i="6" l="1"/>
  <c r="C13" i="10" s="1"/>
  <c r="F10" i="7"/>
  <c r="C10" i="5"/>
  <c r="E7" i="6" s="1"/>
  <c r="D7" i="6" s="1"/>
  <c r="J10" i="7"/>
  <c r="H10" i="7"/>
  <c r="L10" i="7"/>
  <c r="K10" i="7" s="1"/>
  <c r="C13" i="5"/>
  <c r="B13" i="5" s="1"/>
  <c r="L9" i="7"/>
  <c r="K9" i="7" s="1"/>
  <c r="H9" i="7"/>
  <c r="E9" i="5"/>
  <c r="G4" i="6" s="1"/>
  <c r="J9" i="7"/>
  <c r="I9" i="7" s="1"/>
  <c r="F9" i="7"/>
  <c r="F11" i="7" s="1"/>
  <c r="F14" i="7" s="1"/>
  <c r="J8" i="4"/>
  <c r="U8" i="4" s="1"/>
  <c r="K11" i="4"/>
  <c r="K14" i="4" s="1"/>
  <c r="E10" i="5"/>
  <c r="G7" i="6" s="1"/>
  <c r="F7" i="6" s="1"/>
  <c r="G10" i="5"/>
  <c r="I7" i="6" s="1"/>
  <c r="H7" i="6" s="1"/>
  <c r="K10" i="5"/>
  <c r="M7" i="6" s="1"/>
  <c r="L7" i="6" s="1"/>
  <c r="I10" i="5"/>
  <c r="K7" i="6" s="1"/>
  <c r="J7" i="6" s="1"/>
  <c r="D9" i="7"/>
  <c r="C9" i="7" s="1"/>
  <c r="G9" i="5"/>
  <c r="K9" i="5"/>
  <c r="I9" i="5"/>
  <c r="B6" i="10"/>
  <c r="C9" i="5"/>
  <c r="Y6" i="4"/>
  <c r="G2" i="10"/>
  <c r="F8" i="10" s="1"/>
  <c r="K7" i="10"/>
  <c r="Q11" i="4"/>
  <c r="Q14" i="4" s="1"/>
  <c r="Q15" i="4" s="1"/>
  <c r="B6" i="5"/>
  <c r="B5" i="5"/>
  <c r="D7" i="7"/>
  <c r="C7" i="5"/>
  <c r="C4" i="5" s="1"/>
  <c r="C8" i="5" s="1"/>
  <c r="H8" i="5"/>
  <c r="B8" i="10"/>
  <c r="C11" i="10"/>
  <c r="E10" i="6"/>
  <c r="D10" i="6" s="1"/>
  <c r="K8" i="7"/>
  <c r="D10" i="7"/>
  <c r="C10" i="7" s="1"/>
  <c r="H11" i="4"/>
  <c r="M14" i="4"/>
  <c r="M15" i="4" s="1"/>
  <c r="U9" i="8" s="1"/>
  <c r="L11" i="4"/>
  <c r="R11" i="4"/>
  <c r="S14" i="4"/>
  <c r="B14" i="4"/>
  <c r="N14" i="4"/>
  <c r="C11" i="5" l="1"/>
  <c r="C14" i="5" s="1"/>
  <c r="D11" i="6"/>
  <c r="B10" i="5"/>
  <c r="J11" i="4"/>
  <c r="P11" i="4"/>
  <c r="F15" i="7"/>
  <c r="F16" i="7" s="1"/>
  <c r="H9" i="5"/>
  <c r="K4" i="6"/>
  <c r="I14" i="10" s="1"/>
  <c r="D9" i="5"/>
  <c r="S15" i="4"/>
  <c r="S16" i="4" s="1"/>
  <c r="R16" i="4" s="1"/>
  <c r="V14" i="4"/>
  <c r="V15" i="4" s="1"/>
  <c r="B9" i="5"/>
  <c r="E4" i="6"/>
  <c r="C14" i="10" s="1"/>
  <c r="J9" i="5"/>
  <c r="M4" i="6"/>
  <c r="K14" i="10" s="1"/>
  <c r="U2" i="8"/>
  <c r="T9" i="8" s="1"/>
  <c r="H11" i="7"/>
  <c r="H14" i="7" s="1"/>
  <c r="G9" i="7"/>
  <c r="F9" i="5"/>
  <c r="I4" i="6"/>
  <c r="G14" i="10" s="1"/>
  <c r="K15" i="4"/>
  <c r="S9" i="8" s="1"/>
  <c r="K16" i="4"/>
  <c r="V11" i="4"/>
  <c r="B4" i="10"/>
  <c r="B7" i="10"/>
  <c r="F4" i="10"/>
  <c r="F7" i="10"/>
  <c r="F2" i="10"/>
  <c r="F6" i="10"/>
  <c r="I2" i="10"/>
  <c r="L11" i="7"/>
  <c r="K11" i="7" s="1"/>
  <c r="F10" i="5"/>
  <c r="G11" i="5"/>
  <c r="D10" i="5"/>
  <c r="E14" i="10"/>
  <c r="E11" i="5"/>
  <c r="I10" i="7"/>
  <c r="J11" i="7"/>
  <c r="H10" i="5"/>
  <c r="B7" i="5"/>
  <c r="G10" i="7"/>
  <c r="J10" i="5"/>
  <c r="K11" i="5"/>
  <c r="I11" i="5"/>
  <c r="D17" i="7"/>
  <c r="C7" i="7"/>
  <c r="D4" i="7"/>
  <c r="D8" i="7" s="1"/>
  <c r="D11" i="7" s="1"/>
  <c r="D14" i="7" s="1"/>
  <c r="Q16" i="4"/>
  <c r="P16" i="4" s="1"/>
  <c r="P14" i="4"/>
  <c r="J14" i="4"/>
  <c r="L15" i="4"/>
  <c r="L14" i="4"/>
  <c r="O16" i="4"/>
  <c r="N16" i="4" s="1"/>
  <c r="N15" i="4"/>
  <c r="R14" i="4"/>
  <c r="H14" i="4"/>
  <c r="H15" i="4"/>
  <c r="H16" i="4"/>
  <c r="U11" i="4" l="1"/>
  <c r="J15" i="4"/>
  <c r="H15" i="7"/>
  <c r="H16" i="7" s="1"/>
  <c r="H19" i="7" s="1"/>
  <c r="E23" i="9" s="1"/>
  <c r="T6" i="8"/>
  <c r="T8" i="8"/>
  <c r="T4" i="8"/>
  <c r="T3" i="8"/>
  <c r="T2" i="8"/>
  <c r="T5" i="8"/>
  <c r="S2" i="8"/>
  <c r="R9" i="8" s="1"/>
  <c r="C17" i="7"/>
  <c r="H4" i="10"/>
  <c r="H2" i="10"/>
  <c r="H3" i="10"/>
  <c r="H6" i="10"/>
  <c r="H7" i="10"/>
  <c r="L14" i="7"/>
  <c r="H8" i="10"/>
  <c r="K2" i="10"/>
  <c r="J8" i="10" s="1"/>
  <c r="M16" i="4"/>
  <c r="L16" i="4" s="1"/>
  <c r="J16" i="4"/>
  <c r="J14" i="7"/>
  <c r="J15" i="7" s="1"/>
  <c r="I11" i="7"/>
  <c r="B4" i="5"/>
  <c r="G14" i="5"/>
  <c r="G15" i="5" s="1"/>
  <c r="F11" i="5"/>
  <c r="D11" i="5"/>
  <c r="E14" i="5"/>
  <c r="E15" i="5" s="1"/>
  <c r="J11" i="5"/>
  <c r="K14" i="5"/>
  <c r="K15" i="5" s="1"/>
  <c r="C4" i="7"/>
  <c r="G11" i="7"/>
  <c r="I14" i="5"/>
  <c r="I15" i="5" s="1"/>
  <c r="H11" i="5"/>
  <c r="U14" i="4"/>
  <c r="B16" i="4"/>
  <c r="AA9" i="8"/>
  <c r="AA2" i="8" s="1"/>
  <c r="Z2" i="8" s="1"/>
  <c r="R15" i="4"/>
  <c r="W2" i="8"/>
  <c r="Y9" i="8"/>
  <c r="P15" i="4"/>
  <c r="U16" i="4" l="1"/>
  <c r="AC9" i="8"/>
  <c r="R2" i="8"/>
  <c r="R3" i="8"/>
  <c r="S13" i="8"/>
  <c r="U13" i="8" s="1"/>
  <c r="W13" i="8" s="1"/>
  <c r="R6" i="8"/>
  <c r="R5" i="8"/>
  <c r="R8" i="8"/>
  <c r="R4" i="8"/>
  <c r="K14" i="7"/>
  <c r="L15" i="7"/>
  <c r="L16" i="7" s="1"/>
  <c r="V9" i="8"/>
  <c r="J2" i="10"/>
  <c r="J6" i="10"/>
  <c r="J4" i="10"/>
  <c r="J7" i="10"/>
  <c r="U15" i="4"/>
  <c r="C15" i="5" s="1"/>
  <c r="C8" i="7"/>
  <c r="J14" i="5"/>
  <c r="K16" i="5"/>
  <c r="J16" i="5" s="1"/>
  <c r="H14" i="5"/>
  <c r="B8" i="5"/>
  <c r="E16" i="5"/>
  <c r="D16" i="5" s="1"/>
  <c r="D14" i="5"/>
  <c r="G16" i="5"/>
  <c r="F16" i="5" s="1"/>
  <c r="F14" i="5"/>
  <c r="G14" i="7"/>
  <c r="G15" i="7"/>
  <c r="I15" i="7"/>
  <c r="I14" i="7"/>
  <c r="Z3" i="8"/>
  <c r="Z5" i="8"/>
  <c r="Z6" i="8"/>
  <c r="Z8" i="8"/>
  <c r="Z9" i="8"/>
  <c r="Y2" i="8"/>
  <c r="X9" i="8" s="1"/>
  <c r="Z4" i="8"/>
  <c r="V6" i="8"/>
  <c r="V3" i="8"/>
  <c r="V4" i="8"/>
  <c r="V8" i="8"/>
  <c r="V5" i="8"/>
  <c r="V2" i="8"/>
  <c r="K15" i="7" l="1"/>
  <c r="AC2" i="8"/>
  <c r="J16" i="7"/>
  <c r="D15" i="7"/>
  <c r="I16" i="7"/>
  <c r="J19" i="7"/>
  <c r="F23" i="9" s="1"/>
  <c r="I16" i="5"/>
  <c r="H16" i="5" s="1"/>
  <c r="K9" i="6"/>
  <c r="H15" i="5"/>
  <c r="K16" i="7"/>
  <c r="L19" i="7"/>
  <c r="G23" i="9" s="1"/>
  <c r="D15" i="5"/>
  <c r="G9" i="6"/>
  <c r="B14" i="5"/>
  <c r="B11" i="5"/>
  <c r="M9" i="6"/>
  <c r="J15" i="5"/>
  <c r="F15" i="5"/>
  <c r="I9" i="6"/>
  <c r="C14" i="7"/>
  <c r="C11" i="7"/>
  <c r="Y13" i="8"/>
  <c r="AA13" i="8" s="1"/>
  <c r="AC13" i="8" s="1"/>
  <c r="B15" i="5"/>
  <c r="E9" i="6"/>
  <c r="C25" i="5"/>
  <c r="X8" i="8"/>
  <c r="X6" i="8"/>
  <c r="X3" i="8"/>
  <c r="X2" i="8"/>
  <c r="X5" i="8"/>
  <c r="X4" i="8"/>
  <c r="C15" i="7" l="1"/>
  <c r="D16" i="7"/>
  <c r="D19" i="7" s="1"/>
  <c r="C23" i="9" s="1"/>
  <c r="D30" i="7"/>
  <c r="G16" i="7"/>
  <c r="C16" i="5"/>
  <c r="B16" i="5" s="1"/>
  <c r="K12" i="10"/>
  <c r="M2" i="6"/>
  <c r="K2" i="6"/>
  <c r="J9" i="6" s="1"/>
  <c r="I12" i="10"/>
  <c r="G12" i="10"/>
  <c r="I2" i="6"/>
  <c r="J4" i="9"/>
  <c r="G19" i="7"/>
  <c r="J6" i="9"/>
  <c r="K19" i="7"/>
  <c r="I19" i="7"/>
  <c r="J5" i="9"/>
  <c r="E12" i="10"/>
  <c r="E9" i="10" s="1"/>
  <c r="D14" i="10" s="1"/>
  <c r="G2" i="6"/>
  <c r="C12" i="10"/>
  <c r="E2" i="6"/>
  <c r="D9" i="6" s="1"/>
  <c r="C16" i="7" l="1"/>
  <c r="C9" i="10"/>
  <c r="B11" i="10" s="1"/>
  <c r="F4" i="6"/>
  <c r="F2" i="6"/>
  <c r="F8" i="6"/>
  <c r="F6" i="6"/>
  <c r="F5" i="6"/>
  <c r="F3" i="6"/>
  <c r="F9" i="6"/>
  <c r="D12" i="10"/>
  <c r="E16" i="10"/>
  <c r="E15" i="10" s="1"/>
  <c r="D15" i="10" s="1"/>
  <c r="D13" i="10"/>
  <c r="J6" i="6"/>
  <c r="J2" i="6"/>
  <c r="J3" i="6"/>
  <c r="J4" i="6"/>
  <c r="J8" i="6"/>
  <c r="J5" i="6"/>
  <c r="H9" i="6"/>
  <c r="H4" i="6"/>
  <c r="H8" i="6"/>
  <c r="H6" i="6"/>
  <c r="H5" i="6"/>
  <c r="H3" i="6"/>
  <c r="H2" i="6"/>
  <c r="G9" i="10"/>
  <c r="D9" i="10"/>
  <c r="I9" i="10"/>
  <c r="H12" i="10" s="1"/>
  <c r="D11" i="10"/>
  <c r="L9" i="6"/>
  <c r="L8" i="6"/>
  <c r="L2" i="6"/>
  <c r="L3" i="6"/>
  <c r="L5" i="6"/>
  <c r="L6" i="6"/>
  <c r="L4" i="6"/>
  <c r="K9" i="10"/>
  <c r="J12" i="10" s="1"/>
  <c r="B13" i="10"/>
  <c r="C16" i="10"/>
  <c r="C15" i="10" s="1"/>
  <c r="B15" i="10" s="1"/>
  <c r="D8" i="6"/>
  <c r="D4" i="6"/>
  <c r="D6" i="6"/>
  <c r="D2" i="6"/>
  <c r="D5" i="6"/>
  <c r="E13" i="6"/>
  <c r="D3" i="6"/>
  <c r="C19" i="7"/>
  <c r="J2" i="9"/>
  <c r="B12" i="10" l="1"/>
  <c r="B14" i="10"/>
  <c r="B9" i="10"/>
  <c r="D16" i="10"/>
  <c r="G16" i="10"/>
  <c r="F11" i="10"/>
  <c r="F9" i="10"/>
  <c r="F14" i="10"/>
  <c r="F13" i="10"/>
  <c r="H14" i="10"/>
  <c r="H13" i="10"/>
  <c r="H11" i="10"/>
  <c r="I16" i="10"/>
  <c r="H9" i="10"/>
  <c r="J14" i="10"/>
  <c r="J9" i="10"/>
  <c r="K16" i="10"/>
  <c r="J11" i="10"/>
  <c r="J13" i="10"/>
  <c r="F12" i="10"/>
  <c r="H2" i="9"/>
  <c r="B6" i="9"/>
  <c r="G13" i="6"/>
  <c r="B4" i="9"/>
  <c r="B16" i="10"/>
  <c r="K15" i="10" l="1"/>
  <c r="J15" i="10" s="1"/>
  <c r="I15" i="10"/>
  <c r="H15" i="10" s="1"/>
  <c r="G15" i="10"/>
  <c r="F15" i="10" s="1"/>
  <c r="H3" i="9"/>
  <c r="I13" i="6"/>
  <c r="C6" i="9"/>
  <c r="C4" i="9"/>
  <c r="H16" i="10" l="1"/>
  <c r="J16" i="10"/>
  <c r="F16" i="10"/>
  <c r="K13" i="6"/>
  <c r="M13" i="6" s="1"/>
  <c r="D6" i="9"/>
  <c r="H4" i="9"/>
  <c r="D4" i="9"/>
  <c r="E4" i="9" l="1"/>
  <c r="H5" i="9"/>
  <c r="E6" i="9"/>
  <c r="F6" i="9" l="1"/>
  <c r="B7" i="9" s="1"/>
  <c r="F4" i="9"/>
  <c r="H6" i="9"/>
  <c r="H10" i="9" s="1" a="1"/>
  <c r="H11" i="9" l="1"/>
  <c r="H10" i="9"/>
  <c r="E14" i="7"/>
  <c r="F19" i="7" s="1"/>
  <c r="D23" i="9" s="1"/>
  <c r="E4" i="7"/>
  <c r="E10" i="7"/>
  <c r="E5" i="7"/>
  <c r="E18" i="7"/>
  <c r="E12" i="7"/>
  <c r="E6" i="7"/>
  <c r="E9" i="7"/>
  <c r="E7" i="7"/>
  <c r="E13" i="7"/>
  <c r="E17" i="7"/>
  <c r="E8" i="7"/>
  <c r="E11" i="7"/>
  <c r="J3" i="9" l="1"/>
  <c r="B32" i="9"/>
  <c r="E33" i="9"/>
  <c r="C27" i="9"/>
  <c r="J11" i="9"/>
  <c r="J10" i="9" a="1"/>
  <c r="E16" i="7"/>
  <c r="E15" i="7"/>
  <c r="E19" i="7"/>
  <c r="J10" i="9"/>
  <c r="M29" i="9"/>
  <c r="M30" i="9"/>
  <c r="M28" i="9"/>
  <c r="M6" i="9"/>
  <c r="E32" i="9" l="1"/>
  <c r="E34" i="9" l="1"/>
  <c r="C28" i="9" s="1"/>
  <c r="B40" i="9"/>
  <c r="B41" i="9" s="1"/>
</calcChain>
</file>

<file path=xl/comments1.xml><?xml version="1.0" encoding="utf-8"?>
<comments xmlns="http://schemas.openxmlformats.org/spreadsheetml/2006/main">
  <authors>
    <author/>
  </authors>
  <commentList>
    <comment ref="E2" authorId="0" shapeId="0">
      <text>
        <r>
          <rPr>
            <sz val="10"/>
            <color rgb="FF000000"/>
            <rFont val="Arial"/>
          </rPr>
          <t>Todo Incluido
	-Harold Cuestas González</t>
        </r>
      </text>
    </comment>
  </commentList>
</comments>
</file>

<file path=xl/sharedStrings.xml><?xml version="1.0" encoding="utf-8"?>
<sst xmlns="http://schemas.openxmlformats.org/spreadsheetml/2006/main" count="424" uniqueCount="286">
  <si>
    <t xml:space="preserve">Concepto
</t>
  </si>
  <si>
    <t>Valor</t>
  </si>
  <si>
    <t>Observaciones</t>
  </si>
  <si>
    <t>Depreciación</t>
  </si>
  <si>
    <t xml:space="preserve">Años
</t>
  </si>
  <si>
    <t>Meses</t>
  </si>
  <si>
    <t>Depreciación por mes</t>
  </si>
  <si>
    <t>Estado de situación Financiera Inicial</t>
  </si>
  <si>
    <t>Salarios Durante Desarrollo</t>
  </si>
  <si>
    <t>Servicios</t>
  </si>
  <si>
    <t>Servicios Digitales</t>
  </si>
  <si>
    <t>Arriendo</t>
  </si>
  <si>
    <t>Otros insumos</t>
  </si>
  <si>
    <t>Gerente</t>
  </si>
  <si>
    <t>Activos</t>
  </si>
  <si>
    <t>Pasivo</t>
  </si>
  <si>
    <t>Efectivo y sus equivalentes</t>
  </si>
  <si>
    <t>Energía</t>
  </si>
  <si>
    <t>Servidores</t>
  </si>
  <si>
    <t>Arriendo oficina</t>
  </si>
  <si>
    <t>Papelería</t>
  </si>
  <si>
    <t>Jefe de desarrollo</t>
  </si>
  <si>
    <t>Internet y telefonía</t>
  </si>
  <si>
    <t>Administración</t>
  </si>
  <si>
    <t>Varios oficina</t>
  </si>
  <si>
    <t>Agua y alcantarillado</t>
  </si>
  <si>
    <t>Contador</t>
  </si>
  <si>
    <t>Capital autorizado</t>
  </si>
  <si>
    <t>Total salarios</t>
  </si>
  <si>
    <t>Total servicios</t>
  </si>
  <si>
    <t>Total Pasivo</t>
  </si>
  <si>
    <t>Total Servicios digitales</t>
  </si>
  <si>
    <t>Total Arriendo</t>
  </si>
  <si>
    <t>Total otros insumos</t>
  </si>
  <si>
    <t>contador</t>
  </si>
  <si>
    <t>Salarios Después Desarrollo</t>
  </si>
  <si>
    <t>Computadores y equipos de comunicacion</t>
  </si>
  <si>
    <t>Año</t>
  </si>
  <si>
    <t>Inflación</t>
  </si>
  <si>
    <t>Patrimonio</t>
  </si>
  <si>
    <t>Capital Autorizado</t>
  </si>
  <si>
    <t>Fuente:</t>
  </si>
  <si>
    <t>http://www.banrep.gov.co/es/ipc</t>
  </si>
  <si>
    <t>Capital suscrito</t>
  </si>
  <si>
    <t>Registro de la empresa en Camara de Comercio</t>
  </si>
  <si>
    <t>Total Activos</t>
  </si>
  <si>
    <t>TOTAL</t>
  </si>
  <si>
    <t>Matrícula primer año</t>
  </si>
  <si>
    <t>Si se vincula a los beneficios de la ley 1429</t>
  </si>
  <si>
    <t>Apertura cuenta de banco</t>
  </si>
  <si>
    <t>Certificados originales de existencia y representación legal</t>
  </si>
  <si>
    <t xml:space="preserve">
</t>
  </si>
  <si>
    <t xml:space="preserve">Trámites ante la DIAN
</t>
  </si>
  <si>
    <t>Inscripción de libros</t>
  </si>
  <si>
    <t xml:space="preserve">
Papelería y transporte</t>
  </si>
  <si>
    <t>Total Patrimonio</t>
  </si>
  <si>
    <t xml:space="preserve">Equipo de computo
</t>
  </si>
  <si>
    <t>Total pasivos y patrimonio</t>
  </si>
  <si>
    <t>Dominios, servidores y suscripciones</t>
  </si>
  <si>
    <t>Mes 1</t>
  </si>
  <si>
    <t>Impresora</t>
  </si>
  <si>
    <t xml:space="preserve">GRAN TOTAL
</t>
  </si>
  <si>
    <t>Mes 2</t>
  </si>
  <si>
    <t>Mes 3</t>
  </si>
  <si>
    <t>Mes 4</t>
  </si>
  <si>
    <t>Mes 5</t>
  </si>
  <si>
    <t>Mes 6</t>
  </si>
  <si>
    <t>Mes 7</t>
  </si>
  <si>
    <t>Mes 8</t>
  </si>
  <si>
    <t>Mes 9</t>
  </si>
  <si>
    <t>Mes 10</t>
  </si>
  <si>
    <t>Mes 11</t>
  </si>
  <si>
    <t>Mes 12</t>
  </si>
  <si>
    <t>Ingresos Operacionales</t>
  </si>
  <si>
    <t>Año 1</t>
  </si>
  <si>
    <t>Año 2</t>
  </si>
  <si>
    <t>Año 3</t>
  </si>
  <si>
    <t>Año 0</t>
  </si>
  <si>
    <t>Año 4</t>
  </si>
  <si>
    <t>Año 5</t>
  </si>
  <si>
    <t xml:space="preserve">EGRESOS
</t>
  </si>
  <si>
    <t>Gastos de personal</t>
  </si>
  <si>
    <t xml:space="preserve">(+) Ventas
</t>
  </si>
  <si>
    <t>Arrendamientos</t>
  </si>
  <si>
    <t>Costo de ventas</t>
  </si>
  <si>
    <t>Servicios públicos</t>
  </si>
  <si>
    <t>(-) Costos fijos de producción</t>
  </si>
  <si>
    <t>Pagos a provedores</t>
  </si>
  <si>
    <t>(-) Mano de obra</t>
  </si>
  <si>
    <t>Gastos diversos</t>
  </si>
  <si>
    <t xml:space="preserve">(-) Depreciación y diferidos
</t>
  </si>
  <si>
    <t>Impuestos</t>
  </si>
  <si>
    <t>Utilidad Bruta</t>
  </si>
  <si>
    <t xml:space="preserve">INGRESOS
</t>
  </si>
  <si>
    <t>(-) Gastos de Administración</t>
  </si>
  <si>
    <t>Ventas</t>
  </si>
  <si>
    <t>(-) Gastos de Ventas</t>
  </si>
  <si>
    <t>Inversiones</t>
  </si>
  <si>
    <t>EFECTIVO</t>
  </si>
  <si>
    <t>Utilidad Operacional</t>
  </si>
  <si>
    <t>(+) Ingresos No Operacionales</t>
  </si>
  <si>
    <t>(-) Gastos No Operacionales</t>
  </si>
  <si>
    <t>Utilidad Antes de Impuestos</t>
  </si>
  <si>
    <t>(-) Impuesto sobre la renta</t>
  </si>
  <si>
    <t>Utilidad Neta</t>
  </si>
  <si>
    <t>Tasa crecimiento</t>
  </si>
  <si>
    <t>Valor Dolar</t>
  </si>
  <si>
    <t>% recaudo</t>
  </si>
  <si>
    <t>Mes 0</t>
  </si>
  <si>
    <t>Usuarios x Mes</t>
  </si>
  <si>
    <t>Indice crec</t>
  </si>
  <si>
    <t>% Recaudo</t>
  </si>
  <si>
    <t>Inversion</t>
  </si>
  <si>
    <t>(+) Depreciación y diferidos</t>
  </si>
  <si>
    <t>VAN</t>
  </si>
  <si>
    <t>Tabla para graficar TIO</t>
  </si>
  <si>
    <t>(+) Inversión</t>
  </si>
  <si>
    <t>Flujo de caja</t>
  </si>
  <si>
    <t>TIR</t>
  </si>
  <si>
    <t>Flujo de caja secuencia</t>
  </si>
  <si>
    <t>Flujo de caja neto</t>
  </si>
  <si>
    <t>Punto de equilibrio</t>
  </si>
  <si>
    <t>Costos Fijos</t>
  </si>
  <si>
    <t>Costos Variables Unitario</t>
  </si>
  <si>
    <t>Costo de venta unitario</t>
  </si>
  <si>
    <t>Corte de tiempo</t>
  </si>
  <si>
    <t>Número de usuarios</t>
  </si>
  <si>
    <t>ACTIVO</t>
  </si>
  <si>
    <t>Ediciones Físicas de Coleccionista</t>
  </si>
  <si>
    <t>Edición Física estándar</t>
  </si>
  <si>
    <t>Código físico</t>
  </si>
  <si>
    <t>Código Digital</t>
  </si>
  <si>
    <t>Costo de Compra</t>
  </si>
  <si>
    <t>Mes</t>
  </si>
  <si>
    <t>Poblacion</t>
  </si>
  <si>
    <t>Parametros</t>
  </si>
  <si>
    <t>Mes 1-6</t>
  </si>
  <si>
    <t>Costo de importación</t>
  </si>
  <si>
    <t>Maximo de usuarios</t>
  </si>
  <si>
    <t>Costo de Recaudo</t>
  </si>
  <si>
    <t>Valor medio</t>
  </si>
  <si>
    <t>Activo Corriente</t>
  </si>
  <si>
    <t>Costo Final</t>
  </si>
  <si>
    <t>Pendiente</t>
  </si>
  <si>
    <t>Valor Esperado de Venta</t>
  </si>
  <si>
    <t>Porcentaje de Rentabilidad</t>
  </si>
  <si>
    <t>Caja</t>
  </si>
  <si>
    <t>Valor arriendo</t>
  </si>
  <si>
    <t>Metros cuadrados</t>
  </si>
  <si>
    <t>Valor metro cuadrado</t>
  </si>
  <si>
    <t>Inmueble 1</t>
  </si>
  <si>
    <t>Inmueble 2</t>
  </si>
  <si>
    <t>Inmueble 3</t>
  </si>
  <si>
    <t>Inmueble 4</t>
  </si>
  <si>
    <t>Activo No Corriente</t>
  </si>
  <si>
    <t>Inmueble 5</t>
  </si>
  <si>
    <t>Inmueble 6</t>
  </si>
  <si>
    <t>Promedio</t>
  </si>
  <si>
    <t>Equipo de computación</t>
  </si>
  <si>
    <t>Depreciación Acumulada</t>
  </si>
  <si>
    <t>Total propiedad, planta y equipo</t>
  </si>
  <si>
    <t>PASIVO</t>
  </si>
  <si>
    <t>Pasivo corriente</t>
  </si>
  <si>
    <t>PATRIMONIO</t>
  </si>
  <si>
    <t>Capital Social</t>
  </si>
  <si>
    <t>Costos consitucion de empresa</t>
  </si>
  <si>
    <t>Constitucion de sociedad comercial</t>
  </si>
  <si>
    <t>Impuesto de registro (con cuantia) base capital suscrito</t>
  </si>
  <si>
    <t>matricula persona natural o juridica</t>
  </si>
  <si>
    <t>beneficio matricula ley 1780</t>
  </si>
  <si>
    <t>formularios registro mercantil</t>
  </si>
  <si>
    <t xml:space="preserve">2 computadores de 1.500.000
</t>
  </si>
  <si>
    <t>Agente Comercial</t>
  </si>
  <si>
    <t>Tecnico Sistemas</t>
  </si>
  <si>
    <t>Psicologo</t>
  </si>
  <si>
    <t>% Clientes Potenciales</t>
  </si>
  <si>
    <t># Poblacion Objetivo</t>
  </si>
  <si>
    <t>Escenario Ideal</t>
  </si>
  <si>
    <t>Escenario Optimo</t>
  </si>
  <si>
    <t>Escenario Menos Optimo</t>
  </si>
  <si>
    <t>1 Año</t>
  </si>
  <si>
    <t>2 Año</t>
  </si>
  <si>
    <t>3 Año</t>
  </si>
  <si>
    <t>4 Año</t>
  </si>
  <si>
    <t>5 Año</t>
  </si>
  <si>
    <t>Valor Producto</t>
  </si>
  <si>
    <t>Promoción</t>
  </si>
  <si>
    <t>Tiempo aproximado de duración</t>
  </si>
  <si>
    <t xml:space="preserve">Objetivo </t>
  </si>
  <si>
    <t>Cantidad</t>
  </si>
  <si>
    <t>Se requieren</t>
  </si>
  <si>
    <t>Costo Unitario</t>
  </si>
  <si>
    <t>Costo total</t>
  </si>
  <si>
    <t>Proveedor</t>
  </si>
  <si>
    <t>Tarjetas de presentación</t>
  </si>
  <si>
    <t>6 meses</t>
  </si>
  <si>
    <t xml:space="preserve">Generar 100 nuevos contactos </t>
  </si>
  <si>
    <t>1.000 unidades</t>
  </si>
  <si>
    <t xml:space="preserve">Mas publicidad </t>
  </si>
  <si>
    <t>Etiquetas</t>
  </si>
  <si>
    <t xml:space="preserve">Publicidad Visual </t>
  </si>
  <si>
    <t>500 unidades</t>
  </si>
  <si>
    <t>Stickers</t>
  </si>
  <si>
    <t>1000 unidades</t>
  </si>
  <si>
    <t>Banner 1x2 mts</t>
  </si>
  <si>
    <t>12 meses</t>
  </si>
  <si>
    <t>1 unidad</t>
  </si>
  <si>
    <t>Facebook</t>
  </si>
  <si>
    <t>7 meses</t>
  </si>
  <si>
    <t xml:space="preserve">Posicionamiento de marca </t>
  </si>
  <si>
    <t>Es por click</t>
  </si>
  <si>
    <t xml:space="preserve">Adwords </t>
  </si>
  <si>
    <t xml:space="preserve">oferta </t>
  </si>
  <si>
    <t>Google</t>
  </si>
  <si>
    <t>Total</t>
  </si>
  <si>
    <t>Mano de Obra</t>
  </si>
  <si>
    <t>Equipos</t>
  </si>
  <si>
    <t>Admon</t>
  </si>
  <si>
    <t>Gastos ventas</t>
  </si>
  <si>
    <t>TOTAL COSTO AÑO DE PRODUCCION</t>
  </si>
  <si>
    <t>ESTRATEGIAS DE COMERCIALIZACION</t>
  </si>
  <si>
    <t>Total salarios (x mes)</t>
  </si>
  <si>
    <t>Total Salario (anual)</t>
  </si>
  <si>
    <t>Concepto</t>
  </si>
  <si>
    <t>Materiales (MP Basicas)</t>
  </si>
  <si>
    <t>Personal Dirección</t>
  </si>
  <si>
    <t>Personal Diseño y Desarrollo</t>
  </si>
  <si>
    <t>Personal Managment</t>
  </si>
  <si>
    <t>Personal Mercadeo y Atencion al Cliente</t>
  </si>
  <si>
    <t>Horas Extras</t>
  </si>
  <si>
    <t>Total Costos Directos</t>
  </si>
  <si>
    <t>Costos Directos</t>
  </si>
  <si>
    <t>Servicios Publicos</t>
  </si>
  <si>
    <t>Depreciación Maq y Equipos</t>
  </si>
  <si>
    <t>Depreciación de Vehículo</t>
  </si>
  <si>
    <t>Depreciación Mobiliario Planta prodc.</t>
  </si>
  <si>
    <t>Total Costos Indirectos</t>
  </si>
  <si>
    <t>Costos Indirectos</t>
  </si>
  <si>
    <t>Presupuesto Costos de Operación</t>
  </si>
  <si>
    <t>Tramites Intangibles</t>
  </si>
  <si>
    <t>Total Costos de Arranque</t>
  </si>
  <si>
    <t>Costos de arranque</t>
  </si>
  <si>
    <t>Capital pagado</t>
  </si>
  <si>
    <t>Nivel de Ingresos</t>
  </si>
  <si>
    <t>Inversion  Inicial</t>
  </si>
  <si>
    <t>Total Costos de Operación</t>
  </si>
  <si>
    <t>Total Costos Arranque</t>
  </si>
  <si>
    <t>Capital de Trabajo</t>
  </si>
  <si>
    <t>Inversion Intagible o de Gastos de Arrange</t>
  </si>
  <si>
    <t>Arriendo (6 meses)</t>
  </si>
  <si>
    <t>Inversion Activos Fijos Arranque</t>
  </si>
  <si>
    <t>Operacionales (arriendo + servidor + Equipos)</t>
  </si>
  <si>
    <t>IPC</t>
  </si>
  <si>
    <t>Numero de Ventas</t>
  </si>
  <si>
    <t>Publicidad</t>
  </si>
  <si>
    <t xml:space="preserve">Pagos a provedores </t>
  </si>
  <si>
    <t>pagos a provedores: pago de alojomiento de la aplicación</t>
  </si>
  <si>
    <t>Provedores (Alojamiento Servidor)</t>
  </si>
  <si>
    <t>Impuestos, gravámenes y tasas (Impuesto Renta)</t>
  </si>
  <si>
    <t>Obligaciones laborales (Nomina)</t>
  </si>
  <si>
    <t>Otros pasivos (Arriendo)</t>
  </si>
  <si>
    <t>Flujo de Caja Neto</t>
  </si>
  <si>
    <t>VPN</t>
  </si>
  <si>
    <t>Incremento IPC</t>
  </si>
  <si>
    <t>IPC + 1</t>
  </si>
  <si>
    <t>Columna1</t>
  </si>
  <si>
    <t>Columna2</t>
  </si>
  <si>
    <t>Columna3</t>
  </si>
  <si>
    <t>Columna4</t>
  </si>
  <si>
    <t>Columna5</t>
  </si>
  <si>
    <t>Columna6</t>
  </si>
  <si>
    <t>Columna7</t>
  </si>
  <si>
    <t>I1</t>
  </si>
  <si>
    <t>I2</t>
  </si>
  <si>
    <t>VPN 1</t>
  </si>
  <si>
    <t>VPN 2</t>
  </si>
  <si>
    <t>VPN 2+</t>
  </si>
  <si>
    <t>VPN 1+</t>
  </si>
  <si>
    <t>VPN con Tasa de interes</t>
  </si>
  <si>
    <t>Tasa de interes de oportunidad</t>
  </si>
  <si>
    <t>vpn</t>
  </si>
  <si>
    <t># Precio Aplicación sin IVA</t>
  </si>
  <si>
    <t>% Utilidad</t>
  </si>
  <si>
    <t>-</t>
  </si>
  <si>
    <t>VALOR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</si>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</sst>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&quot;$&quot;#,##0.00"/>
    <numFmt numFmtId="165" formatCode="0.0%"/>
    <numFmt numFmtId="166" formatCode="[$$-240A]\ #,##0.00"/>
    <numFmt numFmtId="167" formatCode="[$$-240A]\ #,##0"/>
    <numFmt numFmtId="168" formatCode="&quot;$&quot;#,##0"/>
    <numFmt numFmtId="169" formatCode="0.0000"/>
    <numFmt numFmtId="170" formatCode="_-[$$-240A]\ * #,##0.00_-;\-[$$-240A]\ * #,##0.00_-;_-[$$-240A]\ * &quot;-&quot;??_-;_-@_-"/>
    <numFmt numFmtId="171" formatCode="_-[$$-240A]\ * #,##0.000_-;\-[$$-240A]\ * #,##0.000_-;_-[$$-240A]\ * &quot;-&quot;??_-;_-@_-"/>
    <numFmt numFmtId="172" formatCode="_-[$$-240A]\ * #,##0.000_-;\-[$$-240A]\ * #,##0.000_-;_-[$$-240A]\ * &quot;-&quot;???_-;_-@_-"/>
    <numFmt numFmtId="173" formatCode="_-[$$-240A]\ * #,##0_-;\-[$$-240A]\ * #,##0_-;_-[$$-240A]\ * &quot;-&quot;??_-;_-@_-"/>
    <numFmt numFmtId="176" formatCode="0.0"/>
  </numFmts>
  <fonts count="26">
    <font>
      <sz val="10"/>
      <color rgb="FF000000"/>
      <name val="Arial"/>
    </font>
    <font>
      <b/>
      <sz val="8"/>
      <name val="Libre Baskerville"/>
    </font>
    <font>
      <b/>
      <sz val="10"/>
      <name val="Libre Baskerville"/>
    </font>
    <font>
      <sz val="10"/>
      <name val="Libre Baskerville"/>
    </font>
    <font>
      <sz val="10"/>
      <name val="Arial"/>
    </font>
    <font>
      <sz val="8"/>
      <color rgb="FF000000"/>
      <name val="'Libre Baskerville'"/>
    </font>
    <font>
      <b/>
      <sz val="10"/>
      <name val="Arial"/>
    </font>
    <font>
      <sz val="8"/>
      <name val="Libre Baskerville"/>
    </font>
    <font>
      <b/>
      <sz val="8"/>
      <color rgb="FF000000"/>
      <name val="'Libre Baskerville'"/>
    </font>
    <font>
      <u/>
      <sz val="10"/>
      <color rgb="FF0000FF"/>
      <name val="Arial"/>
    </font>
    <font>
      <sz val="7"/>
      <name val="Libre Baskerville"/>
    </font>
    <font>
      <b/>
      <sz val="7"/>
      <name val="Libre Baskerville"/>
    </font>
    <font>
      <b/>
      <sz val="8"/>
      <color rgb="FF000000"/>
      <name val="Libre Baskerville"/>
    </font>
    <font>
      <sz val="8"/>
      <color rgb="FF000000"/>
      <name val="Libre Baskerville"/>
    </font>
    <font>
      <b/>
      <sz val="8"/>
      <color rgb="FFFF0000"/>
      <name val="'Libre Baskerville'"/>
    </font>
    <font>
      <sz val="11"/>
      <color rgb="FF000000"/>
      <name val="Inconsolata"/>
    </font>
    <font>
      <sz val="7"/>
      <name val="Arial"/>
    </font>
    <font>
      <sz val="10"/>
      <color rgb="FF000000"/>
      <name val="Arial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b/>
      <sz val="8"/>
      <color theme="1"/>
      <name val="'Libre Baskerville'"/>
    </font>
    <font>
      <b/>
      <sz val="10"/>
      <name val="Arial"/>
      <family val="2"/>
    </font>
    <font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0" tint="-0.14999847407452621"/>
        <bgColor theme="0" tint="-0.14999847407452621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rgb="FF3F3F3F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indexed="64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44" fontId="17" fillId="0" borderId="0" applyFont="0" applyFill="0" applyBorder="0" applyAlignment="0" applyProtection="0"/>
    <xf numFmtId="0" fontId="18" fillId="3" borderId="11" applyNumberFormat="0" applyAlignment="0" applyProtection="0"/>
    <xf numFmtId="0" fontId="19" fillId="4" borderId="12" applyNumberFormat="0" applyAlignment="0" applyProtection="0"/>
    <xf numFmtId="9" fontId="17" fillId="0" borderId="0" applyFont="0" applyFill="0" applyBorder="0" applyAlignment="0" applyProtection="0"/>
    <xf numFmtId="43" fontId="17" fillId="0" borderId="0" applyFont="0" applyFill="0" applyBorder="0" applyAlignment="0" applyProtection="0"/>
  </cellStyleXfs>
  <cellXfs count="222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/>
    <xf numFmtId="0" fontId="1" fillId="0" borderId="1" xfId="0" applyFont="1" applyBorder="1" applyAlignment="1"/>
    <xf numFmtId="0" fontId="6" fillId="0" borderId="0" xfId="0" applyFont="1" applyAlignment="1"/>
    <xf numFmtId="0" fontId="7" fillId="0" borderId="1" xfId="0" applyFont="1" applyBorder="1" applyAlignment="1"/>
    <xf numFmtId="164" fontId="7" fillId="0" borderId="1" xfId="0" applyNumberFormat="1" applyFont="1" applyBorder="1" applyAlignment="1"/>
    <xf numFmtId="0" fontId="7" fillId="0" borderId="1" xfId="0" applyFont="1" applyBorder="1" applyAlignment="1">
      <alignment horizontal="center"/>
    </xf>
    <xf numFmtId="164" fontId="7" fillId="0" borderId="1" xfId="0" applyNumberFormat="1" applyFont="1" applyBorder="1" applyAlignment="1">
      <alignment horizontal="right"/>
    </xf>
    <xf numFmtId="0" fontId="4" fillId="0" borderId="0" xfId="0" applyFont="1" applyAlignment="1"/>
    <xf numFmtId="0" fontId="7" fillId="0" borderId="1" xfId="0" applyFont="1" applyBorder="1" applyAlignment="1">
      <alignment horizontal="center"/>
    </xf>
    <xf numFmtId="164" fontId="7" fillId="0" borderId="1" xfId="0" applyNumberFormat="1" applyFont="1" applyBorder="1" applyAlignment="1">
      <alignment horizontal="right"/>
    </xf>
    <xf numFmtId="164" fontId="1" fillId="0" borderId="1" xfId="0" applyNumberFormat="1" applyFont="1" applyBorder="1"/>
    <xf numFmtId="0" fontId="7" fillId="0" borderId="1" xfId="0" applyFont="1" applyBorder="1"/>
    <xf numFmtId="164" fontId="7" fillId="0" borderId="1" xfId="0" applyNumberFormat="1" applyFont="1" applyBorder="1"/>
    <xf numFmtId="164" fontId="1" fillId="0" borderId="1" xfId="0" applyNumberFormat="1" applyFont="1" applyBorder="1" applyAlignment="1">
      <alignment horizontal="right"/>
    </xf>
    <xf numFmtId="164" fontId="3" fillId="0" borderId="0" xfId="0" applyNumberFormat="1" applyFont="1" applyAlignment="1"/>
    <xf numFmtId="0" fontId="5" fillId="0" borderId="1" xfId="0" applyFont="1" applyBorder="1" applyAlignment="1"/>
    <xf numFmtId="0" fontId="5" fillId="0" borderId="1" xfId="0" applyFont="1" applyBorder="1" applyAlignment="1">
      <alignment horizontal="center"/>
    </xf>
    <xf numFmtId="164" fontId="3" fillId="0" borderId="0" xfId="0" applyNumberFormat="1" applyFont="1"/>
    <xf numFmtId="164" fontId="5" fillId="0" borderId="1" xfId="0" applyNumberFormat="1" applyFont="1" applyBorder="1" applyAlignment="1">
      <alignment horizontal="right"/>
    </xf>
    <xf numFmtId="0" fontId="8" fillId="0" borderId="1" xfId="0" applyFont="1" applyBorder="1" applyAlignment="1"/>
    <xf numFmtId="164" fontId="8" fillId="0" borderId="1" xfId="0" applyNumberFormat="1" applyFont="1" applyBorder="1" applyAlignment="1">
      <alignment horizontal="right"/>
    </xf>
    <xf numFmtId="164" fontId="4" fillId="0" borderId="0" xfId="0" applyNumberFormat="1" applyFont="1"/>
    <xf numFmtId="0" fontId="8" fillId="0" borderId="0" xfId="0" applyFont="1" applyAlignment="1"/>
    <xf numFmtId="0" fontId="10" fillId="0" borderId="1" xfId="0" applyFont="1" applyBorder="1"/>
    <xf numFmtId="164" fontId="8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8" fillId="0" borderId="2" xfId="0" applyFont="1" applyBorder="1" applyAlignment="1"/>
    <xf numFmtId="0" fontId="11" fillId="0" borderId="2" xfId="0" applyFont="1" applyBorder="1" applyAlignment="1"/>
    <xf numFmtId="165" fontId="12" fillId="0" borderId="2" xfId="0" applyNumberFormat="1" applyFont="1" applyBorder="1" applyAlignment="1">
      <alignment horizontal="right"/>
    </xf>
    <xf numFmtId="165" fontId="11" fillId="0" borderId="2" xfId="0" applyNumberFormat="1" applyFont="1" applyBorder="1" applyAlignment="1">
      <alignment horizontal="right"/>
    </xf>
    <xf numFmtId="164" fontId="11" fillId="0" borderId="4" xfId="0" applyNumberFormat="1" applyFont="1" applyBorder="1" applyAlignment="1"/>
    <xf numFmtId="164" fontId="8" fillId="0" borderId="4" xfId="0" applyNumberFormat="1" applyFont="1" applyBorder="1" applyAlignment="1">
      <alignment horizontal="right"/>
    </xf>
    <xf numFmtId="165" fontId="8" fillId="0" borderId="2" xfId="0" applyNumberFormat="1" applyFont="1" applyBorder="1" applyAlignment="1">
      <alignment horizontal="right"/>
    </xf>
    <xf numFmtId="164" fontId="8" fillId="0" borderId="3" xfId="0" applyNumberFormat="1" applyFont="1" applyBorder="1" applyAlignment="1">
      <alignment horizontal="right"/>
    </xf>
    <xf numFmtId="164" fontId="11" fillId="0" borderId="3" xfId="0" applyNumberFormat="1" applyFont="1" applyBorder="1" applyAlignment="1"/>
    <xf numFmtId="164" fontId="11" fillId="0" borderId="0" xfId="0" applyNumberFormat="1" applyFont="1" applyAlignment="1"/>
    <xf numFmtId="0" fontId="10" fillId="0" borderId="2" xfId="0" applyFont="1" applyBorder="1" applyAlignment="1"/>
    <xf numFmtId="165" fontId="10" fillId="0" borderId="2" xfId="0" applyNumberFormat="1" applyFont="1" applyBorder="1" applyAlignment="1">
      <alignment horizontal="right"/>
    </xf>
    <xf numFmtId="164" fontId="10" fillId="0" borderId="4" xfId="0" applyNumberFormat="1" applyFont="1" applyBorder="1" applyAlignment="1"/>
    <xf numFmtId="164" fontId="10" fillId="0" borderId="4" xfId="0" applyNumberFormat="1" applyFont="1" applyBorder="1"/>
    <xf numFmtId="164" fontId="4" fillId="0" borderId="0" xfId="0" applyNumberFormat="1" applyFont="1"/>
    <xf numFmtId="164" fontId="8" fillId="0" borderId="0" xfId="0" applyNumberFormat="1" applyFont="1" applyAlignment="1">
      <alignment horizontal="right"/>
    </xf>
    <xf numFmtId="164" fontId="10" fillId="0" borderId="3" xfId="0" applyNumberFormat="1" applyFont="1" applyBorder="1"/>
    <xf numFmtId="165" fontId="13" fillId="0" borderId="2" xfId="0" applyNumberFormat="1" applyFont="1" applyBorder="1" applyAlignment="1">
      <alignment horizontal="right"/>
    </xf>
    <xf numFmtId="164" fontId="10" fillId="0" borderId="0" xfId="0" applyNumberFormat="1" applyFont="1"/>
    <xf numFmtId="164" fontId="5" fillId="0" borderId="4" xfId="0" applyNumberFormat="1" applyFont="1" applyBorder="1" applyAlignment="1">
      <alignment horizontal="right"/>
    </xf>
    <xf numFmtId="0" fontId="5" fillId="0" borderId="2" xfId="0" applyFont="1" applyBorder="1" applyAlignment="1"/>
    <xf numFmtId="165" fontId="5" fillId="0" borderId="2" xfId="0" applyNumberFormat="1" applyFont="1" applyBorder="1" applyAlignment="1">
      <alignment horizontal="right"/>
    </xf>
    <xf numFmtId="164" fontId="5" fillId="0" borderId="3" xfId="0" applyNumberFormat="1" applyFont="1" applyBorder="1" applyAlignment="1">
      <alignment horizontal="right"/>
    </xf>
    <xf numFmtId="164" fontId="5" fillId="0" borderId="0" xfId="0" applyNumberFormat="1" applyFont="1" applyAlignment="1">
      <alignment horizontal="right"/>
    </xf>
    <xf numFmtId="164" fontId="10" fillId="0" borderId="3" xfId="0" applyNumberFormat="1" applyFont="1" applyBorder="1" applyAlignment="1"/>
    <xf numFmtId="164" fontId="10" fillId="0" borderId="0" xfId="0" applyNumberFormat="1" applyFont="1" applyAlignment="1"/>
    <xf numFmtId="164" fontId="14" fillId="0" borderId="0" xfId="0" applyNumberFormat="1" applyFont="1" applyAlignment="1">
      <alignment horizontal="right"/>
    </xf>
    <xf numFmtId="0" fontId="5" fillId="0" borderId="2" xfId="0" applyFont="1" applyBorder="1" applyAlignment="1"/>
    <xf numFmtId="164" fontId="11" fillId="0" borderId="2" xfId="0" applyNumberFormat="1" applyFont="1" applyBorder="1"/>
    <xf numFmtId="164" fontId="11" fillId="0" borderId="4" xfId="0" applyNumberFormat="1" applyFont="1" applyBorder="1"/>
    <xf numFmtId="164" fontId="11" fillId="0" borderId="3" xfId="0" applyNumberFormat="1" applyFont="1" applyBorder="1"/>
    <xf numFmtId="164" fontId="11" fillId="0" borderId="0" xfId="0" applyNumberFormat="1" applyFont="1"/>
    <xf numFmtId="3" fontId="4" fillId="0" borderId="0" xfId="0" applyNumberFormat="1" applyFont="1"/>
    <xf numFmtId="165" fontId="11" fillId="0" borderId="2" xfId="0" applyNumberFormat="1" applyFont="1" applyBorder="1" applyAlignment="1"/>
    <xf numFmtId="165" fontId="10" fillId="0" borderId="2" xfId="0" applyNumberFormat="1" applyFont="1" applyBorder="1" applyAlignment="1"/>
    <xf numFmtId="3" fontId="4" fillId="0" borderId="0" xfId="0" applyNumberFormat="1" applyFont="1" applyAlignment="1"/>
    <xf numFmtId="164" fontId="4" fillId="0" borderId="0" xfId="0" applyNumberFormat="1" applyFont="1" applyAlignment="1"/>
    <xf numFmtId="4" fontId="15" fillId="2" borderId="0" xfId="0" applyNumberFormat="1" applyFont="1" applyFill="1"/>
    <xf numFmtId="165" fontId="12" fillId="0" borderId="8" xfId="0" applyNumberFormat="1" applyFont="1" applyBorder="1" applyAlignment="1">
      <alignment horizontal="right"/>
    </xf>
    <xf numFmtId="165" fontId="8" fillId="0" borderId="8" xfId="0" applyNumberFormat="1" applyFont="1" applyBorder="1" applyAlignment="1">
      <alignment horizontal="right"/>
    </xf>
    <xf numFmtId="164" fontId="15" fillId="2" borderId="0" xfId="0" applyNumberFormat="1" applyFont="1" applyFill="1"/>
    <xf numFmtId="164" fontId="7" fillId="0" borderId="2" xfId="0" applyNumberFormat="1" applyFont="1" applyBorder="1" applyAlignment="1"/>
    <xf numFmtId="164" fontId="7" fillId="0" borderId="4" xfId="0" applyNumberFormat="1" applyFont="1" applyBorder="1"/>
    <xf numFmtId="164" fontId="7" fillId="0" borderId="4" xfId="0" applyNumberFormat="1" applyFont="1" applyBorder="1" applyAlignment="1"/>
    <xf numFmtId="164" fontId="1" fillId="0" borderId="2" xfId="0" applyNumberFormat="1" applyFont="1" applyBorder="1"/>
    <xf numFmtId="0" fontId="15" fillId="2" borderId="0" xfId="0" applyFont="1" applyFill="1"/>
    <xf numFmtId="164" fontId="1" fillId="0" borderId="4" xfId="0" applyNumberFormat="1" applyFont="1" applyBorder="1"/>
    <xf numFmtId="9" fontId="4" fillId="0" borderId="0" xfId="0" applyNumberFormat="1" applyFont="1"/>
    <xf numFmtId="165" fontId="10" fillId="0" borderId="8" xfId="0" applyNumberFormat="1" applyFont="1" applyBorder="1" applyAlignment="1"/>
    <xf numFmtId="0" fontId="11" fillId="0" borderId="1" xfId="0" applyFont="1" applyBorder="1" applyAlignment="1">
      <alignment horizontal="center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165" fontId="11" fillId="0" borderId="2" xfId="0" applyNumberFormat="1" applyFont="1" applyBorder="1"/>
    <xf numFmtId="0" fontId="11" fillId="0" borderId="1" xfId="0" applyFont="1" applyBorder="1" applyAlignment="1"/>
    <xf numFmtId="164" fontId="11" fillId="0" borderId="4" xfId="0" applyNumberFormat="1" applyFont="1" applyBorder="1"/>
    <xf numFmtId="0" fontId="10" fillId="0" borderId="1" xfId="0" applyFont="1" applyBorder="1" applyAlignment="1">
      <alignment horizontal="center"/>
    </xf>
    <xf numFmtId="3" fontId="10" fillId="0" borderId="1" xfId="0" applyNumberFormat="1" applyFont="1" applyBorder="1" applyAlignment="1">
      <alignment horizontal="center"/>
    </xf>
    <xf numFmtId="0" fontId="4" fillId="0" borderId="10" xfId="0" applyFont="1" applyBorder="1" applyAlignment="1">
      <alignment vertical="top"/>
    </xf>
    <xf numFmtId="0" fontId="10" fillId="0" borderId="4" xfId="0" applyFont="1" applyBorder="1"/>
    <xf numFmtId="165" fontId="16" fillId="0" borderId="2" xfId="0" applyNumberFormat="1" applyFont="1" applyBorder="1" applyAlignment="1"/>
    <xf numFmtId="165" fontId="10" fillId="0" borderId="2" xfId="0" applyNumberFormat="1" applyFont="1" applyBorder="1"/>
    <xf numFmtId="164" fontId="10" fillId="0" borderId="4" xfId="0" applyNumberFormat="1" applyFont="1" applyBorder="1"/>
    <xf numFmtId="0" fontId="1" fillId="0" borderId="1" xfId="0" applyFont="1" applyBorder="1" applyAlignment="1">
      <alignment horizontal="right"/>
    </xf>
    <xf numFmtId="164" fontId="10" fillId="0" borderId="3" xfId="0" applyNumberFormat="1" applyFont="1" applyBorder="1"/>
    <xf numFmtId="0" fontId="1" fillId="0" borderId="1" xfId="0" applyFont="1" applyBorder="1"/>
    <xf numFmtId="0" fontId="7" fillId="0" borderId="1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20" fillId="0" borderId="0" xfId="0" applyFont="1" applyAlignment="1"/>
    <xf numFmtId="10" fontId="0" fillId="0" borderId="0" xfId="0" applyNumberFormat="1" applyFont="1" applyAlignment="1"/>
    <xf numFmtId="0" fontId="21" fillId="0" borderId="0" xfId="0" applyFont="1" applyAlignment="1"/>
    <xf numFmtId="0" fontId="0" fillId="0" borderId="13" xfId="0" applyFont="1" applyBorder="1" applyAlignment="1"/>
    <xf numFmtId="0" fontId="8" fillId="0" borderId="13" xfId="0" applyFont="1" applyBorder="1" applyAlignment="1"/>
    <xf numFmtId="0" fontId="5" fillId="0" borderId="13" xfId="0" applyFont="1" applyBorder="1" applyAlignment="1"/>
    <xf numFmtId="4" fontId="0" fillId="0" borderId="0" xfId="0" applyNumberFormat="1" applyFont="1" applyAlignment="1"/>
    <xf numFmtId="0" fontId="20" fillId="0" borderId="13" xfId="0" applyFont="1" applyBorder="1" applyAlignment="1">
      <alignment wrapText="1"/>
    </xf>
    <xf numFmtId="0" fontId="20" fillId="0" borderId="13" xfId="0" applyFont="1" applyBorder="1" applyAlignment="1"/>
    <xf numFmtId="0" fontId="22" fillId="0" borderId="13" xfId="0" applyFont="1" applyBorder="1" applyAlignment="1">
      <alignment wrapText="1"/>
    </xf>
    <xf numFmtId="0" fontId="22" fillId="0" borderId="13" xfId="0" applyFont="1" applyBorder="1" applyAlignment="1"/>
    <xf numFmtId="0" fontId="9" fillId="0" borderId="0" xfId="0" applyFont="1" applyAlignment="1">
      <alignment wrapText="1"/>
    </xf>
    <xf numFmtId="0" fontId="13" fillId="0" borderId="0" xfId="0" applyFont="1" applyAlignment="1"/>
    <xf numFmtId="167" fontId="0" fillId="0" borderId="13" xfId="1" applyNumberFormat="1" applyFont="1" applyBorder="1" applyAlignment="1"/>
    <xf numFmtId="167" fontId="22" fillId="0" borderId="13" xfId="1" applyNumberFormat="1" applyFont="1" applyBorder="1" applyAlignment="1"/>
    <xf numFmtId="0" fontId="19" fillId="4" borderId="12" xfId="3" applyAlignment="1">
      <alignment horizontal="center" wrapText="1"/>
    </xf>
    <xf numFmtId="164" fontId="7" fillId="0" borderId="13" xfId="0" applyNumberFormat="1" applyFont="1" applyBorder="1"/>
    <xf numFmtId="164" fontId="1" fillId="0" borderId="13" xfId="0" applyNumberFormat="1" applyFont="1" applyBorder="1"/>
    <xf numFmtId="0" fontId="22" fillId="0" borderId="13" xfId="0" applyFont="1" applyBorder="1" applyAlignment="1">
      <alignment horizontal="center"/>
    </xf>
    <xf numFmtId="0" fontId="19" fillId="4" borderId="12" xfId="3" applyAlignment="1">
      <alignment horizontal="center"/>
    </xf>
    <xf numFmtId="166" fontId="10" fillId="0" borderId="1" xfId="0" applyNumberFormat="1" applyFont="1" applyBorder="1" applyAlignment="1">
      <alignment horizontal="right"/>
    </xf>
    <xf numFmtId="0" fontId="2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7" fillId="0" borderId="5" xfId="0" applyFont="1" applyBorder="1" applyAlignment="1"/>
    <xf numFmtId="0" fontId="7" fillId="0" borderId="13" xfId="0" applyFont="1" applyFill="1" applyBorder="1" applyAlignment="1"/>
    <xf numFmtId="168" fontId="1" fillId="0" borderId="1" xfId="0" applyNumberFormat="1" applyFont="1" applyBorder="1"/>
    <xf numFmtId="168" fontId="7" fillId="0" borderId="1" xfId="0" applyNumberFormat="1" applyFont="1" applyBorder="1"/>
    <xf numFmtId="168" fontId="7" fillId="0" borderId="1" xfId="0" applyNumberFormat="1" applyFont="1" applyBorder="1" applyAlignment="1"/>
    <xf numFmtId="168" fontId="7" fillId="0" borderId="5" xfId="0" applyNumberFormat="1" applyFont="1" applyBorder="1" applyAlignment="1"/>
    <xf numFmtId="168" fontId="13" fillId="0" borderId="13" xfId="0" applyNumberFormat="1" applyFont="1" applyBorder="1" applyAlignment="1"/>
    <xf numFmtId="0" fontId="19" fillId="4" borderId="12" xfId="3" applyAlignment="1"/>
    <xf numFmtId="168" fontId="19" fillId="4" borderId="12" xfId="3" applyNumberFormat="1"/>
    <xf numFmtId="164" fontId="8" fillId="0" borderId="13" xfId="0" applyNumberFormat="1" applyFont="1" applyBorder="1" applyAlignment="1">
      <alignment horizontal="center"/>
    </xf>
    <xf numFmtId="0" fontId="22" fillId="0" borderId="0" xfId="0" applyFont="1" applyAlignment="1"/>
    <xf numFmtId="164" fontId="24" fillId="0" borderId="0" xfId="0" applyNumberFormat="1" applyFont="1"/>
    <xf numFmtId="166" fontId="8" fillId="0" borderId="13" xfId="0" applyNumberFormat="1" applyFont="1" applyBorder="1" applyAlignment="1">
      <alignment horizontal="right"/>
    </xf>
    <xf numFmtId="166" fontId="12" fillId="0" borderId="4" xfId="0" applyNumberFormat="1" applyFont="1" applyBorder="1" applyAlignment="1">
      <alignment horizontal="right"/>
    </xf>
    <xf numFmtId="166" fontId="8" fillId="0" borderId="4" xfId="0" applyNumberFormat="1" applyFont="1" applyBorder="1" applyAlignment="1">
      <alignment horizontal="right"/>
    </xf>
    <xf numFmtId="166" fontId="12" fillId="0" borderId="2" xfId="0" applyNumberFormat="1" applyFont="1" applyBorder="1" applyAlignment="1">
      <alignment horizontal="right"/>
    </xf>
    <xf numFmtId="166" fontId="8" fillId="0" borderId="3" xfId="0" applyNumberFormat="1" applyFont="1" applyBorder="1" applyAlignment="1">
      <alignment horizontal="right"/>
    </xf>
    <xf numFmtId="166" fontId="5" fillId="0" borderId="13" xfId="0" applyNumberFormat="1" applyFont="1" applyBorder="1" applyAlignment="1">
      <alignment horizontal="right"/>
    </xf>
    <xf numFmtId="166" fontId="13" fillId="0" borderId="4" xfId="0" applyNumberFormat="1" applyFont="1" applyBorder="1" applyAlignment="1">
      <alignment horizontal="right"/>
    </xf>
    <xf numFmtId="166" fontId="5" fillId="0" borderId="4" xfId="0" applyNumberFormat="1" applyFont="1" applyBorder="1" applyAlignment="1">
      <alignment horizontal="right"/>
    </xf>
    <xf numFmtId="166" fontId="13" fillId="0" borderId="2" xfId="0" applyNumberFormat="1" applyFont="1" applyBorder="1" applyAlignment="1">
      <alignment horizontal="right"/>
    </xf>
    <xf numFmtId="166" fontId="5" fillId="0" borderId="3" xfId="0" applyNumberFormat="1" applyFont="1" applyBorder="1" applyAlignment="1">
      <alignment horizontal="right"/>
    </xf>
    <xf numFmtId="166" fontId="14" fillId="0" borderId="13" xfId="0" applyNumberFormat="1" applyFont="1" applyBorder="1" applyAlignment="1">
      <alignment horizontal="right"/>
    </xf>
    <xf numFmtId="166" fontId="8" fillId="0" borderId="13" xfId="0" applyNumberFormat="1" applyFont="1" applyBorder="1" applyAlignment="1"/>
    <xf numFmtId="166" fontId="5" fillId="0" borderId="13" xfId="0" applyNumberFormat="1" applyFont="1" applyBorder="1" applyAlignment="1"/>
    <xf numFmtId="166" fontId="23" fillId="0" borderId="4" xfId="0" applyNumberFormat="1" applyFont="1" applyBorder="1" applyAlignment="1">
      <alignment horizontal="right"/>
    </xf>
    <xf numFmtId="0" fontId="22" fillId="0" borderId="0" xfId="0" applyFont="1" applyAlignment="1">
      <alignment horizontal="center"/>
    </xf>
    <xf numFmtId="9" fontId="0" fillId="0" borderId="0" xfId="4" applyFont="1" applyAlignment="1"/>
    <xf numFmtId="165" fontId="0" fillId="0" borderId="0" xfId="4" applyNumberFormat="1" applyFont="1" applyAlignment="1"/>
    <xf numFmtId="0" fontId="2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68" fontId="4" fillId="0" borderId="0" xfId="0" applyNumberFormat="1" applyFont="1"/>
    <xf numFmtId="168" fontId="11" fillId="0" borderId="4" xfId="0" applyNumberFormat="1" applyFont="1" applyBorder="1" applyAlignment="1"/>
    <xf numFmtId="168" fontId="10" fillId="0" borderId="4" xfId="0" applyNumberFormat="1" applyFont="1" applyBorder="1"/>
    <xf numFmtId="168" fontId="10" fillId="0" borderId="4" xfId="0" applyNumberFormat="1" applyFont="1" applyBorder="1" applyAlignment="1"/>
    <xf numFmtId="0" fontId="18" fillId="3" borderId="11" xfId="2" applyAlignment="1"/>
    <xf numFmtId="164" fontId="18" fillId="3" borderId="11" xfId="2" applyNumberFormat="1"/>
    <xf numFmtId="168" fontId="18" fillId="3" borderId="11" xfId="2" applyNumberFormat="1"/>
    <xf numFmtId="0" fontId="18" fillId="3" borderId="11" xfId="2"/>
    <xf numFmtId="166" fontId="22" fillId="0" borderId="0" xfId="0" applyNumberFormat="1" applyFont="1" applyAlignment="1"/>
    <xf numFmtId="166" fontId="0" fillId="0" borderId="0" xfId="0" applyNumberFormat="1" applyFont="1" applyAlignment="1"/>
    <xf numFmtId="164" fontId="8" fillId="0" borderId="16" xfId="0" applyNumberFormat="1" applyFont="1" applyBorder="1" applyAlignment="1">
      <alignment horizontal="right"/>
    </xf>
    <xf numFmtId="164" fontId="5" fillId="0" borderId="16" xfId="0" applyNumberFormat="1" applyFont="1" applyBorder="1" applyAlignment="1">
      <alignment horizontal="right"/>
    </xf>
    <xf numFmtId="164" fontId="7" fillId="0" borderId="16" xfId="0" applyNumberFormat="1" applyFont="1" applyBorder="1"/>
    <xf numFmtId="164" fontId="7" fillId="0" borderId="16" xfId="0" applyNumberFormat="1" applyFont="1" applyBorder="1" applyAlignment="1"/>
    <xf numFmtId="164" fontId="1" fillId="0" borderId="16" xfId="0" applyNumberFormat="1" applyFont="1" applyBorder="1"/>
    <xf numFmtId="164" fontId="11" fillId="0" borderId="16" xfId="0" applyNumberFormat="1" applyFont="1" applyBorder="1"/>
    <xf numFmtId="0" fontId="10" fillId="0" borderId="16" xfId="0" applyFont="1" applyBorder="1"/>
    <xf numFmtId="164" fontId="10" fillId="0" borderId="16" xfId="0" applyNumberFormat="1" applyFont="1" applyBorder="1"/>
    <xf numFmtId="164" fontId="10" fillId="0" borderId="16" xfId="0" applyNumberFormat="1" applyFont="1" applyBorder="1" applyAlignment="1"/>
    <xf numFmtId="167" fontId="0" fillId="0" borderId="0" xfId="1" applyNumberFormat="1" applyFont="1" applyAlignment="1"/>
    <xf numFmtId="167" fontId="0" fillId="0" borderId="0" xfId="0" applyNumberFormat="1" applyFont="1" applyAlignment="1"/>
    <xf numFmtId="10" fontId="0" fillId="0" borderId="0" xfId="4" applyNumberFormat="1" applyFont="1" applyAlignment="1"/>
    <xf numFmtId="169" fontId="0" fillId="0" borderId="0" xfId="4" applyNumberFormat="1" applyFont="1" applyAlignment="1"/>
    <xf numFmtId="170" fontId="0" fillId="0" borderId="0" xfId="0" applyNumberFormat="1" applyFont="1" applyAlignment="1">
      <alignment horizontal="center"/>
    </xf>
    <xf numFmtId="171" fontId="0" fillId="0" borderId="0" xfId="0" applyNumberFormat="1" applyFont="1" applyAlignment="1">
      <alignment horizontal="center"/>
    </xf>
    <xf numFmtId="172" fontId="0" fillId="0" borderId="0" xfId="0" applyNumberFormat="1" applyFont="1" applyAlignment="1">
      <alignment horizontal="center"/>
    </xf>
    <xf numFmtId="43" fontId="25" fillId="5" borderId="0" xfId="5" applyFont="1" applyFill="1" applyAlignment="1">
      <alignment horizontal="center"/>
    </xf>
    <xf numFmtId="170" fontId="0" fillId="0" borderId="0" xfId="1" applyNumberFormat="1" applyFont="1" applyAlignment="1">
      <alignment horizontal="center"/>
    </xf>
    <xf numFmtId="170" fontId="19" fillId="4" borderId="12" xfId="1" applyNumberFormat="1" applyFont="1" applyFill="1" applyBorder="1" applyAlignment="1"/>
    <xf numFmtId="173" fontId="19" fillId="4" borderId="12" xfId="1" applyNumberFormat="1" applyFont="1" applyFill="1" applyBorder="1" applyAlignment="1"/>
    <xf numFmtId="0" fontId="1" fillId="0" borderId="2" xfId="0" applyFont="1" applyBorder="1" applyAlignment="1">
      <alignment horizontal="center"/>
    </xf>
    <xf numFmtId="0" fontId="4" fillId="0" borderId="3" xfId="0" applyFont="1" applyBorder="1"/>
    <xf numFmtId="167" fontId="0" fillId="0" borderId="0" xfId="0" applyNumberFormat="1" applyFont="1" applyAlignment="1">
      <alignment horizontal="center"/>
    </xf>
    <xf numFmtId="0" fontId="19" fillId="4" borderId="12" xfId="3" applyAlignment="1">
      <alignment horizontal="center"/>
    </xf>
    <xf numFmtId="0" fontId="0" fillId="0" borderId="13" xfId="0" applyFont="1" applyBorder="1" applyAlignment="1">
      <alignment horizontal="center"/>
    </xf>
    <xf numFmtId="0" fontId="18" fillId="3" borderId="11" xfId="2" applyAlignment="1">
      <alignment horizontal="center" wrapText="1"/>
    </xf>
    <xf numFmtId="167" fontId="19" fillId="4" borderId="12" xfId="3" applyNumberFormat="1" applyAlignment="1">
      <alignment horizontal="center"/>
    </xf>
    <xf numFmtId="0" fontId="2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0" fillId="0" borderId="14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2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67" fontId="0" fillId="0" borderId="14" xfId="1" applyNumberFormat="1" applyFont="1" applyBorder="1" applyAlignment="1">
      <alignment horizontal="center"/>
    </xf>
    <xf numFmtId="167" fontId="0" fillId="0" borderId="0" xfId="1" applyNumberFormat="1" applyFont="1" applyAlignment="1">
      <alignment horizontal="center"/>
    </xf>
    <xf numFmtId="170" fontId="19" fillId="4" borderId="12" xfId="1" applyNumberFormat="1" applyFont="1" applyFill="1" applyBorder="1" applyAlignment="1">
      <alignment horizontal="center"/>
    </xf>
    <xf numFmtId="0" fontId="19" fillId="4" borderId="12" xfId="3"/>
    <xf numFmtId="164" fontId="19" fillId="4" borderId="12" xfId="3" applyNumberFormat="1" applyAlignment="1">
      <alignment horizontal="center"/>
    </xf>
    <xf numFmtId="0" fontId="8" fillId="0" borderId="2" xfId="0" applyFont="1" applyBorder="1" applyAlignment="1">
      <alignment horizontal="center"/>
    </xf>
    <xf numFmtId="0" fontId="5" fillId="0" borderId="5" xfId="0" applyFont="1" applyBorder="1" applyAlignment="1"/>
    <xf numFmtId="0" fontId="4" fillId="0" borderId="6" xfId="0" applyFont="1" applyBorder="1"/>
    <xf numFmtId="0" fontId="4" fillId="0" borderId="7" xfId="0" applyFont="1" applyBorder="1"/>
    <xf numFmtId="164" fontId="5" fillId="0" borderId="5" xfId="0" applyNumberFormat="1" applyFont="1" applyBorder="1" applyAlignment="1">
      <alignment horizontal="right"/>
    </xf>
    <xf numFmtId="0" fontId="19" fillId="4" borderId="13" xfId="3" applyBorder="1" applyAlignment="1">
      <alignment horizontal="center"/>
    </xf>
    <xf numFmtId="167" fontId="19" fillId="4" borderId="13" xfId="3" applyNumberFormat="1" applyBorder="1" applyAlignment="1">
      <alignment horizontal="center"/>
    </xf>
    <xf numFmtId="167" fontId="0" fillId="0" borderId="13" xfId="1" applyNumberFormat="1" applyFont="1" applyBorder="1" applyAlignment="1">
      <alignment horizontal="center"/>
    </xf>
    <xf numFmtId="0" fontId="20" fillId="0" borderId="13" xfId="0" applyFont="1" applyBorder="1" applyAlignment="1">
      <alignment horizontal="center"/>
    </xf>
    <xf numFmtId="166" fontId="0" fillId="0" borderId="13" xfId="1" applyNumberFormat="1" applyFont="1" applyBorder="1" applyAlignment="1">
      <alignment horizontal="center"/>
    </xf>
    <xf numFmtId="164" fontId="8" fillId="0" borderId="2" xfId="0" applyNumberFormat="1" applyFont="1" applyBorder="1" applyAlignment="1">
      <alignment horizontal="center"/>
    </xf>
    <xf numFmtId="164" fontId="8" fillId="0" borderId="4" xfId="0" applyNumberFormat="1" applyFont="1" applyBorder="1" applyAlignment="1">
      <alignment horizontal="center"/>
    </xf>
    <xf numFmtId="164" fontId="8" fillId="0" borderId="8" xfId="0" applyNumberFormat="1" applyFont="1" applyBorder="1" applyAlignment="1">
      <alignment horizontal="center"/>
    </xf>
    <xf numFmtId="0" fontId="4" fillId="0" borderId="9" xfId="0" applyFont="1" applyBorder="1"/>
    <xf numFmtId="0" fontId="18" fillId="3" borderId="11" xfId="2" applyAlignment="1">
      <alignment horizontal="center"/>
    </xf>
    <xf numFmtId="0" fontId="18" fillId="3" borderId="11" xfId="2"/>
    <xf numFmtId="0" fontId="11" fillId="0" borderId="2" xfId="0" applyFont="1" applyBorder="1" applyAlignment="1">
      <alignment horizontal="center"/>
    </xf>
    <xf numFmtId="0" fontId="4" fillId="0" borderId="15" xfId="0" applyFont="1" applyBorder="1"/>
    <xf numFmtId="0" fontId="18" fillId="3" borderId="11" xfId="2" applyBorder="1" applyAlignment="1">
      <alignment horizontal="center"/>
    </xf>
    <xf numFmtId="0" fontId="18" fillId="3" borderId="17" xfId="2" applyBorder="1"/>
    <xf numFmtId="2" fontId="0" fillId="0" borderId="0" xfId="0" applyNumberFormat="1" applyFont="1" applyAlignment="1"/>
    <xf numFmtId="176" fontId="0" fillId="0" borderId="0" xfId="0" applyNumberFormat="1" applyFont="1" applyAlignment="1"/>
    <xf numFmtId="1" fontId="0" fillId="0" borderId="0" xfId="0" applyNumberFormat="1" applyFont="1" applyAlignment="1"/>
  </cellXfs>
  <cellStyles count="6">
    <cellStyle name="Celda de comprobación" xfId="3" builtinId="23"/>
    <cellStyle name="Millares" xfId="5" builtinId="3"/>
    <cellStyle name="Moneda" xfId="1" builtinId="4"/>
    <cellStyle name="Normal" xfId="0" builtinId="0"/>
    <cellStyle name="Porcentaje" xfId="4" builtinId="5"/>
    <cellStyle name="Salida" xfId="2" builtinId="21"/>
  </cellStyles>
  <dxfs count="42"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ill>
        <patternFill>
          <f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69" formatCode="0.00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4" formatCode="0.00%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numFmt numFmtId="167" formatCode="[$$-240A]\ 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70" formatCode="_-[$$-240A]\ * #,##0.00_-;\-[$$-240A]\ * #,##0.00_-;_-[$$-240A]\ 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67" formatCode="[$$-240A]\ #,##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7" formatCode="[$$-240A]\ #,##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7" formatCode="[$$-240A]\ #,##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FF2D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s-ES"/>
              <a:t>Flujo de Caja primer año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Efectivo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'Flujo de caja - 12 meses'!$B$1:$AA$1</c:f>
              <c:strCache>
                <c:ptCount val="25"/>
                <c:pt idx="0">
                  <c:v>Mes 0</c:v>
                </c:pt>
                <c:pt idx="2">
                  <c:v>Mes 1</c:v>
                </c:pt>
                <c:pt idx="4">
                  <c:v>Mes 2</c:v>
                </c:pt>
                <c:pt idx="6">
                  <c:v>Mes 3</c:v>
                </c:pt>
                <c:pt idx="8">
                  <c:v>Mes 4</c:v>
                </c:pt>
                <c:pt idx="10">
                  <c:v>Mes 5</c:v>
                </c:pt>
                <c:pt idx="12">
                  <c:v>Mes 6</c:v>
                </c:pt>
                <c:pt idx="14">
                  <c:v>Mes 7</c:v>
                </c:pt>
                <c:pt idx="16">
                  <c:v>Mes 8</c:v>
                </c:pt>
                <c:pt idx="18">
                  <c:v>Mes 9</c:v>
                </c:pt>
                <c:pt idx="20">
                  <c:v>Mes 10</c:v>
                </c:pt>
                <c:pt idx="22">
                  <c:v>Mes 11</c:v>
                </c:pt>
                <c:pt idx="24">
                  <c:v>Mes 12</c:v>
                </c:pt>
              </c:strCache>
            </c:strRef>
          </c:cat>
          <c:val>
            <c:numRef>
              <c:f>'Flujo de caja - 12 meses'!$C$13:$AA$13</c:f>
              <c:numCache>
                <c:formatCode>"$"#,##0.00</c:formatCode>
                <c:ptCount val="25"/>
                <c:pt idx="0">
                  <c:v>58512500</c:v>
                </c:pt>
                <c:pt idx="2">
                  <c:v>50373464</c:v>
                </c:pt>
                <c:pt idx="4" formatCode="&quot;$&quot;#,##0">
                  <c:v>42124428</c:v>
                </c:pt>
                <c:pt idx="6" formatCode="&quot;$&quot;#,##0">
                  <c:v>33845392</c:v>
                </c:pt>
                <c:pt idx="8" formatCode="&quot;$&quot;#,##0">
                  <c:v>25666356</c:v>
                </c:pt>
                <c:pt idx="10">
                  <c:v>17487320</c:v>
                </c:pt>
                <c:pt idx="12">
                  <c:v>8783284</c:v>
                </c:pt>
                <c:pt idx="14">
                  <c:v>14437744.042382877</c:v>
                </c:pt>
                <c:pt idx="16">
                  <c:v>23048294.378779322</c:v>
                </c:pt>
                <c:pt idx="18">
                  <c:v>35340628.506744199</c:v>
                </c:pt>
                <c:pt idx="20">
                  <c:v>52194580.377964199</c:v>
                </c:pt>
                <c:pt idx="22">
                  <c:v>74663618.619701326</c:v>
                </c:pt>
                <c:pt idx="24">
                  <c:v>103989458.32347313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5068744"/>
        <c:axId val="315070312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v>Meses</c:v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'Flujo de caja - 12 meses'!$B$1:$AA$1</c15:sqref>
                        </c15:formulaRef>
                      </c:ext>
                    </c:extLst>
                    <c:strCache>
                      <c:ptCount val="25"/>
                      <c:pt idx="0">
                        <c:v>Mes 0</c:v>
                      </c:pt>
                      <c:pt idx="2">
                        <c:v>Mes 1</c:v>
                      </c:pt>
                      <c:pt idx="4">
                        <c:v>Mes 2</c:v>
                      </c:pt>
                      <c:pt idx="6">
                        <c:v>Mes 3</c:v>
                      </c:pt>
                      <c:pt idx="8">
                        <c:v>Mes 4</c:v>
                      </c:pt>
                      <c:pt idx="10">
                        <c:v>Mes 5</c:v>
                      </c:pt>
                      <c:pt idx="12">
                        <c:v>Mes 6</c:v>
                      </c:pt>
                      <c:pt idx="14">
                        <c:v>Mes 7</c:v>
                      </c:pt>
                      <c:pt idx="16">
                        <c:v>Mes 8</c:v>
                      </c:pt>
                      <c:pt idx="18">
                        <c:v>Mes 9</c:v>
                      </c:pt>
                      <c:pt idx="20">
                        <c:v>Mes 10</c:v>
                      </c:pt>
                      <c:pt idx="22">
                        <c:v>Mes 11</c:v>
                      </c:pt>
                      <c:pt idx="24">
                        <c:v>Mes 12</c:v>
                      </c:pt>
                    </c:strCache>
                  </c:strRef>
                </c:cat>
                <c:val>
                  <c:numLit>
                    <c:formatCode>General</c:formatCode>
                    <c:ptCount val="1"/>
                    <c:pt idx="0">
                      <c:v>1</c:v>
                    </c:pt>
                  </c:numLit>
                </c:val>
              </c15:ser>
            </c15:filteredBarSeries>
          </c:ext>
        </c:extLst>
      </c:barChart>
      <c:catAx>
        <c:axId val="315068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Periodo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15070312"/>
        <c:crosses val="autoZero"/>
        <c:auto val="1"/>
        <c:lblAlgn val="ctr"/>
        <c:lblOffset val="100"/>
        <c:noMultiLvlLbl val="0"/>
      </c:catAx>
      <c:valAx>
        <c:axId val="315070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Valor en Pesos  en caja</a:t>
                </a:r>
              </a:p>
            </c:rich>
          </c:tx>
          <c:layout>
            <c:manualLayout>
              <c:xMode val="edge"/>
              <c:yMode val="edge"/>
              <c:x val="1.9399687299814877E-2"/>
              <c:y val="0.376322314529084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&quot;$&quot;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15068744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0" panose="00000500000000000000" pitchFamily="50" charset="0"/>
                <a:ea typeface="+mn-ea"/>
                <a:cs typeface="+mn-cs"/>
              </a:defRPr>
            </a:pPr>
            <a:r>
              <a:rPr lang="es-ES" b="1">
                <a:latin typeface="LM Roman 10" panose="00000500000000000000" pitchFamily="50" charset="0"/>
              </a:rPr>
              <a:t>Gráfica T.I.O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LM Roman 10" panose="00000500000000000000" pitchFamily="50" charset="0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'VAN y TIR'!$L$6:$L$42</c:f>
              <c:numCache>
                <c:formatCode>General</c:formatCode>
                <c:ptCount val="3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</c:numCache>
            </c:numRef>
          </c:cat>
          <c:val>
            <c:numRef>
              <c:f>'VAN y TIR'!$M$6:$M$42</c:f>
              <c:numCache>
                <c:formatCode>"$"#,##0.00</c:formatCode>
                <c:ptCount val="37"/>
                <c:pt idx="0">
                  <c:v>932491300.11207008</c:v>
                </c:pt>
                <c:pt idx="1">
                  <c:v>775438854.96259463</c:v>
                </c:pt>
                <c:pt idx="2">
                  <c:v>651054872.12233496</c:v>
                </c:pt>
                <c:pt idx="3">
                  <c:v>551255916.1560055</c:v>
                </c:pt>
                <c:pt idx="4">
                  <c:v>470231068.45592093</c:v>
                </c:pt>
                <c:pt idx="5">
                  <c:v>403735377.34935635</c:v>
                </c:pt>
                <c:pt idx="6">
                  <c:v>348621923.75408232</c:v>
                </c:pt>
                <c:pt idx="7">
                  <c:v>302526090.1064831</c:v>
                </c:pt>
                <c:pt idx="8">
                  <c:v>263648851.83573467</c:v>
                </c:pt>
                <c:pt idx="9">
                  <c:v>230605673.53827584</c:v>
                </c:pt>
                <c:pt idx="10">
                  <c:v>202319604.28620735</c:v>
                </c:pt>
                <c:pt idx="11">
                  <c:v>177944616.05576068</c:v>
                </c:pt>
                <c:pt idx="12">
                  <c:v>156809935.82865989</c:v>
                </c:pt>
                <c:pt idx="13">
                  <c:v>138379147.16062474</c:v>
                </c:pt>
                <c:pt idx="14">
                  <c:v>122219812.9458811</c:v>
                </c:pt>
                <c:pt idx="15">
                  <c:v>107980681.10409883</c:v>
                </c:pt>
                <c:pt idx="16">
                  <c:v>95374415.61831674</c:v>
                </c:pt>
                <c:pt idx="17">
                  <c:v>84164395.232070923</c:v>
                </c:pt>
                <c:pt idx="18">
                  <c:v>74154535.758302122</c:v>
                </c:pt>
                <c:pt idx="19">
                  <c:v>65181380.489019707</c:v>
                </c:pt>
                <c:pt idx="20">
                  <c:v>57107906.662105799</c:v>
                </c:pt>
                <c:pt idx="21">
                  <c:v>49818640.900405675</c:v>
                </c:pt>
                <c:pt idx="22">
                  <c:v>43215780.819431305</c:v>
                </c:pt>
                <c:pt idx="23">
                  <c:v>37216095.710314304</c:v>
                </c:pt>
                <c:pt idx="24">
                  <c:v>31748434.652536154</c:v>
                </c:pt>
                <c:pt idx="25">
                  <c:v>26751711.356332436</c:v>
                </c:pt>
                <c:pt idx="26">
                  <c:v>22173265.509213895</c:v>
                </c:pt>
                <c:pt idx="27">
                  <c:v>17967523.25272584</c:v>
                </c:pt>
                <c:pt idx="28">
                  <c:v>14094896.67373018</c:v>
                </c:pt>
                <c:pt idx="29">
                  <c:v>10520875.31722407</c:v>
                </c:pt>
                <c:pt idx="30">
                  <c:v>7215272.7709643543</c:v>
                </c:pt>
                <c:pt idx="31">
                  <c:v>4151599.1064622849</c:v>
                </c:pt>
                <c:pt idx="32">
                  <c:v>1306535.952580601</c:v>
                </c:pt>
                <c:pt idx="33">
                  <c:v>-1340504.3538783267</c:v>
                </c:pt>
                <c:pt idx="34">
                  <c:v>-3807750.4393077567</c:v>
                </c:pt>
                <c:pt idx="35">
                  <c:v>-6111386.4051334113</c:v>
                </c:pt>
                <c:pt idx="36">
                  <c:v>-8265818.9201664701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5069528"/>
        <c:axId val="315071488"/>
      </c:lineChart>
      <c:catAx>
        <c:axId val="315069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LM Roman 10" panose="00000500000000000000" pitchFamily="50" charset="0"/>
                    <a:ea typeface="+mn-ea"/>
                    <a:cs typeface="+mn-cs"/>
                  </a:defRPr>
                </a:pPr>
                <a:r>
                  <a:rPr lang="es-ES" b="1">
                    <a:latin typeface="LM Roman 10" panose="00000500000000000000" pitchFamily="50" charset="0"/>
                  </a:rPr>
                  <a:t>Tasa de descuento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LM Roman 10" panose="00000500000000000000" pitchFamily="50" charset="0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0" panose="00000500000000000000" pitchFamily="50" charset="0"/>
                <a:ea typeface="+mn-ea"/>
                <a:cs typeface="+mn-cs"/>
              </a:defRPr>
            </a:pPr>
            <a:endParaRPr lang="es-ES"/>
          </a:p>
        </c:txPr>
        <c:crossAx val="315071488"/>
        <c:crosses val="autoZero"/>
        <c:auto val="1"/>
        <c:lblAlgn val="ctr"/>
        <c:lblOffset val="100"/>
        <c:noMultiLvlLbl val="1"/>
      </c:catAx>
      <c:valAx>
        <c:axId val="3150714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LM Roman 10" panose="00000500000000000000" pitchFamily="50" charset="0"/>
                    <a:ea typeface="+mn-ea"/>
                    <a:cs typeface="+mn-cs"/>
                  </a:defRPr>
                </a:pPr>
                <a:r>
                  <a:rPr lang="es-ES" b="1">
                    <a:latin typeface="LM Roman 10" panose="00000500000000000000" pitchFamily="50" charset="0"/>
                  </a:rPr>
                  <a:t>Valor presente neto ($)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LM Roman 10" panose="00000500000000000000" pitchFamily="50" charset="0"/>
                  <a:ea typeface="+mn-ea"/>
                  <a:cs typeface="+mn-cs"/>
                </a:defRPr>
              </a:pPr>
              <a:endParaRPr lang="es-E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0" panose="00000500000000000000" pitchFamily="50" charset="0"/>
                <a:ea typeface="+mn-ea"/>
                <a:cs typeface="+mn-cs"/>
              </a:defRPr>
            </a:pPr>
            <a:endParaRPr lang="es-ES"/>
          </a:p>
        </c:txPr>
        <c:crossAx val="315069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1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104775</xdr:colOff>
      <xdr:row>48</xdr:row>
      <xdr:rowOff>152400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104775</xdr:colOff>
      <xdr:row>48</xdr:row>
      <xdr:rowOff>152400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57150</xdr:colOff>
      <xdr:row>51</xdr:row>
      <xdr:rowOff>85725</xdr:rowOff>
    </xdr:to>
    <xdr:sp macro="" textlink="">
      <xdr:nvSpPr>
        <xdr:cNvPr id="2050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57150</xdr:colOff>
      <xdr:row>51</xdr:row>
      <xdr:rowOff>85725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462813</xdr:colOff>
      <xdr:row>17</xdr:row>
      <xdr:rowOff>96659</xdr:rowOff>
    </xdr:from>
    <xdr:to>
      <xdr:col>12</xdr:col>
      <xdr:colOff>696057</xdr:colOff>
      <xdr:row>37</xdr:row>
      <xdr:rowOff>190500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95250</xdr:colOff>
      <xdr:row>4</xdr:row>
      <xdr:rowOff>171450</xdr:rowOff>
    </xdr:from>
    <xdr:to>
      <xdr:col>19</xdr:col>
      <xdr:colOff>38100</xdr:colOff>
      <xdr:row>22</xdr:row>
      <xdr:rowOff>104775</xdr:rowOff>
    </xdr:to>
    <xdr:graphicFrame macro="">
      <xdr:nvGraphicFramePr>
        <xdr:cNvPr id="2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tables/table1.xml><?xml version="1.0" encoding="utf-8"?>
<table xmlns="http://schemas.openxmlformats.org/spreadsheetml/2006/main" id="1" name="PUBLICIDAD" displayName="PUBLICIDAD" ref="A36:H43" totalsRowCount="1" headerRowDxfId="41" totalsRowDxfId="40" headerRowCellStyle="Celda de comprobación">
  <tableColumns count="8">
    <tableColumn id="1" name="Promoción" dataDxfId="39"/>
    <tableColumn id="2" name="Tiempo aproximado de duración" dataDxfId="38" totalsRowDxfId="37"/>
    <tableColumn id="3" name="Objetivo " dataDxfId="36" totalsRowDxfId="35"/>
    <tableColumn id="4" name="Cantidad" dataDxfId="34" totalsRowDxfId="33"/>
    <tableColumn id="5" name="Se requieren" dataDxfId="32" totalsRowDxfId="31"/>
    <tableColumn id="6" name="Costo Unitario" totalsRowLabel="Total" dataDxfId="30" totalsRowDxfId="29" dataCellStyle="Moneda"/>
    <tableColumn id="7" name="Costo total" totalsRowFunction="sum" dataDxfId="28" totalsRowDxfId="27" dataCellStyle="Moneda">
      <calculatedColumnFormula>F37*E37</calculatedColumnFormula>
    </tableColumn>
    <tableColumn id="8" name="Proveedor" dataDxfId="26" totalsRowDxfId="2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3" name="Tabla3" displayName="Tabla3" ref="A21:G23" totalsRowShown="0" headerRowDxfId="24">
  <autoFilter ref="A21:G23"/>
  <tableColumns count="7">
    <tableColumn id="1" name="Columna1"/>
    <tableColumn id="2" name="Columna2" dataDxfId="23"/>
    <tableColumn id="3" name="Columna3">
      <calculatedColumnFormula>'Flujo de Caja (Profesor) - 5 añ'!D18</calculatedColumnFormula>
    </tableColumn>
    <tableColumn id="4" name="Columna4">
      <calculatedColumnFormula>'Flujo de Caja (Profesor) - 5 añ'!F18</calculatedColumnFormula>
    </tableColumn>
    <tableColumn id="5" name="Columna5">
      <calculatedColumnFormula>'Flujo de Caja (Profesor) - 5 añ'!H18</calculatedColumnFormula>
    </tableColumn>
    <tableColumn id="6" name="Columna6">
      <calculatedColumnFormula>'Flujo de Caja (Profesor) - 5 añ'!J18</calculatedColumnFormula>
    </tableColumn>
    <tableColumn id="7" name="Columna7">
      <calculatedColumnFormula>'Flujo de Caja (Profesor) - 5 añ'!L18</calculatedColumnFormula>
    </tableColumn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id="5" name="Tabla5" displayName="Tabla5" ref="A31:B34" totalsRowShown="0">
  <autoFilter ref="A31:B34"/>
  <tableColumns count="2">
    <tableColumn id="1" name="Columna1" dataDxfId="22"/>
    <tableColumn id="2" name="Columna2">
      <calculatedColumnFormula>B31*2</calculatedColumnFormula>
    </tableColumn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id="6" name="Tabla6" displayName="Tabla6" ref="A36:B41" totalsRowShown="0">
  <autoFilter ref="A36:B41"/>
  <tableColumns count="2">
    <tableColumn id="1" name="Columna1" dataDxfId="21"/>
    <tableColumn id="2" name="Columna2" dataDxfId="20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id="4" name="Tabla4" displayName="Tabla4" ref="A25:C28" totalsRowShown="0">
  <autoFilter ref="A25:C28"/>
  <tableColumns count="3">
    <tableColumn id="1" name="Columna1" dataDxfId="19"/>
    <tableColumn id="2" name="Columna2" dataDxfId="18"/>
    <tableColumn id="3" name="Columna3" dataDxfId="17"/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id="2" name="Tabla2" displayName="Tabla2" ref="A45:C51" totalsRowShown="0">
  <autoFilter ref="A45:C51"/>
  <tableColumns count="3">
    <tableColumn id="1" name="Columna1" dataDxfId="16"/>
    <tableColumn id="2" name="Columna2" dataDxfId="15" dataCellStyle="Porcentaje"/>
    <tableColumn id="3" name="Columna3" dataDxfId="14" dataCellStyle="Porcentaje">
      <calculatedColumnFormula xml:space="preserve"> 1 +B46</calculatedColumnFormula>
    </tableColumn>
  </tableColumns>
  <tableStyleInfo name="TableStyleMedium16" showFirstColumn="0" showLastColumn="0" showRowStripes="1" showColumnStripes="0"/>
</table>
</file>

<file path=xl/tables/table7.xml><?xml version="1.0" encoding="utf-8"?>
<table xmlns="http://schemas.openxmlformats.org/spreadsheetml/2006/main" id="7" name="Tabla7" displayName="Tabla7" ref="G9:J11" totalsRowShown="0">
  <autoFilter ref="G9:J11"/>
  <tableColumns count="4">
    <tableColumn id="1" name="CONCEPTO" dataDxfId="13"/>
    <tableColumn id="2" name="Columna2"/>
    <tableColumn id="3" name="-"/>
    <tableColumn id="4" name="VALOR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banrep.gov.co/es/ipc" TargetMode="External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zoomScaleNormal="100" workbookViewId="0">
      <selection activeCell="B3" sqref="B3:C13"/>
    </sheetView>
  </sheetViews>
  <sheetFormatPr baseColWidth="10" defaultColWidth="14.42578125" defaultRowHeight="15.75" customHeight="1"/>
  <cols>
    <col min="2" max="2" width="18.140625" customWidth="1"/>
    <col min="8" max="8" width="17.7109375" customWidth="1"/>
    <col min="14" max="14" width="23.85546875" bestFit="1" customWidth="1"/>
    <col min="15" max="15" width="19.140625" customWidth="1"/>
  </cols>
  <sheetData>
    <row r="1" spans="1:15" ht="15.75" customHeight="1">
      <c r="A1" s="79" t="s">
        <v>125</v>
      </c>
      <c r="B1" s="79" t="s">
        <v>126</v>
      </c>
      <c r="C1" s="83" t="s">
        <v>243</v>
      </c>
      <c r="E1" t="s">
        <v>133</v>
      </c>
      <c r="F1" t="s">
        <v>134</v>
      </c>
      <c r="H1" t="s">
        <v>135</v>
      </c>
    </row>
    <row r="2" spans="1:15" ht="15.75" customHeight="1">
      <c r="A2" s="85" t="s">
        <v>136</v>
      </c>
      <c r="B2" s="86">
        <v>0</v>
      </c>
      <c r="C2" s="117"/>
      <c r="E2">
        <v>6</v>
      </c>
      <c r="F2">
        <f>$I$2/(1+EXP((-1)*$I$4*(E2-$I$3)))</f>
        <v>2577.2486775983025</v>
      </c>
      <c r="H2" t="s">
        <v>138</v>
      </c>
      <c r="I2">
        <f>O2*L4</f>
        <v>96900</v>
      </c>
      <c r="K2" t="s">
        <v>175</v>
      </c>
      <c r="N2" t="s">
        <v>176</v>
      </c>
      <c r="O2">
        <v>190000</v>
      </c>
    </row>
    <row r="3" spans="1:15" ht="15.75" customHeight="1">
      <c r="A3" s="85" t="s">
        <v>67</v>
      </c>
      <c r="B3" s="86">
        <f t="shared" ref="B3:B8" si="0">F3</f>
        <v>3252.8577359756564</v>
      </c>
      <c r="C3" s="117">
        <f>B3*($O$3+($O$3*0.19))</f>
        <v>17241349.195529614</v>
      </c>
      <c r="E3">
        <v>7</v>
      </c>
      <c r="F3">
        <f>$I$2/(1+EXP((-1)*$I$4*(E3-$I$3)))</f>
        <v>3252.8577359756564</v>
      </c>
      <c r="H3" t="s">
        <v>140</v>
      </c>
      <c r="I3">
        <f>AVERAGE(E2:E12)</f>
        <v>21</v>
      </c>
      <c r="K3" t="s">
        <v>177</v>
      </c>
      <c r="L3" s="98">
        <v>0.32</v>
      </c>
      <c r="N3" t="s">
        <v>281</v>
      </c>
      <c r="O3" s="220">
        <f>('Salarios, gastos y costos'!G66/F29)+(('Salarios, gastos y costos'!G66/F29*O4))</f>
        <v>4454.0923433263852</v>
      </c>
    </row>
    <row r="4" spans="1:15" ht="15.75" customHeight="1">
      <c r="A4" s="85" t="s">
        <v>68</v>
      </c>
      <c r="B4" s="86">
        <f t="shared" si="0"/>
        <v>4097.8788914930747</v>
      </c>
      <c r="C4" s="117">
        <f t="shared" ref="C4:C13" si="1">B4*($O$3+($O$3*0.19))</f>
        <v>21720273.883428961</v>
      </c>
      <c r="E4">
        <v>8</v>
      </c>
      <c r="F4">
        <f t="shared" ref="F4:F12" si="2">$I$2/(1+EXP((-1)*$I$4*(E4-$I$3)))</f>
        <v>4097.8788914930747</v>
      </c>
      <c r="H4" t="s">
        <v>143</v>
      </c>
      <c r="I4">
        <v>0.24</v>
      </c>
      <c r="K4" t="s">
        <v>178</v>
      </c>
      <c r="L4" s="98">
        <v>0.51</v>
      </c>
      <c r="N4" s="97" t="s">
        <v>282</v>
      </c>
      <c r="O4" s="148">
        <v>0.62350000000000005</v>
      </c>
    </row>
    <row r="5" spans="1:15" ht="15.75" customHeight="1">
      <c r="A5" s="85" t="s">
        <v>69</v>
      </c>
      <c r="B5" s="86">
        <f t="shared" si="0"/>
        <v>5150.3451169723749</v>
      </c>
      <c r="C5" s="117">
        <f>B5*($O$3+($O$3*0.19))</f>
        <v>27298734.173684157</v>
      </c>
      <c r="E5">
        <v>9</v>
      </c>
      <c r="F5">
        <f t="shared" si="2"/>
        <v>5150.3451169723749</v>
      </c>
      <c r="K5" t="s">
        <v>179</v>
      </c>
      <c r="L5" s="98">
        <v>0.16</v>
      </c>
      <c r="O5" s="219">
        <f>('Salarios, gastos y costos'!G66/F29)</f>
        <v>2743.5123765484354</v>
      </c>
    </row>
    <row r="6" spans="1:15" ht="15.75" customHeight="1">
      <c r="A6" s="85" t="s">
        <v>70</v>
      </c>
      <c r="B6" s="86">
        <f t="shared" si="0"/>
        <v>6454.3186472262878</v>
      </c>
      <c r="C6" s="117">
        <f t="shared" si="1"/>
        <v>34210276.20891919</v>
      </c>
      <c r="E6">
        <v>10</v>
      </c>
      <c r="F6">
        <f t="shared" si="2"/>
        <v>6454.3186472262878</v>
      </c>
    </row>
    <row r="7" spans="1:15" ht="15.75" customHeight="1">
      <c r="A7" s="85" t="s">
        <v>71</v>
      </c>
      <c r="B7" s="86">
        <f t="shared" si="0"/>
        <v>8059.4342902610779</v>
      </c>
      <c r="C7" s="117">
        <f t="shared" si="1"/>
        <v>42717982.83091484</v>
      </c>
      <c r="E7">
        <v>11</v>
      </c>
      <c r="F7">
        <f t="shared" si="2"/>
        <v>8059.4342902610779</v>
      </c>
    </row>
    <row r="8" spans="1:15" ht="15.75" customHeight="1">
      <c r="A8" s="85" t="s">
        <v>72</v>
      </c>
      <c r="B8" s="86">
        <f t="shared" si="0"/>
        <v>10019.503746304383</v>
      </c>
      <c r="C8" s="117">
        <f t="shared" si="1"/>
        <v>53107075.955209814</v>
      </c>
      <c r="D8" t="s">
        <v>180</v>
      </c>
      <c r="E8">
        <v>12</v>
      </c>
      <c r="F8">
        <f t="shared" si="2"/>
        <v>10019.503746304383</v>
      </c>
    </row>
    <row r="9" spans="1:15" ht="15.75" customHeight="1">
      <c r="A9" s="85" t="s">
        <v>74</v>
      </c>
      <c r="B9" s="86">
        <f>F8</f>
        <v>10019.503746304383</v>
      </c>
      <c r="C9" s="117">
        <f t="shared" si="1"/>
        <v>53107075.955209814</v>
      </c>
      <c r="D9" t="s">
        <v>181</v>
      </c>
      <c r="E9">
        <v>24</v>
      </c>
      <c r="F9">
        <f t="shared" si="2"/>
        <v>65175.619953865986</v>
      </c>
    </row>
    <row r="10" spans="1:15" ht="15.75" customHeight="1">
      <c r="A10" s="85" t="s">
        <v>75</v>
      </c>
      <c r="B10" s="86">
        <f>F9</f>
        <v>65175.619953865986</v>
      </c>
      <c r="C10" s="117">
        <f t="shared" si="1"/>
        <v>345454893.47159714</v>
      </c>
      <c r="D10" t="s">
        <v>182</v>
      </c>
      <c r="E10">
        <v>36</v>
      </c>
      <c r="F10">
        <f>$I$2/(1+EXP((-1)*$I$4*(E10-$I$3)))</f>
        <v>94322.751322401688</v>
      </c>
    </row>
    <row r="11" spans="1:15" ht="15.75" customHeight="1">
      <c r="A11" s="85" t="s">
        <v>76</v>
      </c>
      <c r="B11" s="86">
        <f>F10</f>
        <v>94322.751322401688</v>
      </c>
      <c r="C11" s="117">
        <f t="shared" si="1"/>
        <v>499945470.91523975</v>
      </c>
      <c r="D11" t="s">
        <v>183</v>
      </c>
      <c r="E11">
        <v>48</v>
      </c>
      <c r="F11">
        <f t="shared" si="2"/>
        <v>96751.601360591376</v>
      </c>
    </row>
    <row r="12" spans="1:15" ht="15.75" customHeight="1">
      <c r="A12" s="85" t="s">
        <v>78</v>
      </c>
      <c r="B12" s="86">
        <f>F11</f>
        <v>96751.601360591376</v>
      </c>
      <c r="C12" s="117">
        <f t="shared" si="1"/>
        <v>512819274.52148426</v>
      </c>
      <c r="D12" t="s">
        <v>184</v>
      </c>
      <c r="E12">
        <v>60</v>
      </c>
      <c r="F12">
        <f t="shared" si="2"/>
        <v>96891.657618714249</v>
      </c>
    </row>
    <row r="13" spans="1:15" ht="15.75" customHeight="1">
      <c r="A13" s="85" t="s">
        <v>79</v>
      </c>
      <c r="B13" s="86">
        <f>F12</f>
        <v>96891.657618714249</v>
      </c>
      <c r="C13" s="117">
        <f t="shared" si="1"/>
        <v>513561624.49474293</v>
      </c>
    </row>
    <row r="14" spans="1:15" ht="15.75" customHeight="1">
      <c r="A14" s="11"/>
    </row>
    <row r="15" spans="1:15" ht="15.75" customHeight="1">
      <c r="A15" s="11"/>
    </row>
    <row r="22" spans="5:6" ht="15.75" customHeight="1">
      <c r="E22">
        <v>12</v>
      </c>
      <c r="F22" s="221">
        <f>$I$2/(1+EXP((-1)*$I$4*(E22-$I$3)))</f>
        <v>10019.503746304383</v>
      </c>
    </row>
    <row r="23" spans="5:6" ht="15.75" customHeight="1">
      <c r="E23">
        <v>13</v>
      </c>
      <c r="F23" s="221">
        <f t="shared" ref="F23:F35" si="3">$I$2/(1+EXP((-1)*$I$4*(E23-$I$3)))</f>
        <v>12389.78577631898</v>
      </c>
    </row>
    <row r="24" spans="5:6" ht="15.75" customHeight="1">
      <c r="E24">
        <v>14</v>
      </c>
      <c r="F24" s="221">
        <f t="shared" si="3"/>
        <v>15222.55093500037</v>
      </c>
    </row>
    <row r="25" spans="5:6" ht="15.75" customHeight="1">
      <c r="E25">
        <v>15</v>
      </c>
      <c r="F25" s="221">
        <f t="shared" si="3"/>
        <v>18560.744275606201</v>
      </c>
    </row>
    <row r="26" spans="5:6" ht="15.75" customHeight="1">
      <c r="E26">
        <v>16</v>
      </c>
      <c r="F26" s="221">
        <f t="shared" si="3"/>
        <v>22429.948478945193</v>
      </c>
    </row>
    <row r="27" spans="5:6" ht="15.75" customHeight="1">
      <c r="E27">
        <v>17</v>
      </c>
      <c r="F27" s="221">
        <f t="shared" si="3"/>
        <v>26829.497083446626</v>
      </c>
    </row>
    <row r="28" spans="5:6" ht="15.75" customHeight="1">
      <c r="E28">
        <v>18</v>
      </c>
      <c r="F28" s="221">
        <f t="shared" si="3"/>
        <v>31724.380046134014</v>
      </c>
    </row>
    <row r="29" spans="5:6" ht="15.75" customHeight="1">
      <c r="E29">
        <v>19</v>
      </c>
      <c r="F29" s="221">
        <f t="shared" si="3"/>
        <v>37040.23093485977</v>
      </c>
    </row>
    <row r="30" spans="5:6" ht="15.75" customHeight="1">
      <c r="E30">
        <v>20</v>
      </c>
      <c r="F30" s="221">
        <f t="shared" si="3"/>
        <v>42663.747386009003</v>
      </c>
    </row>
    <row r="31" spans="5:6" ht="15.75" customHeight="1">
      <c r="E31">
        <v>21</v>
      </c>
      <c r="F31" s="221">
        <f t="shared" si="3"/>
        <v>48450</v>
      </c>
    </row>
    <row r="32" spans="5:6" ht="15.75" customHeight="1">
      <c r="E32">
        <v>22</v>
      </c>
      <c r="F32" s="221">
        <f t="shared" si="3"/>
        <v>54236.252613990997</v>
      </c>
    </row>
    <row r="33" spans="5:6" ht="15.75" customHeight="1">
      <c r="E33">
        <v>23</v>
      </c>
      <c r="F33" s="221">
        <f t="shared" si="3"/>
        <v>59859.769065140223</v>
      </c>
    </row>
    <row r="34" spans="5:6" ht="15.75" customHeight="1">
      <c r="E34">
        <v>24</v>
      </c>
      <c r="F34" s="221">
        <f t="shared" si="3"/>
        <v>65175.619953865986</v>
      </c>
    </row>
    <row r="35" spans="5:6" ht="15.75" customHeight="1">
      <c r="E35">
        <v>25</v>
      </c>
      <c r="F35" s="221">
        <f t="shared" si="3"/>
        <v>70070.502916553378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zoomScale="130" zoomScaleNormal="130" workbookViewId="0">
      <selection activeCell="B14" sqref="B14"/>
    </sheetView>
  </sheetViews>
  <sheetFormatPr baseColWidth="10" defaultColWidth="14.42578125" defaultRowHeight="15.75" customHeight="1"/>
  <cols>
    <col min="1" max="1" width="49.5703125" customWidth="1"/>
    <col min="2" max="2" width="16.85546875" customWidth="1"/>
    <col min="3" max="3" width="37.42578125" customWidth="1"/>
    <col min="4" max="4" width="18.7109375" customWidth="1"/>
    <col min="5" max="5" width="15.85546875" customWidth="1"/>
    <col min="7" max="7" width="36.85546875" bestFit="1" customWidth="1"/>
    <col min="8" max="8" width="42" customWidth="1"/>
    <col min="10" max="10" width="19.28515625" bestFit="1" customWidth="1"/>
    <col min="11" max="11" width="21.85546875" customWidth="1"/>
  </cols>
  <sheetData>
    <row r="1" spans="1:10" ht="12" customHeight="1" thickTop="1" thickBot="1">
      <c r="A1" s="116" t="s">
        <v>0</v>
      </c>
      <c r="B1" s="116" t="s">
        <v>1</v>
      </c>
      <c r="C1" s="2" t="s">
        <v>2</v>
      </c>
    </row>
    <row r="2" spans="1:10" ht="13.5" thickTop="1">
      <c r="A2" s="5" t="s">
        <v>248</v>
      </c>
      <c r="B2" s="122">
        <f>SUM(B3:B9
)</f>
        <v>116700</v>
      </c>
      <c r="C2" s="3"/>
    </row>
    <row r="3" spans="1:10" ht="12.75">
      <c r="A3" s="7" t="s">
        <v>44</v>
      </c>
      <c r="B3" s="123">
        <f>B25</f>
        <v>51000</v>
      </c>
      <c r="C3" s="4"/>
    </row>
    <row r="4" spans="1:10" ht="12.75">
      <c r="A4" s="7" t="s">
        <v>47</v>
      </c>
      <c r="B4" s="124">
        <v>0</v>
      </c>
      <c r="C4" s="4" t="s">
        <v>48</v>
      </c>
    </row>
    <row r="5" spans="1:10" ht="12.75">
      <c r="A5" s="7" t="s">
        <v>49</v>
      </c>
      <c r="B5" s="124">
        <v>0</v>
      </c>
      <c r="C5" s="3"/>
    </row>
    <row r="6" spans="1:10" ht="12.75">
      <c r="A6" s="7" t="s">
        <v>50</v>
      </c>
      <c r="B6" s="124">
        <f>5400</f>
        <v>5400</v>
      </c>
      <c r="C6" s="4" t="s">
        <v>51</v>
      </c>
    </row>
    <row r="7" spans="1:10" ht="12.75">
      <c r="A7" s="7" t="s">
        <v>52</v>
      </c>
      <c r="B7" s="124">
        <v>0</v>
      </c>
      <c r="C7" s="3"/>
    </row>
    <row r="8" spans="1:10" ht="12.75">
      <c r="A8" s="7" t="s">
        <v>53</v>
      </c>
      <c r="B8" s="124">
        <v>10300</v>
      </c>
      <c r="C8" s="3"/>
    </row>
    <row r="9" spans="1:10" ht="12.75">
      <c r="A9" s="7" t="s">
        <v>54</v>
      </c>
      <c r="B9" s="124">
        <v>50000</v>
      </c>
      <c r="C9" s="3"/>
    </row>
    <row r="10" spans="1:10" ht="12.75">
      <c r="A10" s="5" t="s">
        <v>250</v>
      </c>
      <c r="B10" s="122">
        <f>SUM(B11:B14
)</f>
        <v>5552860</v>
      </c>
      <c r="C10" s="3"/>
    </row>
    <row r="11" spans="1:10" ht="12.75">
      <c r="A11" s="7" t="s">
        <v>58</v>
      </c>
      <c r="B11" s="124">
        <v>60800</v>
      </c>
      <c r="C11" s="4"/>
    </row>
    <row r="12" spans="1:10" ht="22.5">
      <c r="A12" s="95" t="s">
        <v>171</v>
      </c>
      <c r="B12" s="124">
        <v>3000000</v>
      </c>
    </row>
    <row r="13" spans="1:10" ht="12.75">
      <c r="A13" s="120" t="s">
        <v>60</v>
      </c>
      <c r="B13" s="125">
        <v>500000</v>
      </c>
      <c r="C13" s="4"/>
    </row>
    <row r="14" spans="1:10" ht="13.5" thickBot="1">
      <c r="A14" s="121" t="s">
        <v>249</v>
      </c>
      <c r="B14" s="126">
        <f>'Salarios, gastos y costos'!K11*6</f>
        <v>1992060</v>
      </c>
      <c r="C14" s="3"/>
    </row>
    <row r="15" spans="1:10" ht="16.5" thickTop="1" thickBot="1">
      <c r="A15" s="127" t="s">
        <v>61</v>
      </c>
      <c r="B15" s="128">
        <f>B10+B2</f>
        <v>5669560</v>
      </c>
    </row>
    <row r="16" spans="1:10" ht="13.5" thickTop="1">
      <c r="D16" s="3"/>
      <c r="E16" s="3"/>
      <c r="F16" s="3"/>
      <c r="G16" s="4" t="s">
        <v>3</v>
      </c>
      <c r="H16" s="96" t="s">
        <v>4</v>
      </c>
      <c r="I16" s="96" t="s">
        <v>5</v>
      </c>
      <c r="J16" s="4" t="s">
        <v>6</v>
      </c>
    </row>
    <row r="17" spans="1:10" ht="12.75">
      <c r="A17" s="11"/>
      <c r="D17" s="4" t="s">
        <v>27</v>
      </c>
      <c r="E17" s="18">
        <v>1500000</v>
      </c>
      <c r="F17" s="3"/>
      <c r="G17" s="4" t="s">
        <v>36</v>
      </c>
      <c r="H17" s="4">
        <v>5</v>
      </c>
      <c r="I17" s="3">
        <f>H17*12</f>
        <v>60</v>
      </c>
      <c r="J17" s="21">
        <f>SUM(B12,B13)/I17</f>
        <v>58333.333333333336</v>
      </c>
    </row>
    <row r="18" spans="1:10" ht="12.75">
      <c r="A18" s="107" t="s">
        <v>165</v>
      </c>
      <c r="B18" s="115" t="s">
        <v>1</v>
      </c>
      <c r="D18" s="4" t="s">
        <v>43</v>
      </c>
      <c r="E18" s="21">
        <v>975000</v>
      </c>
      <c r="F18" s="3"/>
    </row>
    <row r="19" spans="1:10" ht="15.75" customHeight="1">
      <c r="A19" s="100" t="s">
        <v>166</v>
      </c>
      <c r="B19" s="113">
        <f>39000</f>
        <v>39000</v>
      </c>
      <c r="D19" s="3"/>
      <c r="E19" s="3"/>
      <c r="F19" s="3"/>
      <c r="G19" s="3"/>
      <c r="H19" s="3"/>
      <c r="I19" s="3"/>
      <c r="J19" s="3"/>
    </row>
    <row r="20" spans="1:10" ht="15.75" customHeight="1">
      <c r="A20" s="100" t="s">
        <v>167</v>
      </c>
      <c r="B20" s="113">
        <v>4760</v>
      </c>
      <c r="D20" s="11" t="s">
        <v>56</v>
      </c>
      <c r="E20" s="3"/>
      <c r="F20" s="3"/>
      <c r="G20" s="3"/>
      <c r="H20" s="3"/>
      <c r="I20" s="4" t="s">
        <v>46</v>
      </c>
      <c r="J20" s="21">
        <f>SUM(J17:J19
)</f>
        <v>58333.333333333336</v>
      </c>
    </row>
    <row r="21" spans="1:10" ht="15.75" customHeight="1">
      <c r="A21" s="100" t="s">
        <v>167</v>
      </c>
      <c r="B21" s="113">
        <v>2040</v>
      </c>
      <c r="D21" s="25">
        <f>SUM(B12:B13
)</f>
        <v>3500000</v>
      </c>
    </row>
    <row r="22" spans="1:10" ht="15.75" customHeight="1">
      <c r="A22" s="100" t="s">
        <v>168</v>
      </c>
      <c r="B22" s="113">
        <v>39000</v>
      </c>
    </row>
    <row r="23" spans="1:10" ht="15.75" customHeight="1">
      <c r="A23" s="100" t="s">
        <v>169</v>
      </c>
      <c r="B23" s="113">
        <v>-39000</v>
      </c>
      <c r="D23" s="18">
        <f>SUM(B11:B13
)</f>
        <v>3560800</v>
      </c>
    </row>
    <row r="24" spans="1:10" ht="15.75" customHeight="1">
      <c r="A24" s="100" t="s">
        <v>170</v>
      </c>
      <c r="B24" s="113">
        <v>5200</v>
      </c>
      <c r="G24" s="4" t="s">
        <v>36</v>
      </c>
      <c r="H24" s="4">
        <v>1</v>
      </c>
      <c r="I24" s="3">
        <f>H24*12</f>
        <v>12</v>
      </c>
      <c r="J24" s="21">
        <f>SUM($B$12,$B$13)/I24</f>
        <v>291666.66666666669</v>
      </c>
    </row>
    <row r="25" spans="1:10" ht="15.75" customHeight="1">
      <c r="A25" s="107" t="s">
        <v>46</v>
      </c>
      <c r="B25" s="114">
        <f>SUM(B19:B24)</f>
        <v>51000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67"/>
  <sheetViews>
    <sheetView topLeftCell="A49" zoomScale="115" zoomScaleNormal="115" workbookViewId="0">
      <selection activeCell="G66" sqref="G66"/>
    </sheetView>
  </sheetViews>
  <sheetFormatPr baseColWidth="10" defaultColWidth="14.42578125" defaultRowHeight="15.75" customHeight="1"/>
  <cols>
    <col min="1" max="1" width="21.7109375" bestFit="1" customWidth="1"/>
    <col min="3" max="3" width="27.5703125" bestFit="1" customWidth="1"/>
    <col min="4" max="4" width="18.28515625" customWidth="1"/>
    <col min="5" max="5" width="10.42578125" customWidth="1"/>
    <col min="6" max="6" width="13.7109375" customWidth="1"/>
    <col min="7" max="7" width="19.85546875" bestFit="1" customWidth="1"/>
    <col min="13" max="13" width="17.28515625" customWidth="1"/>
  </cols>
  <sheetData>
    <row r="1" spans="1:14" ht="15.75" customHeight="1">
      <c r="A1" s="181" t="s">
        <v>8</v>
      </c>
      <c r="B1" s="182"/>
      <c r="D1" s="181" t="s">
        <v>9</v>
      </c>
      <c r="E1" s="182"/>
      <c r="G1" s="181" t="s">
        <v>10</v>
      </c>
      <c r="H1" s="182"/>
      <c r="J1" s="181" t="s">
        <v>11</v>
      </c>
      <c r="K1" s="182"/>
      <c r="M1" s="6" t="s">
        <v>12</v>
      </c>
    </row>
    <row r="2" spans="1:14" ht="15.75" customHeight="1">
      <c r="A2" s="7" t="s">
        <v>13</v>
      </c>
      <c r="B2" s="8">
        <v>1600000</v>
      </c>
      <c r="D2" s="9" t="s">
        <v>17</v>
      </c>
      <c r="E2" s="10">
        <v>0</v>
      </c>
      <c r="G2" s="9" t="s">
        <v>18</v>
      </c>
      <c r="H2" s="10">
        <v>60800</v>
      </c>
      <c r="J2" s="9" t="s">
        <v>19</v>
      </c>
      <c r="K2" s="10">
        <f>((279000*0.19)+279000)</f>
        <v>332010</v>
      </c>
      <c r="M2" s="11" t="s">
        <v>20</v>
      </c>
      <c r="N2" s="11">
        <v>20000</v>
      </c>
    </row>
    <row r="3" spans="1:14" ht="15.75" customHeight="1">
      <c r="A3" s="7" t="s">
        <v>21</v>
      </c>
      <c r="B3" s="8">
        <v>2039963</v>
      </c>
      <c r="D3" s="9" t="s">
        <v>22</v>
      </c>
      <c r="E3" s="10">
        <v>0</v>
      </c>
      <c r="G3" s="9"/>
      <c r="H3" s="10"/>
      <c r="J3" s="9" t="s">
        <v>23</v>
      </c>
      <c r="K3" s="10">
        <v>0</v>
      </c>
      <c r="M3" s="11" t="s">
        <v>24</v>
      </c>
      <c r="N3" s="11">
        <v>10000</v>
      </c>
    </row>
    <row r="4" spans="1:14" ht="15.75" customHeight="1">
      <c r="A4" s="7" t="s">
        <v>26</v>
      </c>
      <c r="B4" s="8">
        <v>200000</v>
      </c>
      <c r="D4" s="9" t="s">
        <v>25</v>
      </c>
      <c r="E4" s="10">
        <v>0</v>
      </c>
      <c r="G4" s="12"/>
      <c r="H4" s="13"/>
      <c r="J4" s="12"/>
      <c r="K4" s="13"/>
    </row>
    <row r="5" spans="1:14" ht="15.75" customHeight="1">
      <c r="A5" s="7" t="s">
        <v>172</v>
      </c>
      <c r="B5" s="8">
        <v>1416857</v>
      </c>
      <c r="D5" s="12"/>
      <c r="E5" s="13"/>
      <c r="G5" s="12"/>
      <c r="H5" s="13"/>
      <c r="J5" s="12"/>
      <c r="K5" s="13"/>
    </row>
    <row r="6" spans="1:14" ht="15.75" customHeight="1">
      <c r="A6" s="7" t="s">
        <v>173</v>
      </c>
      <c r="B6" s="8">
        <v>1244703</v>
      </c>
      <c r="D6" s="12"/>
      <c r="E6" s="13"/>
      <c r="G6" s="12"/>
      <c r="H6" s="13"/>
      <c r="J6" s="12"/>
      <c r="K6" s="13"/>
    </row>
    <row r="7" spans="1:14" ht="15.75" customHeight="1">
      <c r="A7" s="7" t="s">
        <v>174</v>
      </c>
      <c r="B7" s="8">
        <v>1244703</v>
      </c>
      <c r="D7" s="12"/>
      <c r="E7" s="13"/>
      <c r="G7" s="12"/>
      <c r="H7" s="13"/>
      <c r="J7" s="12"/>
      <c r="K7" s="13"/>
    </row>
    <row r="8" spans="1:14" ht="15.75" customHeight="1">
      <c r="A8" s="7"/>
      <c r="B8" s="8"/>
      <c r="D8" s="12"/>
      <c r="E8" s="13"/>
      <c r="G8" s="12"/>
      <c r="H8" s="13"/>
      <c r="J8" s="12"/>
      <c r="K8" s="13"/>
    </row>
    <row r="9" spans="1:14" ht="15.75" customHeight="1">
      <c r="A9" s="15"/>
      <c r="B9" s="16"/>
      <c r="D9" s="12"/>
      <c r="E9" s="13"/>
      <c r="G9" s="12"/>
      <c r="H9" s="13"/>
      <c r="J9" s="12"/>
      <c r="K9" s="13"/>
    </row>
    <row r="10" spans="1:14" ht="15.75" customHeight="1">
      <c r="A10" s="15"/>
      <c r="B10" s="16"/>
      <c r="D10" s="12"/>
      <c r="E10" s="13"/>
      <c r="G10" s="12"/>
      <c r="H10" s="13"/>
      <c r="J10" s="12"/>
      <c r="K10" s="13"/>
    </row>
    <row r="11" spans="1:14" ht="15.75" customHeight="1">
      <c r="A11" s="5" t="s">
        <v>221</v>
      </c>
      <c r="B11" s="16">
        <f>SUM(B2:B10)</f>
        <v>7746226</v>
      </c>
      <c r="D11" s="1" t="s">
        <v>29</v>
      </c>
      <c r="E11" s="17">
        <f>SUM(E2:E10)</f>
        <v>0</v>
      </c>
      <c r="G11" s="1" t="s">
        <v>31</v>
      </c>
      <c r="H11" s="17">
        <f>SUM(H2:H10)</f>
        <v>60800</v>
      </c>
      <c r="J11" s="1" t="s">
        <v>32</v>
      </c>
      <c r="K11" s="17">
        <f>SUM(K2:K10)</f>
        <v>332010</v>
      </c>
      <c r="M11" s="6" t="s">
        <v>33</v>
      </c>
      <c r="N11">
        <f>SUM(N2:N10)</f>
        <v>30000</v>
      </c>
    </row>
    <row r="12" spans="1:14" ht="15.75" customHeight="1">
      <c r="A12" s="109" t="s">
        <v>222</v>
      </c>
      <c r="B12" s="16">
        <f>B11*12</f>
        <v>92954712</v>
      </c>
    </row>
    <row r="13" spans="1:14" ht="15.75" customHeight="1">
      <c r="A13" s="11" t="s">
        <v>34</v>
      </c>
      <c r="B13" s="11">
        <v>100</v>
      </c>
    </row>
    <row r="17" spans="1:6" ht="15.75" customHeight="1">
      <c r="A17" s="181" t="s">
        <v>35</v>
      </c>
      <c r="B17" s="182"/>
      <c r="E17" s="11" t="s">
        <v>37</v>
      </c>
      <c r="F17" s="11" t="s">
        <v>38</v>
      </c>
    </row>
    <row r="18" spans="1:6" ht="15.75" customHeight="1">
      <c r="A18" s="7" t="s">
        <v>13</v>
      </c>
      <c r="B18" s="8">
        <v>1600000</v>
      </c>
      <c r="E18" s="11">
        <v>2006</v>
      </c>
      <c r="F18" s="11">
        <v>4.4800000000000004</v>
      </c>
    </row>
    <row r="19" spans="1:6" ht="15.75" customHeight="1">
      <c r="A19" s="7" t="s">
        <v>21</v>
      </c>
      <c r="B19" s="8">
        <v>2039963</v>
      </c>
      <c r="E19" s="11">
        <v>2007</v>
      </c>
      <c r="F19" s="11">
        <v>5.69</v>
      </c>
    </row>
    <row r="20" spans="1:6" ht="15.75" customHeight="1">
      <c r="A20" s="7" t="s">
        <v>26</v>
      </c>
      <c r="B20" s="8">
        <v>200000</v>
      </c>
      <c r="E20" s="11">
        <v>2008</v>
      </c>
      <c r="F20" s="11">
        <v>7.67</v>
      </c>
    </row>
    <row r="21" spans="1:6" ht="15.75" customHeight="1">
      <c r="A21" s="7" t="s">
        <v>172</v>
      </c>
      <c r="B21" s="8">
        <v>1416857</v>
      </c>
      <c r="E21" s="11">
        <v>2009</v>
      </c>
      <c r="F21" s="11">
        <v>2</v>
      </c>
    </row>
    <row r="22" spans="1:6" ht="15.75" customHeight="1">
      <c r="A22" s="7" t="s">
        <v>173</v>
      </c>
      <c r="B22" s="8">
        <v>1244703</v>
      </c>
      <c r="E22" s="11">
        <v>2010</v>
      </c>
      <c r="F22" s="11">
        <v>3.17</v>
      </c>
    </row>
    <row r="23" spans="1:6" ht="15.75" customHeight="1">
      <c r="A23" s="7" t="s">
        <v>174</v>
      </c>
      <c r="B23" s="8">
        <v>1244703</v>
      </c>
      <c r="E23" s="11">
        <v>2011</v>
      </c>
      <c r="F23" s="11">
        <v>3.73</v>
      </c>
    </row>
    <row r="24" spans="1:6" ht="15.75" customHeight="1">
      <c r="A24" s="7"/>
      <c r="B24" s="8"/>
      <c r="E24" s="11">
        <v>2012</v>
      </c>
      <c r="F24" s="11">
        <v>2.44</v>
      </c>
    </row>
    <row r="25" spans="1:6" ht="12.75">
      <c r="A25" s="15"/>
      <c r="B25" s="16"/>
      <c r="E25" s="11">
        <v>2013</v>
      </c>
      <c r="F25" s="11">
        <v>1.94</v>
      </c>
    </row>
    <row r="26" spans="1:6" ht="12.75">
      <c r="A26" s="15"/>
      <c r="B26" s="16"/>
      <c r="E26" s="11">
        <v>2014</v>
      </c>
      <c r="F26" s="11">
        <v>3.66</v>
      </c>
    </row>
    <row r="27" spans="1:6" ht="12.75">
      <c r="A27" s="5" t="s">
        <v>28</v>
      </c>
      <c r="B27" s="16">
        <f>SUM(B18:B26)</f>
        <v>7746226</v>
      </c>
      <c r="E27" s="11">
        <v>2015</v>
      </c>
      <c r="F27" s="11">
        <v>6.77</v>
      </c>
    </row>
    <row r="28" spans="1:6" ht="12.75">
      <c r="E28" s="11">
        <v>2016</v>
      </c>
      <c r="F28" s="11">
        <v>5.75</v>
      </c>
    </row>
    <row r="29" spans="1:6" ht="12.75">
      <c r="F29">
        <f>AVERAGE(F18:F28)</f>
        <v>4.3000000000000007</v>
      </c>
    </row>
    <row r="31" spans="1:6" ht="41.25" customHeight="1">
      <c r="E31" s="11" t="s">
        <v>41</v>
      </c>
      <c r="F31" s="108" t="s">
        <v>42</v>
      </c>
    </row>
    <row r="33" spans="1:8" ht="15.75" customHeight="1" thickBot="1"/>
    <row r="34" spans="1:8" ht="15.75" customHeight="1" thickTop="1" thickBot="1">
      <c r="A34" s="184" t="s">
        <v>220</v>
      </c>
      <c r="B34" s="184"/>
      <c r="C34" s="184"/>
      <c r="D34" s="184"/>
      <c r="E34" s="184"/>
      <c r="F34" s="184"/>
      <c r="G34" s="184"/>
      <c r="H34" s="184"/>
    </row>
    <row r="35" spans="1:8" ht="15.75" customHeight="1" thickTop="1" thickBot="1">
      <c r="A35" s="185"/>
      <c r="B35" s="185"/>
      <c r="C35" s="185"/>
      <c r="D35" s="185"/>
      <c r="E35" s="185"/>
      <c r="F35" s="185"/>
      <c r="G35" s="185"/>
      <c r="H35" s="185"/>
    </row>
    <row r="36" spans="1:8" ht="46.5" customHeight="1" thickTop="1" thickBot="1">
      <c r="A36" s="112" t="s">
        <v>186</v>
      </c>
      <c r="B36" s="112" t="s">
        <v>187</v>
      </c>
      <c r="C36" s="112" t="s">
        <v>188</v>
      </c>
      <c r="D36" s="112" t="s">
        <v>189</v>
      </c>
      <c r="E36" s="112" t="s">
        <v>190</v>
      </c>
      <c r="F36" s="112" t="s">
        <v>191</v>
      </c>
      <c r="G36" s="112" t="s">
        <v>192</v>
      </c>
      <c r="H36" s="112" t="s">
        <v>193</v>
      </c>
    </row>
    <row r="37" spans="1:8" ht="15.75" customHeight="1" thickTop="1">
      <c r="A37" s="100" t="s">
        <v>194</v>
      </c>
      <c r="B37" s="100" t="s">
        <v>195</v>
      </c>
      <c r="C37" s="100" t="s">
        <v>196</v>
      </c>
      <c r="D37" s="100" t="s">
        <v>197</v>
      </c>
      <c r="E37" s="100">
        <v>2</v>
      </c>
      <c r="F37" s="110">
        <v>55000</v>
      </c>
      <c r="G37" s="110">
        <f>F37*E37</f>
        <v>110000</v>
      </c>
      <c r="H37" s="100" t="s">
        <v>198</v>
      </c>
    </row>
    <row r="38" spans="1:8" ht="15.75" customHeight="1">
      <c r="A38" s="100" t="s">
        <v>199</v>
      </c>
      <c r="B38" s="100" t="s">
        <v>195</v>
      </c>
      <c r="C38" s="100" t="s">
        <v>200</v>
      </c>
      <c r="D38" s="100" t="s">
        <v>201</v>
      </c>
      <c r="E38" s="100">
        <v>1</v>
      </c>
      <c r="F38" s="110">
        <v>140000</v>
      </c>
      <c r="G38" s="110">
        <f t="shared" ref="G38:G42" si="0">F38*E38</f>
        <v>140000</v>
      </c>
      <c r="H38" s="100" t="s">
        <v>198</v>
      </c>
    </row>
    <row r="39" spans="1:8" ht="15.75" customHeight="1">
      <c r="A39" s="100" t="s">
        <v>202</v>
      </c>
      <c r="B39" s="100" t="s">
        <v>195</v>
      </c>
      <c r="C39" s="100" t="s">
        <v>200</v>
      </c>
      <c r="D39" s="100" t="s">
        <v>203</v>
      </c>
      <c r="E39" s="100">
        <v>1</v>
      </c>
      <c r="F39" s="110">
        <v>40000</v>
      </c>
      <c r="G39" s="110">
        <f t="shared" si="0"/>
        <v>40000</v>
      </c>
      <c r="H39" s="100" t="s">
        <v>198</v>
      </c>
    </row>
    <row r="40" spans="1:8" ht="15.75" customHeight="1">
      <c r="A40" s="100" t="s">
        <v>204</v>
      </c>
      <c r="B40" s="100" t="s">
        <v>205</v>
      </c>
      <c r="C40" s="100" t="s">
        <v>200</v>
      </c>
      <c r="D40" s="100" t="s">
        <v>206</v>
      </c>
      <c r="E40" s="100">
        <v>1</v>
      </c>
      <c r="F40" s="110">
        <v>40000</v>
      </c>
      <c r="G40" s="110">
        <f t="shared" si="0"/>
        <v>40000</v>
      </c>
      <c r="H40" s="100" t="s">
        <v>198</v>
      </c>
    </row>
    <row r="41" spans="1:8" ht="15.75" customHeight="1">
      <c r="A41" s="100" t="s">
        <v>207</v>
      </c>
      <c r="B41" s="100" t="s">
        <v>208</v>
      </c>
      <c r="C41" s="100" t="s">
        <v>209</v>
      </c>
      <c r="D41" s="100" t="s">
        <v>210</v>
      </c>
      <c r="E41" s="100">
        <v>7</v>
      </c>
      <c r="F41" s="110">
        <v>485000</v>
      </c>
      <c r="G41" s="110">
        <f>F41*E41</f>
        <v>3395000</v>
      </c>
      <c r="H41" s="100" t="s">
        <v>207</v>
      </c>
    </row>
    <row r="42" spans="1:8" ht="15.75" customHeight="1">
      <c r="A42" s="100" t="s">
        <v>211</v>
      </c>
      <c r="B42" s="100" t="s">
        <v>208</v>
      </c>
      <c r="C42" s="100" t="s">
        <v>209</v>
      </c>
      <c r="D42" s="100" t="s">
        <v>212</v>
      </c>
      <c r="E42" s="100">
        <v>7</v>
      </c>
      <c r="F42" s="110">
        <v>80000</v>
      </c>
      <c r="G42" s="110">
        <f t="shared" si="0"/>
        <v>560000</v>
      </c>
      <c r="H42" s="100" t="s">
        <v>213</v>
      </c>
    </row>
    <row r="43" spans="1:8" ht="15.75" customHeight="1">
      <c r="B43" s="104"/>
      <c r="C43" s="104"/>
      <c r="D43" s="104"/>
      <c r="E43" s="104"/>
      <c r="F43" s="106" t="s">
        <v>214</v>
      </c>
      <c r="G43" s="111">
        <f>SUBTOTAL(109,PUBLICIDAD[Costo total])</f>
        <v>4285000</v>
      </c>
      <c r="H43" s="105"/>
    </row>
    <row r="45" spans="1:8" ht="15.75" customHeight="1" thickBot="1"/>
    <row r="46" spans="1:8" ht="15.75" customHeight="1" thickTop="1" thickBot="1">
      <c r="A46" s="184" t="s">
        <v>238</v>
      </c>
      <c r="B46" s="184"/>
      <c r="C46" s="184"/>
      <c r="D46" s="184"/>
      <c r="E46" s="184"/>
      <c r="F46" s="184"/>
    </row>
    <row r="47" spans="1:8" ht="15.75" customHeight="1" thickTop="1">
      <c r="A47" s="186" t="s">
        <v>223</v>
      </c>
      <c r="B47" s="186"/>
      <c r="C47" s="186"/>
      <c r="D47" s="186"/>
      <c r="E47" s="186" t="s">
        <v>74</v>
      </c>
      <c r="F47" s="186"/>
    </row>
    <row r="48" spans="1:8" ht="15.75" customHeight="1">
      <c r="A48" s="188" t="s">
        <v>231</v>
      </c>
      <c r="B48" s="189"/>
      <c r="C48" s="192" t="s">
        <v>224</v>
      </c>
      <c r="D48" s="193"/>
      <c r="E48" s="183">
        <v>0</v>
      </c>
      <c r="F48" s="183"/>
    </row>
    <row r="49" spans="1:6" ht="15.75" customHeight="1">
      <c r="A49" s="189"/>
      <c r="B49" s="189"/>
      <c r="C49" s="192" t="s">
        <v>225</v>
      </c>
      <c r="D49" s="193"/>
      <c r="E49" s="183">
        <f>B2*12</f>
        <v>19200000</v>
      </c>
      <c r="F49" s="183"/>
    </row>
    <row r="50" spans="1:6" ht="15.75" customHeight="1">
      <c r="A50" s="189"/>
      <c r="B50" s="189"/>
      <c r="C50" s="192" t="s">
        <v>226</v>
      </c>
      <c r="D50" s="193"/>
      <c r="E50" s="183">
        <f>(B19*12+B22*12)</f>
        <v>39415992</v>
      </c>
      <c r="F50" s="183"/>
    </row>
    <row r="51" spans="1:6" ht="15.75" customHeight="1">
      <c r="A51" s="189"/>
      <c r="B51" s="189"/>
      <c r="C51" s="192" t="s">
        <v>227</v>
      </c>
      <c r="D51" s="192"/>
      <c r="E51" s="183">
        <f>B4*12</f>
        <v>2400000</v>
      </c>
      <c r="F51" s="183"/>
    </row>
    <row r="52" spans="1:6" ht="15.75" customHeight="1">
      <c r="A52" s="189"/>
      <c r="B52" s="189"/>
      <c r="C52" s="192" t="s">
        <v>228</v>
      </c>
      <c r="D52" s="193"/>
      <c r="E52" s="183">
        <f>(B21+B23)*12</f>
        <v>31938720</v>
      </c>
      <c r="F52" s="183"/>
    </row>
    <row r="53" spans="1:6" ht="15.75" customHeight="1" thickBot="1">
      <c r="A53" s="189"/>
      <c r="B53" s="189"/>
      <c r="C53" s="192" t="s">
        <v>229</v>
      </c>
      <c r="D53" s="193"/>
      <c r="E53" s="183">
        <v>0</v>
      </c>
      <c r="F53" s="183"/>
    </row>
    <row r="54" spans="1:6" ht="15.75" customHeight="1" thickTop="1" thickBot="1">
      <c r="A54" s="189"/>
      <c r="B54" s="189"/>
      <c r="C54" s="184" t="s">
        <v>230</v>
      </c>
      <c r="D54" s="184"/>
      <c r="E54" s="187">
        <f>SUM(E48:F53)</f>
        <v>92954712</v>
      </c>
      <c r="F54" s="187"/>
    </row>
    <row r="55" spans="1:6" ht="15.75" customHeight="1" thickTop="1">
      <c r="A55" s="188" t="s">
        <v>237</v>
      </c>
      <c r="B55" s="189"/>
      <c r="C55" s="190" t="s">
        <v>232</v>
      </c>
      <c r="D55" s="191"/>
      <c r="E55" s="194">
        <v>0</v>
      </c>
      <c r="F55" s="194"/>
    </row>
    <row r="56" spans="1:6" ht="15.75" customHeight="1">
      <c r="A56" s="189"/>
      <c r="B56" s="189"/>
      <c r="C56" s="192" t="s">
        <v>233</v>
      </c>
      <c r="D56" s="193"/>
      <c r="E56" s="195">
        <f>'Presupuesto Inicial'!J20*12</f>
        <v>700000</v>
      </c>
      <c r="F56" s="195"/>
    </row>
    <row r="57" spans="1:6" ht="15.75" customHeight="1">
      <c r="A57" s="189"/>
      <c r="B57" s="189"/>
      <c r="C57" s="192" t="s">
        <v>234</v>
      </c>
      <c r="D57" s="193"/>
      <c r="E57" s="195">
        <v>0</v>
      </c>
      <c r="F57" s="195"/>
    </row>
    <row r="58" spans="1:6" ht="15.75" customHeight="1" thickBot="1">
      <c r="A58" s="189"/>
      <c r="B58" s="189"/>
      <c r="C58" s="192" t="s">
        <v>235</v>
      </c>
      <c r="D58" s="193"/>
      <c r="E58" s="195">
        <v>0</v>
      </c>
      <c r="F58" s="195"/>
    </row>
    <row r="59" spans="1:6" ht="15.75" customHeight="1" thickTop="1" thickBot="1">
      <c r="A59" s="189"/>
      <c r="B59" s="189"/>
      <c r="C59" s="184" t="s">
        <v>236</v>
      </c>
      <c r="D59" s="184"/>
      <c r="E59" s="187">
        <f>SUM(E55:F58)</f>
        <v>700000</v>
      </c>
      <c r="F59" s="184"/>
    </row>
    <row r="60" spans="1:6" ht="15.75" customHeight="1" thickTop="1">
      <c r="A60" s="188" t="s">
        <v>241</v>
      </c>
      <c r="B60" s="188"/>
      <c r="C60" s="190" t="s">
        <v>251</v>
      </c>
      <c r="D60" s="190"/>
      <c r="E60" s="194">
        <f>('Presupuesto Inicial'!B12+'Presupuesto Inicial'!B13)+('Presupuesto Inicial'!B11*6)+('Salarios, gastos y costos'!K11*12)</f>
        <v>7848920</v>
      </c>
      <c r="F60" s="194"/>
    </row>
    <row r="61" spans="1:6" ht="15.75" customHeight="1" thickBot="1">
      <c r="A61" s="188"/>
      <c r="B61" s="188"/>
      <c r="C61" s="192" t="s">
        <v>239</v>
      </c>
      <c r="D61" s="192"/>
      <c r="E61" s="195">
        <f>'Presupuesto Inicial'!B2</f>
        <v>116700</v>
      </c>
      <c r="F61" s="195"/>
    </row>
    <row r="62" spans="1:6" ht="15.75" customHeight="1" thickTop="1" thickBot="1">
      <c r="A62" s="188"/>
      <c r="B62" s="188"/>
      <c r="C62" s="184" t="s">
        <v>240</v>
      </c>
      <c r="D62" s="184"/>
      <c r="E62" s="187">
        <f>E60+E61</f>
        <v>7965620</v>
      </c>
      <c r="F62" s="187"/>
    </row>
    <row r="63" spans="1:6" ht="15.75" customHeight="1" thickTop="1" thickBot="1">
      <c r="A63" s="184" t="s">
        <v>245</v>
      </c>
      <c r="B63" s="184"/>
      <c r="C63" s="184"/>
      <c r="D63" s="184"/>
      <c r="E63" s="196">
        <f>E54+E59+E62</f>
        <v>101620332</v>
      </c>
      <c r="F63" s="196"/>
    </row>
    <row r="64" spans="1:6" ht="15.75" customHeight="1" thickTop="1"/>
    <row r="65" spans="7:8" ht="15.75" customHeight="1" thickBot="1"/>
    <row r="66" spans="7:8" ht="15.75" customHeight="1" thickTop="1" thickBot="1">
      <c r="G66" s="180">
        <f>E54+E59+E62</f>
        <v>101620332</v>
      </c>
      <c r="H66" s="179"/>
    </row>
    <row r="67" spans="7:8" ht="15.75" customHeight="1" thickTop="1"/>
  </sheetData>
  <mergeCells count="45">
    <mergeCell ref="A63:D63"/>
    <mergeCell ref="E63:F63"/>
    <mergeCell ref="C60:D60"/>
    <mergeCell ref="C61:D61"/>
    <mergeCell ref="E60:F60"/>
    <mergeCell ref="E61:F61"/>
    <mergeCell ref="A60:B62"/>
    <mergeCell ref="C62:D62"/>
    <mergeCell ref="E62:F62"/>
    <mergeCell ref="C57:D57"/>
    <mergeCell ref="C58:D58"/>
    <mergeCell ref="C59:D59"/>
    <mergeCell ref="E55:F55"/>
    <mergeCell ref="E56:F56"/>
    <mergeCell ref="E57:F57"/>
    <mergeCell ref="E58:F58"/>
    <mergeCell ref="E59:F59"/>
    <mergeCell ref="C54:D54"/>
    <mergeCell ref="E54:F54"/>
    <mergeCell ref="A48:B54"/>
    <mergeCell ref="C55:D55"/>
    <mergeCell ref="C56:D56"/>
    <mergeCell ref="A55:B59"/>
    <mergeCell ref="E53:F53"/>
    <mergeCell ref="C48:D48"/>
    <mergeCell ref="C49:D49"/>
    <mergeCell ref="C50:D50"/>
    <mergeCell ref="C51:D51"/>
    <mergeCell ref="C52:D52"/>
    <mergeCell ref="C53:D53"/>
    <mergeCell ref="E48:F48"/>
    <mergeCell ref="E49:F49"/>
    <mergeCell ref="E50:F50"/>
    <mergeCell ref="E51:F51"/>
    <mergeCell ref="E52:F52"/>
    <mergeCell ref="A34:H34"/>
    <mergeCell ref="A35:H35"/>
    <mergeCell ref="A47:D47"/>
    <mergeCell ref="E47:F47"/>
    <mergeCell ref="A46:F46"/>
    <mergeCell ref="A1:B1"/>
    <mergeCell ref="A17:B17"/>
    <mergeCell ref="D1:E1"/>
    <mergeCell ref="G1:H1"/>
    <mergeCell ref="J1:K1"/>
  </mergeCells>
  <hyperlinks>
    <hyperlink ref="F31" r:id="rId1"/>
  </hyperlinks>
  <pageMargins left="0.7" right="0.7" top="0.75" bottom="0.75" header="0.3" footer="0.3"/>
  <pageSetup paperSize="9" orientation="portrait" r:id="rId2"/>
  <drawing r:id="rId3"/>
  <legacyDrawing r:id="rId4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zoomScale="190" zoomScaleNormal="190" workbookViewId="0">
      <selection activeCell="A2" sqref="A2:D10"/>
    </sheetView>
  </sheetViews>
  <sheetFormatPr baseColWidth="10" defaultColWidth="14.42578125" defaultRowHeight="15.75" customHeight="1"/>
  <cols>
    <col min="1" max="1" width="20.85546875" customWidth="1"/>
    <col min="3" max="3" width="21.7109375" customWidth="1"/>
  </cols>
  <sheetData>
    <row r="1" spans="1:4" ht="15.75" customHeight="1" thickBot="1"/>
    <row r="2" spans="1:4" ht="15.75" customHeight="1" thickTop="1" thickBot="1">
      <c r="A2" s="184" t="s">
        <v>7</v>
      </c>
      <c r="B2" s="197"/>
      <c r="C2" s="197"/>
      <c r="D2" s="197"/>
    </row>
    <row r="3" spans="1:4" ht="15.75" customHeight="1" thickTop="1">
      <c r="A3" s="199" t="s">
        <v>14</v>
      </c>
      <c r="B3" s="182"/>
      <c r="C3" s="199" t="s">
        <v>15</v>
      </c>
      <c r="D3" s="182"/>
    </row>
    <row r="4" spans="1:4" ht="15.75" customHeight="1">
      <c r="A4" s="200" t="s">
        <v>16</v>
      </c>
      <c r="B4" s="203">
        <v>1500000</v>
      </c>
      <c r="C4" s="19" t="s">
        <v>30</v>
      </c>
      <c r="D4" s="20">
        <v>0</v>
      </c>
    </row>
    <row r="5" spans="1:4" ht="15.75" customHeight="1">
      <c r="A5" s="201"/>
      <c r="B5" s="201"/>
      <c r="C5" s="199" t="s">
        <v>39</v>
      </c>
      <c r="D5" s="182"/>
    </row>
    <row r="6" spans="1:4" ht="15.75" customHeight="1">
      <c r="A6" s="201"/>
      <c r="B6" s="201"/>
      <c r="C6" s="19" t="s">
        <v>40</v>
      </c>
      <c r="D6" s="22">
        <v>1500000</v>
      </c>
    </row>
    <row r="7" spans="1:4" ht="15.75" customHeight="1">
      <c r="A7" s="201"/>
      <c r="B7" s="201"/>
      <c r="C7" s="19" t="s">
        <v>43</v>
      </c>
      <c r="D7" s="22">
        <v>975000</v>
      </c>
    </row>
    <row r="8" spans="1:4" ht="15.75" customHeight="1">
      <c r="A8" s="202"/>
      <c r="B8" s="202"/>
      <c r="C8" s="19" t="s">
        <v>242</v>
      </c>
      <c r="D8" s="22">
        <v>525000</v>
      </c>
    </row>
    <row r="9" spans="1:4" ht="15.75" customHeight="1" thickBot="1">
      <c r="A9" s="23" t="s">
        <v>45</v>
      </c>
      <c r="B9" s="24">
        <f>B4</f>
        <v>1500000</v>
      </c>
      <c r="C9" s="23" t="s">
        <v>55</v>
      </c>
      <c r="D9" s="24">
        <f>B9</f>
        <v>1500000</v>
      </c>
    </row>
    <row r="10" spans="1:4" ht="15.75" customHeight="1" thickTop="1" thickBot="1">
      <c r="A10" s="184" t="s">
        <v>57</v>
      </c>
      <c r="B10" s="197"/>
      <c r="C10" s="198">
        <f>D4+D9</f>
        <v>1500000</v>
      </c>
      <c r="D10" s="197"/>
    </row>
    <row r="11" spans="1:4" ht="15.75" customHeight="1" thickTop="1"/>
    <row r="12" spans="1:4" ht="15.75" customHeight="1">
      <c r="A12" s="11"/>
    </row>
  </sheetData>
  <mergeCells count="8">
    <mergeCell ref="A10:B10"/>
    <mergeCell ref="C10:D10"/>
    <mergeCell ref="A2:D2"/>
    <mergeCell ref="A3:B3"/>
    <mergeCell ref="C3:D3"/>
    <mergeCell ref="A4:A8"/>
    <mergeCell ref="B4:B8"/>
    <mergeCell ref="C5:D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"/>
  <sheetViews>
    <sheetView zoomScale="160" zoomScaleNormal="160" workbookViewId="0">
      <selection activeCell="E3" sqref="E3:F3"/>
    </sheetView>
  </sheetViews>
  <sheetFormatPr baseColWidth="10" defaultRowHeight="12.75"/>
  <cols>
    <col min="5" max="5" width="11.7109375" bestFit="1" customWidth="1"/>
  </cols>
  <sheetData>
    <row r="2" spans="2:6" ht="15">
      <c r="B2" s="204" t="s">
        <v>244</v>
      </c>
      <c r="C2" s="204"/>
      <c r="D2" s="204"/>
      <c r="E2" s="204"/>
      <c r="F2" s="204"/>
    </row>
    <row r="3" spans="2:6">
      <c r="B3" s="185" t="s">
        <v>246</v>
      </c>
      <c r="C3" s="185"/>
      <c r="D3" s="185"/>
      <c r="E3" s="206">
        <f>'Salarios, gastos y costos'!E62:F62</f>
        <v>7965620</v>
      </c>
      <c r="F3" s="206"/>
    </row>
    <row r="4" spans="2:6">
      <c r="B4" s="207" t="s">
        <v>247</v>
      </c>
      <c r="C4" s="185"/>
      <c r="D4" s="185"/>
      <c r="E4" s="208">
        <f>'Salarios, gastos y costos'!B11*7</f>
        <v>54223582</v>
      </c>
      <c r="F4" s="208"/>
    </row>
    <row r="5" spans="2:6" ht="15">
      <c r="B5" s="204" t="s">
        <v>214</v>
      </c>
      <c r="C5" s="204"/>
      <c r="D5" s="204"/>
      <c r="E5" s="205">
        <f>SUM(E3:F4)</f>
        <v>62189202</v>
      </c>
      <c r="F5" s="205"/>
    </row>
  </sheetData>
  <mergeCells count="7">
    <mergeCell ref="B5:D5"/>
    <mergeCell ref="E5:F5"/>
    <mergeCell ref="B2:F2"/>
    <mergeCell ref="B3:D3"/>
    <mergeCell ref="E3:F3"/>
    <mergeCell ref="B4:D4"/>
    <mergeCell ref="E4:F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Y24"/>
  <sheetViews>
    <sheetView topLeftCell="A13" zoomScale="175" zoomScaleNormal="175" workbookViewId="0">
      <pane xSplit="1" topLeftCell="B1" activePane="topRight" state="frozen"/>
      <selection pane="topRight" activeCell="H16" sqref="H16"/>
    </sheetView>
  </sheetViews>
  <sheetFormatPr baseColWidth="10" defaultColWidth="14.42578125" defaultRowHeight="15.75" customHeight="1"/>
  <cols>
    <col min="1" max="1" width="23.140625" customWidth="1"/>
    <col min="2" max="2" width="16.42578125" customWidth="1"/>
    <col min="3" max="7" width="14.5703125" customWidth="1"/>
    <col min="8" max="8" width="7.85546875" customWidth="1"/>
    <col min="9" max="9" width="14.5703125" bestFit="1" customWidth="1"/>
    <col min="10" max="10" width="8" customWidth="1"/>
    <col min="11" max="11" width="14.5703125" bestFit="1" customWidth="1"/>
    <col min="12" max="12" width="8.28515625" customWidth="1"/>
    <col min="13" max="13" width="14.7109375" bestFit="1" customWidth="1"/>
    <col min="14" max="14" width="8.28515625" customWidth="1"/>
    <col min="15" max="15" width="14.7109375" bestFit="1" customWidth="1"/>
    <col min="16" max="16" width="7.42578125" customWidth="1"/>
    <col min="17" max="17" width="14.7109375" bestFit="1" customWidth="1"/>
    <col min="18" max="18" width="8.28515625" customWidth="1"/>
    <col min="19" max="19" width="14.7109375" bestFit="1" customWidth="1"/>
    <col min="21" max="21" width="16.7109375" bestFit="1" customWidth="1"/>
    <col min="22" max="22" width="15.7109375" bestFit="1" customWidth="1"/>
    <col min="24" max="24" width="35.85546875" bestFit="1" customWidth="1"/>
  </cols>
  <sheetData>
    <row r="1" spans="1:25" ht="12.75">
      <c r="A1" s="101"/>
      <c r="B1" s="129" t="s">
        <v>59</v>
      </c>
      <c r="C1" s="129" t="s">
        <v>62</v>
      </c>
      <c r="D1" s="129" t="s">
        <v>63</v>
      </c>
      <c r="E1" s="129" t="s">
        <v>64</v>
      </c>
      <c r="F1" s="129" t="s">
        <v>65</v>
      </c>
      <c r="G1" s="129" t="s">
        <v>66</v>
      </c>
      <c r="H1" s="210" t="s">
        <v>67</v>
      </c>
      <c r="I1" s="182"/>
      <c r="J1" s="209" t="s">
        <v>68</v>
      </c>
      <c r="K1" s="182"/>
      <c r="L1" s="209" t="s">
        <v>69</v>
      </c>
      <c r="M1" s="182"/>
      <c r="N1" s="209" t="s">
        <v>70</v>
      </c>
      <c r="O1" s="182"/>
      <c r="P1" s="209" t="s">
        <v>71</v>
      </c>
      <c r="Q1" s="182"/>
      <c r="R1" s="209" t="s">
        <v>72</v>
      </c>
      <c r="S1" s="182"/>
      <c r="U1" s="146" t="s">
        <v>74</v>
      </c>
    </row>
    <row r="2" spans="1:25" ht="12.75">
      <c r="A2" s="101" t="s">
        <v>73</v>
      </c>
      <c r="B2" s="132">
        <f t="shared" ref="B2:G2" si="0">B3</f>
        <v>0</v>
      </c>
      <c r="C2" s="132">
        <f t="shared" si="0"/>
        <v>0</v>
      </c>
      <c r="D2" s="132">
        <f t="shared" si="0"/>
        <v>0</v>
      </c>
      <c r="E2" s="132">
        <f t="shared" si="0"/>
        <v>0</v>
      </c>
      <c r="F2" s="132">
        <f t="shared" si="0"/>
        <v>0</v>
      </c>
      <c r="G2" s="132">
        <f t="shared" si="0"/>
        <v>0</v>
      </c>
      <c r="H2" s="133">
        <v>1</v>
      </c>
      <c r="I2" s="134">
        <f>I3</f>
        <v>17241349.195529614</v>
      </c>
      <c r="J2" s="135">
        <v>1</v>
      </c>
      <c r="K2" s="134">
        <f>K3</f>
        <v>21720273.883428961</v>
      </c>
      <c r="L2" s="135">
        <v>1</v>
      </c>
      <c r="M2" s="134">
        <f>M3</f>
        <v>27298734.173684157</v>
      </c>
      <c r="N2" s="135">
        <v>1</v>
      </c>
      <c r="O2" s="134">
        <f>O3</f>
        <v>34210276.20891919</v>
      </c>
      <c r="P2" s="135">
        <v>1</v>
      </c>
      <c r="Q2" s="134">
        <f>Q3</f>
        <v>42717982.83091484</v>
      </c>
      <c r="R2" s="135">
        <v>1</v>
      </c>
      <c r="S2" s="136">
        <f>S3</f>
        <v>53107075.955209814</v>
      </c>
      <c r="U2" s="44">
        <f t="shared" ref="U2:U16" si="1">SUM(B2:S2)</f>
        <v>196295698.24768659</v>
      </c>
    </row>
    <row r="3" spans="1:25" ht="15.75" customHeight="1">
      <c r="A3" s="102" t="s">
        <v>82</v>
      </c>
      <c r="B3" s="137">
        <v>0</v>
      </c>
      <c r="C3" s="137">
        <v>0</v>
      </c>
      <c r="D3" s="137">
        <v>0</v>
      </c>
      <c r="E3" s="137">
        <v>0</v>
      </c>
      <c r="F3" s="137">
        <v>0</v>
      </c>
      <c r="G3" s="137">
        <v>0</v>
      </c>
      <c r="H3" s="138">
        <v>1</v>
      </c>
      <c r="I3" s="139">
        <f>I18*$I$20</f>
        <v>17241349.195529614</v>
      </c>
      <c r="J3" s="140">
        <v>1</v>
      </c>
      <c r="K3" s="139">
        <f>K18*$I$20</f>
        <v>21720273.883428961</v>
      </c>
      <c r="L3" s="140">
        <v>1</v>
      </c>
      <c r="M3" s="139">
        <f>M18*$I$20</f>
        <v>27298734.173684157</v>
      </c>
      <c r="N3" s="140">
        <v>1</v>
      </c>
      <c r="O3" s="139">
        <f>O18*$I$20</f>
        <v>34210276.20891919</v>
      </c>
      <c r="P3" s="140">
        <v>1</v>
      </c>
      <c r="Q3" s="139">
        <f>Q18*$I$20</f>
        <v>42717982.83091484</v>
      </c>
      <c r="R3" s="140">
        <v>1</v>
      </c>
      <c r="S3" s="141">
        <f>S18*$I$20</f>
        <v>53107075.955209814</v>
      </c>
      <c r="U3" s="44">
        <f>SUM(B3:S3)</f>
        <v>196295698.24768659</v>
      </c>
    </row>
    <row r="4" spans="1:25" ht="12.75">
      <c r="A4" s="101" t="s">
        <v>84</v>
      </c>
      <c r="B4" s="132">
        <f>SUM(B5:B7)</f>
        <v>7865359.333333333</v>
      </c>
      <c r="C4" s="132">
        <f t="shared" ref="C4:G4" si="2">SUM(C5:C7)</f>
        <v>7865359.333333333</v>
      </c>
      <c r="D4" s="132">
        <f t="shared" si="2"/>
        <v>7865359.333333333</v>
      </c>
      <c r="E4" s="132">
        <f t="shared" si="2"/>
        <v>7865359.333333333</v>
      </c>
      <c r="F4" s="132">
        <f t="shared" si="2"/>
        <v>7865359.333333333</v>
      </c>
      <c r="G4" s="132">
        <f t="shared" si="2"/>
        <v>7865359.333333333</v>
      </c>
      <c r="H4" s="133">
        <f t="shared" ref="H4:H16" si="3">(I4)/$I$2</f>
        <v>0.45619163814469266</v>
      </c>
      <c r="I4" s="134">
        <f>SUM(I5:I7)</f>
        <v>7865359.333333333</v>
      </c>
      <c r="J4" s="135">
        <f t="shared" ref="J4:J16" si="4">(K4)/$K$2</f>
        <v>0.36212063326393173</v>
      </c>
      <c r="K4" s="134">
        <f>SUM(K5:K7)</f>
        <v>7865359.333333333</v>
      </c>
      <c r="L4" s="135">
        <f t="shared" ref="L4:L16" si="5">(M4)/$M$2</f>
        <v>0.28812175990619743</v>
      </c>
      <c r="M4" s="134">
        <f>SUM(M5:M7)</f>
        <v>7865359.333333333</v>
      </c>
      <c r="N4" s="135">
        <f t="shared" ref="N4:N16" si="6">(O4)/$O$2</f>
        <v>0.22991218443546804</v>
      </c>
      <c r="O4" s="134">
        <f>SUM(O5:O7)</f>
        <v>7865359.333333333</v>
      </c>
      <c r="P4" s="135">
        <f t="shared" ref="P4:P16" si="7">(Q4)/$Q$2</f>
        <v>0.18412291058933622</v>
      </c>
      <c r="Q4" s="134">
        <f>SUM(Q5:Q7)</f>
        <v>7865359.333333333</v>
      </c>
      <c r="R4" s="135">
        <f t="shared" ref="R4:R16" si="8">(S4)/$S$2</f>
        <v>0.14810379204396282</v>
      </c>
      <c r="S4" s="136">
        <f>SUM(S5:S7)</f>
        <v>7865359.333333333</v>
      </c>
      <c r="U4" s="44">
        <f t="shared" si="1"/>
        <v>94384313.668572903</v>
      </c>
    </row>
    <row r="5" spans="1:25" ht="12.75">
      <c r="A5" s="102" t="s">
        <v>86</v>
      </c>
      <c r="B5" s="137">
        <f>'Salarios, gastos y costos'!$H$11</f>
        <v>60800</v>
      </c>
      <c r="C5" s="137">
        <f>'Salarios, gastos y costos'!$H$11</f>
        <v>60800</v>
      </c>
      <c r="D5" s="137">
        <f>'Salarios, gastos y costos'!$H$11</f>
        <v>60800</v>
      </c>
      <c r="E5" s="137">
        <f>'Salarios, gastos y costos'!$H$11</f>
        <v>60800</v>
      </c>
      <c r="F5" s="137">
        <f>'Salarios, gastos y costos'!$H$11</f>
        <v>60800</v>
      </c>
      <c r="G5" s="137">
        <f>'Salarios, gastos y costos'!$H$11</f>
        <v>60800</v>
      </c>
      <c r="H5" s="138">
        <f t="shared" si="3"/>
        <v>3.5264061594300518E-3</v>
      </c>
      <c r="I5" s="139">
        <f>'Salarios, gastos y costos'!$H$11</f>
        <v>60800</v>
      </c>
      <c r="J5" s="140">
        <f t="shared" si="4"/>
        <v>2.7992280542275352E-3</v>
      </c>
      <c r="K5" s="139">
        <f>'Salarios, gastos y costos'!$H$11</f>
        <v>60800</v>
      </c>
      <c r="L5" s="140">
        <f t="shared" si="5"/>
        <v>2.2272094967176496E-3</v>
      </c>
      <c r="M5" s="139">
        <f>'Salarios, gastos y costos'!$H$11</f>
        <v>60800</v>
      </c>
      <c r="N5" s="140">
        <f t="shared" si="6"/>
        <v>1.7772437623332731E-3</v>
      </c>
      <c r="O5" s="139">
        <f>'Salarios, gastos y costos'!$H$11</f>
        <v>60800</v>
      </c>
      <c r="P5" s="140">
        <f t="shared" si="7"/>
        <v>1.4232881791412509E-3</v>
      </c>
      <c r="Q5" s="139">
        <f>'Salarios, gastos y costos'!$H$11</f>
        <v>60800</v>
      </c>
      <c r="R5" s="140">
        <f t="shared" si="8"/>
        <v>1.1448568558223456E-3</v>
      </c>
      <c r="S5" s="141">
        <f>'Salarios, gastos y costos'!$H$11</f>
        <v>60800</v>
      </c>
      <c r="U5" s="44">
        <f t="shared" si="1"/>
        <v>729600.01289823256</v>
      </c>
    </row>
    <row r="6" spans="1:25" ht="12.75">
      <c r="A6" s="102" t="s">
        <v>88</v>
      </c>
      <c r="B6" s="137">
        <f>'Salarios, gastos y costos'!$B$11</f>
        <v>7746226</v>
      </c>
      <c r="C6" s="137">
        <f>'Salarios, gastos y costos'!$B$11</f>
        <v>7746226</v>
      </c>
      <c r="D6" s="137">
        <f>'Salarios, gastos y costos'!$B$11</f>
        <v>7746226</v>
      </c>
      <c r="E6" s="137">
        <f>'Salarios, gastos y costos'!$B$11</f>
        <v>7746226</v>
      </c>
      <c r="F6" s="137">
        <f>'Salarios, gastos y costos'!$B$11</f>
        <v>7746226</v>
      </c>
      <c r="G6" s="137">
        <f>'Salarios, gastos y costos'!$B$11</f>
        <v>7746226</v>
      </c>
      <c r="H6" s="138">
        <f t="shared" si="3"/>
        <v>0.44928189274238839</v>
      </c>
      <c r="I6" s="139">
        <f>'Salarios, gastos y costos'!$B$11</f>
        <v>7746226</v>
      </c>
      <c r="J6" s="140">
        <f t="shared" si="4"/>
        <v>0.3566357423287293</v>
      </c>
      <c r="K6" s="139">
        <f>'Salarios, gastos y costos'!$B$11</f>
        <v>7746226</v>
      </c>
      <c r="L6" s="140">
        <f t="shared" si="5"/>
        <v>0.28375769919278249</v>
      </c>
      <c r="M6" s="139">
        <f>'Salarios, gastos y costos'!$B$11</f>
        <v>7746226</v>
      </c>
      <c r="N6" s="140">
        <f t="shared" si="6"/>
        <v>0.22642980000203652</v>
      </c>
      <c r="O6" s="139">
        <f>'Salarios, gastos y costos'!$B$11</f>
        <v>7746226</v>
      </c>
      <c r="P6" s="140">
        <f t="shared" si="7"/>
        <v>0.18133407728218118</v>
      </c>
      <c r="Q6" s="139">
        <f>'Salarios, gastos y costos'!$B$11</f>
        <v>7746226</v>
      </c>
      <c r="R6" s="140">
        <f t="shared" si="8"/>
        <v>0.14586052537581093</v>
      </c>
      <c r="S6" s="141">
        <f>'Salarios, gastos y costos'!$B$11</f>
        <v>7746226</v>
      </c>
      <c r="U6" s="44">
        <f t="shared" si="1"/>
        <v>92954713.643299744</v>
      </c>
      <c r="V6" s="97" t="s">
        <v>215</v>
      </c>
      <c r="X6" s="97" t="s">
        <v>219</v>
      </c>
      <c r="Y6" s="103">
        <f>U6+U7+U9+U10</f>
        <v>101923833.84596817</v>
      </c>
    </row>
    <row r="7" spans="1:25" ht="12.75">
      <c r="A7" s="102" t="s">
        <v>90</v>
      </c>
      <c r="B7" s="137">
        <f>'Presupuesto Inicial'!$J$20</f>
        <v>58333.333333333336</v>
      </c>
      <c r="C7" s="137">
        <f>'Presupuesto Inicial'!$J$20</f>
        <v>58333.333333333336</v>
      </c>
      <c r="D7" s="137">
        <f>'Presupuesto Inicial'!$J$20</f>
        <v>58333.333333333336</v>
      </c>
      <c r="E7" s="137">
        <f>'Presupuesto Inicial'!$J$20</f>
        <v>58333.333333333336</v>
      </c>
      <c r="F7" s="137">
        <f>'Presupuesto Inicial'!$J$20</f>
        <v>58333.333333333336</v>
      </c>
      <c r="G7" s="137">
        <f>'Presupuesto Inicial'!$J$20</f>
        <v>58333.333333333336</v>
      </c>
      <c r="H7" s="138">
        <f t="shared" si="3"/>
        <v>3.3833392428742276E-3</v>
      </c>
      <c r="I7" s="139">
        <f>'Presupuesto Inicial'!$J$20</f>
        <v>58333.333333333336</v>
      </c>
      <c r="J7" s="140">
        <f t="shared" si="4"/>
        <v>2.685662880974883E-3</v>
      </c>
      <c r="K7" s="139">
        <f>'Presupuesto Inicial'!$J$20</f>
        <v>58333.333333333336</v>
      </c>
      <c r="L7" s="140">
        <f t="shared" si="5"/>
        <v>2.1368512166973067E-3</v>
      </c>
      <c r="M7" s="139">
        <f>'Presupuesto Inicial'!$J$20</f>
        <v>58333.333333333336</v>
      </c>
      <c r="N7" s="140">
        <f t="shared" si="6"/>
        <v>1.7051406710982609E-3</v>
      </c>
      <c r="O7" s="139">
        <f>'Presupuesto Inicial'!$J$20</f>
        <v>58333.333333333336</v>
      </c>
      <c r="P7" s="140">
        <f t="shared" si="7"/>
        <v>1.3655451280138097E-3</v>
      </c>
      <c r="Q7" s="139">
        <f>'Presupuesto Inicial'!$J$20</f>
        <v>58333.333333333336</v>
      </c>
      <c r="R7" s="140">
        <f t="shared" si="8"/>
        <v>1.0984098123295531E-3</v>
      </c>
      <c r="S7" s="141">
        <f>'Presupuesto Inicial'!$J$20</f>
        <v>58333.333333333336</v>
      </c>
      <c r="U7" s="44">
        <f t="shared" si="1"/>
        <v>700000.01237494894</v>
      </c>
      <c r="V7" s="97" t="s">
        <v>216</v>
      </c>
    </row>
    <row r="8" spans="1:25" s="130" customFormat="1" ht="12.75">
      <c r="A8" s="101" t="s">
        <v>92</v>
      </c>
      <c r="B8" s="142">
        <f>B2-B4</f>
        <v>-7865359.333333333</v>
      </c>
      <c r="C8" s="142">
        <f t="shared" ref="C8:G8" si="9">C2-C4</f>
        <v>-7865359.333333333</v>
      </c>
      <c r="D8" s="143">
        <f t="shared" si="9"/>
        <v>-7865359.333333333</v>
      </c>
      <c r="E8" s="143">
        <f t="shared" si="9"/>
        <v>-7865359.333333333</v>
      </c>
      <c r="F8" s="143">
        <f t="shared" si="9"/>
        <v>-7865359.333333333</v>
      </c>
      <c r="G8" s="143">
        <f t="shared" si="9"/>
        <v>-7865359.333333333</v>
      </c>
      <c r="H8" s="133">
        <f t="shared" si="3"/>
        <v>0.54380836185530745</v>
      </c>
      <c r="I8" s="134">
        <f>I2-I4</f>
        <v>9375989.8621962816</v>
      </c>
      <c r="J8" s="135">
        <f t="shared" si="4"/>
        <v>0.63787936673606827</v>
      </c>
      <c r="K8" s="134">
        <f>K2-K4</f>
        <v>13854914.550095629</v>
      </c>
      <c r="L8" s="135">
        <f t="shared" si="5"/>
        <v>0.71187824009380263</v>
      </c>
      <c r="M8" s="134">
        <f>M2-M4</f>
        <v>19433374.840350825</v>
      </c>
      <c r="N8" s="135">
        <f t="shared" si="6"/>
        <v>0.77008781556453199</v>
      </c>
      <c r="O8" s="134">
        <f>O2-O4</f>
        <v>26344916.875585858</v>
      </c>
      <c r="P8" s="135">
        <f t="shared" si="7"/>
        <v>0.81587708941066373</v>
      </c>
      <c r="Q8" s="134">
        <f>Q2-Q4</f>
        <v>34852623.497581504</v>
      </c>
      <c r="R8" s="135">
        <f t="shared" si="8"/>
        <v>0.85189620795603715</v>
      </c>
      <c r="S8" s="136">
        <f>S2-S4</f>
        <v>45241716.621876478</v>
      </c>
      <c r="U8" s="131">
        <f t="shared" si="1"/>
        <v>101911384.57911366</v>
      </c>
    </row>
    <row r="9" spans="1:25" ht="12.75">
      <c r="A9" s="102" t="s">
        <v>94</v>
      </c>
      <c r="B9" s="137">
        <f>'Salarios, gastos y costos'!$E$11+'Salarios, gastos y costos'!$K$11</f>
        <v>332010</v>
      </c>
      <c r="C9" s="137">
        <f>'Salarios, gastos y costos'!$E$11+'Salarios, gastos y costos'!$K$11</f>
        <v>332010</v>
      </c>
      <c r="D9" s="144">
        <f>'Salarios, gastos y costos'!$E$11+'Salarios, gastos y costos'!$K$11</f>
        <v>332010</v>
      </c>
      <c r="E9" s="144">
        <f>'Salarios, gastos y costos'!$E$11+'Salarios, gastos y costos'!$K$11</f>
        <v>332010</v>
      </c>
      <c r="F9" s="144">
        <f>'Salarios, gastos y costos'!$E$11+'Salarios, gastos y costos'!$K$11</f>
        <v>332010</v>
      </c>
      <c r="G9" s="144">
        <f>'Salarios, gastos y costos'!$E$11+'Salarios, gastos y costos'!$K$11</f>
        <v>332010</v>
      </c>
      <c r="H9" s="138">
        <f t="shared" si="3"/>
        <v>1.9256613634742951E-2</v>
      </c>
      <c r="I9" s="139">
        <f>'Salarios, gastos y costos'!$E$11+'Salarios, gastos y costos'!$K$11</f>
        <v>332010</v>
      </c>
      <c r="J9" s="140">
        <f t="shared" si="4"/>
        <v>1.5285718853356644E-2</v>
      </c>
      <c r="K9" s="139">
        <f>'Salarios, gastos y costos'!$E$11+'Salarios, gastos y costos'!$K$11</f>
        <v>332010</v>
      </c>
      <c r="L9" s="140">
        <f t="shared" si="5"/>
        <v>1.2162102384954391E-2</v>
      </c>
      <c r="M9" s="139">
        <f>'Salarios, gastos y costos'!$E$11+'Salarios, gastos y costos'!$K$11</f>
        <v>332010</v>
      </c>
      <c r="N9" s="140">
        <f t="shared" si="6"/>
        <v>9.7049786436228611E-3</v>
      </c>
      <c r="O9" s="139">
        <f>'Salarios, gastos y costos'!$E$11+'Salarios, gastos y costos'!$K$11</f>
        <v>332010</v>
      </c>
      <c r="P9" s="140">
        <f t="shared" si="7"/>
        <v>7.7721366506033999E-3</v>
      </c>
      <c r="Q9" s="139">
        <f>'Salarios, gastos y costos'!$E$11+'Salarios, gastos y costos'!$K$11</f>
        <v>332010</v>
      </c>
      <c r="R9" s="140">
        <f t="shared" si="8"/>
        <v>6.2517092878548843E-3</v>
      </c>
      <c r="S9" s="141">
        <f>'Salarios, gastos y costos'!$E$11+'Salarios, gastos y costos'!$K$11</f>
        <v>332010</v>
      </c>
      <c r="U9" s="44">
        <f t="shared" si="1"/>
        <v>3984120.070433259</v>
      </c>
      <c r="V9" s="97" t="s">
        <v>217</v>
      </c>
    </row>
    <row r="10" spans="1:25" ht="12.75">
      <c r="A10" s="102" t="s">
        <v>96</v>
      </c>
      <c r="B10" s="137">
        <v>0</v>
      </c>
      <c r="C10" s="137">
        <f>'Salarios, gastos y costos'!G37</f>
        <v>110000</v>
      </c>
      <c r="D10" s="144">
        <f>'Salarios, gastos y costos'!G38</f>
        <v>140000</v>
      </c>
      <c r="E10" s="144">
        <f>'Salarios, gastos y costos'!G39</f>
        <v>40000</v>
      </c>
      <c r="F10" s="144">
        <f>'Salarios, gastos y costos'!G40</f>
        <v>40000</v>
      </c>
      <c r="G10" s="144">
        <f>'Salarios, gastos y costos'!$F$41+'Salarios, gastos y costos'!$F$42</f>
        <v>565000</v>
      </c>
      <c r="H10" s="138">
        <f t="shared" si="3"/>
        <v>3.2770057238124657E-2</v>
      </c>
      <c r="I10" s="139">
        <f>'Salarios, gastos y costos'!$F$41+'Salarios, gastos y costos'!$F$42</f>
        <v>565000</v>
      </c>
      <c r="J10" s="140">
        <f t="shared" si="4"/>
        <v>2.6012563332871011E-2</v>
      </c>
      <c r="K10" s="139">
        <f>'Salarios, gastos y costos'!$F$41+'Salarios, gastos y costos'!$F$42</f>
        <v>565000</v>
      </c>
      <c r="L10" s="140">
        <f t="shared" si="5"/>
        <v>2.0696930356011056E-2</v>
      </c>
      <c r="M10" s="139">
        <f>'Salarios, gastos y costos'!$F$41+'Salarios, gastos y costos'!$F$42</f>
        <v>565000</v>
      </c>
      <c r="N10" s="140">
        <f t="shared" si="6"/>
        <v>1.651550535720887E-2</v>
      </c>
      <c r="O10" s="139">
        <f>'Salarios, gastos y costos'!$F$41+'Salarios, gastos y costos'!$F$42</f>
        <v>565000</v>
      </c>
      <c r="P10" s="140">
        <f t="shared" si="7"/>
        <v>1.32262799541909E-2</v>
      </c>
      <c r="Q10" s="139">
        <f>'Salarios, gastos y costos'!$F$41+'Salarios, gastos y costos'!$F$42</f>
        <v>565000</v>
      </c>
      <c r="R10" s="140">
        <f t="shared" si="8"/>
        <v>1.06388836108491E-2</v>
      </c>
      <c r="S10" s="141">
        <f>'Salarios, gastos y costos'!$F$41+'Salarios, gastos y costos'!$F$42</f>
        <v>565000</v>
      </c>
      <c r="U10" s="44">
        <f t="shared" si="1"/>
        <v>4285000.1198602207</v>
      </c>
      <c r="V10" s="97" t="s">
        <v>218</v>
      </c>
    </row>
    <row r="11" spans="1:25" s="130" customFormat="1" ht="12.75">
      <c r="A11" s="101" t="s">
        <v>99</v>
      </c>
      <c r="B11" s="142">
        <f t="shared" ref="B11:G11" si="10">B8-B9-B10</f>
        <v>-8197369.333333333</v>
      </c>
      <c r="C11" s="142">
        <f>C8-C9-C10</f>
        <v>-8307369.333333333</v>
      </c>
      <c r="D11" s="143">
        <f t="shared" si="10"/>
        <v>-8337369.333333333</v>
      </c>
      <c r="E11" s="143">
        <f t="shared" si="10"/>
        <v>-8237369.333333333</v>
      </c>
      <c r="F11" s="143">
        <f t="shared" si="10"/>
        <v>-8237369.333333333</v>
      </c>
      <c r="G11" s="143">
        <f t="shared" si="10"/>
        <v>-8762369.3333333321</v>
      </c>
      <c r="H11" s="133">
        <f t="shared" si="3"/>
        <v>0.49178169098243979</v>
      </c>
      <c r="I11" s="145">
        <f>I8-I9-I10</f>
        <v>8478979.8621962816</v>
      </c>
      <c r="J11" s="135">
        <f t="shared" si="4"/>
        <v>0.59658108454984071</v>
      </c>
      <c r="K11" s="145">
        <f>K8-K9-K10</f>
        <v>12957904.550095629</v>
      </c>
      <c r="L11" s="135">
        <f t="shared" si="5"/>
        <v>0.67901920735283716</v>
      </c>
      <c r="M11" s="145">
        <f>M8-M9-M10</f>
        <v>18536364.840350825</v>
      </c>
      <c r="N11" s="135">
        <f t="shared" si="6"/>
        <v>0.74386733156370022</v>
      </c>
      <c r="O11" s="145">
        <f>O8-O9-O10</f>
        <v>25447906.875585858</v>
      </c>
      <c r="P11" s="135">
        <f t="shared" si="7"/>
        <v>0.79487867280586944</v>
      </c>
      <c r="Q11" s="134">
        <f>Q8-Q9-Q10</f>
        <v>33955613.497581504</v>
      </c>
      <c r="R11" s="135">
        <f t="shared" si="8"/>
        <v>0.83500561505733317</v>
      </c>
      <c r="S11" s="136">
        <f>S8-S9-S10</f>
        <v>44344706.621876478</v>
      </c>
      <c r="U11" s="131">
        <f t="shared" si="1"/>
        <v>93642264.388820186</v>
      </c>
      <c r="V11" s="159">
        <f>S11+Q11+O11+M11+K11+I11</f>
        <v>143721476.24768656</v>
      </c>
    </row>
    <row r="12" spans="1:25" ht="12.75">
      <c r="A12" s="102" t="s">
        <v>100</v>
      </c>
      <c r="B12" s="137">
        <v>0</v>
      </c>
      <c r="C12" s="137">
        <v>0</v>
      </c>
      <c r="D12" s="144">
        <v>0</v>
      </c>
      <c r="E12" s="144">
        <v>0</v>
      </c>
      <c r="F12" s="144">
        <v>0</v>
      </c>
      <c r="G12" s="144">
        <v>0</v>
      </c>
      <c r="H12" s="138">
        <f t="shared" si="3"/>
        <v>0</v>
      </c>
      <c r="I12" s="139">
        <v>0</v>
      </c>
      <c r="J12" s="140">
        <f t="shared" si="4"/>
        <v>0</v>
      </c>
      <c r="K12" s="139">
        <v>0</v>
      </c>
      <c r="L12" s="140">
        <f t="shared" si="5"/>
        <v>0</v>
      </c>
      <c r="M12" s="139">
        <v>0</v>
      </c>
      <c r="N12" s="140">
        <f t="shared" si="6"/>
        <v>0</v>
      </c>
      <c r="O12" s="139">
        <v>0</v>
      </c>
      <c r="P12" s="140">
        <f t="shared" si="7"/>
        <v>0</v>
      </c>
      <c r="Q12" s="139">
        <v>0</v>
      </c>
      <c r="R12" s="140">
        <f t="shared" si="8"/>
        <v>0</v>
      </c>
      <c r="S12" s="139">
        <v>0</v>
      </c>
      <c r="U12" s="44">
        <f t="shared" si="1"/>
        <v>0</v>
      </c>
      <c r="V12" s="159">
        <f t="shared" ref="V12:V14" si="11">S12+Q12+O12+M12+K12+I12</f>
        <v>0</v>
      </c>
    </row>
    <row r="13" spans="1:25" ht="12.75">
      <c r="A13" s="102" t="s">
        <v>101</v>
      </c>
      <c r="B13" s="137">
        <v>0</v>
      </c>
      <c r="C13" s="137">
        <v>0</v>
      </c>
      <c r="D13" s="144">
        <v>0</v>
      </c>
      <c r="E13" s="144">
        <v>0</v>
      </c>
      <c r="F13" s="144">
        <v>0</v>
      </c>
      <c r="G13" s="144">
        <v>0</v>
      </c>
      <c r="H13" s="138">
        <f t="shared" si="3"/>
        <v>0</v>
      </c>
      <c r="I13" s="139">
        <v>0</v>
      </c>
      <c r="J13" s="140">
        <f t="shared" si="4"/>
        <v>0</v>
      </c>
      <c r="K13" s="139">
        <v>0</v>
      </c>
      <c r="L13" s="140">
        <f t="shared" si="5"/>
        <v>0</v>
      </c>
      <c r="M13" s="139">
        <v>0</v>
      </c>
      <c r="N13" s="140">
        <f t="shared" si="6"/>
        <v>0</v>
      </c>
      <c r="O13" s="139">
        <v>0</v>
      </c>
      <c r="P13" s="140">
        <f t="shared" si="7"/>
        <v>0</v>
      </c>
      <c r="Q13" s="139">
        <v>0</v>
      </c>
      <c r="R13" s="140">
        <f t="shared" si="8"/>
        <v>0</v>
      </c>
      <c r="S13" s="141">
        <v>0</v>
      </c>
      <c r="U13" s="44">
        <f t="shared" si="1"/>
        <v>0</v>
      </c>
      <c r="V13" s="159">
        <f t="shared" si="11"/>
        <v>0</v>
      </c>
    </row>
    <row r="14" spans="1:25" s="130" customFormat="1" ht="12.75">
      <c r="A14" s="101" t="s">
        <v>102</v>
      </c>
      <c r="B14" s="142">
        <f t="shared" ref="B14:G14" si="12">B11+B12-B13</f>
        <v>-8197369.333333333</v>
      </c>
      <c r="C14" s="142">
        <f>C11+C12-C13</f>
        <v>-8307369.333333333</v>
      </c>
      <c r="D14" s="143">
        <f t="shared" si="12"/>
        <v>-8337369.333333333</v>
      </c>
      <c r="E14" s="143">
        <f t="shared" si="12"/>
        <v>-8237369.333333333</v>
      </c>
      <c r="F14" s="143">
        <f t="shared" si="12"/>
        <v>-8237369.333333333</v>
      </c>
      <c r="G14" s="143">
        <f t="shared" si="12"/>
        <v>-8762369.3333333321</v>
      </c>
      <c r="H14" s="133">
        <f t="shared" si="3"/>
        <v>0.49178169098243979</v>
      </c>
      <c r="I14" s="145">
        <f>I11+I12-I13</f>
        <v>8478979.8621962816</v>
      </c>
      <c r="J14" s="135">
        <f t="shared" si="4"/>
        <v>0.59658108454984071</v>
      </c>
      <c r="K14" s="145">
        <f>K11+K12-K13</f>
        <v>12957904.550095629</v>
      </c>
      <c r="L14" s="135">
        <f t="shared" si="5"/>
        <v>0.67901920735283716</v>
      </c>
      <c r="M14" s="145">
        <f>M11+M12-M13</f>
        <v>18536364.840350825</v>
      </c>
      <c r="N14" s="135">
        <f t="shared" si="6"/>
        <v>0.74386733156370022</v>
      </c>
      <c r="O14" s="145">
        <f>O11+O12-O13</f>
        <v>25447906.875585858</v>
      </c>
      <c r="P14" s="135">
        <f t="shared" si="7"/>
        <v>0.79487867280586944</v>
      </c>
      <c r="Q14" s="134">
        <f>Q11+Q12-Q13</f>
        <v>33955613.497581504</v>
      </c>
      <c r="R14" s="135">
        <f t="shared" si="8"/>
        <v>0.83500561505733317</v>
      </c>
      <c r="S14" s="136">
        <f>S11+S12-S13</f>
        <v>44344706.621876478</v>
      </c>
      <c r="U14" s="131">
        <f t="shared" si="1"/>
        <v>93642264.388820186</v>
      </c>
      <c r="V14" s="159">
        <f t="shared" si="11"/>
        <v>143721476.24768656</v>
      </c>
    </row>
    <row r="15" spans="1:25" ht="12.75">
      <c r="A15" s="102" t="s">
        <v>103</v>
      </c>
      <c r="B15" s="144">
        <f t="shared" ref="B15:F15" si="13">IF(B14&gt;0, B14*0.34, 0)</f>
        <v>0</v>
      </c>
      <c r="C15" s="144">
        <f t="shared" si="13"/>
        <v>0</v>
      </c>
      <c r="D15" s="144">
        <f t="shared" si="13"/>
        <v>0</v>
      </c>
      <c r="E15" s="144">
        <f t="shared" si="13"/>
        <v>0</v>
      </c>
      <c r="F15" s="144">
        <f t="shared" si="13"/>
        <v>0</v>
      </c>
      <c r="G15" s="144">
        <f>IF(G14&gt;0, G14*0.34, 0)</f>
        <v>0</v>
      </c>
      <c r="H15" s="138">
        <f t="shared" si="3"/>
        <v>0.16720577493402955</v>
      </c>
      <c r="I15" s="139">
        <f>IF(I14&gt;0, I14*0.34, 0)</f>
        <v>2882853.1531467359</v>
      </c>
      <c r="J15" s="140">
        <f t="shared" si="4"/>
        <v>0.20283756874694586</v>
      </c>
      <c r="K15" s="139">
        <f>IF(K14&gt;0, K14*0.34, 0)</f>
        <v>4405687.5470325146</v>
      </c>
      <c r="L15" s="140">
        <f t="shared" si="5"/>
        <v>0.23086653049996464</v>
      </c>
      <c r="M15" s="139">
        <f>IF(M14&gt;0, M14*0.34, 0)</f>
        <v>6302364.0457192808</v>
      </c>
      <c r="N15" s="140">
        <f t="shared" si="6"/>
        <v>0.25291489273165807</v>
      </c>
      <c r="O15" s="139">
        <f>IF(O14&gt;0, O14*0.34, 0)</f>
        <v>8652288.3376991916</v>
      </c>
      <c r="P15" s="140">
        <f t="shared" si="7"/>
        <v>0.27025874875399564</v>
      </c>
      <c r="Q15" s="139">
        <f>IF(Q14&gt;0, Q14*0.34, 0)</f>
        <v>11544908.589177713</v>
      </c>
      <c r="R15" s="140">
        <f t="shared" si="8"/>
        <v>0.28390190911949326</v>
      </c>
      <c r="S15" s="141">
        <f>IF(S14&gt;0, S14*0.34, 0)</f>
        <v>15077200.251438003</v>
      </c>
      <c r="U15" s="44">
        <f t="shared" si="1"/>
        <v>48865303.332198858</v>
      </c>
      <c r="V15" s="160">
        <f>V14*0.34</f>
        <v>48865301.924213439</v>
      </c>
    </row>
    <row r="16" spans="1:25" s="130" customFormat="1" ht="12.75">
      <c r="A16" s="101" t="s">
        <v>104</v>
      </c>
      <c r="B16" s="142">
        <f t="shared" ref="B16:G16" si="14">B14-B15</f>
        <v>-8197369.333333333</v>
      </c>
      <c r="C16" s="142">
        <f t="shared" si="14"/>
        <v>-8307369.333333333</v>
      </c>
      <c r="D16" s="143">
        <f t="shared" si="14"/>
        <v>-8337369.333333333</v>
      </c>
      <c r="E16" s="143">
        <f t="shared" si="14"/>
        <v>-8237369.333333333</v>
      </c>
      <c r="F16" s="143">
        <f t="shared" si="14"/>
        <v>-8237369.333333333</v>
      </c>
      <c r="G16" s="143">
        <f t="shared" si="14"/>
        <v>-8762369.3333333321</v>
      </c>
      <c r="H16" s="133">
        <f t="shared" si="3"/>
        <v>0.32457591604841024</v>
      </c>
      <c r="I16" s="145">
        <f>I14-I15</f>
        <v>5596126.7090495452</v>
      </c>
      <c r="J16" s="135">
        <f t="shared" si="4"/>
        <v>0.39374351580289479</v>
      </c>
      <c r="K16" s="145">
        <f>K14-K15</f>
        <v>8552217.0030631144</v>
      </c>
      <c r="L16" s="135">
        <f t="shared" si="5"/>
        <v>0.44815267685287252</v>
      </c>
      <c r="M16" s="145">
        <f>M14-M15</f>
        <v>12234000.794631545</v>
      </c>
      <c r="N16" s="135">
        <f t="shared" si="6"/>
        <v>0.49095243883204209</v>
      </c>
      <c r="O16" s="145">
        <f>O14-O15</f>
        <v>16795618.537886664</v>
      </c>
      <c r="P16" s="135">
        <f t="shared" si="7"/>
        <v>0.52461992405187374</v>
      </c>
      <c r="Q16" s="134">
        <f>Q14-Q15</f>
        <v>22410704.908403791</v>
      </c>
      <c r="R16" s="135">
        <f t="shared" si="8"/>
        <v>0.55110370593783986</v>
      </c>
      <c r="S16" s="136">
        <f>S14-S15</f>
        <v>29267506.370438475</v>
      </c>
      <c r="U16" s="131">
        <f>SUM(B16:S16)</f>
        <v>44776961.056621313</v>
      </c>
    </row>
    <row r="18" spans="7:19" ht="12.75">
      <c r="G18" s="11" t="s">
        <v>109</v>
      </c>
      <c r="H18" s="11"/>
      <c r="I18" s="65">
        <f>'Tabla Crecimiento'!B3</f>
        <v>3252.8577359756564</v>
      </c>
      <c r="J18" s="11"/>
      <c r="K18" s="65">
        <f>'Tabla Crecimiento'!B4</f>
        <v>4097.8788914930747</v>
      </c>
      <c r="L18" s="11"/>
      <c r="M18" s="65">
        <f>'Tabla Crecimiento'!B5</f>
        <v>5150.3451169723749</v>
      </c>
      <c r="N18" s="11"/>
      <c r="O18" s="65">
        <f>'Tabla Crecimiento'!B6</f>
        <v>6454.3186472262878</v>
      </c>
      <c r="P18" s="11"/>
      <c r="Q18" s="65">
        <f>'Tabla Crecimiento'!B7</f>
        <v>8059.4342902610779</v>
      </c>
      <c r="R18" s="11"/>
      <c r="S18" s="65">
        <f>'Tabla Crecimiento'!B8</f>
        <v>10019.503746304383</v>
      </c>
    </row>
    <row r="19" spans="7:19" ht="12.75">
      <c r="G19" s="11" t="s">
        <v>110</v>
      </c>
      <c r="H19" s="11"/>
      <c r="I19" s="11">
        <v>1.2</v>
      </c>
    </row>
    <row r="20" spans="7:19" ht="12.75">
      <c r="G20" s="99" t="s">
        <v>185</v>
      </c>
      <c r="H20" s="11"/>
      <c r="I20" s="11">
        <f>('Tabla Crecimiento'!O3+('Tabla Crecimiento'!O3*0.19))</f>
        <v>5300.3698885583981</v>
      </c>
    </row>
    <row r="21" spans="7:19" ht="12.75">
      <c r="G21" s="11" t="s">
        <v>111</v>
      </c>
      <c r="H21" s="11"/>
      <c r="I21" s="11"/>
    </row>
    <row r="24" spans="7:19" ht="12.75">
      <c r="I24" s="11">
        <v>2860</v>
      </c>
    </row>
  </sheetData>
  <mergeCells count="6">
    <mergeCell ref="R1:S1"/>
    <mergeCell ref="H1:I1"/>
    <mergeCell ref="J1:K1"/>
    <mergeCell ref="L1:M1"/>
    <mergeCell ref="N1:O1"/>
    <mergeCell ref="P1:Q1"/>
  </mergeCells>
  <conditionalFormatting sqref="B1:S7 B17:S994 B8:C14 H8:S16 B16:C16">
    <cfRule type="cellIs" dxfId="12" priority="15" operator="lessThan">
      <formula>0</formula>
    </cfRule>
  </conditionalFormatting>
  <conditionalFormatting sqref="I8">
    <cfRule type="cellIs" dxfId="11" priority="13" operator="lessThan">
      <formula>0</formula>
    </cfRule>
    <cfRule type="cellIs" dxfId="10" priority="14" operator="lessThan">
      <formula>0</formula>
    </cfRule>
  </conditionalFormatting>
  <conditionalFormatting sqref="H2:S16">
    <cfRule type="cellIs" dxfId="9" priority="7" operator="greaterThan">
      <formula>0</formula>
    </cfRule>
  </conditionalFormatting>
  <conditionalFormatting sqref="D2:G14 D16:G16 B15:G15">
    <cfRule type="cellIs" dxfId="8" priority="5" operator="lessThan">
      <formula>0</formula>
    </cfRule>
  </conditionalFormatting>
  <conditionalFormatting sqref="B8:C8">
    <cfRule type="cellIs" dxfId="7" priority="4" operator="lessThan">
      <formula>0</formula>
    </cfRule>
  </conditionalFormatting>
  <conditionalFormatting sqref="B11:C11">
    <cfRule type="cellIs" dxfId="6" priority="3" operator="lessThan">
      <formula>0</formula>
    </cfRule>
  </conditionalFormatting>
  <conditionalFormatting sqref="B14:C14">
    <cfRule type="cellIs" dxfId="5" priority="2" operator="lessThan">
      <formula>0</formula>
    </cfRule>
  </conditionalFormatting>
  <conditionalFormatting sqref="B16:C16">
    <cfRule type="cellIs" dxfId="4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zoomScale="145" zoomScaleNormal="145" workbookViewId="0">
      <selection sqref="A1:K16"/>
    </sheetView>
  </sheetViews>
  <sheetFormatPr baseColWidth="10" defaultColWidth="14.42578125" defaultRowHeight="15.75" customHeight="1"/>
  <cols>
    <col min="1" max="1" width="23.140625" customWidth="1"/>
    <col min="2" max="2" width="9.5703125" customWidth="1"/>
    <col min="3" max="3" width="15.42578125" bestFit="1" customWidth="1"/>
    <col min="4" max="4" width="7.42578125" customWidth="1"/>
    <col min="5" max="5" width="14.7109375" bestFit="1" customWidth="1"/>
    <col min="6" max="6" width="7" customWidth="1"/>
    <col min="8" max="8" width="7.28515625" customWidth="1"/>
    <col min="10" max="10" width="7.42578125" customWidth="1"/>
  </cols>
  <sheetData>
    <row r="1" spans="1:18" ht="12.75">
      <c r="A1" s="26"/>
      <c r="B1" s="209" t="s">
        <v>74</v>
      </c>
      <c r="C1" s="182"/>
      <c r="D1" s="209" t="s">
        <v>75</v>
      </c>
      <c r="E1" s="182"/>
      <c r="F1" s="209" t="s">
        <v>76</v>
      </c>
      <c r="G1" s="182"/>
      <c r="H1" s="209" t="s">
        <v>78</v>
      </c>
      <c r="I1" s="182"/>
      <c r="J1" s="211" t="s">
        <v>79</v>
      </c>
      <c r="K1" s="212"/>
      <c r="L1" s="28"/>
      <c r="M1" s="28"/>
      <c r="N1" s="28"/>
      <c r="O1" s="28"/>
      <c r="P1" s="28"/>
      <c r="Q1" s="28"/>
      <c r="R1" s="28"/>
    </row>
    <row r="2" spans="1:18" ht="12.75">
      <c r="A2" s="30" t="s">
        <v>73</v>
      </c>
      <c r="B2" s="32">
        <v>1</v>
      </c>
      <c r="C2" s="35">
        <f>C3</f>
        <v>196295698.24768659</v>
      </c>
      <c r="D2" s="36">
        <v>1</v>
      </c>
      <c r="E2" s="35">
        <f>E3</f>
        <v>345454893.47159714</v>
      </c>
      <c r="F2" s="36">
        <v>1</v>
      </c>
      <c r="G2" s="35">
        <f>G3</f>
        <v>499945470.91523975</v>
      </c>
      <c r="H2" s="36">
        <v>1</v>
      </c>
      <c r="I2" s="35">
        <f>I3</f>
        <v>512819274.52148426</v>
      </c>
      <c r="J2" s="36">
        <v>1</v>
      </c>
      <c r="K2" s="37">
        <f>K3</f>
        <v>513561624.49474293</v>
      </c>
      <c r="L2" s="45"/>
      <c r="M2" s="45"/>
      <c r="N2" s="45"/>
      <c r="O2" s="45"/>
      <c r="P2" s="45"/>
      <c r="Q2" s="45"/>
      <c r="R2" s="45"/>
    </row>
    <row r="3" spans="1:18" ht="15.75" customHeight="1">
      <c r="A3" s="50" t="s">
        <v>82</v>
      </c>
      <c r="B3" s="47">
        <v>1</v>
      </c>
      <c r="C3" s="49">
        <f>'Estado de resultados PyG - 12 m'!U3</f>
        <v>196295698.24768659</v>
      </c>
      <c r="D3" s="51">
        <v>1</v>
      </c>
      <c r="E3" s="49">
        <f>E18*$E$19</f>
        <v>345454893.47159714</v>
      </c>
      <c r="F3" s="49">
        <f t="shared" ref="F3:K3" si="0">F18*$E$19</f>
        <v>0</v>
      </c>
      <c r="G3" s="49">
        <f>G18*$E$19</f>
        <v>499945470.91523975</v>
      </c>
      <c r="H3" s="49">
        <f t="shared" si="0"/>
        <v>0</v>
      </c>
      <c r="I3" s="49">
        <f t="shared" si="0"/>
        <v>512819274.52148426</v>
      </c>
      <c r="J3" s="49">
        <f t="shared" si="0"/>
        <v>0</v>
      </c>
      <c r="K3" s="49">
        <f t="shared" si="0"/>
        <v>513561624.49474293</v>
      </c>
      <c r="L3" s="53"/>
      <c r="M3" s="53"/>
      <c r="N3" s="53"/>
      <c r="O3" s="53"/>
      <c r="P3" s="53"/>
      <c r="Q3" s="53"/>
      <c r="R3" s="53"/>
    </row>
    <row r="4" spans="1:18" ht="12.75">
      <c r="A4" s="30" t="s">
        <v>84</v>
      </c>
      <c r="B4" s="32">
        <f t="shared" ref="B4:B16" si="1">(C4)/$C$2</f>
        <v>0.48082721379598692</v>
      </c>
      <c r="C4" s="35">
        <f>SUM(C5:C7)</f>
        <v>94384313.668572932</v>
      </c>
      <c r="D4" s="51">
        <f>(E4)/$E$2</f>
        <v>0.28948893939527393</v>
      </c>
      <c r="E4" s="35">
        <f>SUM(E5:E7)</f>
        <v>100005370.72</v>
      </c>
      <c r="F4" s="36">
        <f t="shared" ref="F4:F16" si="2">(G4)/$G$2</f>
        <v>0.20096950192600949</v>
      </c>
      <c r="G4" s="35">
        <f>SUM(G5:G7)</f>
        <v>100473792.28</v>
      </c>
      <c r="H4" s="36">
        <f t="shared" ref="H4:H16" si="3">(I4)/$I$2</f>
        <v>0.19683779228889162</v>
      </c>
      <c r="I4" s="35">
        <f>SUM(I5:I7)</f>
        <v>100942213.84</v>
      </c>
      <c r="J4" s="36">
        <f t="shared" ref="J4:J16" si="4">(K4)/$K$2</f>
        <v>0.19691810610556088</v>
      </c>
      <c r="K4" s="37">
        <f>SUM(K5:K7)</f>
        <v>101129582.464</v>
      </c>
      <c r="L4" s="45"/>
      <c r="M4" s="45"/>
      <c r="N4" s="45"/>
      <c r="O4" s="45"/>
      <c r="P4" s="45"/>
      <c r="Q4" s="45"/>
      <c r="R4" s="45"/>
    </row>
    <row r="5" spans="1:18" ht="12.75">
      <c r="A5" s="50" t="s">
        <v>86</v>
      </c>
      <c r="B5" s="47">
        <f t="shared" si="1"/>
        <v>3.7168415783499277E-3</v>
      </c>
      <c r="C5" s="49">
        <f>'Estado de resultados PyG - 12 m'!U5</f>
        <v>729600.01289823256</v>
      </c>
      <c r="D5" s="51">
        <f>(E5)/E2</f>
        <v>2.2387177446759371E-3</v>
      </c>
      <c r="E5" s="49">
        <f>('Salarios, gastos y costos'!$H$11*12)+('Salarios, gastos y costos'!$H$11*12*E21)</f>
        <v>773376</v>
      </c>
      <c r="F5" s="51">
        <f t="shared" si="2"/>
        <v>1.5542175001155994E-3</v>
      </c>
      <c r="G5" s="49">
        <f>('Salarios, gastos y costos'!$H$11*12)+('Salarios, gastos y costos'!$H$11*12*G21)</f>
        <v>777024</v>
      </c>
      <c r="H5" s="51">
        <f t="shared" si="3"/>
        <v>1.5223140759060806E-3</v>
      </c>
      <c r="I5" s="49">
        <f>('Salarios, gastos y costos'!$H$11*12)+('Salarios, gastos y costos'!$H$11*12*I21)</f>
        <v>780672</v>
      </c>
      <c r="J5" s="51">
        <f t="shared" si="4"/>
        <v>1.5229549146501817E-3</v>
      </c>
      <c r="K5" s="52">
        <f>('Salarios, gastos y costos'!$H$11*12)+('Salarios, gastos y costos'!$H$11*12*K21)</f>
        <v>782131.19999999995</v>
      </c>
      <c r="L5" s="53"/>
      <c r="M5" s="53"/>
      <c r="N5" s="53"/>
      <c r="O5" s="53"/>
      <c r="P5" s="53"/>
      <c r="Q5" s="53"/>
      <c r="R5" s="53"/>
    </row>
    <row r="6" spans="1:18" ht="12.75">
      <c r="A6" s="50" t="s">
        <v>88</v>
      </c>
      <c r="B6" s="47">
        <f t="shared" si="1"/>
        <v>0.47354432355419812</v>
      </c>
      <c r="C6" s="49">
        <f>'Estado de resultados PyG - 12 m'!U6</f>
        <v>92954713.643299744</v>
      </c>
      <c r="D6" s="51">
        <f t="shared" ref="D6:D16" si="5">E6/$E$2</f>
        <v>0.28522390790246882</v>
      </c>
      <c r="E6" s="49">
        <f>('Salarios, gastos y costos'!$B$27)*12+(('Salarios, gastos y costos'!B11*12)*E21)</f>
        <v>98531994.719999999</v>
      </c>
      <c r="F6" s="51">
        <f t="shared" si="2"/>
        <v>0.19801513172780361</v>
      </c>
      <c r="G6" s="49">
        <f>('Salarios, gastos y costos'!$B$27)*12+(('Salarios, gastos y costos'!B11*12)*G21)</f>
        <v>98996768.280000001</v>
      </c>
      <c r="H6" s="51">
        <f t="shared" si="3"/>
        <v>0.19395047491693512</v>
      </c>
      <c r="I6" s="49">
        <f>('Salarios, gastos y costos'!$B$27)*12+('Salarios, gastos y costos'!B11*12)*I21</f>
        <v>99461541.840000004</v>
      </c>
      <c r="J6" s="51">
        <f t="shared" si="4"/>
        <v>0.19403212099820757</v>
      </c>
      <c r="K6" s="52">
        <f>('Salarios, gastos y costos'!$B$27)*12+('Salarios, gastos y costos'!B11*12)*K21</f>
        <v>99647451.263999999</v>
      </c>
      <c r="L6" s="53"/>
      <c r="M6" s="53"/>
      <c r="N6" s="53"/>
      <c r="O6" s="53"/>
      <c r="P6" s="53"/>
      <c r="Q6" s="53"/>
      <c r="R6" s="53"/>
    </row>
    <row r="7" spans="1:18" ht="12.75">
      <c r="A7" s="50" t="s">
        <v>90</v>
      </c>
      <c r="B7" s="47">
        <f t="shared" si="1"/>
        <v>3.5660486634388009E-3</v>
      </c>
      <c r="C7" s="49">
        <f>'Estado de resultados PyG - 12 m'!U7</f>
        <v>700000.01237494894</v>
      </c>
      <c r="D7" s="51">
        <f t="shared" si="5"/>
        <v>2.0263137481291841E-3</v>
      </c>
      <c r="E7" s="49">
        <f>('Presupuesto Inicial'!$J$20)*12</f>
        <v>700000</v>
      </c>
      <c r="F7" s="51">
        <f t="shared" si="2"/>
        <v>1.400152698090303E-3</v>
      </c>
      <c r="G7" s="49">
        <f>('Presupuesto Inicial'!$J$20)*12</f>
        <v>700000</v>
      </c>
      <c r="H7" s="51">
        <f t="shared" si="3"/>
        <v>1.3650032960503982E-3</v>
      </c>
      <c r="I7" s="49">
        <f>('Presupuesto Inicial'!$J$20)*12</f>
        <v>700000</v>
      </c>
      <c r="J7" s="51">
        <f t="shared" si="4"/>
        <v>1.3630301927031261E-3</v>
      </c>
      <c r="K7" s="52">
        <f>('Presupuesto Inicial'!$J$20)*12</f>
        <v>700000</v>
      </c>
      <c r="L7" s="53"/>
      <c r="M7" s="53"/>
      <c r="N7" s="53"/>
      <c r="O7" s="53"/>
      <c r="P7" s="53"/>
      <c r="Q7" s="53"/>
      <c r="R7" s="53"/>
    </row>
    <row r="8" spans="1:18" ht="12.75">
      <c r="A8" s="30" t="s">
        <v>92</v>
      </c>
      <c r="B8" s="32">
        <f t="shared" si="1"/>
        <v>0.51917278620401308</v>
      </c>
      <c r="C8" s="35">
        <f>C2-C4</f>
        <v>101911384.57911366</v>
      </c>
      <c r="D8" s="36">
        <f t="shared" si="5"/>
        <v>0.71051106060472602</v>
      </c>
      <c r="E8" s="35">
        <f>E2-E4</f>
        <v>245449522.75159714</v>
      </c>
      <c r="F8" s="36">
        <f t="shared" si="2"/>
        <v>0.7990304980739904</v>
      </c>
      <c r="G8" s="35">
        <f>G2-G4</f>
        <v>399471678.63523972</v>
      </c>
      <c r="H8" s="36">
        <f t="shared" si="3"/>
        <v>0.80316220771110836</v>
      </c>
      <c r="I8" s="35">
        <f>I2-I4</f>
        <v>411877060.68148422</v>
      </c>
      <c r="J8" s="36">
        <f t="shared" si="4"/>
        <v>0.80308189389443918</v>
      </c>
      <c r="K8" s="37">
        <f>K2-K4</f>
        <v>412432042.03074294</v>
      </c>
      <c r="L8" s="56"/>
      <c r="M8" s="45"/>
      <c r="N8" s="45"/>
      <c r="O8" s="45"/>
      <c r="P8" s="45"/>
      <c r="Q8" s="45"/>
      <c r="R8" s="45"/>
    </row>
    <row r="9" spans="1:18" ht="12.75">
      <c r="A9" s="57" t="s">
        <v>94</v>
      </c>
      <c r="B9" s="47">
        <f t="shared" si="1"/>
        <v>2.0296522572828275E-2</v>
      </c>
      <c r="C9" s="49">
        <f>'Estado de resultados PyG - 12 m'!U9</f>
        <v>3984120.070433259</v>
      </c>
      <c r="D9" s="51">
        <f t="shared" si="5"/>
        <v>1.2224945584701866E-2</v>
      </c>
      <c r="E9" s="49">
        <f>'Estado de resultados PyG - 12 m'!U9+('Estado de resultados PyG - 12 m'!U9*$E$21)</f>
        <v>4223167.2746592546</v>
      </c>
      <c r="F9" s="51">
        <f t="shared" si="2"/>
        <v>8.4871013377592723E-3</v>
      </c>
      <c r="G9" s="49">
        <f>'Estado de resultados PyG - 12 m'!U9+('Estado de resultados PyG - 12 m'!U9*G21)</f>
        <v>4243087.8750114208</v>
      </c>
      <c r="H9" s="51">
        <f t="shared" si="3"/>
        <v>8.3128865999458276E-3</v>
      </c>
      <c r="I9" s="49">
        <f>'Estado de resultados PyG - 12 m'!U9+('Estado de resultados PyG - 12 m'!U9*I21)</f>
        <v>4263008.475363587</v>
      </c>
      <c r="J9" s="51">
        <f t="shared" si="4"/>
        <v>8.3163860222351428E-3</v>
      </c>
      <c r="K9" s="52">
        <f>'Estado de resultados PyG - 12 m'!U9+('Estado de resultados PyG - 12 m'!U9*K21)</f>
        <v>4270976.7155044535</v>
      </c>
      <c r="L9" s="53"/>
      <c r="M9" s="53"/>
      <c r="N9" s="53"/>
      <c r="O9" s="53"/>
      <c r="P9" s="53"/>
      <c r="Q9" s="53"/>
      <c r="R9" s="53"/>
    </row>
    <row r="10" spans="1:18" ht="12.75">
      <c r="A10" s="50" t="s">
        <v>96</v>
      </c>
      <c r="B10" s="47">
        <f t="shared" si="1"/>
        <v>2.1829312400180021E-2</v>
      </c>
      <c r="C10" s="49">
        <f>'Estado de resultados PyG - 12 m'!$U$10</f>
        <v>4285000.1198602207</v>
      </c>
      <c r="D10" s="51">
        <f t="shared" si="5"/>
        <v>1.3148171332606351E-2</v>
      </c>
      <c r="E10" s="49">
        <f>('Estado de resultados PyG - 12 m'!$U$10)+('Estado de resultados PyG - 12 m'!$U$10*E21)</f>
        <v>4542100.127051834</v>
      </c>
      <c r="F10" s="51">
        <f t="shared" si="2"/>
        <v>9.1280457432623297E-3</v>
      </c>
      <c r="G10" s="49">
        <f>('Estado de resultados PyG - 12 m'!$U$10)+('Estado de resultados PyG - 12 m'!$U$10*G21)</f>
        <v>4563525.1276511354</v>
      </c>
      <c r="H10" s="51">
        <f t="shared" si="3"/>
        <v>8.9406743389836302E-3</v>
      </c>
      <c r="I10" s="49">
        <f>('Estado de resultados PyG - 12 m'!$U$10)+('Estado de resultados PyG - 12 m'!$U$10*I21)</f>
        <v>4584950.1282504359</v>
      </c>
      <c r="J10" s="51">
        <f t="shared" si="4"/>
        <v>8.9444380370308964E-3</v>
      </c>
      <c r="K10" s="52">
        <f>('Estado de resultados PyG - 12 m'!$U$10)+('Estado de resultados PyG - 12 m'!$U$10*K21)</f>
        <v>4593520.1284901565</v>
      </c>
      <c r="L10" s="53"/>
      <c r="M10" s="53"/>
      <c r="N10" s="53"/>
      <c r="O10" s="53"/>
      <c r="P10" s="53"/>
      <c r="Q10" s="53"/>
      <c r="R10" s="53"/>
    </row>
    <row r="11" spans="1:18" ht="12.75">
      <c r="A11" s="30" t="s">
        <v>99</v>
      </c>
      <c r="B11" s="32">
        <f t="shared" si="1"/>
        <v>0.47704695123100482</v>
      </c>
      <c r="C11" s="35">
        <f>C8-C9-C10</f>
        <v>93642264.388820186</v>
      </c>
      <c r="D11" s="36">
        <f t="shared" si="5"/>
        <v>0.68513794368741787</v>
      </c>
      <c r="E11" s="35">
        <f>E8-E9-E10</f>
        <v>236684255.34988606</v>
      </c>
      <c r="F11" s="36">
        <f t="shared" si="2"/>
        <v>0.78141535099296877</v>
      </c>
      <c r="G11" s="35">
        <f>G8-G9-G10</f>
        <v>390665065.63257712</v>
      </c>
      <c r="H11" s="36">
        <f t="shared" si="3"/>
        <v>0.78590864677217886</v>
      </c>
      <c r="I11" s="35">
        <f>I8-I9-I10</f>
        <v>403029102.07787019</v>
      </c>
      <c r="J11" s="36">
        <f t="shared" si="4"/>
        <v>0.78582106983517308</v>
      </c>
      <c r="K11" s="37">
        <f>K8-K9-K10</f>
        <v>403567545.18674833</v>
      </c>
      <c r="L11" s="56"/>
      <c r="M11" s="56"/>
      <c r="N11" s="56"/>
      <c r="O11" s="56"/>
      <c r="P11" s="45"/>
      <c r="Q11" s="45"/>
      <c r="R11" s="45"/>
    </row>
    <row r="12" spans="1:18" ht="12.75">
      <c r="A12" s="57" t="s">
        <v>100</v>
      </c>
      <c r="B12" s="47">
        <f t="shared" si="1"/>
        <v>0</v>
      </c>
      <c r="C12" s="49">
        <v>0</v>
      </c>
      <c r="D12" s="51">
        <f t="shared" si="5"/>
        <v>0</v>
      </c>
      <c r="E12" s="49">
        <v>0</v>
      </c>
      <c r="F12" s="51">
        <f t="shared" si="2"/>
        <v>0</v>
      </c>
      <c r="G12" s="49">
        <v>0</v>
      </c>
      <c r="H12" s="51">
        <f t="shared" si="3"/>
        <v>0</v>
      </c>
      <c r="I12" s="49">
        <v>0</v>
      </c>
      <c r="J12" s="51">
        <f t="shared" si="4"/>
        <v>0</v>
      </c>
      <c r="K12" s="52">
        <v>0</v>
      </c>
      <c r="L12" s="53"/>
      <c r="M12" s="53"/>
      <c r="N12" s="53"/>
      <c r="O12" s="53"/>
      <c r="P12" s="53"/>
      <c r="Q12" s="53"/>
      <c r="R12" s="53"/>
    </row>
    <row r="13" spans="1:18" ht="12.75">
      <c r="A13" s="50" t="s">
        <v>101</v>
      </c>
      <c r="B13" s="47">
        <f t="shared" si="1"/>
        <v>0</v>
      </c>
      <c r="C13" s="49">
        <f>'Estado de resultados PyG - 12 m'!U13</f>
        <v>0</v>
      </c>
      <c r="D13" s="51">
        <f t="shared" si="5"/>
        <v>0</v>
      </c>
      <c r="E13" s="49">
        <v>0</v>
      </c>
      <c r="F13" s="51">
        <f t="shared" si="2"/>
        <v>0</v>
      </c>
      <c r="G13" s="49">
        <v>0</v>
      </c>
      <c r="H13" s="51">
        <f t="shared" si="3"/>
        <v>0</v>
      </c>
      <c r="I13" s="49">
        <v>0</v>
      </c>
      <c r="J13" s="51">
        <f t="shared" si="4"/>
        <v>0</v>
      </c>
      <c r="K13" s="52">
        <v>0</v>
      </c>
      <c r="L13" s="53"/>
      <c r="M13" s="53"/>
      <c r="N13" s="53"/>
      <c r="O13" s="53"/>
      <c r="P13" s="53"/>
      <c r="Q13" s="53"/>
      <c r="R13" s="53"/>
    </row>
    <row r="14" spans="1:18" ht="12.75">
      <c r="A14" s="30" t="s">
        <v>102</v>
      </c>
      <c r="B14" s="32">
        <f t="shared" si="1"/>
        <v>0.47704695123100482</v>
      </c>
      <c r="C14" s="35">
        <f>C11+C12-C13</f>
        <v>93642264.388820186</v>
      </c>
      <c r="D14" s="36">
        <f t="shared" si="5"/>
        <v>0.68513794368741787</v>
      </c>
      <c r="E14" s="35">
        <f>E11+E12-E13</f>
        <v>236684255.34988606</v>
      </c>
      <c r="F14" s="36">
        <f t="shared" si="2"/>
        <v>0.78141535099296877</v>
      </c>
      <c r="G14" s="35">
        <f>G11+G12-G13</f>
        <v>390665065.63257712</v>
      </c>
      <c r="H14" s="36">
        <f t="shared" si="3"/>
        <v>0.78590864677217886</v>
      </c>
      <c r="I14" s="35">
        <f>I11+I12-I13</f>
        <v>403029102.07787019</v>
      </c>
      <c r="J14" s="36">
        <f t="shared" si="4"/>
        <v>0.78582106983517308</v>
      </c>
      <c r="K14" s="37">
        <f>K11+K12-K13</f>
        <v>403567545.18674833</v>
      </c>
      <c r="L14" s="56"/>
      <c r="M14" s="56"/>
      <c r="N14" s="56"/>
      <c r="O14" s="56"/>
      <c r="P14" s="45"/>
      <c r="Q14" s="45"/>
      <c r="R14" s="45"/>
    </row>
    <row r="15" spans="1:18" ht="12.75">
      <c r="A15" s="50" t="s">
        <v>103</v>
      </c>
      <c r="B15" s="47">
        <f t="shared" si="1"/>
        <v>0.24893720936533437</v>
      </c>
      <c r="C15" s="49">
        <f>'Estado de resultados PyG - 12 m'!U15</f>
        <v>48865303.332198858</v>
      </c>
      <c r="D15" s="51">
        <f t="shared" si="5"/>
        <v>0.23294690085372208</v>
      </c>
      <c r="E15" s="49">
        <f>IF(E14&gt;0, E14*0.34, 0)</f>
        <v>80472646.818961263</v>
      </c>
      <c r="F15" s="51">
        <f t="shared" si="2"/>
        <v>0.26568121933760941</v>
      </c>
      <c r="G15" s="49">
        <f>IF(G14&gt;0, G14*0.34, 0)</f>
        <v>132826122.31507623</v>
      </c>
      <c r="H15" s="51">
        <f t="shared" si="3"/>
        <v>0.26720893990254085</v>
      </c>
      <c r="I15" s="49">
        <f>IF(I14&gt;0, I14*0.34, 0)</f>
        <v>137029894.70647588</v>
      </c>
      <c r="J15" s="51">
        <f t="shared" si="4"/>
        <v>0.26717916374395884</v>
      </c>
      <c r="K15" s="52">
        <f>IF(K14&gt;0, K14*0.34, 0)</f>
        <v>137212965.36349443</v>
      </c>
      <c r="L15" s="53"/>
      <c r="M15" s="53"/>
      <c r="N15" s="53"/>
      <c r="O15" s="53"/>
      <c r="P15" s="53"/>
      <c r="Q15" s="53"/>
      <c r="R15" s="53"/>
    </row>
    <row r="16" spans="1:18" ht="12.75">
      <c r="A16" s="30" t="s">
        <v>104</v>
      </c>
      <c r="B16" s="32">
        <f t="shared" si="1"/>
        <v>0.22810974186567046</v>
      </c>
      <c r="C16" s="35">
        <f>C14-C15</f>
        <v>44776961.056621328</v>
      </c>
      <c r="D16" s="36">
        <f t="shared" si="5"/>
        <v>0.45219104283369577</v>
      </c>
      <c r="E16" s="35">
        <f>E14-E15</f>
        <v>156211608.5309248</v>
      </c>
      <c r="F16" s="36">
        <f t="shared" si="2"/>
        <v>0.51573413165535931</v>
      </c>
      <c r="G16" s="35">
        <f>G14-G15</f>
        <v>257838943.31750089</v>
      </c>
      <c r="H16" s="36">
        <f t="shared" si="3"/>
        <v>0.51869970686963796</v>
      </c>
      <c r="I16" s="35">
        <f>I14-I15</f>
        <v>265999207.37139431</v>
      </c>
      <c r="J16" s="36">
        <f t="shared" si="4"/>
        <v>0.5186419060912143</v>
      </c>
      <c r="K16" s="37">
        <f>K14-K15</f>
        <v>266354579.8232539</v>
      </c>
      <c r="L16" s="56"/>
      <c r="M16" s="56"/>
      <c r="N16" s="56"/>
      <c r="O16" s="56"/>
      <c r="P16" s="45"/>
      <c r="Q16" s="45"/>
      <c r="R16" s="45"/>
    </row>
    <row r="18" spans="2:18" ht="12.75">
      <c r="B18" s="11"/>
      <c r="C18" s="99" t="s">
        <v>253</v>
      </c>
      <c r="E18" s="62">
        <f>'Tabla Crecimiento'!B10</f>
        <v>65175.619953865986</v>
      </c>
      <c r="G18" s="62">
        <f>'Tabla Crecimiento'!B11</f>
        <v>94322.751322401688</v>
      </c>
      <c r="I18" s="62">
        <f>'Tabla Crecimiento'!B12</f>
        <v>96751.601360591376</v>
      </c>
      <c r="K18" s="62">
        <f>'Tabla Crecimiento'!B13</f>
        <v>96891.657618714249</v>
      </c>
      <c r="M18" s="11">
        <v>1621</v>
      </c>
      <c r="N18" s="11">
        <f>M18*$M$19</f>
        <v>4863</v>
      </c>
      <c r="O18" s="11">
        <f>N18*$M$19</f>
        <v>14589</v>
      </c>
      <c r="P18" s="11">
        <f>O18*$M$19</f>
        <v>43767</v>
      </c>
      <c r="Q18" s="11">
        <f>P18*$M$19</f>
        <v>131301</v>
      </c>
      <c r="R18" s="11">
        <f>Q18*$M$19</f>
        <v>393903</v>
      </c>
    </row>
    <row r="19" spans="2:18" ht="12.75">
      <c r="C19" s="97" t="s">
        <v>185</v>
      </c>
      <c r="E19">
        <f>('Tabla Crecimiento'!O3+('Tabla Crecimiento'!O3*0.19))</f>
        <v>5300.3698885583981</v>
      </c>
      <c r="L19" s="11" t="s">
        <v>105</v>
      </c>
      <c r="M19" s="11">
        <v>3</v>
      </c>
    </row>
    <row r="20" spans="2:18" ht="12.75">
      <c r="L20" s="11" t="s">
        <v>106</v>
      </c>
      <c r="M20" s="11">
        <v>2860</v>
      </c>
    </row>
    <row r="21" spans="2:18" ht="12.75">
      <c r="C21" s="97" t="s">
        <v>252</v>
      </c>
      <c r="D21">
        <v>5.75</v>
      </c>
      <c r="E21" s="147">
        <v>0.06</v>
      </c>
      <c r="G21" s="148">
        <v>6.5000000000000002E-2</v>
      </c>
      <c r="I21" s="147">
        <v>7.0000000000000007E-2</v>
      </c>
      <c r="K21" s="148">
        <v>7.1999999999999995E-2</v>
      </c>
      <c r="L21" s="11" t="s">
        <v>107</v>
      </c>
      <c r="M21" s="11">
        <v>0.03</v>
      </c>
    </row>
    <row r="25" spans="2:18" ht="15.75" customHeight="1">
      <c r="C25" s="44">
        <f>C5+C6+C9+C10+C13+C15</f>
        <v>150818737.17869031</v>
      </c>
    </row>
  </sheetData>
  <mergeCells count="5">
    <mergeCell ref="D1:E1"/>
    <mergeCell ref="B1:C1"/>
    <mergeCell ref="F1:G1"/>
    <mergeCell ref="H1:I1"/>
    <mergeCell ref="J1:K1"/>
  </mergeCells>
  <conditionalFormatting sqref="A1:K16">
    <cfRule type="cellIs" dxfId="3" priority="1" operator="lessThan">
      <formula>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"/>
  <sheetViews>
    <sheetView topLeftCell="A10" zoomScale="130" zoomScaleNormal="130" workbookViewId="0">
      <pane xSplit="1" topLeftCell="B1" activePane="topRight" state="frozen"/>
      <selection pane="topRight" sqref="A1:S1048576"/>
    </sheetView>
  </sheetViews>
  <sheetFormatPr baseColWidth="10" defaultColWidth="14.42578125" defaultRowHeight="15.75" customHeight="1"/>
  <cols>
    <col min="1" max="1" width="17.140625" customWidth="1"/>
    <col min="2" max="2" width="8.140625" customWidth="1"/>
    <col min="3" max="3" width="15.28515625" customWidth="1"/>
    <col min="4" max="4" width="8.5703125" customWidth="1"/>
    <col min="5" max="5" width="15.28515625" customWidth="1"/>
    <col min="6" max="6" width="9.140625" customWidth="1"/>
    <col min="7" max="7" width="14.5703125" customWidth="1"/>
    <col min="8" max="8" width="8.85546875" customWidth="1"/>
    <col min="9" max="9" width="14.42578125" customWidth="1"/>
    <col min="10" max="10" width="9.5703125" customWidth="1"/>
    <col min="11" max="11" width="14.5703125" customWidth="1"/>
    <col min="12" max="12" width="9.42578125" customWidth="1"/>
    <col min="13" max="13" width="15.28515625" customWidth="1"/>
    <col min="14" max="14" width="8.140625" customWidth="1"/>
    <col min="15" max="15" width="14.5703125" customWidth="1"/>
    <col min="16" max="16" width="8.28515625" customWidth="1"/>
    <col min="17" max="17" width="15.28515625" customWidth="1"/>
    <col min="18" max="18" width="8.28515625" customWidth="1"/>
    <col min="19" max="19" width="17.28515625" customWidth="1"/>
    <col min="20" max="20" width="8.42578125" customWidth="1"/>
    <col min="21" max="21" width="16.5703125" bestFit="1" customWidth="1"/>
    <col min="22" max="22" width="9" customWidth="1"/>
    <col min="23" max="23" width="16.5703125" bestFit="1" customWidth="1"/>
    <col min="24" max="24" width="9.42578125" customWidth="1"/>
    <col min="25" max="25" width="16.5703125" bestFit="1" customWidth="1"/>
    <col min="26" max="26" width="9" customWidth="1"/>
    <col min="27" max="27" width="16.5703125" bestFit="1" customWidth="1"/>
    <col min="29" max="29" width="19" bestFit="1" customWidth="1"/>
  </cols>
  <sheetData>
    <row r="1" spans="1:29" s="155" customFormat="1" ht="15.75" customHeight="1">
      <c r="A1" s="158"/>
      <c r="B1" s="213" t="s">
        <v>108</v>
      </c>
      <c r="C1" s="214"/>
      <c r="D1" s="213" t="s">
        <v>59</v>
      </c>
      <c r="E1" s="214"/>
      <c r="F1" s="213" t="s">
        <v>62</v>
      </c>
      <c r="G1" s="214"/>
      <c r="H1" s="213" t="s">
        <v>63</v>
      </c>
      <c r="I1" s="214"/>
      <c r="J1" s="213" t="s">
        <v>64</v>
      </c>
      <c r="K1" s="214"/>
      <c r="L1" s="213" t="s">
        <v>65</v>
      </c>
      <c r="M1" s="214"/>
      <c r="N1" s="213" t="s">
        <v>66</v>
      </c>
      <c r="O1" s="214"/>
      <c r="P1" s="213" t="s">
        <v>67</v>
      </c>
      <c r="Q1" s="214"/>
      <c r="R1" s="213" t="s">
        <v>68</v>
      </c>
      <c r="S1" s="214"/>
      <c r="T1" s="213" t="s">
        <v>69</v>
      </c>
      <c r="U1" s="214"/>
      <c r="V1" s="213" t="s">
        <v>70</v>
      </c>
      <c r="W1" s="214"/>
      <c r="X1" s="213" t="s">
        <v>71</v>
      </c>
      <c r="Y1" s="214"/>
      <c r="Z1" s="213" t="s">
        <v>72</v>
      </c>
      <c r="AA1" s="214"/>
    </row>
    <row r="2" spans="1:29" ht="15.75" customHeight="1">
      <c r="A2" s="31" t="s">
        <v>80</v>
      </c>
      <c r="B2" s="63">
        <f t="shared" ref="B2:B9" si="0">C2/$C$2</f>
        <v>1</v>
      </c>
      <c r="C2" s="34">
        <f>SUM(C3:C9)</f>
        <v>3677500</v>
      </c>
      <c r="D2" s="63">
        <f t="shared" ref="D2:D9" si="1">E2/$E$2</f>
        <v>1</v>
      </c>
      <c r="E2" s="34">
        <f>SUM(E3:E9)</f>
        <v>8139036</v>
      </c>
      <c r="F2" s="63">
        <f t="shared" ref="F2:F9" si="2">G2/$G$2</f>
        <v>1</v>
      </c>
      <c r="G2" s="152">
        <f>SUM(G3:G9)</f>
        <v>8249036</v>
      </c>
      <c r="H2" s="63">
        <f t="shared" ref="H2:H9" si="3">I2/$I$2</f>
        <v>1</v>
      </c>
      <c r="I2" s="152">
        <f>SUM(I3:I9)</f>
        <v>8279036</v>
      </c>
      <c r="J2" s="63">
        <f t="shared" ref="J2:J9" si="4">K2/$K$2</f>
        <v>1</v>
      </c>
      <c r="K2" s="152">
        <f>SUM(K3:K9)</f>
        <v>8179036</v>
      </c>
      <c r="L2" s="33">
        <f t="shared" ref="L2:L9" si="5">M2/$M$2</f>
        <v>1</v>
      </c>
      <c r="M2" s="34">
        <f>SUM(M3:M9)</f>
        <v>8179036</v>
      </c>
      <c r="N2" s="33">
        <f t="shared" ref="N2:N9" si="6">O2/$O$2</f>
        <v>1</v>
      </c>
      <c r="O2" s="34">
        <f>SUM(O3:O9)</f>
        <v>8704036</v>
      </c>
      <c r="P2" s="33">
        <f t="shared" ref="P2:P9" si="7">Q2/$Q$2</f>
        <v>1</v>
      </c>
      <c r="Q2" s="34">
        <f>SUM(Q3:Q9)</f>
        <v>11586889.153146736</v>
      </c>
      <c r="R2" s="33">
        <f t="shared" ref="R2:R9" si="8">S2/$S$2</f>
        <v>1</v>
      </c>
      <c r="S2" s="34">
        <f>SUM(S3:S9)</f>
        <v>13109723.547032515</v>
      </c>
      <c r="T2" s="33">
        <f t="shared" ref="T2:T9" si="9">U2/$U$2</f>
        <v>1</v>
      </c>
      <c r="U2" s="34">
        <f>SUM(U3:U9)</f>
        <v>15006400.045719281</v>
      </c>
      <c r="V2" s="33">
        <f t="shared" ref="V2:V9" si="10">W2/$W$2</f>
        <v>1</v>
      </c>
      <c r="W2" s="34">
        <f>SUM(W3:W9)</f>
        <v>17356324.33769919</v>
      </c>
      <c r="X2" s="33">
        <f t="shared" ref="X2:X9" si="11">Y2/$Y$2</f>
        <v>1</v>
      </c>
      <c r="Y2" s="34">
        <f>SUM(Y3:Y9)</f>
        <v>20248944.589177713</v>
      </c>
      <c r="Z2" s="33">
        <f t="shared" ref="Z2:Z9" si="12">AA2/$AA$2</f>
        <v>1</v>
      </c>
      <c r="AA2" s="38">
        <f>SUM(AA3:AA9)</f>
        <v>23781236.251438003</v>
      </c>
      <c r="AC2" s="151">
        <f t="shared" ref="AC2:AC6" si="13">AA2+Y2+W2+U2+S2+Q2+O2+M2+K2+I2+G2+E2</f>
        <v>150818733.92421344</v>
      </c>
    </row>
    <row r="3" spans="1:29" ht="15.75" customHeight="1">
      <c r="A3" s="40" t="s">
        <v>81</v>
      </c>
      <c r="B3" s="64">
        <f t="shared" si="0"/>
        <v>0</v>
      </c>
      <c r="C3" s="42">
        <v>0</v>
      </c>
      <c r="D3" s="64">
        <f t="shared" si="1"/>
        <v>0.95173752763840824</v>
      </c>
      <c r="E3" s="43">
        <f>'Salarios, gastos y costos'!$B$11</f>
        <v>7746226</v>
      </c>
      <c r="F3" s="64">
        <f t="shared" si="2"/>
        <v>0.93904621097544005</v>
      </c>
      <c r="G3" s="153">
        <f>'Salarios, gastos y costos'!$B$11</f>
        <v>7746226</v>
      </c>
      <c r="H3" s="64">
        <f t="shared" si="3"/>
        <v>0.93564347346720078</v>
      </c>
      <c r="I3" s="153">
        <f>'Salarios, gastos y costos'!$B$11</f>
        <v>7746226</v>
      </c>
      <c r="J3" s="64">
        <f t="shared" si="4"/>
        <v>0.94708300587012939</v>
      </c>
      <c r="K3" s="153">
        <f>'Salarios, gastos y costos'!$B$11</f>
        <v>7746226</v>
      </c>
      <c r="L3" s="41">
        <f t="shared" si="5"/>
        <v>0.94708300587012939</v>
      </c>
      <c r="M3" s="43">
        <f>'Salarios, gastos y costos'!$B$11</f>
        <v>7746226</v>
      </c>
      <c r="N3" s="41">
        <f t="shared" si="6"/>
        <v>0.88995794594599564</v>
      </c>
      <c r="O3" s="43">
        <f>'Salarios, gastos y costos'!$B$11</f>
        <v>7746226</v>
      </c>
      <c r="P3" s="41">
        <f t="shared" si="7"/>
        <v>0.66853371061173061</v>
      </c>
      <c r="Q3" s="43">
        <f>'Salarios, gastos y costos'!$B$27</f>
        <v>7746226</v>
      </c>
      <c r="R3" s="41">
        <f t="shared" si="8"/>
        <v>0.59087638058953706</v>
      </c>
      <c r="S3" s="43">
        <f>'Salarios, gastos y costos'!$B$27</f>
        <v>7746226</v>
      </c>
      <c r="T3" s="41">
        <f t="shared" si="9"/>
        <v>0.51619482196928934</v>
      </c>
      <c r="U3" s="43">
        <f>'Salarios, gastos y costos'!$B$27</f>
        <v>7746226</v>
      </c>
      <c r="V3" s="41">
        <f t="shared" si="10"/>
        <v>0.44630567217360867</v>
      </c>
      <c r="W3" s="43">
        <f>'Salarios, gastos y costos'!$B$27</f>
        <v>7746226</v>
      </c>
      <c r="X3" s="41">
        <f t="shared" si="11"/>
        <v>0.38254961713609814</v>
      </c>
      <c r="Y3" s="43">
        <f>'Salarios, gastos y costos'!$B$27</f>
        <v>7746226</v>
      </c>
      <c r="Z3" s="41">
        <f t="shared" si="12"/>
        <v>0.32572848266168675</v>
      </c>
      <c r="AA3" s="46">
        <f>'Salarios, gastos y costos'!$B$27</f>
        <v>7746226</v>
      </c>
      <c r="AC3" s="151">
        <f t="shared" si="13"/>
        <v>92954712</v>
      </c>
    </row>
    <row r="4" spans="1:29" ht="15.75" customHeight="1">
      <c r="A4" s="40" t="s">
        <v>83</v>
      </c>
      <c r="B4" s="64">
        <f t="shared" si="0"/>
        <v>0</v>
      </c>
      <c r="C4" s="42">
        <v>0</v>
      </c>
      <c r="D4" s="64">
        <f t="shared" si="1"/>
        <v>4.0792300218355095E-2</v>
      </c>
      <c r="E4" s="43">
        <f>'Salarios, gastos y costos'!$K$11</f>
        <v>332010</v>
      </c>
      <c r="F4" s="64">
        <f t="shared" si="2"/>
        <v>4.02483393211037E-2</v>
      </c>
      <c r="G4" s="153">
        <f>'Salarios, gastos y costos'!$K$11</f>
        <v>332010</v>
      </c>
      <c r="H4" s="64">
        <f t="shared" si="3"/>
        <v>4.010249502478308E-2</v>
      </c>
      <c r="I4" s="153">
        <f>'Salarios, gastos y costos'!$K$11</f>
        <v>332010</v>
      </c>
      <c r="J4" s="64">
        <f t="shared" si="4"/>
        <v>4.0592803357266061E-2</v>
      </c>
      <c r="K4" s="153">
        <f>'Salarios, gastos y costos'!$K$11</f>
        <v>332010</v>
      </c>
      <c r="L4" s="41">
        <f t="shared" si="5"/>
        <v>4.0592803357266061E-2</v>
      </c>
      <c r="M4" s="43">
        <f>'Salarios, gastos y costos'!$K$11</f>
        <v>332010</v>
      </c>
      <c r="N4" s="41">
        <f t="shared" si="6"/>
        <v>3.8144373483749376E-2</v>
      </c>
      <c r="O4" s="43">
        <f>'Salarios, gastos y costos'!$K$11</f>
        <v>332010</v>
      </c>
      <c r="P4" s="41">
        <f t="shared" si="7"/>
        <v>2.8653937705948762E-2</v>
      </c>
      <c r="Q4" s="43">
        <f>'Salarios, gastos y costos'!$K$11</f>
        <v>332010</v>
      </c>
      <c r="R4" s="41">
        <f t="shared" si="8"/>
        <v>2.5325476834723411E-2</v>
      </c>
      <c r="S4" s="43">
        <f>'Salarios, gastos y costos'!$K$11</f>
        <v>332010</v>
      </c>
      <c r="T4" s="41">
        <f t="shared" si="9"/>
        <v>2.2124560120247428E-2</v>
      </c>
      <c r="U4" s="43">
        <f>'Salarios, gastos y costos'!$K$11</f>
        <v>332010</v>
      </c>
      <c r="V4" s="41">
        <f t="shared" si="10"/>
        <v>1.9129050226311471E-2</v>
      </c>
      <c r="W4" s="43">
        <f>'Salarios, gastos y costos'!$K$11</f>
        <v>332010</v>
      </c>
      <c r="X4" s="41">
        <f t="shared" si="11"/>
        <v>1.6396410120922879E-2</v>
      </c>
      <c r="Y4" s="43">
        <f>'Salarios, gastos y costos'!$K$11</f>
        <v>332010</v>
      </c>
      <c r="Z4" s="41">
        <f t="shared" si="12"/>
        <v>1.3961006757162341E-2</v>
      </c>
      <c r="AA4" s="46">
        <f>'Salarios, gastos y costos'!$K$11</f>
        <v>332010</v>
      </c>
      <c r="AC4" s="151">
        <f t="shared" si="13"/>
        <v>3984120</v>
      </c>
    </row>
    <row r="5" spans="1:29" ht="15.75" customHeight="1">
      <c r="A5" s="40" t="s">
        <v>85</v>
      </c>
      <c r="B5" s="64">
        <f t="shared" si="0"/>
        <v>0</v>
      </c>
      <c r="C5" s="42">
        <f>'Salarios, gastos y costos'!E11</f>
        <v>0</v>
      </c>
      <c r="D5" s="64">
        <f t="shared" si="1"/>
        <v>0</v>
      </c>
      <c r="E5" s="43">
        <f>'Salarios, gastos y costos'!$E$11</f>
        <v>0</v>
      </c>
      <c r="F5" s="64">
        <f t="shared" si="2"/>
        <v>0</v>
      </c>
      <c r="G5" s="153">
        <f>'Salarios, gastos y costos'!$E$11</f>
        <v>0</v>
      </c>
      <c r="H5" s="64">
        <f t="shared" si="3"/>
        <v>0</v>
      </c>
      <c r="I5" s="153">
        <f>'Salarios, gastos y costos'!$E$11</f>
        <v>0</v>
      </c>
      <c r="J5" s="64">
        <f t="shared" si="4"/>
        <v>0</v>
      </c>
      <c r="K5" s="153">
        <f>'Salarios, gastos y costos'!$E$11</f>
        <v>0</v>
      </c>
      <c r="L5" s="41">
        <f t="shared" si="5"/>
        <v>0</v>
      </c>
      <c r="M5" s="43">
        <f>'Salarios, gastos y costos'!$E$11</f>
        <v>0</v>
      </c>
      <c r="N5" s="41">
        <f t="shared" si="6"/>
        <v>0</v>
      </c>
      <c r="O5" s="43">
        <f>'Salarios, gastos y costos'!$E$11</f>
        <v>0</v>
      </c>
      <c r="P5" s="41">
        <f t="shared" si="7"/>
        <v>0</v>
      </c>
      <c r="Q5" s="43">
        <f>'Salarios, gastos y costos'!$E$11</f>
        <v>0</v>
      </c>
      <c r="R5" s="41">
        <f t="shared" si="8"/>
        <v>0</v>
      </c>
      <c r="S5" s="43">
        <f>'Salarios, gastos y costos'!$E$11</f>
        <v>0</v>
      </c>
      <c r="T5" s="41">
        <f t="shared" si="9"/>
        <v>0</v>
      </c>
      <c r="U5" s="43">
        <f>'Salarios, gastos y costos'!$E$11</f>
        <v>0</v>
      </c>
      <c r="V5" s="41">
        <f t="shared" si="10"/>
        <v>0</v>
      </c>
      <c r="W5" s="43">
        <f>'Salarios, gastos y costos'!$E$11</f>
        <v>0</v>
      </c>
      <c r="X5" s="41">
        <f t="shared" si="11"/>
        <v>0</v>
      </c>
      <c r="Y5" s="43">
        <f>'Salarios, gastos y costos'!$E$11</f>
        <v>0</v>
      </c>
      <c r="Z5" s="41">
        <f t="shared" si="12"/>
        <v>0</v>
      </c>
      <c r="AA5" s="46">
        <f>'Salarios, gastos y costos'!$E$11</f>
        <v>0</v>
      </c>
      <c r="AC5" s="151">
        <f t="shared" si="13"/>
        <v>0</v>
      </c>
    </row>
    <row r="6" spans="1:29" ht="15.75" customHeight="1">
      <c r="A6" s="40" t="s">
        <v>255</v>
      </c>
      <c r="B6" s="64">
        <f t="shared" si="0"/>
        <v>0.96826648538409243</v>
      </c>
      <c r="C6" s="42">
        <f>'Presupuesto Inicial'!D23</f>
        <v>3560800</v>
      </c>
      <c r="D6" s="64">
        <f t="shared" si="1"/>
        <v>7.4701721432366194E-3</v>
      </c>
      <c r="E6" s="43">
        <f>'Salarios, gastos y costos'!$H$11</f>
        <v>60800</v>
      </c>
      <c r="F6" s="64">
        <f t="shared" si="2"/>
        <v>7.3705582082560922E-3</v>
      </c>
      <c r="G6" s="153">
        <f>'Salarios, gastos y costos'!$H$11</f>
        <v>60800</v>
      </c>
      <c r="H6" s="64">
        <f t="shared" si="3"/>
        <v>7.3438501777260056E-3</v>
      </c>
      <c r="I6" s="153">
        <f>'Salarios, gastos y costos'!$H$11</f>
        <v>60800</v>
      </c>
      <c r="J6" s="64">
        <f t="shared" si="4"/>
        <v>7.4336388787138242E-3</v>
      </c>
      <c r="K6" s="153">
        <f>'Salarios, gastos y costos'!$H$11</f>
        <v>60800</v>
      </c>
      <c r="L6" s="41">
        <f t="shared" si="5"/>
        <v>7.4336388787138242E-3</v>
      </c>
      <c r="M6" s="43">
        <f>'Salarios, gastos y costos'!$H$11</f>
        <v>60800</v>
      </c>
      <c r="N6" s="41">
        <f t="shared" si="6"/>
        <v>6.9852652263846333E-3</v>
      </c>
      <c r="O6" s="43">
        <f>'Salarios, gastos y costos'!$H$11</f>
        <v>60800</v>
      </c>
      <c r="P6" s="41">
        <f t="shared" si="7"/>
        <v>5.2473100584972884E-3</v>
      </c>
      <c r="Q6" s="43">
        <f>'Salarios, gastos y costos'!$H$11</f>
        <v>60800</v>
      </c>
      <c r="R6" s="41">
        <f t="shared" si="8"/>
        <v>4.6377789571132901E-3</v>
      </c>
      <c r="S6" s="43">
        <f>'Salarios, gastos y costos'!$H$11</f>
        <v>60800</v>
      </c>
      <c r="T6" s="41">
        <f t="shared" si="9"/>
        <v>4.0516046363393982E-3</v>
      </c>
      <c r="U6" s="43">
        <f>'Salarios, gastos y costos'!$H$11</f>
        <v>60800</v>
      </c>
      <c r="V6" s="41">
        <f t="shared" si="10"/>
        <v>3.5030458533168805E-3</v>
      </c>
      <c r="W6" s="43">
        <f>'Salarios, gastos y costos'!$H$11</f>
        <v>60800</v>
      </c>
      <c r="X6" s="41">
        <f t="shared" si="11"/>
        <v>3.0026256298066652E-3</v>
      </c>
      <c r="Y6" s="43">
        <f>'Salarios, gastos y costos'!$H$11</f>
        <v>60800</v>
      </c>
      <c r="Z6" s="41">
        <f t="shared" si="12"/>
        <v>2.5566374833151722E-3</v>
      </c>
      <c r="AA6" s="46">
        <f>'Salarios, gastos y costos'!$H$11</f>
        <v>60800</v>
      </c>
      <c r="AC6" s="151">
        <f t="shared" si="13"/>
        <v>729600</v>
      </c>
    </row>
    <row r="7" spans="1:29" ht="15.75" customHeight="1">
      <c r="A7" s="40" t="s">
        <v>254</v>
      </c>
      <c r="B7" s="64">
        <f>C7/$C$2</f>
        <v>0</v>
      </c>
      <c r="C7" s="42">
        <v>0</v>
      </c>
      <c r="D7" s="64">
        <f>E7/$C$2</f>
        <v>0</v>
      </c>
      <c r="E7" s="91">
        <v>0</v>
      </c>
      <c r="F7" s="64">
        <f>G7/$C$2</f>
        <v>2.9911624745071381E-2</v>
      </c>
      <c r="G7" s="153">
        <f>'Salarios, gastos y costos'!G37</f>
        <v>110000</v>
      </c>
      <c r="H7" s="64">
        <f>I7/$C$2</f>
        <v>3.8069340584636305E-2</v>
      </c>
      <c r="I7" s="153">
        <f>'Salarios, gastos y costos'!G38</f>
        <v>140000</v>
      </c>
      <c r="J7" s="64">
        <f>K7/$C$2</f>
        <v>1.0876954452753228E-2</v>
      </c>
      <c r="K7" s="153">
        <f>'Salarios, gastos y costos'!G39</f>
        <v>40000</v>
      </c>
      <c r="L7" s="64">
        <f>M7/$C$2</f>
        <v>1.0876954452753228E-2</v>
      </c>
      <c r="M7" s="91">
        <f>'Salarios, gastos y costos'!G40</f>
        <v>40000</v>
      </c>
      <c r="N7" s="64">
        <f>O7/$C$2</f>
        <v>0.15363698164513936</v>
      </c>
      <c r="O7" s="91">
        <f>'Salarios, gastos y costos'!$F$41+'Salarios, gastos y costos'!$F$42</f>
        <v>565000</v>
      </c>
      <c r="P7" s="64">
        <f>Q7/$C$2</f>
        <v>0.15363698164513936</v>
      </c>
      <c r="Q7" s="91">
        <f>'Salarios, gastos y costos'!$F$41+'Salarios, gastos y costos'!$F$42</f>
        <v>565000</v>
      </c>
      <c r="R7" s="64">
        <f>S7/$C$2</f>
        <v>0.15363698164513936</v>
      </c>
      <c r="S7" s="91">
        <f>'Salarios, gastos y costos'!$F$41+'Salarios, gastos y costos'!$F$42</f>
        <v>565000</v>
      </c>
      <c r="T7" s="64">
        <f>U7/$C$2</f>
        <v>0.15363698164513936</v>
      </c>
      <c r="U7" s="91">
        <f>'Salarios, gastos y costos'!$F$41+'Salarios, gastos y costos'!$F$42</f>
        <v>565000</v>
      </c>
      <c r="V7" s="64">
        <f>W7/$C$2</f>
        <v>0.15363698164513936</v>
      </c>
      <c r="W7" s="91">
        <f>'Salarios, gastos y costos'!$F$41+'Salarios, gastos y costos'!$F$42</f>
        <v>565000</v>
      </c>
      <c r="X7" s="64">
        <f>Y7/$C$2</f>
        <v>0.15363698164513936</v>
      </c>
      <c r="Y7" s="91">
        <f>'Salarios, gastos y costos'!$F$41+'Salarios, gastos y costos'!$F$42</f>
        <v>565000</v>
      </c>
      <c r="Z7" s="64">
        <f>AA7/$C$2</f>
        <v>0.15363698164513936</v>
      </c>
      <c r="AA7" s="93">
        <f>'Salarios, gastos y costos'!$F$41+'Salarios, gastos y costos'!$F$42</f>
        <v>565000</v>
      </c>
      <c r="AC7" s="151">
        <f>AA7+Y7+W7+U7+S7+Q7+O7+M7+K7+I7+G7+E7</f>
        <v>4285000</v>
      </c>
    </row>
    <row r="8" spans="1:29" ht="15.75" customHeight="1">
      <c r="A8" s="40" t="s">
        <v>89</v>
      </c>
      <c r="B8" s="64">
        <f>C8/$C$2</f>
        <v>3.1733514615907545E-2</v>
      </c>
      <c r="C8" s="42">
        <f>'Presupuesto Inicial'!B2</f>
        <v>116700</v>
      </c>
      <c r="D8" s="64">
        <f t="shared" si="1"/>
        <v>0</v>
      </c>
      <c r="E8" s="42">
        <v>0</v>
      </c>
      <c r="F8" s="64">
        <f t="shared" si="2"/>
        <v>0</v>
      </c>
      <c r="G8" s="154">
        <v>0</v>
      </c>
      <c r="H8" s="64">
        <f t="shared" si="3"/>
        <v>0</v>
      </c>
      <c r="I8" s="154">
        <v>0</v>
      </c>
      <c r="J8" s="64">
        <f t="shared" si="4"/>
        <v>0</v>
      </c>
      <c r="K8" s="154">
        <v>0</v>
      </c>
      <c r="L8" s="41">
        <f t="shared" si="5"/>
        <v>0</v>
      </c>
      <c r="M8" s="42">
        <v>0</v>
      </c>
      <c r="N8" s="41">
        <f t="shared" si="6"/>
        <v>0</v>
      </c>
      <c r="O8" s="42">
        <v>0</v>
      </c>
      <c r="P8" s="41">
        <f t="shared" si="7"/>
        <v>0</v>
      </c>
      <c r="Q8" s="42">
        <v>0</v>
      </c>
      <c r="R8" s="41">
        <f t="shared" si="8"/>
        <v>0</v>
      </c>
      <c r="S8" s="42">
        <v>0</v>
      </c>
      <c r="T8" s="41">
        <f t="shared" si="9"/>
        <v>0</v>
      </c>
      <c r="U8" s="42">
        <v>0</v>
      </c>
      <c r="V8" s="41">
        <f t="shared" si="10"/>
        <v>0</v>
      </c>
      <c r="W8" s="42">
        <v>0</v>
      </c>
      <c r="X8" s="41">
        <f t="shared" si="11"/>
        <v>0</v>
      </c>
      <c r="Y8" s="42">
        <v>0</v>
      </c>
      <c r="Z8" s="41">
        <f t="shared" si="12"/>
        <v>0</v>
      </c>
      <c r="AA8" s="54">
        <v>0</v>
      </c>
      <c r="AC8" s="151">
        <f t="shared" ref="AC8:AC13" si="14">AA8+Y8+W8+U8+S8+Q8+O8+M8+K8+I8+G8+E8</f>
        <v>0</v>
      </c>
    </row>
    <row r="9" spans="1:29" ht="15.75" customHeight="1">
      <c r="A9" s="40" t="s">
        <v>91</v>
      </c>
      <c r="B9" s="64">
        <f t="shared" si="0"/>
        <v>0</v>
      </c>
      <c r="C9" s="42">
        <v>0</v>
      </c>
      <c r="D9" s="64">
        <f t="shared" si="1"/>
        <v>0</v>
      </c>
      <c r="E9" s="42">
        <v>0</v>
      </c>
      <c r="F9" s="64">
        <f t="shared" si="2"/>
        <v>0</v>
      </c>
      <c r="G9" s="154">
        <v>0</v>
      </c>
      <c r="H9" s="64">
        <f t="shared" si="3"/>
        <v>0</v>
      </c>
      <c r="I9" s="154">
        <v>0</v>
      </c>
      <c r="J9" s="64">
        <f t="shared" si="4"/>
        <v>0</v>
      </c>
      <c r="K9" s="154">
        <v>0</v>
      </c>
      <c r="L9" s="41">
        <f t="shared" si="5"/>
        <v>0</v>
      </c>
      <c r="M9" s="42">
        <v>0</v>
      </c>
      <c r="N9" s="41">
        <f t="shared" si="6"/>
        <v>0</v>
      </c>
      <c r="O9" s="42">
        <v>0</v>
      </c>
      <c r="P9" s="41">
        <f t="shared" si="7"/>
        <v>0.24880303203416926</v>
      </c>
      <c r="Q9" s="42">
        <f>'Estado de resultados PyG - 12 m'!I15</f>
        <v>2882853.1531467359</v>
      </c>
      <c r="R9" s="41">
        <f t="shared" si="8"/>
        <v>0.33606258219150437</v>
      </c>
      <c r="S9" s="42">
        <f>'Estado de resultados PyG - 12 m'!K15</f>
        <v>4405687.5470325146</v>
      </c>
      <c r="T9" s="41">
        <f t="shared" si="9"/>
        <v>0.41997841097919353</v>
      </c>
      <c r="U9" s="42">
        <f>'Estado de resultados PyG - 12 m'!M15</f>
        <v>6302364.0457192808</v>
      </c>
      <c r="V9" s="41">
        <f t="shared" si="10"/>
        <v>0.49850925630064408</v>
      </c>
      <c r="W9" s="42">
        <f>'Estado de resultados PyG - 12 m'!O15</f>
        <v>8652288.3376991916</v>
      </c>
      <c r="X9" s="41">
        <f t="shared" si="11"/>
        <v>0.57014865828355443</v>
      </c>
      <c r="Y9" s="42">
        <f>'Estado de resultados PyG - 12 m'!Q15</f>
        <v>11544908.589177713</v>
      </c>
      <c r="Z9" s="41">
        <f t="shared" si="12"/>
        <v>0.63399564648479179</v>
      </c>
      <c r="AA9" s="54">
        <f>'Estado de resultados PyG - 12 m'!S15</f>
        <v>15077200.251438003</v>
      </c>
      <c r="AC9" s="151">
        <f t="shared" si="14"/>
        <v>48865301.924213439</v>
      </c>
    </row>
    <row r="10" spans="1:29" ht="15.75" customHeight="1">
      <c r="A10" s="31" t="s">
        <v>93</v>
      </c>
      <c r="B10" s="63">
        <f>C10/$C$10</f>
        <v>1</v>
      </c>
      <c r="C10" s="34">
        <f>SUM(C11:C12)</f>
        <v>62190000</v>
      </c>
      <c r="D10" s="63">
        <v>0</v>
      </c>
      <c r="E10" s="34">
        <f>SUM(E11:E12)</f>
        <v>0</v>
      </c>
      <c r="F10" s="63">
        <v>0</v>
      </c>
      <c r="G10" s="152">
        <f>SUM(G11:G12)</f>
        <v>0</v>
      </c>
      <c r="H10" s="63">
        <v>0</v>
      </c>
      <c r="I10" s="152">
        <f>SUM(I11:I12)</f>
        <v>0</v>
      </c>
      <c r="J10" s="63">
        <v>0</v>
      </c>
      <c r="K10" s="152">
        <f>SUM(K11:K12)</f>
        <v>0</v>
      </c>
      <c r="L10" s="33">
        <v>0</v>
      </c>
      <c r="M10" s="34">
        <f>SUM(M11:M12)</f>
        <v>0</v>
      </c>
      <c r="N10" s="33">
        <v>0</v>
      </c>
      <c r="O10" s="34">
        <f>SUM(O11:O12)</f>
        <v>0</v>
      </c>
      <c r="P10" s="33">
        <f>Q10/$Q$10</f>
        <v>1</v>
      </c>
      <c r="Q10" s="34">
        <f>SUM(Q11:Q12)</f>
        <v>17241349.195529614</v>
      </c>
      <c r="R10" s="33">
        <f>S10/$S$10</f>
        <v>1</v>
      </c>
      <c r="S10" s="34">
        <f>SUM(S11:S12)</f>
        <v>21720273.883428961</v>
      </c>
      <c r="T10" s="33">
        <f>U10/$U$10</f>
        <v>1</v>
      </c>
      <c r="U10" s="34">
        <f>SUM(U11:U12)</f>
        <v>27298734.173684157</v>
      </c>
      <c r="V10" s="33">
        <f>W10/$W$10</f>
        <v>1</v>
      </c>
      <c r="W10" s="34">
        <f>SUM(W11:W12)</f>
        <v>34210276.20891919</v>
      </c>
      <c r="X10" s="33">
        <f>Y10/$Y$10</f>
        <v>1</v>
      </c>
      <c r="Y10" s="34">
        <f>SUM(Y11:Y12)</f>
        <v>42717982.83091484</v>
      </c>
      <c r="Z10" s="33">
        <f>AA10/$AA$10</f>
        <v>1</v>
      </c>
      <c r="AA10" s="38">
        <f>SUM(AA11:AA12)</f>
        <v>53107075.955209814</v>
      </c>
      <c r="AC10" s="151">
        <f t="shared" si="14"/>
        <v>196295692.24768656</v>
      </c>
    </row>
    <row r="11" spans="1:29" ht="15.75" customHeight="1">
      <c r="A11" s="40" t="s">
        <v>95</v>
      </c>
      <c r="B11" s="64">
        <f>C11/$C$10</f>
        <v>0</v>
      </c>
      <c r="C11" s="42">
        <v>0</v>
      </c>
      <c r="D11" s="64">
        <v>0</v>
      </c>
      <c r="E11" s="42">
        <v>0</v>
      </c>
      <c r="F11" s="64">
        <v>0</v>
      </c>
      <c r="G11" s="154">
        <v>0</v>
      </c>
      <c r="H11" s="64">
        <v>0</v>
      </c>
      <c r="I11" s="154">
        <v>0</v>
      </c>
      <c r="J11" s="64">
        <v>0</v>
      </c>
      <c r="K11" s="154">
        <v>0</v>
      </c>
      <c r="L11" s="41">
        <v>0</v>
      </c>
      <c r="M11" s="42">
        <v>0</v>
      </c>
      <c r="N11" s="41">
        <v>0</v>
      </c>
      <c r="O11" s="42">
        <v>0</v>
      </c>
      <c r="P11" s="41">
        <f>Q11/$Q$10</f>
        <v>1</v>
      </c>
      <c r="Q11" s="43">
        <f>'Estado de resultados PyG - 12 m'!I3</f>
        <v>17241349.195529614</v>
      </c>
      <c r="R11" s="41">
        <f>S11/$S$10</f>
        <v>1</v>
      </c>
      <c r="S11" s="43">
        <f>'Estado de resultados PyG - 12 m'!K3</f>
        <v>21720273.883428961</v>
      </c>
      <c r="T11" s="41">
        <f>U11/$U$10</f>
        <v>1</v>
      </c>
      <c r="U11" s="43">
        <f>'Estado de resultados PyG - 12 m'!M3</f>
        <v>27298734.173684157</v>
      </c>
      <c r="V11" s="41">
        <f>W11/$W$10</f>
        <v>1</v>
      </c>
      <c r="W11" s="43">
        <f>'Estado de resultados PyG - 12 m'!O3</f>
        <v>34210276.20891919</v>
      </c>
      <c r="X11" s="41">
        <f>Y11/$Y$10</f>
        <v>1</v>
      </c>
      <c r="Y11" s="43">
        <f>'Estado de resultados PyG - 12 m'!Q3</f>
        <v>42717982.83091484</v>
      </c>
      <c r="Z11" s="41">
        <f>AA11/$AA$10</f>
        <v>1</v>
      </c>
      <c r="AA11" s="46">
        <f>'Estado de resultados PyG - 12 m'!S3</f>
        <v>53107075.955209814</v>
      </c>
      <c r="AC11" s="151">
        <f t="shared" si="14"/>
        <v>196295692.24768656</v>
      </c>
    </row>
    <row r="12" spans="1:29" ht="15.75" customHeight="1">
      <c r="A12" s="40" t="s">
        <v>97</v>
      </c>
      <c r="B12" s="64">
        <f>C12/$C$10</f>
        <v>1</v>
      </c>
      <c r="C12" s="42">
        <v>62190000</v>
      </c>
      <c r="D12" s="78">
        <v>0</v>
      </c>
      <c r="E12" s="42">
        <v>0</v>
      </c>
      <c r="F12" s="64">
        <v>0</v>
      </c>
      <c r="G12" s="154">
        <v>0</v>
      </c>
      <c r="H12" s="64">
        <v>0</v>
      </c>
      <c r="I12" s="154">
        <v>0</v>
      </c>
      <c r="J12" s="64">
        <v>0</v>
      </c>
      <c r="K12" s="154">
        <v>0</v>
      </c>
      <c r="L12" s="41">
        <v>0</v>
      </c>
      <c r="M12" s="42">
        <v>0</v>
      </c>
      <c r="N12" s="41">
        <v>0</v>
      </c>
      <c r="O12" s="42">
        <v>0</v>
      </c>
      <c r="P12" s="41">
        <v>0</v>
      </c>
      <c r="Q12" s="42">
        <v>0</v>
      </c>
      <c r="R12" s="41">
        <v>0</v>
      </c>
      <c r="S12" s="42">
        <v>0</v>
      </c>
      <c r="T12" s="41">
        <v>0</v>
      </c>
      <c r="U12" s="42">
        <v>0</v>
      </c>
      <c r="V12" s="41">
        <v>0</v>
      </c>
      <c r="W12" s="42">
        <v>0</v>
      </c>
      <c r="X12" s="41">
        <v>0</v>
      </c>
      <c r="Y12" s="42">
        <v>0</v>
      </c>
      <c r="Z12" s="41">
        <v>0</v>
      </c>
      <c r="AA12" s="54">
        <v>0</v>
      </c>
      <c r="AC12" s="151">
        <f t="shared" si="14"/>
        <v>0</v>
      </c>
    </row>
    <row r="13" spans="1:29" s="155" customFormat="1" ht="15.75" customHeight="1">
      <c r="A13" s="155" t="s">
        <v>98</v>
      </c>
      <c r="B13" s="156"/>
      <c r="C13" s="156">
        <f>C10-C2</f>
        <v>58512500</v>
      </c>
      <c r="D13" s="156"/>
      <c r="E13" s="156">
        <f>C13-E2+E10</f>
        <v>50373464</v>
      </c>
      <c r="F13" s="156"/>
      <c r="G13" s="157">
        <f>E13-G2+G10</f>
        <v>42124428</v>
      </c>
      <c r="H13" s="156"/>
      <c r="I13" s="157">
        <f>G13-I2+I10</f>
        <v>33845392</v>
      </c>
      <c r="J13" s="156"/>
      <c r="K13" s="157">
        <f>I13-K2+K10</f>
        <v>25666356</v>
      </c>
      <c r="L13" s="156"/>
      <c r="M13" s="156">
        <f>K13-M2+M10</f>
        <v>17487320</v>
      </c>
      <c r="N13" s="156"/>
      <c r="O13" s="156">
        <f>M13-O2+O10</f>
        <v>8783284</v>
      </c>
      <c r="P13" s="156"/>
      <c r="Q13" s="156">
        <f>O13-Q2+Q10</f>
        <v>14437744.042382877</v>
      </c>
      <c r="R13" s="156"/>
      <c r="S13" s="156">
        <f>Q13-S2+S10</f>
        <v>23048294.378779322</v>
      </c>
      <c r="T13" s="156"/>
      <c r="U13" s="156">
        <f>S13-U2+U10</f>
        <v>35340628.506744199</v>
      </c>
      <c r="V13" s="156"/>
      <c r="W13" s="156">
        <f>U13-W2+W10</f>
        <v>52194580.377964199</v>
      </c>
      <c r="X13" s="156"/>
      <c r="Y13" s="156">
        <f>W13-Y2+Y10</f>
        <v>74663618.619701326</v>
      </c>
      <c r="Z13" s="156"/>
      <c r="AA13" s="156">
        <f>Y13-AA2+AA10</f>
        <v>103989458.32347313</v>
      </c>
      <c r="AC13" s="157">
        <f t="shared" si="14"/>
        <v>481954568.24904507</v>
      </c>
    </row>
    <row r="16" spans="1:29" ht="15.75" customHeight="1">
      <c r="C16" s="97" t="s">
        <v>256</v>
      </c>
    </row>
  </sheetData>
  <mergeCells count="13">
    <mergeCell ref="X1:Y1"/>
    <mergeCell ref="Z1:AA1"/>
    <mergeCell ref="R1:S1"/>
    <mergeCell ref="P1:Q1"/>
    <mergeCell ref="V1:W1"/>
    <mergeCell ref="T1:U1"/>
    <mergeCell ref="N1:O1"/>
    <mergeCell ref="J1:K1"/>
    <mergeCell ref="H1:I1"/>
    <mergeCell ref="D1:E1"/>
    <mergeCell ref="B1:C1"/>
    <mergeCell ref="F1:G1"/>
    <mergeCell ref="L1:M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zoomScale="160" zoomScaleNormal="160" workbookViewId="0">
      <pane xSplit="1" topLeftCell="B1" activePane="topRight" state="frozen"/>
      <selection pane="topRight" activeCell="G11" sqref="G11"/>
    </sheetView>
  </sheetViews>
  <sheetFormatPr baseColWidth="10" defaultColWidth="14.42578125" defaultRowHeight="15.75" customHeight="1"/>
  <cols>
    <col min="1" max="1" width="17.140625" customWidth="1"/>
    <col min="2" max="2" width="12.7109375" customWidth="1"/>
    <col min="4" max="4" width="8.7109375" customWidth="1"/>
    <col min="6" max="6" width="9" customWidth="1"/>
    <col min="8" max="8" width="9.42578125" customWidth="1"/>
    <col min="10" max="10" width="8.85546875" customWidth="1"/>
    <col min="12" max="12" width="9.5703125" customWidth="1"/>
  </cols>
  <sheetData>
    <row r="1" spans="1:20" ht="15.75" customHeight="1">
      <c r="A1" s="27"/>
      <c r="B1" s="215" t="s">
        <v>77</v>
      </c>
      <c r="C1" s="182"/>
      <c r="D1" s="215" t="s">
        <v>74</v>
      </c>
      <c r="E1" s="182"/>
      <c r="F1" s="215" t="s">
        <v>75</v>
      </c>
      <c r="G1" s="182"/>
      <c r="H1" s="215" t="s">
        <v>76</v>
      </c>
      <c r="I1" s="182"/>
      <c r="J1" s="215" t="s">
        <v>78</v>
      </c>
      <c r="K1" s="182"/>
      <c r="L1" s="215" t="s">
        <v>79</v>
      </c>
      <c r="M1" s="182"/>
      <c r="N1" s="29"/>
      <c r="O1" s="29"/>
      <c r="P1" s="29"/>
      <c r="Q1" s="29"/>
      <c r="R1" s="29"/>
      <c r="S1" s="29"/>
      <c r="T1" s="29"/>
    </row>
    <row r="2" spans="1:20" ht="15.75" customHeight="1">
      <c r="A2" s="31" t="s">
        <v>80</v>
      </c>
      <c r="B2" s="63">
        <f t="shared" ref="B2:B9" si="0">C2/$C$2</f>
        <v>1</v>
      </c>
      <c r="C2" s="34">
        <f>SUM(C3:C9)</f>
        <v>3677500</v>
      </c>
      <c r="D2" s="33">
        <f t="shared" ref="D2:D9" si="1">E2/$E$2</f>
        <v>1</v>
      </c>
      <c r="E2" s="34">
        <f>SUM(E3:E9)</f>
        <v>150818737.16579208</v>
      </c>
      <c r="F2" s="33">
        <f t="shared" ref="F2:F9" si="2">G2/$G$2</f>
        <v>1</v>
      </c>
      <c r="G2" s="34">
        <f>SUM(G3:G9)</f>
        <v>188543284.94067234</v>
      </c>
      <c r="H2" s="33">
        <f t="shared" ref="H2:H9" si="3">I2/$I$2</f>
        <v>1</v>
      </c>
      <c r="I2" s="34">
        <f>SUM(I3:I9)</f>
        <v>241402879.5977388</v>
      </c>
      <c r="J2" s="33">
        <f t="shared" ref="J2:J9" si="4">K2/$K$2</f>
        <v>1</v>
      </c>
      <c r="K2" s="34">
        <f>SUM(K3:K9)</f>
        <v>246112771.15008992</v>
      </c>
      <c r="L2" s="33">
        <f t="shared" ref="L2:L9" si="5">M2/$M$2</f>
        <v>1</v>
      </c>
      <c r="M2" s="38">
        <f>SUM(M3:M9)</f>
        <v>246498289.47148901</v>
      </c>
      <c r="N2" s="39"/>
      <c r="O2" s="39"/>
      <c r="P2" s="39"/>
      <c r="Q2" s="39"/>
      <c r="R2" s="39"/>
      <c r="S2" s="39"/>
      <c r="T2" s="39"/>
    </row>
    <row r="3" spans="1:20" ht="15.75" customHeight="1">
      <c r="A3" s="40" t="s">
        <v>81</v>
      </c>
      <c r="B3" s="64">
        <f t="shared" si="0"/>
        <v>0</v>
      </c>
      <c r="C3" s="42">
        <v>0</v>
      </c>
      <c r="D3" s="41">
        <f t="shared" si="1"/>
        <v>0.61633398734214606</v>
      </c>
      <c r="E3" s="43">
        <f>'Estado de resultados PyG - 5 añ'!C6</f>
        <v>92954713.643299744</v>
      </c>
      <c r="F3" s="41">
        <f t="shared" si="2"/>
        <v>0.52259614947837796</v>
      </c>
      <c r="G3" s="43">
        <f>'Estado de resultados PyG - 5 añ'!E6</f>
        <v>98531994.719999999</v>
      </c>
      <c r="H3" s="41">
        <f t="shared" si="3"/>
        <v>0.41008942579708685</v>
      </c>
      <c r="I3" s="43">
        <f>'Estado de resultados PyG - 5 añ'!G6</f>
        <v>98996768.280000001</v>
      </c>
      <c r="J3" s="41">
        <f t="shared" si="4"/>
        <v>0.40412994975926775</v>
      </c>
      <c r="K3" s="43">
        <f>'Estado de resultados PyG - 5 añ'!I6</f>
        <v>99461541.840000004</v>
      </c>
      <c r="L3" s="41">
        <f t="shared" si="5"/>
        <v>0.40425210040058157</v>
      </c>
      <c r="M3" s="46">
        <f>'Estado de resultados PyG - 5 añ'!K6</f>
        <v>99647451.263999999</v>
      </c>
      <c r="N3" s="48"/>
      <c r="O3" s="48"/>
      <c r="P3" s="48"/>
      <c r="Q3" s="48"/>
      <c r="R3" s="48"/>
      <c r="S3" s="48"/>
      <c r="T3" s="48"/>
    </row>
    <row r="4" spans="1:20" ht="15.75" customHeight="1">
      <c r="A4" s="40" t="s">
        <v>83</v>
      </c>
      <c r="B4" s="64">
        <f t="shared" si="0"/>
        <v>0</v>
      </c>
      <c r="C4" s="42">
        <v>0</v>
      </c>
      <c r="D4" s="41">
        <f t="shared" si="1"/>
        <v>2.6416612055659861E-2</v>
      </c>
      <c r="E4" s="43">
        <f>'Estado de resultados PyG - 5 añ'!C9</f>
        <v>3984120.070433259</v>
      </c>
      <c r="F4" s="41">
        <f t="shared" si="2"/>
        <v>2.2398926994340481E-2</v>
      </c>
      <c r="G4" s="43">
        <f>'Estado de resultados PyG - 5 añ'!E9</f>
        <v>4223167.2746592546</v>
      </c>
      <c r="H4" s="41">
        <f t="shared" si="3"/>
        <v>1.7576790641776443E-2</v>
      </c>
      <c r="I4" s="43">
        <f>'Estado de resultados PyG - 5 añ'!G9</f>
        <v>4243087.8750114208</v>
      </c>
      <c r="J4" s="41">
        <f t="shared" si="4"/>
        <v>1.7321362298439301E-2</v>
      </c>
      <c r="K4" s="43">
        <f>'Estado de resultados PyG - 5 añ'!I9</f>
        <v>4263008.475363587</v>
      </c>
      <c r="L4" s="41">
        <f t="shared" si="5"/>
        <v>1.7326597781517069E-2</v>
      </c>
      <c r="M4" s="46">
        <f>'Estado de resultados PyG - 5 añ'!K9</f>
        <v>4270976.7155044535</v>
      </c>
      <c r="N4" s="48"/>
      <c r="O4" s="48"/>
      <c r="P4" s="48"/>
      <c r="Q4" s="48"/>
      <c r="R4" s="48"/>
      <c r="S4" s="48"/>
      <c r="T4" s="48"/>
    </row>
    <row r="5" spans="1:20" ht="15.75" customHeight="1">
      <c r="A5" s="40" t="s">
        <v>85</v>
      </c>
      <c r="B5" s="64">
        <f t="shared" si="0"/>
        <v>0</v>
      </c>
      <c r="C5" s="42">
        <f>'Salarios, gastos y costos'!E11</f>
        <v>0</v>
      </c>
      <c r="D5" s="41">
        <f t="shared" si="1"/>
        <v>0</v>
      </c>
      <c r="E5" s="43">
        <f>('Salarios, gastos y costos'!$E$11)*12</f>
        <v>0</v>
      </c>
      <c r="F5" s="41">
        <f t="shared" si="2"/>
        <v>0</v>
      </c>
      <c r="G5" s="43">
        <f>E5*1.7</f>
        <v>0</v>
      </c>
      <c r="H5" s="41">
        <f t="shared" si="3"/>
        <v>0</v>
      </c>
      <c r="I5" s="43">
        <f>G5*1.7</f>
        <v>0</v>
      </c>
      <c r="J5" s="41">
        <f t="shared" si="4"/>
        <v>0</v>
      </c>
      <c r="K5" s="43">
        <f>I5*1.7</f>
        <v>0</v>
      </c>
      <c r="L5" s="41">
        <f t="shared" si="5"/>
        <v>0</v>
      </c>
      <c r="M5" s="46">
        <f>K5*1.7</f>
        <v>0</v>
      </c>
      <c r="N5" s="48"/>
      <c r="O5" s="48"/>
      <c r="P5" s="48"/>
      <c r="Q5" s="48"/>
      <c r="R5" s="48"/>
      <c r="S5" s="48"/>
      <c r="T5" s="48"/>
    </row>
    <row r="6" spans="1:20" ht="15.75" customHeight="1">
      <c r="A6" s="40" t="s">
        <v>87</v>
      </c>
      <c r="B6" s="64">
        <f t="shared" si="0"/>
        <v>0.96826648538409243</v>
      </c>
      <c r="C6" s="42">
        <f>'Presupuesto Inicial'!D23</f>
        <v>3560800</v>
      </c>
      <c r="D6" s="41">
        <f t="shared" si="1"/>
        <v>4.8375952067412223E-3</v>
      </c>
      <c r="E6" s="43">
        <f>'Flujo de caja - 12 meses'!AC6</f>
        <v>729600</v>
      </c>
      <c r="F6" s="41">
        <f t="shared" si="2"/>
        <v>4.1018485502856972E-3</v>
      </c>
      <c r="G6" s="43">
        <f>'Flujo de caja - 12 meses'!AC6+('Estado de resultados PyG - 5 añ'!E21*'Flujo de caja - 12 meses'!AC6)</f>
        <v>773376</v>
      </c>
      <c r="H6" s="41">
        <f t="shared" si="3"/>
        <v>3.2036734660693092E-3</v>
      </c>
      <c r="I6" s="43">
        <f>'Flujo de caja - 12 meses'!AC6+('Estado de resultados PyG - 5 añ'!E21*'Flujo de caja - 12 meses'!AC6)</f>
        <v>773376</v>
      </c>
      <c r="J6" s="41">
        <f t="shared" si="4"/>
        <v>3.1423643575503963E-3</v>
      </c>
      <c r="K6" s="43">
        <f>'Flujo de caja - 12 meses'!AC6+('Estado de resultados PyG - 5 añ'!E21*'Flujo de caja - 12 meses'!AC6)</f>
        <v>773376</v>
      </c>
      <c r="L6" s="41">
        <f t="shared" si="5"/>
        <v>3.1374497634777776E-3</v>
      </c>
      <c r="M6" s="46">
        <f>'Flujo de caja - 12 meses'!AC6+('Estado de resultados PyG - 5 añ'!E21*'Flujo de caja - 12 meses'!AC6)</f>
        <v>773376</v>
      </c>
      <c r="N6" s="48"/>
      <c r="O6" s="48"/>
      <c r="P6" s="48"/>
      <c r="Q6" s="48"/>
      <c r="R6" s="48"/>
      <c r="S6" s="48"/>
      <c r="T6" s="48"/>
    </row>
    <row r="7" spans="1:20" ht="15.75" customHeight="1">
      <c r="A7" s="40" t="s">
        <v>254</v>
      </c>
      <c r="B7" s="64">
        <f>C7/$C$2</f>
        <v>0</v>
      </c>
      <c r="C7" s="42">
        <v>0</v>
      </c>
      <c r="D7" s="64">
        <f>E7/$C$2</f>
        <v>1.1651937783440438</v>
      </c>
      <c r="E7" s="91">
        <f>'Estado de resultados PyG - 5 añ'!C10</f>
        <v>4285000.1198602207</v>
      </c>
      <c r="F7" s="64">
        <f>G7/$C$2</f>
        <v>1.2351054050446864</v>
      </c>
      <c r="G7" s="91">
        <f>'Estado de resultados PyG - 5 añ'!E10</f>
        <v>4542100.127051834</v>
      </c>
      <c r="H7" s="64">
        <f>I7/$C$2</f>
        <v>1.2409313739364067</v>
      </c>
      <c r="I7" s="91">
        <f>'Estado de resultados PyG - 5 añ'!G10</f>
        <v>4563525.1276511354</v>
      </c>
      <c r="J7" s="64">
        <f>K7/$C$2</f>
        <v>1.2467573428281267</v>
      </c>
      <c r="K7" s="91">
        <f>'Estado de resultados PyG - 5 añ'!I10</f>
        <v>4584950.1282504359</v>
      </c>
      <c r="L7" s="64">
        <f>M7/$C$2</f>
        <v>1.2490877303848149</v>
      </c>
      <c r="M7" s="93">
        <f>'Estado de resultados PyG - 5 añ'!K10</f>
        <v>4593520.1284901565</v>
      </c>
      <c r="N7" s="48"/>
      <c r="O7" s="48"/>
      <c r="P7" s="48"/>
      <c r="Q7" s="48"/>
      <c r="R7" s="48"/>
      <c r="S7" s="48"/>
      <c r="T7" s="48"/>
    </row>
    <row r="8" spans="1:20" ht="15.75" customHeight="1">
      <c r="A8" s="40" t="s">
        <v>89</v>
      </c>
      <c r="B8" s="64">
        <f>C8/$C$2</f>
        <v>3.1733514615907545E-2</v>
      </c>
      <c r="C8" s="42">
        <f>'Presupuesto Inicial'!B2</f>
        <v>116700</v>
      </c>
      <c r="D8" s="41">
        <f t="shared" si="1"/>
        <v>0</v>
      </c>
      <c r="E8" s="42">
        <v>0</v>
      </c>
      <c r="F8" s="41">
        <f t="shared" si="2"/>
        <v>0</v>
      </c>
      <c r="G8" s="42">
        <v>0</v>
      </c>
      <c r="H8" s="41">
        <f t="shared" si="3"/>
        <v>0</v>
      </c>
      <c r="I8" s="42">
        <v>0</v>
      </c>
      <c r="J8" s="41">
        <f t="shared" si="4"/>
        <v>0</v>
      </c>
      <c r="K8" s="42">
        <v>0</v>
      </c>
      <c r="L8" s="41">
        <f t="shared" si="5"/>
        <v>0</v>
      </c>
      <c r="M8" s="54">
        <v>0</v>
      </c>
      <c r="N8" s="55"/>
      <c r="O8" s="55"/>
      <c r="P8" s="55"/>
      <c r="Q8" s="55"/>
      <c r="R8" s="55"/>
      <c r="S8" s="55"/>
      <c r="T8" s="55"/>
    </row>
    <row r="9" spans="1:20" ht="15.75" customHeight="1">
      <c r="A9" s="40" t="s">
        <v>91</v>
      </c>
      <c r="B9" s="64">
        <f t="shared" si="0"/>
        <v>0</v>
      </c>
      <c r="C9" s="42">
        <v>0</v>
      </c>
      <c r="D9" s="41">
        <f t="shared" si="1"/>
        <v>0.32400021542735891</v>
      </c>
      <c r="E9" s="42">
        <f>'Estado de resultados PyG - 5 añ'!C15</f>
        <v>48865303.332198858</v>
      </c>
      <c r="F9" s="41">
        <f t="shared" si="2"/>
        <v>0.42681258494187718</v>
      </c>
      <c r="G9" s="42">
        <f>'Estado de resultados PyG - 5 añ'!E15</f>
        <v>80472646.818961263</v>
      </c>
      <c r="H9" s="41">
        <f t="shared" si="3"/>
        <v>0.55022592330468789</v>
      </c>
      <c r="I9" s="42">
        <f>'Estado de resultados PyG - 5 añ'!G15</f>
        <v>132826122.31507623</v>
      </c>
      <c r="J9" s="41">
        <f t="shared" si="4"/>
        <v>0.55677685504142038</v>
      </c>
      <c r="K9" s="42">
        <f>'Estado de resultados PyG - 5 añ'!I15</f>
        <v>137029894.70647588</v>
      </c>
      <c r="L9" s="41">
        <f t="shared" si="5"/>
        <v>0.55664875264525937</v>
      </c>
      <c r="M9" s="54">
        <f>'Estado de resultados PyG - 5 añ'!K15</f>
        <v>137212965.36349443</v>
      </c>
      <c r="N9" s="55"/>
      <c r="O9" s="55"/>
      <c r="P9" s="55"/>
      <c r="Q9" s="55"/>
      <c r="R9" s="55"/>
      <c r="S9" s="55"/>
      <c r="T9" s="55"/>
    </row>
    <row r="10" spans="1:20" ht="15.75" customHeight="1">
      <c r="A10" s="31" t="s">
        <v>93</v>
      </c>
      <c r="B10" s="63">
        <f>C10/$C$10</f>
        <v>1</v>
      </c>
      <c r="C10" s="34">
        <f>SUM(C11:C12)</f>
        <v>62190000</v>
      </c>
      <c r="D10" s="33">
        <f>E10/$E$10</f>
        <v>1</v>
      </c>
      <c r="E10" s="34">
        <f>SUM(E11:E12)</f>
        <v>196295698.24768659</v>
      </c>
      <c r="F10" s="33">
        <f>G10/$G$10</f>
        <v>1</v>
      </c>
      <c r="G10" s="34">
        <f>SUM(G11:G12)</f>
        <v>345454893.47159714</v>
      </c>
      <c r="H10" s="33">
        <f>I10/$I$10</f>
        <v>1</v>
      </c>
      <c r="I10" s="34">
        <f>SUM(I11:I12)</f>
        <v>499945470.91523975</v>
      </c>
      <c r="J10" s="33">
        <f>K10/$K$10</f>
        <v>1</v>
      </c>
      <c r="K10" s="34">
        <f>SUM(K11:K12)</f>
        <v>512819274.52148426</v>
      </c>
      <c r="L10" s="33">
        <f>M10/$M$10</f>
        <v>1</v>
      </c>
      <c r="M10" s="38">
        <f>SUM(M11:M12)</f>
        <v>513561624.49474293</v>
      </c>
      <c r="N10" s="39"/>
      <c r="O10" s="39"/>
      <c r="P10" s="39"/>
      <c r="Q10" s="39"/>
      <c r="R10" s="39"/>
      <c r="S10" s="39"/>
      <c r="T10" s="39"/>
    </row>
    <row r="11" spans="1:20" ht="15.75" customHeight="1">
      <c r="A11" s="40" t="s">
        <v>95</v>
      </c>
      <c r="B11" s="64">
        <f>C11/$C$10</f>
        <v>0</v>
      </c>
      <c r="C11" s="42">
        <v>0</v>
      </c>
      <c r="D11" s="41">
        <f>E11/$E$10</f>
        <v>1</v>
      </c>
      <c r="E11" s="42">
        <f>'Estado de resultados PyG - 5 añ'!C3</f>
        <v>196295698.24768659</v>
      </c>
      <c r="F11" s="41">
        <f>G11/$G$10</f>
        <v>1</v>
      </c>
      <c r="G11" s="42">
        <f>'Estado de resultados PyG - 5 añ'!E3</f>
        <v>345454893.47159714</v>
      </c>
      <c r="H11" s="41">
        <f>I11/$I$10</f>
        <v>1</v>
      </c>
      <c r="I11" s="42">
        <f>'Estado de resultados PyG - 5 añ'!G3</f>
        <v>499945470.91523975</v>
      </c>
      <c r="J11" s="41">
        <f>K11/$K$10</f>
        <v>1</v>
      </c>
      <c r="K11" s="42">
        <f>'Estado de resultados PyG - 5 añ'!I3</f>
        <v>512819274.52148426</v>
      </c>
      <c r="L11" s="41">
        <f>M11/$K$10</f>
        <v>1.0014475859433158</v>
      </c>
      <c r="M11" s="54">
        <f>'Estado de resultados PyG - 5 añ'!K3</f>
        <v>513561624.49474293</v>
      </c>
      <c r="N11" s="55"/>
      <c r="O11" s="48"/>
      <c r="P11" s="48"/>
      <c r="Q11" s="48"/>
      <c r="R11" s="48"/>
      <c r="S11" s="48"/>
      <c r="T11" s="48"/>
    </row>
    <row r="12" spans="1:20" ht="15.75" customHeight="1">
      <c r="A12" s="40" t="s">
        <v>97</v>
      </c>
      <c r="B12" s="64">
        <f>C12/$C$10</f>
        <v>1</v>
      </c>
      <c r="C12" s="42">
        <v>62190000</v>
      </c>
      <c r="D12" s="41">
        <v>0</v>
      </c>
      <c r="E12" s="42">
        <v>0</v>
      </c>
      <c r="F12" s="41">
        <v>0</v>
      </c>
      <c r="G12" s="42">
        <v>0</v>
      </c>
      <c r="H12" s="41">
        <v>0</v>
      </c>
      <c r="I12" s="42">
        <v>0</v>
      </c>
      <c r="J12" s="41">
        <v>0</v>
      </c>
      <c r="K12" s="42">
        <v>0</v>
      </c>
      <c r="L12" s="41">
        <v>0</v>
      </c>
      <c r="M12" s="54">
        <v>0</v>
      </c>
      <c r="N12" s="55"/>
      <c r="O12" s="55"/>
      <c r="P12" s="55"/>
      <c r="Q12" s="55"/>
      <c r="R12" s="55"/>
      <c r="S12" s="55"/>
      <c r="T12" s="55"/>
    </row>
    <row r="13" spans="1:20" ht="15.75" customHeight="1">
      <c r="A13" s="31" t="s">
        <v>98</v>
      </c>
      <c r="B13" s="58"/>
      <c r="C13" s="59">
        <f>C10-C2</f>
        <v>58512500</v>
      </c>
      <c r="D13" s="58"/>
      <c r="E13" s="59">
        <f>C13-E2+E10</f>
        <v>103989461.08189452</v>
      </c>
      <c r="F13" s="58"/>
      <c r="G13" s="59">
        <f>E13-G2+G10</f>
        <v>260901069.61281931</v>
      </c>
      <c r="H13" s="58"/>
      <c r="I13" s="59">
        <f>G13-I2+I10</f>
        <v>519443660.93032026</v>
      </c>
      <c r="J13" s="58"/>
      <c r="K13" s="59">
        <f>I13-K2+K10</f>
        <v>786150164.30171466</v>
      </c>
      <c r="L13" s="58"/>
      <c r="M13" s="60">
        <f>K13-M2+M10</f>
        <v>1053213499.3249686</v>
      </c>
      <c r="N13" s="61"/>
      <c r="O13" s="61"/>
      <c r="P13" s="61"/>
      <c r="Q13" s="61"/>
      <c r="R13" s="61"/>
      <c r="S13" s="61"/>
      <c r="T13" s="61"/>
    </row>
  </sheetData>
  <mergeCells count="6">
    <mergeCell ref="L1:M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zoomScale="130" zoomScaleNormal="130" workbookViewId="0">
      <selection activeCell="D19" sqref="D19"/>
    </sheetView>
  </sheetViews>
  <sheetFormatPr baseColWidth="10" defaultColWidth="14.42578125" defaultRowHeight="15.75" customHeight="1"/>
  <cols>
    <col min="1" max="1" width="23.140625" customWidth="1"/>
    <col min="2" max="2" width="12.28515625" bestFit="1" customWidth="1"/>
    <col min="3" max="3" width="9.5703125" customWidth="1"/>
    <col min="4" max="4" width="14.7109375" bestFit="1" customWidth="1"/>
    <col min="5" max="5" width="7.42578125" customWidth="1"/>
    <col min="7" max="7" width="7" customWidth="1"/>
    <col min="9" max="9" width="7.28515625" customWidth="1"/>
    <col min="11" max="11" width="7.42578125" customWidth="1"/>
  </cols>
  <sheetData>
    <row r="1" spans="1:19" ht="12.75">
      <c r="A1" s="26"/>
      <c r="B1" s="26"/>
      <c r="C1" s="209" t="s">
        <v>74</v>
      </c>
      <c r="D1" s="182"/>
      <c r="E1" s="209" t="s">
        <v>75</v>
      </c>
      <c r="F1" s="182"/>
      <c r="G1" s="209" t="s">
        <v>76</v>
      </c>
      <c r="H1" s="182"/>
      <c r="I1" s="209" t="s">
        <v>78</v>
      </c>
      <c r="J1" s="182"/>
      <c r="K1" s="211" t="s">
        <v>79</v>
      </c>
      <c r="L1" s="216"/>
      <c r="M1" s="28"/>
      <c r="N1" s="28"/>
      <c r="O1" s="28"/>
      <c r="P1" s="28"/>
      <c r="Q1" s="28"/>
      <c r="R1" s="28"/>
      <c r="S1" s="28"/>
    </row>
    <row r="2" spans="1:19" ht="12.75">
      <c r="A2" s="30" t="s">
        <v>73</v>
      </c>
      <c r="B2" s="30"/>
      <c r="C2" s="32">
        <v>1</v>
      </c>
      <c r="D2" s="35">
        <f>D3</f>
        <v>196295698.24768659</v>
      </c>
      <c r="E2" s="36">
        <v>1</v>
      </c>
      <c r="F2" s="35">
        <f>F3</f>
        <v>345454893.47159714</v>
      </c>
      <c r="G2" s="36">
        <v>1</v>
      </c>
      <c r="H2" s="35">
        <f>H3</f>
        <v>499945470.91523975</v>
      </c>
      <c r="I2" s="36">
        <v>1</v>
      </c>
      <c r="J2" s="35">
        <f>J3</f>
        <v>512819274.52148426</v>
      </c>
      <c r="K2" s="36">
        <v>1</v>
      </c>
      <c r="L2" s="161">
        <f>L3</f>
        <v>513561624.49474293</v>
      </c>
      <c r="M2" s="45"/>
      <c r="N2" s="45"/>
      <c r="O2" s="45"/>
      <c r="P2" s="45"/>
      <c r="Q2" s="45"/>
      <c r="R2" s="45"/>
      <c r="S2" s="45"/>
    </row>
    <row r="3" spans="1:19" ht="15.75" customHeight="1">
      <c r="A3" s="50" t="s">
        <v>82</v>
      </c>
      <c r="B3" s="50"/>
      <c r="C3" s="47">
        <v>1</v>
      </c>
      <c r="D3" s="49">
        <f>'Estado de resultados PyG - 12 m'!U3</f>
        <v>196295698.24768659</v>
      </c>
      <c r="E3" s="51">
        <v>1</v>
      </c>
      <c r="F3" s="49">
        <f>F22*$F$23</f>
        <v>345454893.47159714</v>
      </c>
      <c r="G3" s="51">
        <v>1</v>
      </c>
      <c r="H3" s="49">
        <f>H22*$F$23</f>
        <v>499945470.91523975</v>
      </c>
      <c r="I3" s="51">
        <v>1</v>
      </c>
      <c r="J3" s="49">
        <f t="shared" ref="J3:L3" si="0">J22*$F$23</f>
        <v>512819274.52148426</v>
      </c>
      <c r="K3" s="51">
        <v>1</v>
      </c>
      <c r="L3" s="162">
        <f t="shared" si="0"/>
        <v>513561624.49474293</v>
      </c>
      <c r="M3" s="53"/>
      <c r="N3" s="53"/>
      <c r="O3" s="53"/>
      <c r="P3" s="53"/>
      <c r="Q3" s="53"/>
      <c r="R3" s="53"/>
      <c r="S3" s="53"/>
    </row>
    <row r="4" spans="1:19" ht="12.75">
      <c r="A4" s="30" t="s">
        <v>84</v>
      </c>
      <c r="B4" s="30"/>
      <c r="C4" s="32">
        <f t="shared" ref="C4:C19" si="1">(D4)/$D$2</f>
        <v>0.48082721379598692</v>
      </c>
      <c r="D4" s="35">
        <f>SUM(D5:D7)</f>
        <v>94384313.668572932</v>
      </c>
      <c r="E4" s="51">
        <f>(F4)/$F$2</f>
        <v>0.28948893939527393</v>
      </c>
      <c r="F4" s="35">
        <f>SUM(F5:F7)</f>
        <v>100005370.72</v>
      </c>
      <c r="G4" s="36">
        <f t="shared" ref="G4:G19" si="2">(H4)/$H$2</f>
        <v>0.20096950192600949</v>
      </c>
      <c r="H4" s="35">
        <f>SUM(H5:H7)</f>
        <v>100473792.28</v>
      </c>
      <c r="I4" s="36">
        <f t="shared" ref="I4:I19" si="3">(J4)/$J$2</f>
        <v>0.19683779228889162</v>
      </c>
      <c r="J4" s="35">
        <f>SUM(J5:J7)</f>
        <v>100942213.84</v>
      </c>
      <c r="K4" s="36">
        <f t="shared" ref="K4:K19" si="4">(L4)/$L$2</f>
        <v>0.19691810610556088</v>
      </c>
      <c r="L4" s="161">
        <f>SUM(L5:L7)</f>
        <v>101129582.464</v>
      </c>
      <c r="M4" s="45"/>
      <c r="N4" s="45"/>
      <c r="O4" s="45"/>
      <c r="P4" s="45"/>
      <c r="Q4" s="45"/>
      <c r="R4" s="45"/>
      <c r="S4" s="45"/>
    </row>
    <row r="5" spans="1:19" ht="12.75">
      <c r="A5" s="50" t="s">
        <v>86</v>
      </c>
      <c r="B5" s="50"/>
      <c r="C5" s="47">
        <f t="shared" si="1"/>
        <v>3.7168415783499277E-3</v>
      </c>
      <c r="D5" s="49">
        <f>'Estado de resultados PyG - 12 m'!U5</f>
        <v>729600.01289823256</v>
      </c>
      <c r="E5" s="51">
        <f>(F5)/F2</f>
        <v>2.2387177446759371E-3</v>
      </c>
      <c r="F5" s="49">
        <f>('Salarios, gastos y costos'!$H$11*12)+('Salarios, gastos y costos'!$H$11*12*F25)</f>
        <v>773376</v>
      </c>
      <c r="G5" s="51">
        <f t="shared" si="2"/>
        <v>1.5542175001155994E-3</v>
      </c>
      <c r="H5" s="49">
        <f>('Salarios, gastos y costos'!$H$11*12)+('Salarios, gastos y costos'!$H$11*12*H25)</f>
        <v>777024</v>
      </c>
      <c r="I5" s="49">
        <f>(J5)/$J$2</f>
        <v>1.5223140759060806E-3</v>
      </c>
      <c r="J5" s="49">
        <f>('Salarios, gastos y costos'!$H$11*12)+('Salarios, gastos y costos'!$H$11*12*J25)</f>
        <v>780672</v>
      </c>
      <c r="K5" s="49">
        <f>(L5)/$L$2</f>
        <v>1.5229549146501817E-3</v>
      </c>
      <c r="L5" s="49">
        <f>('Salarios, gastos y costos'!$H$11*12)+('Salarios, gastos y costos'!$H$11*12*L25)</f>
        <v>782131.19999999995</v>
      </c>
      <c r="M5" s="53"/>
      <c r="N5" s="53"/>
      <c r="O5" s="53"/>
      <c r="P5" s="53"/>
      <c r="Q5" s="53"/>
      <c r="R5" s="53"/>
      <c r="S5" s="53"/>
    </row>
    <row r="6" spans="1:19" ht="12.75">
      <c r="A6" s="50" t="s">
        <v>88</v>
      </c>
      <c r="B6" s="50"/>
      <c r="C6" s="47">
        <f t="shared" si="1"/>
        <v>0.47354432355419812</v>
      </c>
      <c r="D6" s="49">
        <f>'Estado de resultados PyG - 12 m'!U6</f>
        <v>92954713.643299744</v>
      </c>
      <c r="E6" s="51">
        <f t="shared" ref="E6:E19" si="5">F6/$F$2</f>
        <v>0.28522390790246882</v>
      </c>
      <c r="F6" s="49">
        <f>('Salarios, gastos y costos'!$B$27)*12+(('Salarios, gastos y costos'!B11*12)*F25)</f>
        <v>98531994.719999999</v>
      </c>
      <c r="G6" s="51">
        <f t="shared" si="2"/>
        <v>0.19801513172780361</v>
      </c>
      <c r="H6" s="49">
        <f>('Salarios, gastos y costos'!$B$27)*12+(('Salarios, gastos y costos'!B11*12)*H25)</f>
        <v>98996768.280000001</v>
      </c>
      <c r="I6" s="51">
        <f t="shared" si="3"/>
        <v>0.19395047491693512</v>
      </c>
      <c r="J6" s="49">
        <f>('Salarios, gastos y costos'!$B$27)*12+(('Salarios, gastos y costos'!B11*12)*J25)</f>
        <v>99461541.840000004</v>
      </c>
      <c r="K6" s="51">
        <f t="shared" si="4"/>
        <v>0.19403212099820757</v>
      </c>
      <c r="L6" s="162">
        <f>('Salarios, gastos y costos'!$B$27)*12+(('Salarios, gastos y costos'!B11*12)*L25)</f>
        <v>99647451.263999999</v>
      </c>
      <c r="M6" s="53"/>
      <c r="N6" s="53"/>
      <c r="O6" s="53"/>
      <c r="P6" s="53"/>
      <c r="Q6" s="53"/>
      <c r="R6" s="53"/>
      <c r="S6" s="53"/>
    </row>
    <row r="7" spans="1:19" ht="12.75">
      <c r="A7" s="50" t="s">
        <v>90</v>
      </c>
      <c r="B7" s="50"/>
      <c r="C7" s="47">
        <f t="shared" si="1"/>
        <v>3.5660486634388009E-3</v>
      </c>
      <c r="D7" s="49">
        <f>'Estado de resultados PyG - 12 m'!U7</f>
        <v>700000.01237494894</v>
      </c>
      <c r="E7" s="51">
        <f t="shared" si="5"/>
        <v>2.0263137481291841E-3</v>
      </c>
      <c r="F7" s="49">
        <f>('Presupuesto Inicial'!$J$20)*12</f>
        <v>700000</v>
      </c>
      <c r="G7" s="51">
        <f t="shared" si="2"/>
        <v>1.400152698090303E-3</v>
      </c>
      <c r="H7" s="49">
        <f>('Presupuesto Inicial'!$J$20)*12</f>
        <v>700000</v>
      </c>
      <c r="I7" s="51">
        <f t="shared" si="3"/>
        <v>1.3650032960503982E-3</v>
      </c>
      <c r="J7" s="49">
        <f>('Presupuesto Inicial'!$J$20)*12</f>
        <v>700000</v>
      </c>
      <c r="K7" s="51">
        <f t="shared" si="4"/>
        <v>1.3630301927031261E-3</v>
      </c>
      <c r="L7" s="162">
        <f>('Presupuesto Inicial'!$J$20)*12</f>
        <v>700000</v>
      </c>
      <c r="M7" s="53"/>
      <c r="N7" s="53"/>
      <c r="O7" s="53"/>
      <c r="P7" s="53"/>
      <c r="Q7" s="53"/>
      <c r="R7" s="53"/>
      <c r="S7" s="53"/>
    </row>
    <row r="8" spans="1:19" ht="12.75">
      <c r="A8" s="30" t="s">
        <v>92</v>
      </c>
      <c r="B8" s="30"/>
      <c r="C8" s="32">
        <f t="shared" si="1"/>
        <v>0.51917278620401308</v>
      </c>
      <c r="D8" s="35">
        <f>D2-D4</f>
        <v>101911384.57911366</v>
      </c>
      <c r="E8" s="36">
        <f t="shared" si="5"/>
        <v>0.71051106060472602</v>
      </c>
      <c r="F8" s="35">
        <f>F2-F4</f>
        <v>245449522.75159714</v>
      </c>
      <c r="G8" s="36">
        <f t="shared" si="2"/>
        <v>0.7990304980739904</v>
      </c>
      <c r="H8" s="35">
        <f>H2-H4</f>
        <v>399471678.63523972</v>
      </c>
      <c r="I8" s="36">
        <f t="shared" si="3"/>
        <v>0.80316220771110836</v>
      </c>
      <c r="J8" s="35">
        <f>J2-J4</f>
        <v>411877060.68148422</v>
      </c>
      <c r="K8" s="36">
        <f t="shared" si="4"/>
        <v>0.80308189389443918</v>
      </c>
      <c r="L8" s="161">
        <f>L2-L4</f>
        <v>412432042.03074294</v>
      </c>
      <c r="M8" s="56"/>
      <c r="N8" s="45"/>
      <c r="O8" s="45"/>
      <c r="P8" s="45"/>
      <c r="Q8" s="45"/>
      <c r="R8" s="45"/>
      <c r="S8" s="45"/>
    </row>
    <row r="9" spans="1:19" ht="12.75">
      <c r="A9" s="57" t="s">
        <v>94</v>
      </c>
      <c r="B9" s="57"/>
      <c r="C9" s="47">
        <f t="shared" si="1"/>
        <v>2.0296522572828275E-2</v>
      </c>
      <c r="D9" s="49">
        <f>'Estado de resultados PyG - 12 m'!U9</f>
        <v>3984120.070433259</v>
      </c>
      <c r="E9" s="51">
        <f t="shared" si="5"/>
        <v>1.2224945584701866E-2</v>
      </c>
      <c r="F9" s="49">
        <f>'Estado de resultados PyG - 12 m'!U9+('Estado de resultados PyG - 12 m'!U9*F25)</f>
        <v>4223167.2746592546</v>
      </c>
      <c r="G9" s="51">
        <f t="shared" si="2"/>
        <v>8.4871013377592723E-3</v>
      </c>
      <c r="H9" s="49">
        <f>'Estado de resultados PyG - 12 m'!U9+('Estado de resultados PyG - 12 m'!U9*H25)</f>
        <v>4243087.8750114208</v>
      </c>
      <c r="I9" s="51">
        <f t="shared" si="3"/>
        <v>8.3128865999458276E-3</v>
      </c>
      <c r="J9" s="49">
        <f>'Estado de resultados PyG - 12 m'!U9+('Estado de resultados PyG - 12 m'!U9*J25)</f>
        <v>4263008.475363587</v>
      </c>
      <c r="K9" s="51">
        <f t="shared" si="4"/>
        <v>8.3163860222351428E-3</v>
      </c>
      <c r="L9" s="162">
        <f>'Estado de resultados PyG - 12 m'!U9+('Estado de resultados PyG - 12 m'!U9*L25)</f>
        <v>4270976.7155044535</v>
      </c>
      <c r="M9" s="53"/>
      <c r="N9" s="53"/>
      <c r="O9" s="53"/>
      <c r="P9" s="53"/>
      <c r="Q9" s="53"/>
      <c r="R9" s="53"/>
      <c r="S9" s="53"/>
    </row>
    <row r="10" spans="1:19" ht="12.75">
      <c r="A10" s="50" t="s">
        <v>96</v>
      </c>
      <c r="B10" s="50"/>
      <c r="C10" s="47">
        <f t="shared" si="1"/>
        <v>2.1829312400180021E-2</v>
      </c>
      <c r="D10" s="49">
        <f>'Estado de resultados PyG - 12 m'!$U$10</f>
        <v>4285000.1198602207</v>
      </c>
      <c r="E10" s="51">
        <f t="shared" si="5"/>
        <v>1.3148171332606351E-2</v>
      </c>
      <c r="F10" s="49">
        <f>('Estado de resultados PyG - 12 m'!$U$10)+('Estado de resultados PyG - 12 m'!$U$10*F25)</f>
        <v>4542100.127051834</v>
      </c>
      <c r="G10" s="51">
        <f t="shared" si="2"/>
        <v>9.1280457432623297E-3</v>
      </c>
      <c r="H10" s="49">
        <f>('Estado de resultados PyG - 12 m'!$U$10)+('Estado de resultados PyG - 12 m'!$U$10*H25)</f>
        <v>4563525.1276511354</v>
      </c>
      <c r="I10" s="51">
        <f t="shared" si="3"/>
        <v>8.9406743389836302E-3</v>
      </c>
      <c r="J10" s="49">
        <f>('Estado de resultados PyG - 12 m'!$U$10)+('Estado de resultados PyG - 12 m'!$U$10*J25)</f>
        <v>4584950.1282504359</v>
      </c>
      <c r="K10" s="51">
        <f t="shared" si="4"/>
        <v>8.9444380370308964E-3</v>
      </c>
      <c r="L10" s="162">
        <f>('Estado de resultados PyG - 12 m'!$U$10)+('Estado de resultados PyG - 12 m'!$U$10*L25)</f>
        <v>4593520.1284901565</v>
      </c>
      <c r="M10" s="53"/>
      <c r="N10" s="53"/>
      <c r="O10" s="53"/>
      <c r="P10" s="53"/>
      <c r="Q10" s="53"/>
      <c r="R10" s="53"/>
      <c r="S10" s="53"/>
    </row>
    <row r="11" spans="1:19" ht="12.75">
      <c r="A11" s="30" t="s">
        <v>99</v>
      </c>
      <c r="B11" s="30"/>
      <c r="C11" s="32">
        <f t="shared" si="1"/>
        <v>0.47704695123100482</v>
      </c>
      <c r="D11" s="35">
        <f>D8-D9-D10</f>
        <v>93642264.388820186</v>
      </c>
      <c r="E11" s="36">
        <f t="shared" si="5"/>
        <v>0.68513794368741787</v>
      </c>
      <c r="F11" s="35">
        <f>F8-F9-F10</f>
        <v>236684255.34988606</v>
      </c>
      <c r="G11" s="36">
        <f t="shared" si="2"/>
        <v>0.78141535099296877</v>
      </c>
      <c r="H11" s="35">
        <f>H8-H9-H10</f>
        <v>390665065.63257712</v>
      </c>
      <c r="I11" s="36">
        <f t="shared" si="3"/>
        <v>0.78590864677217886</v>
      </c>
      <c r="J11" s="35">
        <f>J8-J9-J10</f>
        <v>403029102.07787019</v>
      </c>
      <c r="K11" s="36">
        <f t="shared" si="4"/>
        <v>0.78582106983517308</v>
      </c>
      <c r="L11" s="161">
        <f>L8-L9-L10</f>
        <v>403567545.18674833</v>
      </c>
      <c r="M11" s="56"/>
      <c r="N11" s="56"/>
      <c r="O11" s="56"/>
      <c r="P11" s="56"/>
      <c r="Q11" s="45"/>
      <c r="R11" s="45"/>
      <c r="S11" s="45"/>
    </row>
    <row r="12" spans="1:19" ht="12.75">
      <c r="A12" s="57" t="s">
        <v>100</v>
      </c>
      <c r="B12" s="57"/>
      <c r="C12" s="47">
        <f t="shared" si="1"/>
        <v>0</v>
      </c>
      <c r="D12" s="49">
        <v>0</v>
      </c>
      <c r="E12" s="51">
        <f t="shared" si="5"/>
        <v>0</v>
      </c>
      <c r="F12" s="49">
        <v>0</v>
      </c>
      <c r="G12" s="51">
        <f t="shared" si="2"/>
        <v>0</v>
      </c>
      <c r="H12" s="49">
        <v>0</v>
      </c>
      <c r="I12" s="51">
        <f t="shared" si="3"/>
        <v>0</v>
      </c>
      <c r="J12" s="49">
        <v>0</v>
      </c>
      <c r="K12" s="51">
        <f t="shared" si="4"/>
        <v>0</v>
      </c>
      <c r="L12" s="162">
        <v>0</v>
      </c>
      <c r="M12" s="53"/>
      <c r="N12" s="53"/>
      <c r="O12" s="53"/>
      <c r="P12" s="53"/>
      <c r="Q12" s="53"/>
      <c r="R12" s="53"/>
      <c r="S12" s="53"/>
    </row>
    <row r="13" spans="1:19" ht="12.75">
      <c r="A13" s="50" t="s">
        <v>101</v>
      </c>
      <c r="B13" s="50"/>
      <c r="C13" s="47">
        <f t="shared" si="1"/>
        <v>0</v>
      </c>
      <c r="D13" s="49">
        <f>'Estado de resultados PyG - 12 m'!U13</f>
        <v>0</v>
      </c>
      <c r="E13" s="51">
        <f t="shared" si="5"/>
        <v>0</v>
      </c>
      <c r="F13" s="49">
        <v>0</v>
      </c>
      <c r="G13" s="51">
        <f t="shared" si="2"/>
        <v>0</v>
      </c>
      <c r="H13" s="49">
        <v>0</v>
      </c>
      <c r="I13" s="51">
        <f t="shared" si="3"/>
        <v>0</v>
      </c>
      <c r="J13" s="49">
        <v>0</v>
      </c>
      <c r="K13" s="51">
        <f t="shared" si="4"/>
        <v>0</v>
      </c>
      <c r="L13" s="162">
        <v>0</v>
      </c>
      <c r="M13" s="53"/>
      <c r="N13" s="53"/>
      <c r="O13" s="53"/>
      <c r="P13" s="53"/>
      <c r="Q13" s="53"/>
      <c r="R13" s="53"/>
      <c r="S13" s="53"/>
    </row>
    <row r="14" spans="1:19" ht="12.75">
      <c r="A14" s="30" t="s">
        <v>102</v>
      </c>
      <c r="B14" s="30"/>
      <c r="C14" s="32">
        <f t="shared" si="1"/>
        <v>0.47704695123100482</v>
      </c>
      <c r="D14" s="35">
        <f>D11+D12-D13</f>
        <v>93642264.388820186</v>
      </c>
      <c r="E14" s="36">
        <f t="shared" si="5"/>
        <v>0.68513794368741787</v>
      </c>
      <c r="F14" s="35">
        <f>F11+F12-F13</f>
        <v>236684255.34988606</v>
      </c>
      <c r="G14" s="36">
        <f t="shared" si="2"/>
        <v>0.78141535099296877</v>
      </c>
      <c r="H14" s="35">
        <f>H11+H12-H13</f>
        <v>390665065.63257712</v>
      </c>
      <c r="I14" s="36">
        <f t="shared" si="3"/>
        <v>0.78590864677217886</v>
      </c>
      <c r="J14" s="35">
        <f>J11+J12-J13</f>
        <v>403029102.07787019</v>
      </c>
      <c r="K14" s="36">
        <f t="shared" si="4"/>
        <v>0.78582106983517308</v>
      </c>
      <c r="L14" s="161">
        <f>L11+L12-L13</f>
        <v>403567545.18674833</v>
      </c>
      <c r="M14" s="56"/>
      <c r="N14" s="56"/>
      <c r="O14" s="56"/>
      <c r="P14" s="56"/>
      <c r="Q14" s="45"/>
      <c r="R14" s="45"/>
      <c r="S14" s="45"/>
    </row>
    <row r="15" spans="1:19" ht="12.75">
      <c r="A15" s="50" t="s">
        <v>103</v>
      </c>
      <c r="B15" s="50"/>
      <c r="C15" s="47">
        <f t="shared" si="1"/>
        <v>0.24893720936533437</v>
      </c>
      <c r="D15" s="49">
        <f>'Estado de resultados PyG - 12 m'!U15</f>
        <v>48865303.332198858</v>
      </c>
      <c r="E15" s="51">
        <f t="shared" si="5"/>
        <v>0.23294690085372208</v>
      </c>
      <c r="F15" s="49">
        <f>IF(F14&gt;0, F14*0.34, 0)</f>
        <v>80472646.818961263</v>
      </c>
      <c r="G15" s="51">
        <f t="shared" si="2"/>
        <v>0.26568121933760941</v>
      </c>
      <c r="H15" s="49">
        <f>IF(H14&gt;0, H14*0.34, 0)</f>
        <v>132826122.31507623</v>
      </c>
      <c r="I15" s="51">
        <f t="shared" si="3"/>
        <v>0.26720893990254085</v>
      </c>
      <c r="J15" s="49">
        <f>IF(J14&gt;0, J14*0.34, 0)</f>
        <v>137029894.70647588</v>
      </c>
      <c r="K15" s="51">
        <f t="shared" si="4"/>
        <v>0.26717916374395884</v>
      </c>
      <c r="L15" s="162">
        <f>IF(L14&gt;0, L14*0.34, 0)</f>
        <v>137212965.36349443</v>
      </c>
      <c r="M15" s="53"/>
      <c r="N15" s="53"/>
      <c r="O15" s="53"/>
      <c r="P15" s="53"/>
      <c r="Q15" s="53"/>
      <c r="R15" s="53"/>
      <c r="S15" s="53"/>
    </row>
    <row r="16" spans="1:19" ht="12.75">
      <c r="A16" s="30" t="s">
        <v>104</v>
      </c>
      <c r="B16" s="30"/>
      <c r="C16" s="68">
        <f t="shared" si="1"/>
        <v>0.22810974186567046</v>
      </c>
      <c r="D16" s="35">
        <f>D14-D15</f>
        <v>44776961.056621328</v>
      </c>
      <c r="E16" s="69">
        <f t="shared" si="5"/>
        <v>0.45219104283369577</v>
      </c>
      <c r="F16" s="35">
        <f>F14-F15</f>
        <v>156211608.5309248</v>
      </c>
      <c r="G16" s="69">
        <f t="shared" si="2"/>
        <v>0.51573413165535931</v>
      </c>
      <c r="H16" s="35">
        <f>H14-H15</f>
        <v>257838943.31750089</v>
      </c>
      <c r="I16" s="69">
        <f t="shared" si="3"/>
        <v>0.51869970686963796</v>
      </c>
      <c r="J16" s="35">
        <f>J14-J15</f>
        <v>265999207.37139431</v>
      </c>
      <c r="K16" s="69">
        <f t="shared" si="4"/>
        <v>0.5186419060912143</v>
      </c>
      <c r="L16" s="161">
        <f>L14-L15</f>
        <v>266354579.8232539</v>
      </c>
      <c r="M16" s="56"/>
      <c r="N16" s="56"/>
      <c r="O16" s="56"/>
      <c r="P16" s="56"/>
      <c r="Q16" s="45"/>
      <c r="R16" s="45"/>
      <c r="S16" s="45"/>
    </row>
    <row r="17" spans="1:19" ht="12.75">
      <c r="A17" s="7" t="s">
        <v>113</v>
      </c>
      <c r="B17" s="71">
        <v>0</v>
      </c>
      <c r="C17" s="32">
        <f t="shared" si="1"/>
        <v>3.5660486634388009E-3</v>
      </c>
      <c r="D17" s="72">
        <f>D7</f>
        <v>700000.01237494894</v>
      </c>
      <c r="E17" s="36">
        <f t="shared" si="5"/>
        <v>2.0263137481291841E-3</v>
      </c>
      <c r="F17" s="72">
        <f>F7</f>
        <v>700000</v>
      </c>
      <c r="G17" s="36">
        <f t="shared" si="2"/>
        <v>1.400152698090303E-3</v>
      </c>
      <c r="H17" s="72">
        <f>H7</f>
        <v>700000</v>
      </c>
      <c r="I17" s="36">
        <f t="shared" si="3"/>
        <v>1.3650032960503982E-3</v>
      </c>
      <c r="J17" s="72">
        <f>J7</f>
        <v>700000</v>
      </c>
      <c r="K17" s="36">
        <f t="shared" si="4"/>
        <v>1.3630301927031261E-3</v>
      </c>
      <c r="L17" s="163">
        <f>L7</f>
        <v>700000</v>
      </c>
    </row>
    <row r="18" spans="1:19" ht="12.75">
      <c r="A18" s="7" t="s">
        <v>116</v>
      </c>
      <c r="B18" s="71">
        <v>-62190000</v>
      </c>
      <c r="C18" s="32">
        <f t="shared" si="1"/>
        <v>0</v>
      </c>
      <c r="D18" s="73">
        <v>0</v>
      </c>
      <c r="E18" s="36">
        <f t="shared" si="5"/>
        <v>0</v>
      </c>
      <c r="F18" s="73">
        <v>0</v>
      </c>
      <c r="G18" s="36">
        <f t="shared" si="2"/>
        <v>0</v>
      </c>
      <c r="H18" s="73">
        <v>0</v>
      </c>
      <c r="I18" s="36">
        <f t="shared" si="3"/>
        <v>0</v>
      </c>
      <c r="J18" s="73">
        <v>0</v>
      </c>
      <c r="K18" s="36">
        <f t="shared" si="4"/>
        <v>0</v>
      </c>
      <c r="L18" s="164">
        <v>0</v>
      </c>
    </row>
    <row r="19" spans="1:19" ht="12.75">
      <c r="A19" s="5" t="s">
        <v>117</v>
      </c>
      <c r="B19" s="74">
        <f>B18+B17</f>
        <v>-62190000</v>
      </c>
      <c r="C19" s="32">
        <f t="shared" si="1"/>
        <v>0.23167579052910928</v>
      </c>
      <c r="D19" s="76">
        <f>D18+D17+D16</f>
        <v>45476961.06899628</v>
      </c>
      <c r="E19" s="36">
        <f t="shared" si="5"/>
        <v>0.45421735658182499</v>
      </c>
      <c r="F19" s="76">
        <f>F18+F17+F16</f>
        <v>156911608.5309248</v>
      </c>
      <c r="G19" s="36">
        <f t="shared" si="2"/>
        <v>0.51713428435344966</v>
      </c>
      <c r="H19" s="76">
        <f>H18+H17+H16</f>
        <v>258538943.31750089</v>
      </c>
      <c r="I19" s="36">
        <f t="shared" si="3"/>
        <v>0.52006471016568845</v>
      </c>
      <c r="J19" s="76">
        <f>J18+J17+J16</f>
        <v>266699207.37139431</v>
      </c>
      <c r="K19" s="36">
        <f t="shared" si="4"/>
        <v>0.52000493628391742</v>
      </c>
      <c r="L19" s="165">
        <f>L18+L17+L16</f>
        <v>267054579.8232539</v>
      </c>
    </row>
    <row r="22" spans="1:19" ht="12.75">
      <c r="C22" s="11"/>
      <c r="D22" s="99" t="s">
        <v>253</v>
      </c>
      <c r="F22" s="62">
        <f>'Tabla Crecimiento'!B10</f>
        <v>65175.619953865986</v>
      </c>
      <c r="H22" s="62">
        <f>'Tabla Crecimiento'!B11</f>
        <v>94322.751322401688</v>
      </c>
      <c r="J22" s="62">
        <f>'Tabla Crecimiento'!B12</f>
        <v>96751.601360591376</v>
      </c>
      <c r="L22" s="62">
        <f>'Tabla Crecimiento'!B13</f>
        <v>96891.657618714249</v>
      </c>
      <c r="N22" s="11">
        <v>1621</v>
      </c>
      <c r="O22" s="11">
        <f>N22*$N$23</f>
        <v>4863</v>
      </c>
      <c r="P22" s="11">
        <f>O22*$N$23</f>
        <v>14589</v>
      </c>
      <c r="Q22" s="11">
        <f>P22*$N$23</f>
        <v>43767</v>
      </c>
      <c r="R22" s="11">
        <f>Q22*$N$23</f>
        <v>131301</v>
      </c>
      <c r="S22" s="11">
        <f>R22*$N$23</f>
        <v>393903</v>
      </c>
    </row>
    <row r="23" spans="1:19" ht="12.75">
      <c r="D23" s="97" t="s">
        <v>185</v>
      </c>
      <c r="F23">
        <f>('Tabla Crecimiento'!O3+('Tabla Crecimiento'!O3*0.19))</f>
        <v>5300.3698885583981</v>
      </c>
      <c r="M23" s="11" t="s">
        <v>105</v>
      </c>
      <c r="N23" s="11">
        <v>3</v>
      </c>
    </row>
    <row r="24" spans="1:19" ht="12.75">
      <c r="M24" s="11" t="s">
        <v>106</v>
      </c>
      <c r="N24" s="11">
        <v>2860</v>
      </c>
    </row>
    <row r="25" spans="1:19" ht="12.75">
      <c r="D25" s="97" t="s">
        <v>252</v>
      </c>
      <c r="F25" s="147">
        <v>0.06</v>
      </c>
      <c r="H25" s="148">
        <v>6.5000000000000002E-2</v>
      </c>
      <c r="J25" s="147">
        <v>7.0000000000000007E-2</v>
      </c>
      <c r="L25" s="148">
        <v>7.1999999999999995E-2</v>
      </c>
      <c r="M25" s="11" t="s">
        <v>107</v>
      </c>
      <c r="N25" s="11">
        <v>0.03</v>
      </c>
    </row>
    <row r="30" spans="1:19" ht="15.75" customHeight="1">
      <c r="D30" s="44">
        <f>D5+D6+D9+D10+D13+D15</f>
        <v>150818737.17869031</v>
      </c>
    </row>
  </sheetData>
  <mergeCells count="5">
    <mergeCell ref="E1:F1"/>
    <mergeCell ref="C1:D1"/>
    <mergeCell ref="G1:H1"/>
    <mergeCell ref="I1:J1"/>
    <mergeCell ref="K1:L1"/>
  </mergeCells>
  <conditionalFormatting sqref="A1:B16 C1:C19 D1:D16 E1:E19 F1:F16 G1:G19 H1:H16 I6:I19 J6:J16 K6:K19 L6:L16 I1:L5">
    <cfRule type="cellIs" dxfId="2" priority="1" operator="lessThan">
      <formula>0</formula>
    </cfRule>
  </conditionalFormatting>
  <conditionalFormatting sqref="B17:L19">
    <cfRule type="cellIs" dxfId="1" priority="2" operator="lessThan">
      <formula>0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topLeftCell="F4" zoomScale="115" zoomScaleNormal="115" workbookViewId="0">
      <selection activeCell="Q24" sqref="Q24"/>
    </sheetView>
  </sheetViews>
  <sheetFormatPr baseColWidth="10" defaultColWidth="14.42578125" defaultRowHeight="15.75" customHeight="1"/>
  <cols>
    <col min="1" max="1" width="29.28515625" bestFit="1" customWidth="1"/>
    <col min="2" max="2" width="20.42578125" customWidth="1"/>
    <col min="3" max="3" width="17" bestFit="1" customWidth="1"/>
    <col min="4" max="4" width="18.140625" bestFit="1" customWidth="1"/>
    <col min="5" max="6" width="18.42578125" bestFit="1" customWidth="1"/>
    <col min="7" max="7" width="20.85546875" bestFit="1" customWidth="1"/>
    <col min="8" max="8" width="17.42578125" hidden="1" customWidth="1"/>
    <col min="10" max="10" width="18.42578125" customWidth="1"/>
    <col min="13" max="13" width="16.7109375" customWidth="1"/>
  </cols>
  <sheetData>
    <row r="1" spans="1:13" ht="15.75" customHeight="1">
      <c r="A1" s="11" t="s">
        <v>112</v>
      </c>
      <c r="B1" s="66">
        <f>Prestamo!E5</f>
        <v>62189202</v>
      </c>
      <c r="H1" s="44">
        <f>'Flujo de Caja (Profesor) - 5 añ'!B19</f>
        <v>-62190000</v>
      </c>
      <c r="J1" s="25">
        <f>'Flujo de Caja (Profesor) - 5 añ'!B19</f>
        <v>-62190000</v>
      </c>
    </row>
    <row r="2" spans="1:13" ht="15.75" customHeight="1">
      <c r="A2" s="99" t="s">
        <v>279</v>
      </c>
      <c r="B2" s="11">
        <v>0.15</v>
      </c>
      <c r="C2" s="11">
        <v>800</v>
      </c>
      <c r="H2" s="67">
        <f>'Flujo de caja - 5 años'!E13</f>
        <v>103989461.08189452</v>
      </c>
      <c r="J2" s="25">
        <f>'Flujo de Caja (Profesor) - 5 añ'!D19</f>
        <v>45476961.06899628</v>
      </c>
    </row>
    <row r="3" spans="1:13" ht="15.75" customHeight="1">
      <c r="H3" s="67">
        <f>'Flujo de caja - 5 años'!G13</f>
        <v>260901069.61281931</v>
      </c>
      <c r="J3" s="25">
        <f>'Flujo de Caja (Profesor) - 5 añ'!F19</f>
        <v>156911608.5309248</v>
      </c>
    </row>
    <row r="4" spans="1:13" ht="15.75" customHeight="1">
      <c r="A4" s="11"/>
      <c r="B4" s="25">
        <f>'Flujo de caja - 5 años'!E13/((1+$B$2)^1)</f>
        <v>90425618.332082197</v>
      </c>
      <c r="C4" s="25">
        <f>'Flujo de caja - 5 años'!G13/((1+$B$2)^2)</f>
        <v>197278691.57869139</v>
      </c>
      <c r="D4" s="25">
        <f>'Flujo de caja - 5 años'!I13/((1+$B$2)^3)</f>
        <v>341542638.89558339</v>
      </c>
      <c r="E4" s="70">
        <f>'Flujo de caja - 5 años'!K13/((1+$B$2)^4)</f>
        <v>449483907.96300179</v>
      </c>
      <c r="F4" s="70">
        <f>'Flujo de caja - 5 años'!M13/((1+$B$2)^5)</f>
        <v>523633249.16647553</v>
      </c>
      <c r="H4" s="67">
        <f>'Flujo de caja - 5 años'!I13</f>
        <v>519443660.93032026</v>
      </c>
      <c r="J4" s="25">
        <f>'Flujo de Caja (Profesor) - 5 añ'!H19</f>
        <v>258538943.31750089</v>
      </c>
    </row>
    <row r="5" spans="1:13" ht="15.75" customHeight="1">
      <c r="A5" s="11" t="s">
        <v>114</v>
      </c>
      <c r="B5" s="25">
        <f>SUM(B4:F4)-B1</f>
        <v>1540174903.9358342</v>
      </c>
      <c r="H5" s="67">
        <f>'Flujo de caja - 5 años'!K13</f>
        <v>786150164.30171466</v>
      </c>
      <c r="J5" s="25">
        <f>'Flujo de Caja (Profesor) - 5 añ'!J19</f>
        <v>266699207.37139431</v>
      </c>
      <c r="L5" s="11" t="s">
        <v>115</v>
      </c>
    </row>
    <row r="6" spans="1:13" ht="15.75" customHeight="1">
      <c r="A6" s="11"/>
      <c r="B6" s="25">
        <f>'Flujo de caja - 5 años'!E13/(1+$C$2)^1</f>
        <v>129824.54567028029</v>
      </c>
      <c r="C6" s="25">
        <f>'Flujo de caja - 5 años'!G13/(1+$C$2)^2</f>
        <v>406.6406841835024</v>
      </c>
      <c r="D6" s="25">
        <f>'Flujo de caja - 5 años'!I13/(1+$C$2)^3</f>
        <v>1.0107433727729651</v>
      </c>
      <c r="E6" s="70">
        <f>'Flujo de caja - 5 años'!K13/(1+$B$2)^4</f>
        <v>449483907.96300179</v>
      </c>
      <c r="F6" s="70">
        <f>'Flujo de caja - 5 años'!M13/(1+$B$2)^5</f>
        <v>523633249.16647553</v>
      </c>
      <c r="H6" s="67">
        <f>'Flujo de caja - 5 años'!M13</f>
        <v>1053213499.3249686</v>
      </c>
      <c r="J6" s="25">
        <f>'Flujo de Caja (Profesor) - 5 añ'!L19</f>
        <v>267054579.8232539</v>
      </c>
      <c r="L6" s="11">
        <v>0</v>
      </c>
      <c r="M6" s="44">
        <f t="shared" ref="M6:M45" si="0">NPV(L6,$J$2:$J$6)+$J$1</f>
        <v>932491300.11207008</v>
      </c>
    </row>
    <row r="7" spans="1:13" ht="15.75" customHeight="1">
      <c r="A7" s="11" t="s">
        <v>118</v>
      </c>
      <c r="B7" s="25">
        <f>SUM(B6:F6)-B1</f>
        <v>911058187.32657516</v>
      </c>
      <c r="H7" s="75">
        <f>'Flujo de caja - 5 años'!E18</f>
        <v>0</v>
      </c>
      <c r="L7" s="11">
        <v>0.05</v>
      </c>
      <c r="M7" s="44">
        <f t="shared" si="0"/>
        <v>775438854.96259463</v>
      </c>
    </row>
    <row r="8" spans="1:13" ht="15.75" customHeight="1">
      <c r="L8" s="11">
        <v>0.1</v>
      </c>
      <c r="M8" s="44">
        <f t="shared" si="0"/>
        <v>651054872.12233496</v>
      </c>
    </row>
    <row r="9" spans="1:13" ht="15.75" customHeight="1">
      <c r="G9" s="11" t="s">
        <v>285</v>
      </c>
      <c r="H9" s="44" t="s">
        <v>266</v>
      </c>
      <c r="I9" t="s">
        <v>283</v>
      </c>
      <c r="J9" s="44" t="s">
        <v>284</v>
      </c>
      <c r="L9" s="11">
        <v>0.15</v>
      </c>
      <c r="M9" s="44">
        <f t="shared" si="0"/>
        <v>551255916.1560055</v>
      </c>
    </row>
    <row r="10" spans="1:13" ht="15.75" customHeight="1">
      <c r="G10" s="11" t="s">
        <v>114</v>
      </c>
      <c r="H10" s="44">
        <f t="array" ref="H10">NPV(0.15,H2:H6)+H1</f>
        <v>1540174105.9358344</v>
      </c>
      <c r="J10" s="44">
        <f t="array" ref="J10">NPV(0.15,J2:J6)+J1</f>
        <v>551255916.1560055</v>
      </c>
      <c r="L10" s="11">
        <v>0.2</v>
      </c>
      <c r="M10" s="44">
        <f t="shared" si="0"/>
        <v>470231068.45592093</v>
      </c>
    </row>
    <row r="11" spans="1:13" ht="15.75" customHeight="1">
      <c r="G11" s="11" t="s">
        <v>118</v>
      </c>
      <c r="H11" s="77">
        <f>IRR(H1:H6)</f>
        <v>2.7290981934208092</v>
      </c>
      <c r="J11" s="77">
        <f>IRR(J1:J6)</f>
        <v>1.6242343162061208</v>
      </c>
      <c r="L11" s="11">
        <v>0.25</v>
      </c>
      <c r="M11" s="44">
        <f t="shared" si="0"/>
        <v>403735377.34935635</v>
      </c>
    </row>
    <row r="12" spans="1:13" ht="15.75" customHeight="1">
      <c r="G12" s="11" t="s">
        <v>119</v>
      </c>
      <c r="J12" s="11" t="s">
        <v>120</v>
      </c>
      <c r="L12" s="11">
        <v>0.3</v>
      </c>
      <c r="M12" s="44">
        <f t="shared" si="0"/>
        <v>348621923.75408232</v>
      </c>
    </row>
    <row r="13" spans="1:13" ht="15.75" customHeight="1">
      <c r="L13" s="11">
        <v>0.35</v>
      </c>
      <c r="M13" s="44">
        <f t="shared" si="0"/>
        <v>302526090.1064831</v>
      </c>
    </row>
    <row r="14" spans="1:13" ht="15.75" customHeight="1">
      <c r="L14" s="11">
        <v>0.4</v>
      </c>
      <c r="M14" s="44">
        <f t="shared" si="0"/>
        <v>263648851.83573467</v>
      </c>
    </row>
    <row r="15" spans="1:13" ht="15.75" customHeight="1">
      <c r="L15" s="11">
        <v>0.45</v>
      </c>
      <c r="M15" s="44">
        <f t="shared" si="0"/>
        <v>230605673.53827584</v>
      </c>
    </row>
    <row r="16" spans="1:13" ht="15.75" customHeight="1">
      <c r="A16" s="11" t="s">
        <v>121</v>
      </c>
      <c r="B16">
        <f>B17/(B19-B18)</f>
        <v>3062.5215773678892</v>
      </c>
      <c r="L16" s="11">
        <v>0.5</v>
      </c>
      <c r="M16" s="44">
        <f t="shared" si="0"/>
        <v>202319604.28620735</v>
      </c>
    </row>
    <row r="17" spans="1:13" ht="15.75" customHeight="1">
      <c r="A17" s="11" t="s">
        <v>122</v>
      </c>
      <c r="B17" s="44">
        <f>'Estado de resultados PyG - 12 m'!I6+'Estado de resultados PyG - 12 m'!I7+'Estado de resultados PyG - 12 m'!I9+'Estado de resultados PyG - 12 m'!I10+'Estado de resultados PyG - 12 m'!I13</f>
        <v>8701569.3333333321</v>
      </c>
      <c r="L17" s="11">
        <v>0.55000000000000004</v>
      </c>
      <c r="M17" s="44">
        <f t="shared" si="0"/>
        <v>177944616.05576068</v>
      </c>
    </row>
    <row r="18" spans="1:13" ht="15.75" customHeight="1">
      <c r="A18" s="11" t="s">
        <v>123</v>
      </c>
      <c r="B18" s="44">
        <f>'Estado de resultados PyG - 12 m'!I5/'Estado de resultados PyG - 12 m'!I18</f>
        <v>18.691257022269912</v>
      </c>
      <c r="L18" s="11">
        <v>0.6</v>
      </c>
      <c r="M18" s="44">
        <f t="shared" si="0"/>
        <v>156809935.82865989</v>
      </c>
    </row>
    <row r="19" spans="1:13" ht="15.75" customHeight="1">
      <c r="A19" s="11" t="s">
        <v>124</v>
      </c>
      <c r="B19" s="11">
        <v>2860</v>
      </c>
      <c r="L19" s="11">
        <v>0.65</v>
      </c>
      <c r="M19" s="44">
        <f t="shared" si="0"/>
        <v>138379147.16062474</v>
      </c>
    </row>
    <row r="20" spans="1:13" ht="15.75" customHeight="1">
      <c r="L20" s="11">
        <v>0.7</v>
      </c>
      <c r="M20" s="44">
        <f t="shared" si="0"/>
        <v>122219812.9458811</v>
      </c>
    </row>
    <row r="21" spans="1:13" ht="15.75" customHeight="1">
      <c r="A21" s="119" t="s">
        <v>265</v>
      </c>
      <c r="B21" s="119" t="s">
        <v>266</v>
      </c>
      <c r="C21" s="97" t="s">
        <v>267</v>
      </c>
      <c r="D21" s="97" t="s">
        <v>268</v>
      </c>
      <c r="E21" s="97" t="s">
        <v>269</v>
      </c>
      <c r="F21" s="97" t="s">
        <v>270</v>
      </c>
      <c r="G21" s="97" t="s">
        <v>271</v>
      </c>
      <c r="L21" s="11">
        <v>0.75</v>
      </c>
      <c r="M21" s="44">
        <f t="shared" si="0"/>
        <v>107980681.10409883</v>
      </c>
    </row>
    <row r="22" spans="1:13" ht="15.75" customHeight="1">
      <c r="A22" s="119"/>
      <c r="B22" s="149" t="s">
        <v>77</v>
      </c>
      <c r="C22" s="97" t="s">
        <v>74</v>
      </c>
      <c r="D22" s="97" t="s">
        <v>75</v>
      </c>
      <c r="E22" s="97" t="s">
        <v>76</v>
      </c>
      <c r="F22" s="97" t="s">
        <v>78</v>
      </c>
      <c r="G22" s="97" t="s">
        <v>79</v>
      </c>
      <c r="L22" s="11">
        <v>0.8</v>
      </c>
      <c r="M22" s="44">
        <f t="shared" si="0"/>
        <v>95374415.61831674</v>
      </c>
    </row>
    <row r="23" spans="1:13" ht="15.75" customHeight="1">
      <c r="A23" s="118" t="s">
        <v>261</v>
      </c>
      <c r="B23" s="178">
        <f>B1*-1</f>
        <v>-62189202</v>
      </c>
      <c r="C23" s="170">
        <f>'Flujo de Caja (Profesor) - 5 añ'!D19</f>
        <v>45476961.06899628</v>
      </c>
      <c r="D23" s="170">
        <f>'Flujo de Caja (Profesor) - 5 añ'!F19</f>
        <v>156911608.5309248</v>
      </c>
      <c r="E23" s="170">
        <f>'Flujo de Caja (Profesor) - 5 añ'!H19</f>
        <v>258538943.31750089</v>
      </c>
      <c r="F23" s="170">
        <f>'Flujo de Caja (Profesor) - 5 añ'!J19</f>
        <v>266699207.37139431</v>
      </c>
      <c r="G23" s="170">
        <f>'Flujo de Caja (Profesor) - 5 añ'!L19</f>
        <v>267054579.8232539</v>
      </c>
      <c r="L23" s="11">
        <v>0.85</v>
      </c>
      <c r="M23" s="44">
        <f t="shared" si="0"/>
        <v>84164395.232070923</v>
      </c>
    </row>
    <row r="24" spans="1:13" ht="15.75" customHeight="1">
      <c r="B24" s="44"/>
      <c r="L24" s="11">
        <v>0.9</v>
      </c>
      <c r="M24" s="44">
        <f t="shared" si="0"/>
        <v>74154535.758302122</v>
      </c>
    </row>
    <row r="25" spans="1:13" ht="12.75">
      <c r="A25" s="118" t="s">
        <v>265</v>
      </c>
      <c r="B25" s="119" t="s">
        <v>266</v>
      </c>
      <c r="C25" s="171" t="s">
        <v>267</v>
      </c>
      <c r="L25" s="11">
        <v>0.95</v>
      </c>
      <c r="M25" s="44">
        <f t="shared" si="0"/>
        <v>65181380.489019707</v>
      </c>
    </row>
    <row r="26" spans="1:13" ht="12.75">
      <c r="A26" s="118" t="s">
        <v>262</v>
      </c>
      <c r="B26" s="119"/>
      <c r="C26" s="171">
        <f>J1+(C23/C47)+(D23/C47*C48)+(E23/C47*C48*C49)+(F23/C47*C48*C49*C50)+(G23/C47*C48*C49*C50*C51)</f>
        <v>1045731715.0794715</v>
      </c>
      <c r="L26" s="11">
        <v>1</v>
      </c>
      <c r="M26" s="44">
        <f t="shared" si="0"/>
        <v>57107906.662105799</v>
      </c>
    </row>
    <row r="27" spans="1:13" ht="12.75">
      <c r="A27" s="150" t="s">
        <v>278</v>
      </c>
      <c r="B27" s="150"/>
      <c r="C27" s="171">
        <f>-B1+(C23/(1+B2))+(D23/(1+B2)^2)+(E23/(1+B2)^3)+(F23/(1+B2)^4)+(G23/(1+B2)^5)</f>
        <v>551256714.1560055</v>
      </c>
      <c r="L27" s="11">
        <v>1.05</v>
      </c>
      <c r="M27" s="44">
        <f t="shared" si="0"/>
        <v>49818640.900405675</v>
      </c>
    </row>
    <row r="28" spans="1:13" ht="12.75">
      <c r="A28" s="150" t="s">
        <v>118</v>
      </c>
      <c r="B28" s="150"/>
      <c r="C28" s="147">
        <f>B32+((B34-B32)*(E32/(E32+E34)))</f>
        <v>3.0480820426108131</v>
      </c>
      <c r="L28" s="11">
        <v>1.1000000000000001</v>
      </c>
      <c r="M28" s="44">
        <f>NPV(L28,$J$2:$J$6)+$J$1</f>
        <v>43215780.819431305</v>
      </c>
    </row>
    <row r="29" spans="1:13" ht="12.75">
      <c r="A29" s="118"/>
      <c r="B29" s="119"/>
      <c r="L29" s="11">
        <v>1.1499999999999999</v>
      </c>
      <c r="M29" s="44">
        <f>NPV(L29,$J$2:$J$6)+$J$1</f>
        <v>37216095.710314304</v>
      </c>
    </row>
    <row r="30" spans="1:13" ht="12.75">
      <c r="A30" s="118"/>
      <c r="B30" s="119"/>
      <c r="L30" s="11">
        <v>1.2</v>
      </c>
      <c r="M30" s="44">
        <f>NPV(L30,$J$2:$J$6)+$J$1</f>
        <v>31748434.652536154</v>
      </c>
    </row>
    <row r="31" spans="1:13" ht="12.75">
      <c r="A31" s="118" t="s">
        <v>265</v>
      </c>
      <c r="B31" s="175" t="s">
        <v>266</v>
      </c>
      <c r="L31" s="11">
        <v>1.25</v>
      </c>
      <c r="M31" s="44">
        <f t="shared" ref="M31:M66" si="1">NPV(L31,$J$2:$J$6)+$J$1</f>
        <v>26751711.356332436</v>
      </c>
    </row>
    <row r="32" spans="1:13" ht="12.75">
      <c r="A32" s="118" t="s">
        <v>272</v>
      </c>
      <c r="B32" s="175">
        <f>(((C23+D23+E23+F23+G23)/B1)-1)/5</f>
        <v>2.9988874856830292</v>
      </c>
      <c r="D32" t="s">
        <v>280</v>
      </c>
      <c r="E32" s="177">
        <f>-$B$1+($C$23/(1+B32))+($D$23/((1+B32)^2))+($E$23/((1+B32)^3))+($F$23/((1+B32)^4))+($G$23/((1+B32)^5))</f>
        <v>-35657210.16321066</v>
      </c>
      <c r="L32" s="11">
        <v>1.3</v>
      </c>
      <c r="M32" s="44">
        <f t="shared" si="1"/>
        <v>22173265.509213895</v>
      </c>
    </row>
    <row r="33" spans="1:13" ht="12.75">
      <c r="A33" s="150"/>
      <c r="B33" s="175">
        <v>3.2</v>
      </c>
      <c r="D33" t="s">
        <v>280</v>
      </c>
      <c r="E33" s="177">
        <f t="shared" ref="E33:E34" si="2">-$B$1+($C$23/(1+B33))+($D$23/((1+B33)^2))+($E$23/((1+B33)^3))+($F$23/((1+B33)^4))+($G$23/((1+B33)^5))</f>
        <v>-37915092.127963498</v>
      </c>
      <c r="L33" s="11">
        <v>1.35</v>
      </c>
      <c r="M33" s="44">
        <f t="shared" si="1"/>
        <v>17967523.25272584</v>
      </c>
    </row>
    <row r="34" spans="1:13" ht="12.75">
      <c r="A34" s="118" t="s">
        <v>273</v>
      </c>
      <c r="B34" s="176">
        <f>B32+0.1</f>
        <v>3.0988874856830293</v>
      </c>
      <c r="D34" t="s">
        <v>280</v>
      </c>
      <c r="E34" s="177">
        <f t="shared" si="2"/>
        <v>-36824813.032067746</v>
      </c>
      <c r="L34" s="11">
        <v>1.4</v>
      </c>
      <c r="M34" s="44">
        <f t="shared" si="1"/>
        <v>14094896.67373018</v>
      </c>
    </row>
    <row r="35" spans="1:13" ht="12.75">
      <c r="A35" s="118"/>
      <c r="B35" s="119"/>
      <c r="L35" s="11">
        <v>1.45</v>
      </c>
      <c r="M35" s="44">
        <f t="shared" si="1"/>
        <v>10520875.31722407</v>
      </c>
    </row>
    <row r="36" spans="1:13" ht="12.75">
      <c r="A36" s="118" t="s">
        <v>265</v>
      </c>
      <c r="B36" s="174" t="s">
        <v>266</v>
      </c>
      <c r="L36" s="11">
        <v>1.5</v>
      </c>
      <c r="M36" s="44">
        <f t="shared" si="1"/>
        <v>7215272.7709643543</v>
      </c>
    </row>
    <row r="37" spans="1:13" ht="12.75">
      <c r="A37" s="118" t="s">
        <v>274</v>
      </c>
      <c r="B37" s="174"/>
      <c r="L37" s="11">
        <v>1.55</v>
      </c>
      <c r="M37" s="44">
        <f t="shared" si="1"/>
        <v>4151599.1064622849</v>
      </c>
    </row>
    <row r="38" spans="1:13" ht="12.75">
      <c r="A38" s="118" t="s">
        <v>275</v>
      </c>
      <c r="B38" s="174">
        <f>-B1+(C23/(1+B34))+(D23/((1+B34)^2))+(E23/((1+B34)^3))+(F23/((1+B34)^4))+(G23/((1+B34)^5))</f>
        <v>-36824813.032067746</v>
      </c>
      <c r="L38" s="11">
        <v>1.6</v>
      </c>
      <c r="M38" s="44">
        <f t="shared" si="1"/>
        <v>1306535.952580601</v>
      </c>
    </row>
    <row r="39" spans="1:13" ht="12.75">
      <c r="A39" s="118" t="s">
        <v>277</v>
      </c>
      <c r="B39" s="174">
        <f>E32*-1</f>
        <v>35657210.16321066</v>
      </c>
      <c r="L39" s="11">
        <v>1.65</v>
      </c>
      <c r="M39" s="44">
        <f t="shared" si="1"/>
        <v>-1340504.3538783267</v>
      </c>
    </row>
    <row r="40" spans="1:13" ht="12.75">
      <c r="A40" s="118" t="s">
        <v>276</v>
      </c>
      <c r="B40" s="174">
        <f>B38*-1</f>
        <v>36824813.032067746</v>
      </c>
      <c r="L40" s="11">
        <v>1.7</v>
      </c>
      <c r="M40" s="44">
        <f t="shared" si="1"/>
        <v>-3807750.4393077567</v>
      </c>
    </row>
    <row r="41" spans="1:13" ht="12.75">
      <c r="A41" s="118" t="s">
        <v>118</v>
      </c>
      <c r="B41" s="174">
        <f>B32+(B39/(B39+B40))</f>
        <v>3.4908330549608668</v>
      </c>
      <c r="L41" s="11">
        <v>1.75</v>
      </c>
      <c r="M41" s="44">
        <f t="shared" si="1"/>
        <v>-6111386.4051334113</v>
      </c>
    </row>
    <row r="42" spans="1:13" ht="12.75">
      <c r="A42" s="118"/>
      <c r="B42" s="119"/>
      <c r="L42" s="11">
        <v>1.8</v>
      </c>
      <c r="M42" s="44">
        <f t="shared" si="1"/>
        <v>-8265818.9201664701</v>
      </c>
    </row>
    <row r="43" spans="1:13" ht="12.75">
      <c r="B43" s="44"/>
      <c r="L43" s="11">
        <v>1.85</v>
      </c>
      <c r="M43" s="44">
        <f t="shared" si="1"/>
        <v>-10283904.820713378</v>
      </c>
    </row>
    <row r="44" spans="1:13" ht="12.75">
      <c r="L44" s="11">
        <v>1.9</v>
      </c>
      <c r="M44" s="44">
        <f t="shared" si="1"/>
        <v>-12177145.697467849</v>
      </c>
    </row>
    <row r="45" spans="1:13" ht="12.75">
      <c r="A45" s="118" t="s">
        <v>265</v>
      </c>
      <c r="B45" s="119" t="s">
        <v>266</v>
      </c>
      <c r="C45" s="97" t="s">
        <v>267</v>
      </c>
      <c r="L45" s="11">
        <v>1.95</v>
      </c>
      <c r="M45" s="44">
        <f t="shared" si="1"/>
        <v>-13955854.785927847</v>
      </c>
    </row>
    <row r="46" spans="1:13" ht="12.75">
      <c r="A46" s="118" t="s">
        <v>263</v>
      </c>
      <c r="B46" s="119"/>
      <c r="C46" s="97" t="s">
        <v>264</v>
      </c>
      <c r="L46" s="11">
        <v>2</v>
      </c>
      <c r="M46" s="44">
        <f t="shared" si="1"/>
        <v>-15629300.540252626</v>
      </c>
    </row>
    <row r="47" spans="1:13" ht="15.75" customHeight="1">
      <c r="A47" s="97" t="s">
        <v>74</v>
      </c>
      <c r="B47" s="172">
        <v>5.7500000000000002E-2</v>
      </c>
      <c r="C47" s="173">
        <f xml:space="preserve"> 1 +B47</f>
        <v>1.0575000000000001</v>
      </c>
      <c r="L47" s="11">
        <v>2.0499999999999998</v>
      </c>
      <c r="M47" s="44">
        <f t="shared" si="1"/>
        <v>-17205830.512229562</v>
      </c>
    </row>
    <row r="48" spans="1:13" ht="15.75" customHeight="1">
      <c r="A48" s="97" t="s">
        <v>75</v>
      </c>
      <c r="B48" s="172">
        <v>0.06</v>
      </c>
      <c r="C48" s="173">
        <f t="shared" ref="C48:C51" si="3" xml:space="preserve"> 1 +B48</f>
        <v>1.06</v>
      </c>
      <c r="L48" s="11">
        <v>2.1</v>
      </c>
      <c r="M48" s="44">
        <f t="shared" si="1"/>
        <v>-18692978.540856525</v>
      </c>
    </row>
    <row r="49" spans="1:13" ht="15.75" customHeight="1">
      <c r="A49" s="97" t="s">
        <v>76</v>
      </c>
      <c r="B49" s="172">
        <v>6.5000000000000002E-2</v>
      </c>
      <c r="C49" s="173">
        <f t="shared" si="3"/>
        <v>1.0649999999999999</v>
      </c>
      <c r="L49" s="11">
        <v>2.15</v>
      </c>
      <c r="M49" s="44">
        <f t="shared" si="1"/>
        <v>-20097557.755401447</v>
      </c>
    </row>
    <row r="50" spans="1:13" ht="15.75" customHeight="1">
      <c r="A50" s="97" t="s">
        <v>78</v>
      </c>
      <c r="B50" s="172">
        <v>7.0000000000000007E-2</v>
      </c>
      <c r="C50" s="173">
        <f t="shared" si="3"/>
        <v>1.07</v>
      </c>
      <c r="L50" s="11">
        <v>2.2000000000000002</v>
      </c>
      <c r="M50" s="44">
        <f t="shared" si="1"/>
        <v>-21425741.483233422</v>
      </c>
    </row>
    <row r="51" spans="1:13" ht="15.75" customHeight="1">
      <c r="A51" s="97" t="s">
        <v>79</v>
      </c>
      <c r="B51" s="172">
        <v>7.1999999999999995E-2</v>
      </c>
      <c r="C51" s="173">
        <f t="shared" si="3"/>
        <v>1.0720000000000001</v>
      </c>
      <c r="L51" s="11">
        <v>2.25</v>
      </c>
      <c r="M51" s="44">
        <f t="shared" si="1"/>
        <v>-22683133.815508023</v>
      </c>
    </row>
    <row r="52" spans="1:13" ht="15.75" customHeight="1">
      <c r="L52" s="11">
        <v>2.2999999999999998</v>
      </c>
      <c r="M52" s="44">
        <f t="shared" si="1"/>
        <v>-23874831.304893754</v>
      </c>
    </row>
    <row r="53" spans="1:13" ht="15.75" customHeight="1">
      <c r="L53" s="11">
        <v>2.35</v>
      </c>
      <c r="M53" s="44">
        <f t="shared" si="1"/>
        <v>-25005477.03876517</v>
      </c>
    </row>
    <row r="54" spans="1:13" ht="15.75" customHeight="1">
      <c r="L54" s="11">
        <v>2.4</v>
      </c>
      <c r="M54" s="44">
        <f t="shared" si="1"/>
        <v>-26079308.139733449</v>
      </c>
    </row>
    <row r="55" spans="1:13" ht="15.75" customHeight="1">
      <c r="L55" s="11">
        <v>2.4500000000000002</v>
      </c>
      <c r="M55" s="44">
        <f t="shared" si="1"/>
        <v>-27100197.585873097</v>
      </c>
    </row>
    <row r="56" spans="1:13" ht="15.75" customHeight="1">
      <c r="L56" s="11">
        <v>2.5</v>
      </c>
      <c r="M56" s="44">
        <f t="shared" si="1"/>
        <v>-28071691.109766789</v>
      </c>
    </row>
    <row r="57" spans="1:13" ht="15.75" customHeight="1">
      <c r="L57" s="11">
        <v>2.5499999999999998</v>
      </c>
      <c r="M57" s="44">
        <f t="shared" si="1"/>
        <v>-28997039.823873587</v>
      </c>
    </row>
    <row r="58" spans="1:13" ht="15.75" customHeight="1">
      <c r="L58" s="11">
        <v>2.6</v>
      </c>
      <c r="M58" s="44">
        <f t="shared" si="1"/>
        <v>-29879229.125949297</v>
      </c>
    </row>
    <row r="59" spans="1:13" ht="15.75" customHeight="1">
      <c r="L59" s="11">
        <v>2.65</v>
      </c>
      <c r="M59" s="44">
        <f t="shared" si="1"/>
        <v>-30721004.359243378</v>
      </c>
    </row>
    <row r="60" spans="1:13" ht="15.75" customHeight="1">
      <c r="L60" s="11">
        <v>2.7</v>
      </c>
      <c r="M60" s="44">
        <f t="shared" si="1"/>
        <v>-31524893.635455437</v>
      </c>
    </row>
    <row r="61" spans="1:13" ht="15.75" customHeight="1">
      <c r="L61" s="11">
        <v>2.75</v>
      </c>
      <c r="M61" s="44">
        <f t="shared" si="1"/>
        <v>-32293228.17190602</v>
      </c>
    </row>
    <row r="62" spans="1:13" ht="15.75" customHeight="1">
      <c r="L62" s="11">
        <v>2.8</v>
      </c>
      <c r="M62" s="44">
        <f t="shared" si="1"/>
        <v>-33028160.446375992</v>
      </c>
    </row>
    <row r="63" spans="1:13" ht="15.75" customHeight="1">
      <c r="L63" s="11">
        <v>2.85</v>
      </c>
      <c r="M63" s="44">
        <f t="shared" si="1"/>
        <v>-33731680.432208255</v>
      </c>
    </row>
    <row r="64" spans="1:13" ht="15.75" customHeight="1">
      <c r="L64" s="11">
        <v>2.9</v>
      </c>
      <c r="M64" s="44">
        <f t="shared" si="1"/>
        <v>-34405630.141400546</v>
      </c>
    </row>
    <row r="65" spans="12:13" ht="15.75" customHeight="1">
      <c r="L65" s="11">
        <v>2.95</v>
      </c>
      <c r="M65" s="44">
        <f t="shared" si="1"/>
        <v>-35051716.673597604</v>
      </c>
    </row>
    <row r="66" spans="12:13" ht="15.75" customHeight="1">
      <c r="L66" s="11">
        <v>3</v>
      </c>
      <c r="M66" s="44">
        <f t="shared" si="1"/>
        <v>-35671523.943329021</v>
      </c>
    </row>
  </sheetData>
  <pageMargins left="0.7" right="0.7" top="0.75" bottom="0.75" header="0.3" footer="0.3"/>
  <pageSetup paperSize="9" orientation="portrait" r:id="rId1"/>
  <drawing r:id="rId2"/>
  <tableParts count="6">
    <tablePart r:id="rId3"/>
    <tablePart r:id="rId4"/>
    <tablePart r:id="rId5"/>
    <tablePart r:id="rId6"/>
    <tablePart r:id="rId7"/>
    <tablePart r:id="rId8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zoomScale="160" zoomScaleNormal="160" workbookViewId="0">
      <selection sqref="A1:E16"/>
    </sheetView>
  </sheetViews>
  <sheetFormatPr baseColWidth="10" defaultColWidth="14.42578125" defaultRowHeight="15.75" customHeight="1"/>
  <cols>
    <col min="1" max="1" width="30.5703125" bestFit="1" customWidth="1"/>
    <col min="2" max="2" width="9.28515625" customWidth="1"/>
    <col min="3" max="3" width="14.42578125" customWidth="1"/>
    <col min="4" max="4" width="8.5703125" customWidth="1"/>
    <col min="5" max="5" width="14.42578125" customWidth="1"/>
    <col min="6" max="6" width="9" customWidth="1"/>
    <col min="8" max="8" width="8.140625" customWidth="1"/>
    <col min="9" max="9" width="14.28515625" bestFit="1" customWidth="1"/>
    <col min="10" max="10" width="9" customWidth="1"/>
    <col min="11" max="11" width="14.28515625" bestFit="1" customWidth="1"/>
  </cols>
  <sheetData>
    <row r="1" spans="1:11" ht="15.75" customHeight="1">
      <c r="A1" s="158"/>
      <c r="B1" s="213" t="s">
        <v>74</v>
      </c>
      <c r="C1" s="214"/>
      <c r="D1" s="213" t="s">
        <v>75</v>
      </c>
      <c r="E1" s="214"/>
      <c r="F1" s="213" t="s">
        <v>76</v>
      </c>
      <c r="G1" s="214"/>
      <c r="H1" s="213" t="s">
        <v>78</v>
      </c>
      <c r="I1" s="214"/>
      <c r="J1" s="217" t="s">
        <v>79</v>
      </c>
      <c r="K1" s="218"/>
    </row>
    <row r="2" spans="1:11" ht="15.75" customHeight="1">
      <c r="A2" s="31" t="s">
        <v>127</v>
      </c>
      <c r="B2" s="82">
        <f>C2/$C$2</f>
        <v>1</v>
      </c>
      <c r="C2" s="84">
        <f>SUM(C4,C8)</f>
        <v>199095698.24768659</v>
      </c>
      <c r="D2" s="82">
        <f>E2/$E$2</f>
        <v>1</v>
      </c>
      <c r="E2" s="84">
        <f>SUM(E4,E8)</f>
        <v>352804893.47159714</v>
      </c>
      <c r="F2" s="82">
        <f>G2/$G$2</f>
        <v>1</v>
      </c>
      <c r="G2" s="84">
        <f>SUM(G4,G8)</f>
        <v>519720470.91523975</v>
      </c>
      <c r="H2" s="82">
        <f>I2/$I$2</f>
        <v>1</v>
      </c>
      <c r="I2" s="84">
        <f>SUM(I4,I8)</f>
        <v>564706774.52148426</v>
      </c>
      <c r="J2" s="33">
        <f>K2/$K$2</f>
        <v>1</v>
      </c>
      <c r="K2" s="166">
        <f>SUM(K4,K8)</f>
        <v>646780374.49474287</v>
      </c>
    </row>
    <row r="3" spans="1:11" ht="15.75" customHeight="1">
      <c r="A3" s="31" t="s">
        <v>141</v>
      </c>
      <c r="B3" s="82"/>
      <c r="C3" s="88"/>
      <c r="D3" s="82"/>
      <c r="E3" s="88"/>
      <c r="F3" s="82"/>
      <c r="G3" s="88"/>
      <c r="H3" s="82">
        <f>I3/$I$2</f>
        <v>0</v>
      </c>
      <c r="I3" s="88"/>
      <c r="J3" s="89"/>
      <c r="K3" s="167"/>
    </row>
    <row r="4" spans="1:11" ht="15.75" customHeight="1">
      <c r="A4" s="40" t="s">
        <v>146</v>
      </c>
      <c r="B4" s="90">
        <f>C4/$C$2</f>
        <v>0.9859364113607485</v>
      </c>
      <c r="C4" s="91">
        <f>'Estado de resultados PyG - 5 añ'!C3</f>
        <v>196295698.24768659</v>
      </c>
      <c r="D4" s="90">
        <f>E4/$E$2</f>
        <v>0.97916695562899914</v>
      </c>
      <c r="E4" s="91">
        <f>'Estado de resultados PyG - 5 añ'!E3</f>
        <v>345454893.47159714</v>
      </c>
      <c r="F4" s="82">
        <f>G4/$G$2</f>
        <v>0.96195070021933948</v>
      </c>
      <c r="G4" s="91">
        <f>'Estado de resultados PyG - 5 añ'!G3</f>
        <v>499945470.91523975</v>
      </c>
      <c r="H4" s="82">
        <f>I4/$I$2</f>
        <v>0.90811603058247725</v>
      </c>
      <c r="I4" s="91">
        <f>'Estado de resultados PyG - 5 añ'!I3</f>
        <v>512819274.52148426</v>
      </c>
      <c r="J4" s="33">
        <f>K4/$K$2</f>
        <v>0.79402784120642367</v>
      </c>
      <c r="K4" s="168">
        <f>'Estado de resultados PyG - 5 añ'!K3</f>
        <v>513561624.49474293</v>
      </c>
    </row>
    <row r="5" spans="1:11" ht="15.75" customHeight="1">
      <c r="A5" s="31" t="s">
        <v>154</v>
      </c>
      <c r="B5" s="82"/>
      <c r="C5" s="88"/>
      <c r="D5" s="82"/>
      <c r="E5" s="88"/>
      <c r="F5" s="82"/>
      <c r="G5" s="88"/>
      <c r="H5" s="82"/>
      <c r="I5" s="88"/>
      <c r="J5" s="89"/>
      <c r="K5" s="167"/>
    </row>
    <row r="6" spans="1:11" ht="15.75" customHeight="1">
      <c r="A6" s="40" t="s">
        <v>158</v>
      </c>
      <c r="B6" s="90">
        <f>C6/$C$2</f>
        <v>1.7579485799064314E-2</v>
      </c>
      <c r="C6" s="43">
        <f>'Presupuesto Inicial'!$D$21</f>
        <v>3500000</v>
      </c>
      <c r="D6" s="90">
        <f>E6/$E$2</f>
        <v>2.4801243298810498E-2</v>
      </c>
      <c r="E6" s="43">
        <f>C6*2.5</f>
        <v>8750000</v>
      </c>
      <c r="F6" s="90">
        <f>G6/$G$2</f>
        <v>4.2089933385686389E-2</v>
      </c>
      <c r="G6" s="43">
        <f>E6*2.5</f>
        <v>21875000</v>
      </c>
      <c r="H6" s="82">
        <f>I6/$I$2</f>
        <v>9.6842294917287935E-2</v>
      </c>
      <c r="I6" s="43">
        <f>G6*2.5</f>
        <v>54687500</v>
      </c>
      <c r="J6" s="41">
        <f>K6/$K$2</f>
        <v>0.2113835784006326</v>
      </c>
      <c r="K6" s="168">
        <f>I6*2.5</f>
        <v>136718750</v>
      </c>
    </row>
    <row r="7" spans="1:11" ht="15.75" customHeight="1">
      <c r="A7" s="31" t="s">
        <v>159</v>
      </c>
      <c r="B7" s="82">
        <f>C7/$C$2</f>
        <v>3.5158971598128626E-3</v>
      </c>
      <c r="C7" s="43">
        <f>('Presupuesto Inicial'!J20)*12</f>
        <v>700000</v>
      </c>
      <c r="D7" s="82">
        <f>E7/$E$2</f>
        <v>3.9681989278096798E-3</v>
      </c>
      <c r="E7" s="43">
        <f>C7+$C$7</f>
        <v>1400000</v>
      </c>
      <c r="F7" s="82">
        <f>G7/$G$2</f>
        <v>4.0406336050258932E-3</v>
      </c>
      <c r="G7" s="43">
        <f>E7+$C$7</f>
        <v>2100000</v>
      </c>
      <c r="H7" s="82">
        <f>I7/$I$2</f>
        <v>4.958325499765142E-3</v>
      </c>
      <c r="I7" s="43">
        <f>G7+$C$7</f>
        <v>2800000</v>
      </c>
      <c r="J7" s="33">
        <f>K7/$K$2</f>
        <v>5.411419607056195E-3</v>
      </c>
      <c r="K7" s="168">
        <f>I7+$C$7</f>
        <v>3500000</v>
      </c>
    </row>
    <row r="8" spans="1:11" ht="15.75" customHeight="1">
      <c r="A8" s="31" t="s">
        <v>160</v>
      </c>
      <c r="B8" s="82">
        <f>C8/$C$2</f>
        <v>1.4063588639251451E-2</v>
      </c>
      <c r="C8" s="43">
        <f>C6-C7</f>
        <v>2800000</v>
      </c>
      <c r="D8" s="82">
        <f>E8/$E$2</f>
        <v>2.0833044371000819E-2</v>
      </c>
      <c r="E8" s="91">
        <f t="shared" ref="E8:K8" si="0">E6-E7</f>
        <v>7350000</v>
      </c>
      <c r="F8" s="82">
        <f>G8/$G$2</f>
        <v>3.8049299780660496E-2</v>
      </c>
      <c r="G8" s="91">
        <f t="shared" si="0"/>
        <v>19775000</v>
      </c>
      <c r="H8" s="82">
        <f>I8/$I$2</f>
        <v>9.188396941752279E-2</v>
      </c>
      <c r="I8" s="91">
        <f t="shared" si="0"/>
        <v>51887500</v>
      </c>
      <c r="J8" s="33">
        <f>K8/$K$2</f>
        <v>0.20597215879357642</v>
      </c>
      <c r="K8" s="168">
        <f t="shared" si="0"/>
        <v>133218750</v>
      </c>
    </row>
    <row r="9" spans="1:11" ht="15.75" customHeight="1">
      <c r="A9" s="31" t="s">
        <v>161</v>
      </c>
      <c r="B9" s="82">
        <f>C9/$C$9</f>
        <v>1</v>
      </c>
      <c r="C9" s="59">
        <f>SUM(C11:C14)</f>
        <v>146533737.04593188</v>
      </c>
      <c r="D9" s="82">
        <f>E9/$E$9</f>
        <v>1</v>
      </c>
      <c r="E9" s="59">
        <f>SUM(E11:E14)</f>
        <v>184001184.81362051</v>
      </c>
      <c r="F9" s="82">
        <f>G9/$G$9</f>
        <v>1</v>
      </c>
      <c r="G9" s="59">
        <f>SUM(G11:G14)</f>
        <v>236839354.47008765</v>
      </c>
      <c r="H9" s="82">
        <f>I9/$I$9</f>
        <v>1</v>
      </c>
      <c r="I9" s="59">
        <f>SUM(I11:I14)</f>
        <v>241527821.02183947</v>
      </c>
      <c r="J9" s="33">
        <f>K9/$K$9</f>
        <v>1</v>
      </c>
      <c r="K9" s="166">
        <f>SUM(K11:K14)</f>
        <v>241904769.34299889</v>
      </c>
    </row>
    <row r="10" spans="1:11" ht="15.75" customHeight="1">
      <c r="A10" s="31" t="s">
        <v>162</v>
      </c>
      <c r="B10" s="82"/>
      <c r="C10" s="88"/>
      <c r="D10" s="82"/>
      <c r="E10" s="88"/>
      <c r="F10" s="82"/>
      <c r="G10" s="88"/>
      <c r="H10" s="82"/>
      <c r="I10" s="88"/>
      <c r="J10" s="89"/>
      <c r="K10" s="167"/>
    </row>
    <row r="11" spans="1:11" ht="15.75" customHeight="1">
      <c r="A11" s="40" t="s">
        <v>257</v>
      </c>
      <c r="B11" s="90">
        <f>C11/$C$9</f>
        <v>4.9790581657744972E-3</v>
      </c>
      <c r="C11" s="43">
        <f>'Flujo de caja - 5 años'!E6</f>
        <v>729600</v>
      </c>
      <c r="D11" s="90">
        <f>E11/$E$9</f>
        <v>4.2031033701406453E-3</v>
      </c>
      <c r="E11" s="43">
        <f>'Flujo de caja - 5 años'!G6</f>
        <v>773376</v>
      </c>
      <c r="F11" s="90">
        <f>G11/$G$9</f>
        <v>3.2654032592276633E-3</v>
      </c>
      <c r="G11" s="43">
        <f>'Flujo de caja - 5 años'!I6</f>
        <v>773376</v>
      </c>
      <c r="H11" s="90">
        <f>I11/$I$9</f>
        <v>3.2020162179580533E-3</v>
      </c>
      <c r="I11" s="43">
        <f>'Flujo de caja - 5 años'!K6</f>
        <v>773376</v>
      </c>
      <c r="J11" s="41">
        <f>K11/$K$9</f>
        <v>3.1970266733493931E-3</v>
      </c>
      <c r="K11" s="168">
        <f>'Flujo de caja - 5 años'!M6</f>
        <v>773376</v>
      </c>
    </row>
    <row r="12" spans="1:11" ht="15.75" customHeight="1">
      <c r="A12" s="40" t="s">
        <v>258</v>
      </c>
      <c r="B12" s="90">
        <f>C12/$C$9</f>
        <v>0.33347476367767609</v>
      </c>
      <c r="C12" s="43">
        <f>'Flujo de caja - 5 años'!E9</f>
        <v>48865303.332198858</v>
      </c>
      <c r="D12" s="90">
        <f>E12/$E$9</f>
        <v>0.43734852523082424</v>
      </c>
      <c r="E12" s="43">
        <f>'Flujo de caja - 5 años'!G9</f>
        <v>80472646.818961263</v>
      </c>
      <c r="F12" s="90">
        <f>G12/$G$9</f>
        <v>0.5608279190435469</v>
      </c>
      <c r="G12" s="43">
        <f>'Flujo de caja - 5 años'!I9</f>
        <v>132826122.31507623</v>
      </c>
      <c r="H12" s="90">
        <f>I12/$I$9</f>
        <v>0.56734621347859282</v>
      </c>
      <c r="I12" s="43">
        <f>'Flujo de caja - 5 años'!K9</f>
        <v>137029894.70647588</v>
      </c>
      <c r="J12" s="41">
        <f>K12/$K$9</f>
        <v>0.56721893386458599</v>
      </c>
      <c r="K12" s="168">
        <f>'Flujo de caja - 5 años'!M9</f>
        <v>137212965.36349443</v>
      </c>
    </row>
    <row r="13" spans="1:11" ht="15.75" customHeight="1">
      <c r="A13" s="40" t="s">
        <v>259</v>
      </c>
      <c r="B13" s="90">
        <f>C13/$C$9</f>
        <v>0.63435708060978835</v>
      </c>
      <c r="C13" s="43">
        <f>'Flujo de caja - 5 años'!E3</f>
        <v>92954713.643299744</v>
      </c>
      <c r="D13" s="90">
        <f>E13/$E$9</f>
        <v>0.53549652313274809</v>
      </c>
      <c r="E13" s="43">
        <f>'Flujo de caja - 5 años'!G3</f>
        <v>98531994.719999999</v>
      </c>
      <c r="F13" s="90">
        <f>G13/$G$9</f>
        <v>0.41799120970203074</v>
      </c>
      <c r="G13" s="43">
        <f>'Flujo de caja - 5 años'!I3</f>
        <v>98996768.280000001</v>
      </c>
      <c r="H13" s="90">
        <f>I13/$I$9</f>
        <v>0.41180159461218541</v>
      </c>
      <c r="I13" s="43">
        <f>'Flujo de caja - 5 años'!K3</f>
        <v>99461541.840000004</v>
      </c>
      <c r="J13" s="41">
        <f>K13/$K$9</f>
        <v>0.41192842759833725</v>
      </c>
      <c r="K13" s="168">
        <f>'Flujo de caja - 5 años'!M3</f>
        <v>99647451.263999999</v>
      </c>
    </row>
    <row r="14" spans="1:11" ht="15.75" customHeight="1">
      <c r="A14" s="40" t="s">
        <v>260</v>
      </c>
      <c r="B14" s="90">
        <f>C14/$C$9</f>
        <v>2.7189097546760941E-2</v>
      </c>
      <c r="C14" s="43">
        <f>'Flujo de caja - 5 años'!E4+'Flujo de caja - 5 años'!E5+'Flujo de caja - 5 años'!E8</f>
        <v>3984120.070433259</v>
      </c>
      <c r="D14" s="90">
        <f>E14/$E$9</f>
        <v>2.2951848266287028E-2</v>
      </c>
      <c r="E14" s="43">
        <f>'Flujo de caja - 5 años'!G4+'Flujo de caja - 5 años'!G5+'Flujo de caja - 5 años'!G8</f>
        <v>4223167.2746592546</v>
      </c>
      <c r="F14" s="90">
        <f>G14/$G$9</f>
        <v>1.7915467995194671E-2</v>
      </c>
      <c r="G14" s="43">
        <f>'Flujo de caja - 5 años'!I4+'Flujo de caja - 5 años'!I5+'Flujo de caja - 5 años'!I8</f>
        <v>4243087.8750114208</v>
      </c>
      <c r="H14" s="90">
        <f>I14/$I$9</f>
        <v>1.7650175691263811E-2</v>
      </c>
      <c r="I14" s="43">
        <f>'Flujo de caja - 5 años'!K4+'Flujo de caja - 5 años'!K5+'Flujo de caja - 5 años'!K8</f>
        <v>4263008.475363587</v>
      </c>
      <c r="J14" s="41">
        <f>K14/$K$9</f>
        <v>1.7655611863727244E-2</v>
      </c>
      <c r="K14" s="168">
        <f>'Flujo de caja - 5 años'!M4+'Flujo de caja - 5 años'!M5+'Flujo de caja - 5 años'!M8</f>
        <v>4270976.7155044535</v>
      </c>
    </row>
    <row r="15" spans="1:11" ht="15.75" customHeight="1">
      <c r="A15" s="31" t="s">
        <v>163</v>
      </c>
      <c r="B15" s="82">
        <f>C15/$C$15</f>
        <v>1</v>
      </c>
      <c r="C15" s="59">
        <f>C16</f>
        <v>52561961.201754719</v>
      </c>
      <c r="D15" s="82">
        <f>E15/$E$15</f>
        <v>1</v>
      </c>
      <c r="E15" s="59">
        <f>E16</f>
        <v>168803708.65797663</v>
      </c>
      <c r="F15" s="82">
        <f>G15/$G$15</f>
        <v>1</v>
      </c>
      <c r="G15" s="59">
        <f>G16</f>
        <v>282881116.4451521</v>
      </c>
      <c r="H15" s="82">
        <f>I15/$I$15</f>
        <v>1</v>
      </c>
      <c r="I15" s="59">
        <f>I16</f>
        <v>323178953.49964476</v>
      </c>
      <c r="J15" s="33">
        <f>K15/$K$15</f>
        <v>1</v>
      </c>
      <c r="K15" s="166">
        <f>K16</f>
        <v>404875605.15174401</v>
      </c>
    </row>
    <row r="16" spans="1:11" ht="15.75" customHeight="1">
      <c r="A16" s="40" t="s">
        <v>164</v>
      </c>
      <c r="B16" s="90">
        <f>C16/$C$15</f>
        <v>1</v>
      </c>
      <c r="C16" s="42">
        <f>C2-C9</f>
        <v>52561961.201754719</v>
      </c>
      <c r="D16" s="90">
        <f>E16/$E$15</f>
        <v>1</v>
      </c>
      <c r="E16" s="42">
        <f>E2-E9</f>
        <v>168803708.65797663</v>
      </c>
      <c r="F16" s="90">
        <f>G16/$G$15</f>
        <v>1</v>
      </c>
      <c r="G16" s="42">
        <f>G2-G9</f>
        <v>282881116.4451521</v>
      </c>
      <c r="H16" s="90">
        <f>I16/$I$15</f>
        <v>1</v>
      </c>
      <c r="I16" s="42">
        <f>I2-I9</f>
        <v>323178953.49964476</v>
      </c>
      <c r="J16" s="41">
        <f>K16/$K$15</f>
        <v>1</v>
      </c>
      <c r="K16" s="169">
        <f>K2-K9</f>
        <v>404875605.15174401</v>
      </c>
    </row>
  </sheetData>
  <mergeCells count="5">
    <mergeCell ref="B1:C1"/>
    <mergeCell ref="D1:E1"/>
    <mergeCell ref="F1:G1"/>
    <mergeCell ref="H1:I1"/>
    <mergeCell ref="J1:K1"/>
  </mergeCells>
  <conditionalFormatting sqref="A1:K16">
    <cfRule type="cellIs" dxfId="0" priority="1" operator="lessThan">
      <formula>0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baseColWidth="10" defaultColWidth="14.42578125" defaultRowHeight="15.75" customHeight="1"/>
  <sheetData>
    <row r="1" spans="1:6" ht="15.75" customHeight="1">
      <c r="A1" s="80"/>
      <c r="B1" s="81" t="s">
        <v>128</v>
      </c>
      <c r="C1" s="81" t="s">
        <v>129</v>
      </c>
      <c r="D1" s="81" t="s">
        <v>130</v>
      </c>
      <c r="E1" s="81" t="s">
        <v>131</v>
      </c>
    </row>
    <row r="2" spans="1:6" ht="15.75" customHeight="1">
      <c r="A2" s="81" t="s">
        <v>132</v>
      </c>
      <c r="B2" s="87">
        <v>257331</v>
      </c>
      <c r="C2" s="87">
        <v>142971</v>
      </c>
      <c r="D2" s="87">
        <v>142971</v>
      </c>
      <c r="E2" s="87">
        <v>142971</v>
      </c>
    </row>
    <row r="3" spans="1:6" ht="15.75" customHeight="1">
      <c r="A3" s="81" t="s">
        <v>137</v>
      </c>
      <c r="B3" s="87">
        <v>74360</v>
      </c>
      <c r="C3" s="87">
        <v>20020</v>
      </c>
      <c r="D3" s="87">
        <v>20020</v>
      </c>
      <c r="E3" s="87">
        <v>0</v>
      </c>
    </row>
    <row r="4" spans="1:6" ht="15.75" customHeight="1">
      <c r="A4" s="81" t="s">
        <v>139</v>
      </c>
      <c r="B4" s="87">
        <f>SUM(B2:B3)*0.02</f>
        <v>6633.82</v>
      </c>
      <c r="C4" s="87">
        <f>SUM(C2:C3)*0.02</f>
        <v>3259.82</v>
      </c>
      <c r="D4" s="87">
        <f>SUM(D2:D3)*0.02</f>
        <v>3259.82</v>
      </c>
      <c r="E4" s="87">
        <f>SUM(E2:E3)*0.02</f>
        <v>2859.42</v>
      </c>
    </row>
    <row r="5" spans="1:6" ht="15.75" customHeight="1">
      <c r="A5" s="81" t="s">
        <v>142</v>
      </c>
      <c r="B5" s="87">
        <f>SUM(B2:B4)</f>
        <v>338324.82</v>
      </c>
      <c r="C5" s="87">
        <f>SUM(C2:C4)</f>
        <v>166250.82</v>
      </c>
      <c r="D5" s="87">
        <f>SUM(D2:D4)</f>
        <v>166250.82</v>
      </c>
      <c r="E5" s="87">
        <f>SUM(E2:E4)</f>
        <v>145830.42000000001</v>
      </c>
    </row>
    <row r="6" spans="1:6" ht="15.75" customHeight="1">
      <c r="A6" s="81" t="s">
        <v>144</v>
      </c>
      <c r="B6" s="87">
        <v>350000</v>
      </c>
      <c r="C6" s="87">
        <v>180000</v>
      </c>
      <c r="D6" s="87">
        <v>175000</v>
      </c>
      <c r="E6" s="87">
        <v>160000</v>
      </c>
    </row>
    <row r="7" spans="1:6" ht="15.75" customHeight="1">
      <c r="A7" s="81" t="s">
        <v>145</v>
      </c>
      <c r="B7" s="87">
        <f>((B6/B5)-1)*100</f>
        <v>3.4508789511807025</v>
      </c>
      <c r="C7" s="87">
        <f>((C6/C5)-1)*100</f>
        <v>8.2701426675669829</v>
      </c>
      <c r="D7" s="87">
        <f>((D6/D5)-1)*100</f>
        <v>5.2626387045790146</v>
      </c>
      <c r="E7" s="87">
        <f>((E6/E5)-1)*100</f>
        <v>9.7164775360312206</v>
      </c>
      <c r="F7">
        <f>SUM(B7:E7)/4</f>
        <v>6.6750344648394799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baseColWidth="10" defaultColWidth="14.42578125" defaultRowHeight="15.75" customHeight="1"/>
  <cols>
    <col min="1" max="1" width="14" customWidth="1"/>
    <col min="2" max="2" width="20.5703125" customWidth="1"/>
    <col min="3" max="3" width="18.5703125" customWidth="1"/>
    <col min="4" max="4" width="18.140625" customWidth="1"/>
  </cols>
  <sheetData>
    <row r="1" spans="1:4" ht="15.75" customHeight="1">
      <c r="A1" s="15"/>
      <c r="B1" s="1" t="s">
        <v>147</v>
      </c>
      <c r="C1" s="1" t="s">
        <v>148</v>
      </c>
      <c r="D1" s="1" t="s">
        <v>149</v>
      </c>
    </row>
    <row r="2" spans="1:4" ht="15.75" customHeight="1">
      <c r="A2" s="92" t="s">
        <v>150</v>
      </c>
      <c r="B2" s="8">
        <v>1050000</v>
      </c>
      <c r="C2" s="7">
        <v>43</v>
      </c>
      <c r="D2" s="16">
        <f t="shared" ref="D2:D7" si="0">B2/C2</f>
        <v>24418.60465116279</v>
      </c>
    </row>
    <row r="3" spans="1:4" ht="15.75" customHeight="1">
      <c r="A3" s="92" t="s">
        <v>151</v>
      </c>
      <c r="B3" s="8">
        <v>2500000</v>
      </c>
      <c r="C3" s="7">
        <v>108</v>
      </c>
      <c r="D3" s="16">
        <f t="shared" si="0"/>
        <v>23148.14814814815</v>
      </c>
    </row>
    <row r="4" spans="1:4" ht="15.75" customHeight="1">
      <c r="A4" s="92" t="s">
        <v>152</v>
      </c>
      <c r="B4" s="8">
        <v>1400000</v>
      </c>
      <c r="C4" s="7">
        <v>40</v>
      </c>
      <c r="D4" s="16">
        <f t="shared" si="0"/>
        <v>35000</v>
      </c>
    </row>
    <row r="5" spans="1:4" ht="15.75" customHeight="1">
      <c r="A5" s="92" t="s">
        <v>153</v>
      </c>
      <c r="B5" s="8">
        <v>1850000</v>
      </c>
      <c r="C5" s="7">
        <v>70</v>
      </c>
      <c r="D5" s="16">
        <f t="shared" si="0"/>
        <v>26428.571428571428</v>
      </c>
    </row>
    <row r="6" spans="1:4" ht="15.75" customHeight="1">
      <c r="A6" s="92" t="s">
        <v>155</v>
      </c>
      <c r="B6" s="8">
        <v>3200000</v>
      </c>
      <c r="C6" s="7">
        <v>120</v>
      </c>
      <c r="D6" s="16">
        <f t="shared" si="0"/>
        <v>26666.666666666668</v>
      </c>
    </row>
    <row r="7" spans="1:4" ht="15.75" customHeight="1">
      <c r="A7" s="92" t="s">
        <v>156</v>
      </c>
      <c r="B7" s="8">
        <v>1700000</v>
      </c>
      <c r="C7" s="7">
        <v>90</v>
      </c>
      <c r="D7" s="16">
        <f t="shared" si="0"/>
        <v>18888.888888888891</v>
      </c>
    </row>
    <row r="8" spans="1:4" ht="15.75" customHeight="1">
      <c r="A8" s="92" t="s">
        <v>157</v>
      </c>
      <c r="B8" s="14">
        <f>AVERAGE(B2:B7)</f>
        <v>1950000</v>
      </c>
      <c r="C8" s="94">
        <f>AVERAGE(C2:C7)</f>
        <v>78.5</v>
      </c>
      <c r="D8" s="14">
        <f>AVERAGE(D2:D7)</f>
        <v>25758.479963906324</v>
      </c>
    </row>
    <row r="9" spans="1:4" ht="15.75" customHeight="1">
      <c r="A9" s="25"/>
    </row>
    <row r="10" spans="1:4" ht="15.75" customHeight="1">
      <c r="A10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Tabla Crecimiento</vt:lpstr>
      <vt:lpstr>Presupuesto Inicial</vt:lpstr>
      <vt:lpstr>Salarios, gastos y costos</vt:lpstr>
      <vt:lpstr>Estado de situacion financiera </vt:lpstr>
      <vt:lpstr>Prestamo</vt:lpstr>
      <vt:lpstr>Estado de resultados PyG - 12 m</vt:lpstr>
      <vt:lpstr>Estado de resultados PyG - 5 añ</vt:lpstr>
      <vt:lpstr>Flujo de caja - 12 meses</vt:lpstr>
      <vt:lpstr>Flujo de caja - 5 años</vt:lpstr>
      <vt:lpstr>Flujo de Caja (Profesor) - 5 añ</vt:lpstr>
      <vt:lpstr>VAN y TIR</vt:lpstr>
      <vt:lpstr>Balance General</vt:lpstr>
      <vt:lpstr>Calculo % Rentabilidad</vt:lpstr>
      <vt:lpstr>Análisis metros cuadrados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 santana bohorquez</dc:creator>
  <cp:lastModifiedBy>Usuario de Windows</cp:lastModifiedBy>
  <dcterms:created xsi:type="dcterms:W3CDTF">2017-04-30T17:28:42Z</dcterms:created>
  <dcterms:modified xsi:type="dcterms:W3CDTF">2017-05-02T04:03:28Z</dcterms:modified>
</cp:coreProperties>
</file>