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 Santana\Dropbox\PROYECTO INCLUSOFT\"/>
    </mc:Choice>
  </mc:AlternateContent>
  <bookViews>
    <workbookView xWindow="0" yWindow="0" windowWidth="21570" windowHeight="8145" tabRatio="920" firstSheet="6" activeTab="9"/>
  </bookViews>
  <sheets>
    <sheet name="Presupuesto Inicial" sheetId="1" r:id="rId1"/>
    <sheet name="Salarios, gastos y costos" sheetId="3" r:id="rId2"/>
    <sheet name="Estado de situacion financiera " sheetId="2" r:id="rId3"/>
    <sheet name="Prestamo" sheetId="14" r:id="rId4"/>
    <sheet name="Estado de resultados PyG - 12 m" sheetId="4" r:id="rId5"/>
    <sheet name="Estado de resultados PyG - 5 añ" sheetId="5" r:id="rId6"/>
    <sheet name="Flujo de caja - 12 meses" sheetId="8" r:id="rId7"/>
    <sheet name="Flujo de caja - 5 años" sheetId="6" r:id="rId8"/>
    <sheet name="Flujo de Caja (Profesor) - 5 añ" sheetId="7" r:id="rId9"/>
    <sheet name="VAN y TIR" sheetId="9" r:id="rId10"/>
    <sheet name="Balance General" sheetId="10" r:id="rId11"/>
    <sheet name="Tabla Crecimiento" sheetId="11" r:id="rId12"/>
    <sheet name="Calculo % Rentabilidad" sheetId="12" r:id="rId13"/>
    <sheet name="Análisis metros cuadrados" sheetId="13" r:id="rId14"/>
  </sheets>
  <calcPr calcId="152511"/>
</workbook>
</file>

<file path=xl/calcChain.xml><?xml version="1.0" encoding="utf-8"?>
<calcChain xmlns="http://schemas.openxmlformats.org/spreadsheetml/2006/main">
  <c r="C26" i="9" l="1"/>
  <c r="H10" i="9"/>
  <c r="F16" i="7"/>
  <c r="F14" i="7"/>
  <c r="F11" i="7"/>
  <c r="F8" i="7"/>
  <c r="F4" i="7"/>
  <c r="F3" i="7"/>
  <c r="D19" i="7"/>
  <c r="D16" i="7"/>
  <c r="D14" i="7"/>
  <c r="D11" i="7"/>
  <c r="D8" i="7"/>
  <c r="B23" i="9"/>
  <c r="C47" i="9" l="1"/>
  <c r="C48" i="9"/>
  <c r="C49" i="9"/>
  <c r="C50" i="9"/>
  <c r="C51" i="9"/>
  <c r="G23" i="9"/>
  <c r="F23" i="9"/>
  <c r="E23" i="9"/>
  <c r="C23" i="9"/>
  <c r="B1" i="9"/>
  <c r="K8" i="10"/>
  <c r="I8" i="10"/>
  <c r="G8" i="10"/>
  <c r="D8" i="10"/>
  <c r="E8" i="10"/>
  <c r="C9" i="10"/>
  <c r="C8" i="10"/>
  <c r="C2" i="10"/>
  <c r="B2" i="10" s="1"/>
  <c r="C4" i="10"/>
  <c r="L15" i="7"/>
  <c r="J15" i="7"/>
  <c r="H15" i="7"/>
  <c r="L10" i="7"/>
  <c r="J10" i="7"/>
  <c r="H10" i="7"/>
  <c r="L9" i="7"/>
  <c r="J9" i="7"/>
  <c r="H9" i="7"/>
  <c r="L6" i="7"/>
  <c r="J6" i="7"/>
  <c r="H6" i="7"/>
  <c r="H4" i="7" s="1"/>
  <c r="K5" i="7"/>
  <c r="L5" i="7"/>
  <c r="I5" i="7"/>
  <c r="J5" i="7"/>
  <c r="H5" i="7"/>
  <c r="L3" i="7"/>
  <c r="J3" i="7"/>
  <c r="H3" i="7"/>
  <c r="H2" i="7"/>
  <c r="H7" i="7"/>
  <c r="H17" i="7"/>
  <c r="F10" i="7"/>
  <c r="F9" i="7"/>
  <c r="E9" i="5"/>
  <c r="F6" i="7"/>
  <c r="F5" i="7"/>
  <c r="E8" i="5"/>
  <c r="E5" i="5"/>
  <c r="F2" i="7"/>
  <c r="F7" i="7"/>
  <c r="F23" i="7"/>
  <c r="F22" i="7"/>
  <c r="H22" i="7"/>
  <c r="J22" i="7"/>
  <c r="L22" i="7"/>
  <c r="M6" i="6"/>
  <c r="K6" i="6"/>
  <c r="I6" i="6"/>
  <c r="G6" i="6"/>
  <c r="E6" i="6"/>
  <c r="W9" i="8"/>
  <c r="W10" i="8"/>
  <c r="W11" i="8"/>
  <c r="AC11" i="8" s="1"/>
  <c r="C11" i="5"/>
  <c r="C14" i="5"/>
  <c r="C8" i="5"/>
  <c r="C10" i="5"/>
  <c r="C4" i="5"/>
  <c r="C3" i="5"/>
  <c r="C2" i="5" s="1"/>
  <c r="V15" i="4"/>
  <c r="V12" i="4"/>
  <c r="V13" i="4"/>
  <c r="V14" i="4"/>
  <c r="V11" i="4"/>
  <c r="I4" i="4"/>
  <c r="I8" i="4" s="1"/>
  <c r="I11" i="4" s="1"/>
  <c r="I14" i="4" s="1"/>
  <c r="K15" i="5"/>
  <c r="I15" i="5"/>
  <c r="G15" i="5"/>
  <c r="B15" i="4"/>
  <c r="C15" i="4"/>
  <c r="D15" i="4"/>
  <c r="E15" i="4"/>
  <c r="F15" i="4"/>
  <c r="G15" i="4"/>
  <c r="S16" i="4"/>
  <c r="S15" i="4"/>
  <c r="Q15" i="4"/>
  <c r="O15" i="4"/>
  <c r="M15" i="4"/>
  <c r="K15" i="4"/>
  <c r="S9" i="8" s="1"/>
  <c r="U9" i="8"/>
  <c r="AA6" i="8"/>
  <c r="Y6" i="8"/>
  <c r="AC6" i="8"/>
  <c r="W6" i="8"/>
  <c r="U6" i="8"/>
  <c r="S6" i="8"/>
  <c r="Q6" i="8"/>
  <c r="L7" i="6"/>
  <c r="J7" i="6"/>
  <c r="H7" i="6"/>
  <c r="F7" i="6"/>
  <c r="D7" i="6"/>
  <c r="M7" i="6"/>
  <c r="K7" i="6"/>
  <c r="I7" i="6"/>
  <c r="G7" i="6"/>
  <c r="E7" i="6"/>
  <c r="M4" i="6"/>
  <c r="K4" i="6"/>
  <c r="I4" i="6"/>
  <c r="G4" i="6"/>
  <c r="E4" i="6"/>
  <c r="E3" i="6"/>
  <c r="B9" i="6"/>
  <c r="B8" i="6"/>
  <c r="B7" i="6"/>
  <c r="B6" i="6"/>
  <c r="B5" i="6"/>
  <c r="B4" i="6"/>
  <c r="B3" i="6"/>
  <c r="B2" i="6"/>
  <c r="C10" i="6"/>
  <c r="B11" i="6" s="1"/>
  <c r="C8" i="6"/>
  <c r="C6" i="6"/>
  <c r="C5" i="6"/>
  <c r="C2" i="6"/>
  <c r="AC3" i="8"/>
  <c r="AC4" i="8"/>
  <c r="AC5" i="8"/>
  <c r="AC8" i="8"/>
  <c r="AC12" i="8"/>
  <c r="AC7" i="8"/>
  <c r="O7" i="8"/>
  <c r="K11" i="4"/>
  <c r="K14" i="4"/>
  <c r="F10" i="4"/>
  <c r="G41" i="3"/>
  <c r="G10" i="4"/>
  <c r="E62" i="3"/>
  <c r="E3" i="14"/>
  <c r="AA7" i="8"/>
  <c r="Y7" i="8"/>
  <c r="W7" i="8"/>
  <c r="U7" i="8"/>
  <c r="S7" i="8"/>
  <c r="Q7" i="8"/>
  <c r="M7" i="8"/>
  <c r="K7" i="8"/>
  <c r="I7" i="8"/>
  <c r="D10" i="4"/>
  <c r="G7" i="8"/>
  <c r="C10" i="8"/>
  <c r="C6" i="8"/>
  <c r="H8" i="7" l="1"/>
  <c r="H11" i="7" s="1"/>
  <c r="H14" i="7" s="1"/>
  <c r="F15" i="7"/>
  <c r="B10" i="6"/>
  <c r="B12" i="6"/>
  <c r="I15" i="4"/>
  <c r="Q9" i="8" s="1"/>
  <c r="K16" i="4"/>
  <c r="K5" i="5"/>
  <c r="I5" i="5"/>
  <c r="G5" i="5"/>
  <c r="E7" i="5"/>
  <c r="G6" i="5"/>
  <c r="E6" i="5"/>
  <c r="N18" i="5"/>
  <c r="K6" i="5"/>
  <c r="I6" i="5"/>
  <c r="F3" i="5"/>
  <c r="H3" i="5"/>
  <c r="J3" i="5"/>
  <c r="E19" i="5"/>
  <c r="I20" i="4"/>
  <c r="S5" i="4"/>
  <c r="Q5" i="4"/>
  <c r="O5" i="4"/>
  <c r="M5" i="4"/>
  <c r="K5" i="4"/>
  <c r="I5" i="4"/>
  <c r="B5" i="4"/>
  <c r="E4" i="14"/>
  <c r="E5" i="14"/>
  <c r="E60" i="3"/>
  <c r="E56" i="3"/>
  <c r="B10" i="1"/>
  <c r="B15" i="1" s="1"/>
  <c r="B14" i="1"/>
  <c r="H16" i="7" l="1"/>
  <c r="H19" i="7" s="1"/>
  <c r="I16" i="4"/>
  <c r="G5" i="4"/>
  <c r="B10" i="11"/>
  <c r="C10" i="11" s="1"/>
  <c r="B11" i="11"/>
  <c r="C11" i="11" s="1"/>
  <c r="B12" i="11"/>
  <c r="C12" i="11" s="1"/>
  <c r="B13" i="11"/>
  <c r="C13" i="11" s="1"/>
  <c r="B9" i="11"/>
  <c r="C9" i="11" s="1"/>
  <c r="B4" i="11"/>
  <c r="C4" i="11" s="1"/>
  <c r="B5" i="11"/>
  <c r="C5" i="11" s="1"/>
  <c r="B6" i="11"/>
  <c r="C6" i="11" s="1"/>
  <c r="B7" i="11"/>
  <c r="C7" i="11" s="1"/>
  <c r="B8" i="11"/>
  <c r="B3" i="11"/>
  <c r="C3" i="11" s="1"/>
  <c r="I3" i="4"/>
  <c r="I2" i="4" s="1"/>
  <c r="S18" i="4" l="1"/>
  <c r="C8" i="11"/>
  <c r="C10" i="2"/>
  <c r="D9" i="2"/>
  <c r="E61" i="3"/>
  <c r="E49" i="3"/>
  <c r="E50" i="3"/>
  <c r="E51" i="3"/>
  <c r="E52" i="3"/>
  <c r="E59" i="3"/>
  <c r="J24" i="1"/>
  <c r="J17" i="1"/>
  <c r="I24" i="1"/>
  <c r="I17" i="1"/>
  <c r="E63" i="3" l="1"/>
  <c r="E54" i="3"/>
  <c r="D23" i="1"/>
  <c r="S10" i="4"/>
  <c r="Q10" i="4"/>
  <c r="O10" i="4"/>
  <c r="M10" i="4"/>
  <c r="K10" i="4"/>
  <c r="I10" i="4"/>
  <c r="C10" i="4"/>
  <c r="G43" i="3"/>
  <c r="G42" i="3"/>
  <c r="G40" i="3"/>
  <c r="G39" i="3"/>
  <c r="E10" i="4" s="1"/>
  <c r="G38" i="3"/>
  <c r="G37" i="3"/>
  <c r="K2" i="3" l="1"/>
  <c r="D8" i="13" l="1"/>
  <c r="C8" i="13"/>
  <c r="B8" i="13"/>
  <c r="D7" i="13"/>
  <c r="D6" i="13"/>
  <c r="D5" i="13"/>
  <c r="D4" i="13"/>
  <c r="D3" i="13"/>
  <c r="D2" i="13"/>
  <c r="F7" i="12"/>
  <c r="E7" i="12"/>
  <c r="D7" i="12"/>
  <c r="C7" i="12"/>
  <c r="B7" i="12"/>
  <c r="E5" i="12"/>
  <c r="D5" i="12"/>
  <c r="C5" i="12"/>
  <c r="B5" i="12"/>
  <c r="E4" i="12"/>
  <c r="D4" i="12"/>
  <c r="C4" i="12"/>
  <c r="B4" i="12"/>
  <c r="M18" i="4"/>
  <c r="M3" i="4" s="1"/>
  <c r="K18" i="4"/>
  <c r="C6" i="10"/>
  <c r="H7" i="9"/>
  <c r="J1" i="9"/>
  <c r="B12" i="8"/>
  <c r="Q11" i="8"/>
  <c r="B11" i="8"/>
  <c r="O10" i="8"/>
  <c r="M10" i="8"/>
  <c r="K10" i="8"/>
  <c r="I10" i="8"/>
  <c r="G10" i="8"/>
  <c r="E10" i="8"/>
  <c r="B10" i="8"/>
  <c r="C8" i="8"/>
  <c r="K6" i="8"/>
  <c r="I6" i="8"/>
  <c r="G6" i="8"/>
  <c r="U5" i="8"/>
  <c r="S5" i="8"/>
  <c r="Q5" i="8"/>
  <c r="G5" i="8"/>
  <c r="E5" i="8"/>
  <c r="AA4" i="8"/>
  <c r="U4" i="8"/>
  <c r="E4" i="8"/>
  <c r="S22" i="7"/>
  <c r="R22" i="7"/>
  <c r="Q22" i="7"/>
  <c r="P22" i="7"/>
  <c r="O22" i="7"/>
  <c r="B19" i="7"/>
  <c r="E5" i="6"/>
  <c r="G5" i="6" s="1"/>
  <c r="I5" i="6" s="1"/>
  <c r="K5" i="6" s="1"/>
  <c r="M5" i="6" s="1"/>
  <c r="O18" i="5"/>
  <c r="P18" i="5" s="1"/>
  <c r="Q18" i="5" s="1"/>
  <c r="R18" i="5" s="1"/>
  <c r="G18" i="5"/>
  <c r="G3" i="5" s="1"/>
  <c r="E18" i="5"/>
  <c r="E3" i="5" s="1"/>
  <c r="G11" i="6" s="1"/>
  <c r="S3" i="4"/>
  <c r="AA11" i="8" s="1"/>
  <c r="Q18" i="4"/>
  <c r="O18" i="4"/>
  <c r="O3" i="4" s="1"/>
  <c r="I9" i="4"/>
  <c r="G9" i="4"/>
  <c r="F9" i="4"/>
  <c r="E9" i="4"/>
  <c r="E5" i="4"/>
  <c r="D5" i="4"/>
  <c r="C5" i="4"/>
  <c r="G2" i="4"/>
  <c r="F2" i="4"/>
  <c r="E2" i="4"/>
  <c r="D2" i="4"/>
  <c r="C2" i="4"/>
  <c r="B2" i="4"/>
  <c r="F29" i="3"/>
  <c r="B27" i="3"/>
  <c r="Q3" i="8" s="1"/>
  <c r="N11" i="3"/>
  <c r="K11" i="3"/>
  <c r="Y4" i="8" s="1"/>
  <c r="H11" i="3"/>
  <c r="O6" i="8" s="1"/>
  <c r="E11" i="3"/>
  <c r="C5" i="8" s="1"/>
  <c r="C2" i="8" s="1"/>
  <c r="B11" i="3"/>
  <c r="B9" i="2"/>
  <c r="B25" i="1"/>
  <c r="D21" i="1"/>
  <c r="J20" i="1"/>
  <c r="L7" i="7" s="1"/>
  <c r="L17" i="7" s="1"/>
  <c r="B19" i="1"/>
  <c r="B6" i="1"/>
  <c r="B3" i="1"/>
  <c r="B2" i="1"/>
  <c r="E6" i="10" l="1"/>
  <c r="G6" i="10" s="1"/>
  <c r="I6" i="10" s="1"/>
  <c r="K6" i="10" s="1"/>
  <c r="B2" i="8"/>
  <c r="L7" i="8"/>
  <c r="F7" i="8"/>
  <c r="D7" i="8"/>
  <c r="V7" i="8"/>
  <c r="H7" i="8"/>
  <c r="T7" i="8"/>
  <c r="N7" i="8"/>
  <c r="B7" i="8"/>
  <c r="X7" i="8"/>
  <c r="B8" i="8"/>
  <c r="P7" i="8"/>
  <c r="R7" i="8"/>
  <c r="Z7" i="8"/>
  <c r="J7" i="8"/>
  <c r="Q10" i="8"/>
  <c r="P10" i="8" s="1"/>
  <c r="I3" i="8"/>
  <c r="B12" i="3"/>
  <c r="W5" i="8"/>
  <c r="M6" i="8"/>
  <c r="Y5" i="8"/>
  <c r="B18" i="9"/>
  <c r="K4" i="8"/>
  <c r="K5" i="8"/>
  <c r="AA5" i="8"/>
  <c r="M9" i="4"/>
  <c r="O9" i="4"/>
  <c r="Q9" i="4"/>
  <c r="M4" i="8"/>
  <c r="M5" i="8"/>
  <c r="F5" i="4"/>
  <c r="I5" i="8"/>
  <c r="D9" i="4"/>
  <c r="S4" i="8"/>
  <c r="O5" i="8"/>
  <c r="E6" i="8"/>
  <c r="O7" i="4"/>
  <c r="C13" i="6"/>
  <c r="I7" i="5"/>
  <c r="S7" i="4"/>
  <c r="Q7" i="4"/>
  <c r="K7" i="5"/>
  <c r="D7" i="4"/>
  <c r="E7" i="4"/>
  <c r="C7" i="4"/>
  <c r="F7" i="4"/>
  <c r="G7" i="5"/>
  <c r="I7" i="4"/>
  <c r="F17" i="7"/>
  <c r="K7" i="4"/>
  <c r="J7" i="7"/>
  <c r="J17" i="7" s="1"/>
  <c r="C7" i="10"/>
  <c r="G7" i="4"/>
  <c r="B7" i="4"/>
  <c r="M7" i="4"/>
  <c r="B6" i="8"/>
  <c r="B4" i="8"/>
  <c r="B5" i="8"/>
  <c r="B9" i="8"/>
  <c r="C13" i="8"/>
  <c r="B3" i="8"/>
  <c r="I18" i="5"/>
  <c r="I3" i="5" s="1"/>
  <c r="K18" i="5"/>
  <c r="K3" i="5" s="1"/>
  <c r="G13" i="7"/>
  <c r="J2" i="7"/>
  <c r="AA10" i="8"/>
  <c r="Z10" i="8" s="1"/>
  <c r="E11" i="10"/>
  <c r="G10" i="6"/>
  <c r="F10" i="6" s="1"/>
  <c r="U11" i="8"/>
  <c r="M2" i="4"/>
  <c r="L2" i="7"/>
  <c r="K13" i="7"/>
  <c r="O2" i="4"/>
  <c r="G4" i="10"/>
  <c r="K3" i="4"/>
  <c r="E2" i="5"/>
  <c r="G2" i="5"/>
  <c r="F5" i="5" s="1"/>
  <c r="I11" i="6"/>
  <c r="E4" i="10"/>
  <c r="S2" i="4"/>
  <c r="Q3" i="4"/>
  <c r="H13" i="4"/>
  <c r="H12" i="4"/>
  <c r="H10" i="4"/>
  <c r="U3" i="8"/>
  <c r="W3" i="8"/>
  <c r="S3" i="8"/>
  <c r="Y3" i="8"/>
  <c r="AA3" i="8"/>
  <c r="G6" i="4"/>
  <c r="O6" i="4"/>
  <c r="K3" i="8"/>
  <c r="M3" i="8"/>
  <c r="I6" i="4"/>
  <c r="B6" i="4"/>
  <c r="C6" i="4"/>
  <c r="C4" i="4" s="1"/>
  <c r="C8" i="4" s="1"/>
  <c r="Q6" i="4"/>
  <c r="E3" i="8"/>
  <c r="E6" i="4"/>
  <c r="G3" i="8"/>
  <c r="O3" i="8"/>
  <c r="K6" i="4"/>
  <c r="S6" i="4"/>
  <c r="D6" i="4"/>
  <c r="D4" i="4" s="1"/>
  <c r="D8" i="4" s="1"/>
  <c r="D11" i="4" s="1"/>
  <c r="D14" i="4" s="1"/>
  <c r="M6" i="4"/>
  <c r="F6" i="4"/>
  <c r="H9" i="4"/>
  <c r="G4" i="8"/>
  <c r="O4" i="8"/>
  <c r="W4" i="8"/>
  <c r="B9" i="4"/>
  <c r="C9" i="4"/>
  <c r="K9" i="4"/>
  <c r="S9" i="4"/>
  <c r="I4" i="8"/>
  <c r="Q4" i="8"/>
  <c r="K2" i="8" l="1"/>
  <c r="J4" i="8" s="1"/>
  <c r="P11" i="8"/>
  <c r="H7" i="4"/>
  <c r="G9" i="7"/>
  <c r="G6" i="7"/>
  <c r="K11" i="6"/>
  <c r="K3" i="6"/>
  <c r="I13" i="10" s="1"/>
  <c r="H5" i="4"/>
  <c r="M2" i="8"/>
  <c r="L2" i="8" s="1"/>
  <c r="E4" i="4"/>
  <c r="E8" i="4" s="1"/>
  <c r="E11" i="4" s="1"/>
  <c r="E14" i="4" s="1"/>
  <c r="B4" i="4"/>
  <c r="B8" i="4" s="1"/>
  <c r="F4" i="4"/>
  <c r="F8" i="4" s="1"/>
  <c r="F11" i="4" s="1"/>
  <c r="F14" i="4" s="1"/>
  <c r="F16" i="4" s="1"/>
  <c r="G4" i="4"/>
  <c r="G8" i="4" s="1"/>
  <c r="G11" i="4" s="1"/>
  <c r="G14" i="4" s="1"/>
  <c r="E7" i="10"/>
  <c r="B17" i="9"/>
  <c r="B16" i="9" s="1"/>
  <c r="E2" i="8"/>
  <c r="E13" i="8" s="1"/>
  <c r="U3" i="4"/>
  <c r="G7" i="7"/>
  <c r="F11" i="6"/>
  <c r="I6" i="7"/>
  <c r="G17" i="7"/>
  <c r="Z11" i="8"/>
  <c r="N6" i="4"/>
  <c r="G12" i="7"/>
  <c r="M3" i="6"/>
  <c r="K13" i="10" s="1"/>
  <c r="G18" i="7"/>
  <c r="Q2" i="4"/>
  <c r="P6" i="4" s="1"/>
  <c r="Y11" i="8"/>
  <c r="N10" i="4"/>
  <c r="N9" i="4"/>
  <c r="N13" i="4"/>
  <c r="N7" i="4"/>
  <c r="N12" i="4"/>
  <c r="K6" i="7"/>
  <c r="N5" i="4"/>
  <c r="K9" i="7"/>
  <c r="L9" i="4"/>
  <c r="L12" i="4"/>
  <c r="L7" i="4"/>
  <c r="L13" i="4"/>
  <c r="L10" i="4"/>
  <c r="J4" i="7"/>
  <c r="J8" i="7" s="1"/>
  <c r="R13" i="4"/>
  <c r="R10" i="4"/>
  <c r="R7" i="4"/>
  <c r="R12" i="4"/>
  <c r="K2" i="4"/>
  <c r="J6" i="4" s="1"/>
  <c r="S11" i="8"/>
  <c r="U10" i="8"/>
  <c r="T10" i="8" s="1"/>
  <c r="I18" i="7"/>
  <c r="I7" i="7"/>
  <c r="I17" i="7"/>
  <c r="I12" i="7"/>
  <c r="O4" i="4"/>
  <c r="O8" i="4" s="1"/>
  <c r="I10" i="6"/>
  <c r="H10" i="6" s="1"/>
  <c r="G11" i="10"/>
  <c r="I13" i="7"/>
  <c r="D7" i="5"/>
  <c r="D12" i="5"/>
  <c r="K4" i="10"/>
  <c r="K2" i="5"/>
  <c r="J5" i="5" s="1"/>
  <c r="M11" i="6"/>
  <c r="I9" i="7"/>
  <c r="F13" i="5"/>
  <c r="F12" i="5"/>
  <c r="F7" i="5"/>
  <c r="K17" i="7"/>
  <c r="K7" i="7"/>
  <c r="K12" i="7"/>
  <c r="K18" i="7"/>
  <c r="L5" i="4"/>
  <c r="D5" i="5"/>
  <c r="R5" i="4"/>
  <c r="D13" i="5"/>
  <c r="F6" i="5"/>
  <c r="G4" i="5"/>
  <c r="I3" i="6"/>
  <c r="G13" i="10" s="1"/>
  <c r="G3" i="6"/>
  <c r="E13" i="10" s="1"/>
  <c r="E4" i="5"/>
  <c r="D6" i="5"/>
  <c r="J9" i="8"/>
  <c r="J8" i="8"/>
  <c r="J6" i="8"/>
  <c r="J5" i="8"/>
  <c r="D16" i="4"/>
  <c r="J2" i="8"/>
  <c r="E16" i="4"/>
  <c r="L6" i="4"/>
  <c r="M4" i="4"/>
  <c r="D3" i="8"/>
  <c r="S4" i="4"/>
  <c r="R6" i="4"/>
  <c r="C11" i="4"/>
  <c r="C14" i="4" s="1"/>
  <c r="J3" i="8"/>
  <c r="D5" i="8"/>
  <c r="H6" i="4"/>
  <c r="O2" i="8"/>
  <c r="G2" i="8"/>
  <c r="F4" i="8" s="1"/>
  <c r="I2" i="8"/>
  <c r="R9" i="4"/>
  <c r="Q2" i="8"/>
  <c r="V10" i="8" l="1"/>
  <c r="AC10" i="8"/>
  <c r="D9" i="8"/>
  <c r="D4" i="8"/>
  <c r="L3" i="8"/>
  <c r="L8" i="8"/>
  <c r="L6" i="8"/>
  <c r="L5" i="8"/>
  <c r="L4" i="8"/>
  <c r="D2" i="8"/>
  <c r="L9" i="8"/>
  <c r="P5" i="4"/>
  <c r="K4" i="5"/>
  <c r="I4" i="10"/>
  <c r="J5" i="4"/>
  <c r="U5" i="4" s="1"/>
  <c r="D5" i="7" s="1"/>
  <c r="I2" i="5"/>
  <c r="H13" i="5" s="1"/>
  <c r="J9" i="4"/>
  <c r="D6" i="8"/>
  <c r="G16" i="4"/>
  <c r="D8" i="8"/>
  <c r="E2" i="10"/>
  <c r="D4" i="10" s="1"/>
  <c r="G7" i="10"/>
  <c r="T11" i="8"/>
  <c r="I4" i="7"/>
  <c r="H11" i="6"/>
  <c r="V11" i="8"/>
  <c r="K4" i="4"/>
  <c r="J4" i="4" s="1"/>
  <c r="Q4" i="4"/>
  <c r="P4" i="4" s="1"/>
  <c r="G5" i="7"/>
  <c r="I4" i="5"/>
  <c r="J4" i="5"/>
  <c r="K10" i="6"/>
  <c r="J10" i="6" s="1"/>
  <c r="I11" i="10"/>
  <c r="D3" i="7"/>
  <c r="D2" i="7" s="1"/>
  <c r="M10" i="6"/>
  <c r="L10" i="6" s="1"/>
  <c r="K11" i="10"/>
  <c r="J13" i="5"/>
  <c r="S10" i="8"/>
  <c r="Y10" i="8"/>
  <c r="X10" i="8" s="1"/>
  <c r="J12" i="5"/>
  <c r="J7" i="5"/>
  <c r="J6" i="5"/>
  <c r="K8" i="5"/>
  <c r="U2" i="8"/>
  <c r="T6" i="8" s="1"/>
  <c r="N4" i="4"/>
  <c r="L4" i="7"/>
  <c r="J10" i="4"/>
  <c r="J13" i="4"/>
  <c r="J12" i="4"/>
  <c r="J7" i="4"/>
  <c r="U2" i="4"/>
  <c r="P10" i="4"/>
  <c r="P7" i="4"/>
  <c r="P13" i="4"/>
  <c r="P12" i="4"/>
  <c r="P9" i="4"/>
  <c r="I8" i="7"/>
  <c r="D4" i="5"/>
  <c r="F4" i="5"/>
  <c r="G8" i="5"/>
  <c r="C16" i="4"/>
  <c r="U6" i="4"/>
  <c r="G13" i="8"/>
  <c r="I13" i="8" s="1"/>
  <c r="K13" i="8" s="1"/>
  <c r="M13" i="8" s="1"/>
  <c r="O13" i="8" s="1"/>
  <c r="Q13" i="8" s="1"/>
  <c r="R4" i="4"/>
  <c r="S8" i="4"/>
  <c r="L4" i="4"/>
  <c r="M8" i="4"/>
  <c r="H4" i="4"/>
  <c r="N8" i="4"/>
  <c r="O11" i="4"/>
  <c r="N5" i="8"/>
  <c r="N2" i="8"/>
  <c r="N9" i="8"/>
  <c r="N8" i="8"/>
  <c r="N3" i="8"/>
  <c r="N6" i="8"/>
  <c r="H8" i="8"/>
  <c r="H6" i="8"/>
  <c r="H3" i="8"/>
  <c r="H9" i="8"/>
  <c r="H2" i="8"/>
  <c r="H5" i="8"/>
  <c r="N4" i="8"/>
  <c r="H4" i="8"/>
  <c r="P9" i="8"/>
  <c r="P6" i="8"/>
  <c r="P3" i="8"/>
  <c r="P8" i="8"/>
  <c r="P5" i="8"/>
  <c r="P2" i="8"/>
  <c r="P4" i="8"/>
  <c r="F5" i="8"/>
  <c r="F2" i="8"/>
  <c r="F8" i="8"/>
  <c r="F9" i="8"/>
  <c r="F6" i="8"/>
  <c r="F3" i="8"/>
  <c r="U12" i="4" l="1"/>
  <c r="U13" i="4"/>
  <c r="H5" i="5"/>
  <c r="L11" i="6"/>
  <c r="H6" i="5"/>
  <c r="H12" i="5"/>
  <c r="H7" i="5"/>
  <c r="D6" i="10"/>
  <c r="D2" i="10"/>
  <c r="U9" i="4"/>
  <c r="K8" i="4"/>
  <c r="J8" i="4" s="1"/>
  <c r="D7" i="10"/>
  <c r="I7" i="10"/>
  <c r="D6" i="7"/>
  <c r="C6" i="7" s="1"/>
  <c r="Q8" i="4"/>
  <c r="P8" i="4" s="1"/>
  <c r="C6" i="5"/>
  <c r="C13" i="10" s="1"/>
  <c r="C5" i="5"/>
  <c r="G8" i="7"/>
  <c r="G4" i="7"/>
  <c r="X11" i="8"/>
  <c r="S2" i="8"/>
  <c r="C12" i="7"/>
  <c r="C18" i="7"/>
  <c r="T4" i="8"/>
  <c r="T3" i="8"/>
  <c r="T5" i="8"/>
  <c r="T8" i="8"/>
  <c r="T9" i="8"/>
  <c r="T2" i="8"/>
  <c r="B12" i="5"/>
  <c r="E11" i="6"/>
  <c r="J11" i="6"/>
  <c r="I8" i="5"/>
  <c r="H4" i="5"/>
  <c r="U7" i="4"/>
  <c r="D13" i="7"/>
  <c r="C13" i="7" s="1"/>
  <c r="C13" i="5"/>
  <c r="J8" i="5"/>
  <c r="U10" i="4"/>
  <c r="R10" i="8"/>
  <c r="R11" i="8"/>
  <c r="K4" i="7"/>
  <c r="L8" i="7"/>
  <c r="C5" i="7"/>
  <c r="F8" i="5"/>
  <c r="D8" i="5"/>
  <c r="U4" i="4"/>
  <c r="N11" i="4"/>
  <c r="O14" i="4"/>
  <c r="B11" i="4"/>
  <c r="H8" i="4"/>
  <c r="R8" i="4"/>
  <c r="S11" i="4"/>
  <c r="L8" i="4"/>
  <c r="M11" i="4"/>
  <c r="R6" i="8" l="1"/>
  <c r="E10" i="5"/>
  <c r="G10" i="5"/>
  <c r="K10" i="5"/>
  <c r="I10" i="5"/>
  <c r="D9" i="7"/>
  <c r="C9" i="7" s="1"/>
  <c r="G9" i="5"/>
  <c r="F9" i="5" s="1"/>
  <c r="D9" i="5"/>
  <c r="K9" i="5"/>
  <c r="J9" i="5" s="1"/>
  <c r="I9" i="5"/>
  <c r="H9" i="5" s="1"/>
  <c r="B6" i="10"/>
  <c r="C9" i="5"/>
  <c r="B9" i="5" s="1"/>
  <c r="Y6" i="4"/>
  <c r="G2" i="10"/>
  <c r="F8" i="10" s="1"/>
  <c r="K7" i="10"/>
  <c r="S13" i="8"/>
  <c r="U13" i="8" s="1"/>
  <c r="Q11" i="4"/>
  <c r="Q14" i="4" s="1"/>
  <c r="B6" i="5"/>
  <c r="B5" i="5"/>
  <c r="D7" i="7"/>
  <c r="C7" i="5"/>
  <c r="H8" i="5"/>
  <c r="B8" i="10"/>
  <c r="C11" i="10"/>
  <c r="E10" i="6"/>
  <c r="D10" i="6" s="1"/>
  <c r="D11" i="6"/>
  <c r="K8" i="7"/>
  <c r="B13" i="5"/>
  <c r="R2" i="8"/>
  <c r="R9" i="8"/>
  <c r="R3" i="8"/>
  <c r="R4" i="8"/>
  <c r="R5" i="8"/>
  <c r="R8" i="8"/>
  <c r="B10" i="5"/>
  <c r="K10" i="7"/>
  <c r="D10" i="7"/>
  <c r="C10" i="7" s="1"/>
  <c r="U8" i="4"/>
  <c r="H11" i="4"/>
  <c r="M14" i="4"/>
  <c r="L11" i="4"/>
  <c r="P11" i="4"/>
  <c r="R11" i="4"/>
  <c r="S14" i="4"/>
  <c r="B14" i="4"/>
  <c r="J11" i="4"/>
  <c r="N14" i="4"/>
  <c r="B4" i="10" l="1"/>
  <c r="B7" i="10"/>
  <c r="F4" i="10"/>
  <c r="F7" i="10"/>
  <c r="F2" i="10"/>
  <c r="F6" i="10"/>
  <c r="I2" i="10"/>
  <c r="L11" i="7"/>
  <c r="K11" i="7" s="1"/>
  <c r="F10" i="5"/>
  <c r="G14" i="10"/>
  <c r="G11" i="5"/>
  <c r="D10" i="5"/>
  <c r="E14" i="10"/>
  <c r="E11" i="5"/>
  <c r="I10" i="7"/>
  <c r="J11" i="7"/>
  <c r="I14" i="10"/>
  <c r="H10" i="5"/>
  <c r="B7" i="5"/>
  <c r="G10" i="7"/>
  <c r="K14" i="10"/>
  <c r="J10" i="5"/>
  <c r="K11" i="5"/>
  <c r="I11" i="5"/>
  <c r="C14" i="10"/>
  <c r="D17" i="7"/>
  <c r="C17" i="7" s="1"/>
  <c r="C7" i="7"/>
  <c r="D4" i="7"/>
  <c r="U11" i="4"/>
  <c r="Q16" i="4"/>
  <c r="P16" i="4" s="1"/>
  <c r="P14" i="4"/>
  <c r="J15" i="4"/>
  <c r="J14" i="4"/>
  <c r="L15" i="4"/>
  <c r="L14" i="4"/>
  <c r="O16" i="4"/>
  <c r="N16" i="4" s="1"/>
  <c r="N15" i="4"/>
  <c r="R16" i="4"/>
  <c r="R14" i="4"/>
  <c r="H14" i="4"/>
  <c r="H15" i="4"/>
  <c r="H16" i="4"/>
  <c r="H4" i="10" l="1"/>
  <c r="H2" i="10"/>
  <c r="H3" i="10"/>
  <c r="H6" i="10"/>
  <c r="H7" i="10"/>
  <c r="L14" i="7"/>
  <c r="K14" i="7" s="1"/>
  <c r="H8" i="10"/>
  <c r="K2" i="10"/>
  <c r="J8" i="10" s="1"/>
  <c r="M16" i="4"/>
  <c r="L16" i="4" s="1"/>
  <c r="J16" i="4"/>
  <c r="J14" i="7"/>
  <c r="I11" i="7"/>
  <c r="B4" i="5"/>
  <c r="G14" i="5"/>
  <c r="F11" i="5"/>
  <c r="D11" i="5"/>
  <c r="E14" i="5"/>
  <c r="E15" i="5" s="1"/>
  <c r="J11" i="5"/>
  <c r="K14" i="5"/>
  <c r="C4" i="7"/>
  <c r="G11" i="7"/>
  <c r="I14" i="5"/>
  <c r="H11" i="5"/>
  <c r="U14" i="4"/>
  <c r="B16" i="4"/>
  <c r="AA9" i="8"/>
  <c r="AA2" i="8" s="1"/>
  <c r="Z2" i="8" s="1"/>
  <c r="R15" i="4"/>
  <c r="W2" i="8"/>
  <c r="Y9" i="8"/>
  <c r="AC9" i="8" s="1"/>
  <c r="P15" i="4"/>
  <c r="V9" i="8" l="1"/>
  <c r="K15" i="7"/>
  <c r="U16" i="4"/>
  <c r="J2" i="10"/>
  <c r="J6" i="10"/>
  <c r="J4" i="10"/>
  <c r="J7" i="10"/>
  <c r="U15" i="4"/>
  <c r="C15" i="5" s="1"/>
  <c r="C8" i="7"/>
  <c r="J14" i="5"/>
  <c r="K16" i="5"/>
  <c r="J16" i="5" s="1"/>
  <c r="H14" i="5"/>
  <c r="B8" i="5"/>
  <c r="E16" i="5"/>
  <c r="D16" i="5" s="1"/>
  <c r="D14" i="5"/>
  <c r="G16" i="5"/>
  <c r="F16" i="5" s="1"/>
  <c r="F14" i="5"/>
  <c r="G14" i="7"/>
  <c r="G15" i="7"/>
  <c r="L16" i="7"/>
  <c r="I15" i="7"/>
  <c r="I14" i="7"/>
  <c r="Z3" i="8"/>
  <c r="Z5" i="8"/>
  <c r="Z6" i="8"/>
  <c r="Z8" i="8"/>
  <c r="Z9" i="8"/>
  <c r="Y2" i="8"/>
  <c r="X9" i="8" s="1"/>
  <c r="Z4" i="8"/>
  <c r="W13" i="8"/>
  <c r="V6" i="8"/>
  <c r="V3" i="8"/>
  <c r="V4" i="8"/>
  <c r="V8" i="8"/>
  <c r="V5" i="8"/>
  <c r="V2" i="8"/>
  <c r="AC2" i="8" l="1"/>
  <c r="J16" i="7"/>
  <c r="D15" i="7"/>
  <c r="C15" i="7" s="1"/>
  <c r="I16" i="7"/>
  <c r="J19" i="7"/>
  <c r="I16" i="5"/>
  <c r="H16" i="5" s="1"/>
  <c r="K9" i="6"/>
  <c r="H15" i="5"/>
  <c r="K16" i="7"/>
  <c r="L19" i="7"/>
  <c r="D15" i="5"/>
  <c r="G9" i="6"/>
  <c r="B14" i="5"/>
  <c r="B11" i="5"/>
  <c r="M9" i="6"/>
  <c r="J15" i="5"/>
  <c r="F15" i="5"/>
  <c r="I9" i="6"/>
  <c r="C14" i="7"/>
  <c r="C11" i="7"/>
  <c r="Y13" i="8"/>
  <c r="AA13" i="8" s="1"/>
  <c r="AC13" i="8" s="1"/>
  <c r="B15" i="5"/>
  <c r="E9" i="6"/>
  <c r="C25" i="5"/>
  <c r="X8" i="8"/>
  <c r="X6" i="8"/>
  <c r="X3" i="8"/>
  <c r="X2" i="8"/>
  <c r="X5" i="8"/>
  <c r="X4" i="8"/>
  <c r="D30" i="7" l="1"/>
  <c r="G16" i="7"/>
  <c r="C16" i="5"/>
  <c r="B16" i="5" s="1"/>
  <c r="K12" i="10"/>
  <c r="M2" i="6"/>
  <c r="K2" i="6"/>
  <c r="J9" i="6" s="1"/>
  <c r="I12" i="10"/>
  <c r="G12" i="10"/>
  <c r="I2" i="6"/>
  <c r="J4" i="9"/>
  <c r="G19" i="7"/>
  <c r="J6" i="9"/>
  <c r="K19" i="7"/>
  <c r="I19" i="7"/>
  <c r="J5" i="9"/>
  <c r="E12" i="10"/>
  <c r="E9" i="10" s="1"/>
  <c r="D14" i="10" s="1"/>
  <c r="G2" i="6"/>
  <c r="C12" i="10"/>
  <c r="B11" i="10" s="1"/>
  <c r="E2" i="6"/>
  <c r="D9" i="6" s="1"/>
  <c r="C16" i="7"/>
  <c r="F4" i="6" l="1"/>
  <c r="F2" i="6"/>
  <c r="F8" i="6"/>
  <c r="F6" i="6"/>
  <c r="F5" i="6"/>
  <c r="F3" i="6"/>
  <c r="F9" i="6"/>
  <c r="D12" i="10"/>
  <c r="E16" i="10"/>
  <c r="E15" i="10" s="1"/>
  <c r="D15" i="10" s="1"/>
  <c r="D13" i="10"/>
  <c r="J6" i="6"/>
  <c r="J2" i="6"/>
  <c r="J3" i="6"/>
  <c r="J4" i="6"/>
  <c r="J8" i="6"/>
  <c r="J5" i="6"/>
  <c r="H9" i="6"/>
  <c r="H4" i="6"/>
  <c r="H8" i="6"/>
  <c r="H6" i="6"/>
  <c r="H5" i="6"/>
  <c r="H3" i="6"/>
  <c r="H2" i="6"/>
  <c r="G9" i="10"/>
  <c r="D9" i="10"/>
  <c r="I9" i="10"/>
  <c r="H12" i="10" s="1"/>
  <c r="D11" i="10"/>
  <c r="L9" i="6"/>
  <c r="L8" i="6"/>
  <c r="L2" i="6"/>
  <c r="L3" i="6"/>
  <c r="L5" i="6"/>
  <c r="L6" i="6"/>
  <c r="L4" i="6"/>
  <c r="K9" i="10"/>
  <c r="J12" i="10" s="1"/>
  <c r="B14" i="10"/>
  <c r="B13" i="10"/>
  <c r="C16" i="10"/>
  <c r="C15" i="10" s="1"/>
  <c r="B15" i="10" s="1"/>
  <c r="B9" i="10"/>
  <c r="B12" i="10"/>
  <c r="D8" i="6"/>
  <c r="D4" i="6"/>
  <c r="D6" i="6"/>
  <c r="D2" i="6"/>
  <c r="D5" i="6"/>
  <c r="E13" i="6"/>
  <c r="D3" i="6"/>
  <c r="C19" i="7"/>
  <c r="J2" i="9"/>
  <c r="D16" i="10" l="1"/>
  <c r="G16" i="10"/>
  <c r="F11" i="10"/>
  <c r="F9" i="10"/>
  <c r="F14" i="10"/>
  <c r="F13" i="10"/>
  <c r="H14" i="10"/>
  <c r="H13" i="10"/>
  <c r="H11" i="10"/>
  <c r="I16" i="10"/>
  <c r="H9" i="10"/>
  <c r="J14" i="10"/>
  <c r="J9" i="10"/>
  <c r="K16" i="10"/>
  <c r="J11" i="10"/>
  <c r="J13" i="10"/>
  <c r="F12" i="10"/>
  <c r="H2" i="9"/>
  <c r="B6" i="9"/>
  <c r="G13" i="6"/>
  <c r="B4" i="9"/>
  <c r="B16" i="10"/>
  <c r="K15" i="10" l="1"/>
  <c r="J15" i="10" s="1"/>
  <c r="I15" i="10"/>
  <c r="H15" i="10" s="1"/>
  <c r="G15" i="10"/>
  <c r="F15" i="10" s="1"/>
  <c r="H3" i="9"/>
  <c r="I13" i="6"/>
  <c r="C6" i="9"/>
  <c r="C4" i="9"/>
  <c r="H16" i="10" l="1"/>
  <c r="J16" i="10"/>
  <c r="F16" i="10"/>
  <c r="K13" i="6"/>
  <c r="M13" i="6" s="1"/>
  <c r="D6" i="9"/>
  <c r="H4" i="9"/>
  <c r="D4" i="9"/>
  <c r="E4" i="9" l="1"/>
  <c r="H5" i="9"/>
  <c r="E6" i="9"/>
  <c r="F6" i="9" l="1"/>
  <c r="B7" i="9" s="1"/>
  <c r="F4" i="9"/>
  <c r="B5" i="9" s="1"/>
  <c r="H6" i="9"/>
  <c r="H9" i="9" s="1" a="1"/>
  <c r="H9" i="9" l="1"/>
  <c r="E14" i="7"/>
  <c r="F19" i="7" s="1"/>
  <c r="D23" i="9" s="1"/>
  <c r="E4" i="7"/>
  <c r="E10" i="7"/>
  <c r="E5" i="7"/>
  <c r="E18" i="7"/>
  <c r="E12" i="7"/>
  <c r="E6" i="7"/>
  <c r="E9" i="7"/>
  <c r="E7" i="7"/>
  <c r="E13" i="7"/>
  <c r="E17" i="7"/>
  <c r="E8" i="7"/>
  <c r="E11" i="7"/>
  <c r="J3" i="9"/>
  <c r="B32" i="9" l="1"/>
  <c r="E33" i="9"/>
  <c r="E34" i="9"/>
  <c r="C27" i="9"/>
  <c r="B38" i="9"/>
  <c r="B40" i="9" s="1"/>
  <c r="J10" i="9"/>
  <c r="J9" i="9" a="1"/>
  <c r="E16" i="7"/>
  <c r="E15" i="7"/>
  <c r="E19" i="7"/>
  <c r="M16" i="9"/>
  <c r="M9" i="9"/>
  <c r="M25" i="9"/>
  <c r="M8" i="9"/>
  <c r="J9" i="9"/>
  <c r="M27" i="9"/>
  <c r="M13" i="9"/>
  <c r="M22" i="9"/>
  <c r="M17" i="9"/>
  <c r="M23" i="9"/>
  <c r="M11" i="9"/>
  <c r="M7" i="9"/>
  <c r="M14" i="9"/>
  <c r="M15" i="9"/>
  <c r="M24" i="9"/>
  <c r="M44" i="9"/>
  <c r="M20" i="9"/>
  <c r="M10" i="9"/>
  <c r="M18" i="9"/>
  <c r="M12" i="9"/>
  <c r="M21" i="9"/>
  <c r="M26" i="9"/>
  <c r="M45" i="9"/>
  <c r="M43" i="9"/>
  <c r="M19" i="9"/>
  <c r="M6" i="9"/>
  <c r="E32" i="9" l="1"/>
  <c r="B39" i="9" s="1"/>
  <c r="C28" i="9"/>
  <c r="B41" i="9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<sst xmlns="http://schemas.openxmlformats.org/spreadsheetml/2006/main" count="418" uniqueCount="281">
  <si>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</si>
  <si>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</si>
  <si>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</si>
  <si>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</si>
  <si>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</si>
  <si>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</si>
  <si>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</si>
  <si>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</si>
  <si>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</si>
  <si>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</si>
  <si>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</si>
  <si>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</si>
  <si>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</si>
  <si>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</si>
  <si>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</si>
  <si>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</si>
  <si>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</si>
  <si>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Energía</t>
  </si>
  <si>
    <t>Servidores</t>
  </si>
  <si>
    <t>Arriendo oficina</t>
  </si>
  <si>
    <t>Papelería</t>
  </si>
  <si>
    <t>Jefe de desarrollo</t>
  </si>
  <si>
    <t>Internet y telefonía</t>
  </si>
  <si>
    <t>Administración</t>
  </si>
  <si>
    <t>Varios oficina</t>
  </si>
  <si>
    <t>Agua y alcantarillado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</si>
  <si>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</si>
  <si>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</si>
  <si>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</si>
  <si>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</si>
  <si>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</si>
  <si>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</si>
  <si>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</si>
  <si>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</si>
  <si>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</si>
  <si>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</si>
  <si>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</si>
  <si>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</si>
  <si>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</si>
  <si>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</si>
  <si>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</si>
  <si>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</si>
  <si>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</si>
  <si>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</si>
  <si>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</si>
  <si>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</si>
  <si>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</si>
  <si>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</si>
  <si>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</si>
  <si>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</si>
  <si>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</si>
  <si>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</si>
  <si>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</si>
  <si>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</si>
  <si>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</si>
  <si>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</si>
  <si>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</si>
  <si>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</si>
  <si>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</si>
  <si>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</si>
  <si>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</si>
  <si>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</si>
  <si>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</si>
  <si>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</si>
  <si>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</si>
  <si>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</si>
  <si>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</si>
  <si>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</si>
  <si>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</si>
  <si>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</si>
  <si>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</si>
  <si>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</si>
  <si>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</si>
  <si>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</si>
  <si>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</si>
  <si>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</si>
  <si>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</si>
  <si>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</si>
  <si>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</si>
  <si>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</si>
  <si>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</si>
  <si>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</si>
  <si>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</si>
  <si>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</si>
  <si>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</si>
  <si>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</si>
  <si>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</si>
  <si>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</si>
  <si>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</si>
  <si>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</si>
  <si>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</si>
  <si>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</si>
  <si>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</si>
  <si>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</si>
  <si>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</si>
  <si>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</si>
  <si>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</si>
  <si>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</si>
  <si>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</si>
  <si>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</si>
  <si>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</si>
  <si>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</si>
  <si>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</si>
  <si>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</si>
  <si>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</si>
  <si>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</si>
  <si>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</si>
  <si>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</si>
  <si>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</si>
  <si>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</si>
  <si>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</si>
  <si>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</si>
  <si>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</si>
  <si>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</si>
  <si>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</si>
  <si>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</si>
  <si>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</si>
  <si>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</si>
  <si>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</si>
  <si>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</si>
  <si>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</si>
  <si>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</si>
  <si>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</si>
  <si>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</si>
  <si>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</si>
  <si>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</si>
  <si>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</si>
  <si>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</si>
  <si>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</si>
  <si>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</si>
  <si>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</si>
  <si>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</si>
  <si>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</si>
  <si>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</si>
  <si>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</si>
  <si>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</si>
  <si>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</si>
  <si>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</si>
  <si>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</si>
  <si>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</si>
  <si>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</si>
  <si>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</si>
  <si>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</si>
  <si>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</si>
  <si>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</si>
  <si>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</si>
  <si>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</si>
  <si>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</si>
  <si>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</si>
  <si>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</si>
  <si>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</si>
  <si>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</si>
  <si>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</si>
  <si>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</si>
  <si>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</si>
  <si>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</si>
  <si>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</si>
  <si>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</si>
  <si>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</si>
  <si>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</si>
  <si>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</si>
  <si>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</si>
  <si>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</si>
  <si>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</si>
  <si>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</si>
  <si>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</si>
  <si>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</si>
  <si>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</si>
  <si>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</si>
  <si>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</si>
  <si>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</si>
  <si>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</si>
  <si>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</si>
  <si>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</si>
  <si>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</si>
  <si>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</si>
  <si>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</si>
  <si>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</si>
  <si>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</si>
  <si>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</si>
  <si>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</si>
  <si>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</si>
  <si>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</si>
  <si>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</si>
  <si>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</si>
  <si>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</si>
  <si>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</si>
  <si>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</si>
  <si>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</si>
  <si>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</si>
  <si>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</si>
  <si>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</si>
  <si>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</si>
  <si>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</si>
  <si>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</si>
  <si>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</si>
  <si>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</si>
  <si>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</si>
  <si>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</si>
  <si>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</si>
  <si>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</si>
  <si>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</si>
  <si>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</si>
  <si>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</si>
  <si>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</si>
  <si>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</si>
  <si>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</si>
  <si>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</si>
  <si>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</si>
  <si>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</si>
  <si>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</si>
  <si>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</si>
  <si>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</si>
  <si>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</si>
  <si>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</si>
  <si>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</si>
  <si>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</si>
  <si>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Admon</t>
  </si>
  <si>
    <t>Gastos ventas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</si>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</sst>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&quot;$&quot;#,##0.00"/>
    <numFmt numFmtId="165" formatCode="0.0%"/>
    <numFmt numFmtId="166" formatCode="[$$-240A]\ #,##0.00"/>
    <numFmt numFmtId="167" formatCode="[$$-240A]\ #,##0"/>
    <numFmt numFmtId="168" formatCode="&quot;$&quot;#,##0"/>
    <numFmt numFmtId="169" formatCode="0.0000"/>
    <numFmt numFmtId="170" formatCode="_-[$$-240A]\ * #,##0.00_-;\-[$$-240A]\ * #,##0.00_-;_-[$$-240A]\ * &quot;-&quot;??_-;_-@_-"/>
    <numFmt numFmtId="171" formatCode="_-[$$-240A]\ * #,##0.000_-;\-[$$-240A]\ * #,##0.000_-;_-[$$-240A]\ * &quot;-&quot;??_-;_-@_-"/>
    <numFmt numFmtId="172" formatCode="_-[$$-240A]\ * #,##0.000_-;\-[$$-240A]\ * #,##0.000_-;_-[$$-240A]\ * &quot;-&quot;???_-;_-@_-"/>
  </numFmts>
  <fonts count="26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2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64" fontId="1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4" fontId="3" fillId="0" borderId="0" xfId="0" applyNumberFormat="1" applyFont="1"/>
    <xf numFmtId="164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right"/>
    </xf>
    <xf numFmtId="164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5" fontId="12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164" fontId="11" fillId="0" borderId="4" xfId="0" applyNumberFormat="1" applyFont="1" applyBorder="1" applyAlignment="1"/>
    <xf numFmtId="164" fontId="8" fillId="0" borderId="4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11" fillId="0" borderId="3" xfId="0" applyNumberFormat="1" applyFont="1" applyBorder="1" applyAlignment="1"/>
    <xf numFmtId="164" fontId="11" fillId="0" borderId="0" xfId="0" applyNumberFormat="1" applyFont="1" applyAlignment="1"/>
    <xf numFmtId="0" fontId="10" fillId="0" borderId="2" xfId="0" applyFont="1" applyBorder="1" applyAlignment="1"/>
    <xf numFmtId="165" fontId="10" fillId="0" borderId="2" xfId="0" applyNumberFormat="1" applyFont="1" applyBorder="1" applyAlignment="1">
      <alignment horizontal="right"/>
    </xf>
    <xf numFmtId="164" fontId="10" fillId="0" borderId="4" xfId="0" applyNumberFormat="1" applyFont="1" applyBorder="1" applyAlignment="1"/>
    <xf numFmtId="164" fontId="10" fillId="0" borderId="4" xfId="0" applyNumberFormat="1" applyFont="1" applyBorder="1"/>
    <xf numFmtId="164" fontId="4" fillId="0" borderId="0" xfId="0" applyNumberFormat="1" applyFont="1"/>
    <xf numFmtId="164" fontId="8" fillId="0" borderId="0" xfId="0" applyNumberFormat="1" applyFont="1" applyAlignment="1">
      <alignment horizontal="right"/>
    </xf>
    <xf numFmtId="164" fontId="10" fillId="0" borderId="3" xfId="0" applyNumberFormat="1" applyFont="1" applyBorder="1"/>
    <xf numFmtId="165" fontId="13" fillId="0" borderId="2" xfId="0" applyNumberFormat="1" applyFont="1" applyBorder="1" applyAlignment="1">
      <alignment horizontal="right"/>
    </xf>
    <xf numFmtId="164" fontId="10" fillId="0" borderId="0" xfId="0" applyNumberFormat="1" applyFont="1"/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5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10" fillId="0" borderId="3" xfId="0" applyNumberFormat="1" applyFont="1" applyBorder="1" applyAlignment="1"/>
    <xf numFmtId="164" fontId="10" fillId="0" borderId="0" xfId="0" applyNumberFormat="1" applyFont="1" applyAlignment="1"/>
    <xf numFmtId="164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4" fontId="11" fillId="0" borderId="2" xfId="0" applyNumberFormat="1" applyFont="1" applyBorder="1"/>
    <xf numFmtId="164" fontId="11" fillId="0" borderId="4" xfId="0" applyNumberFormat="1" applyFont="1" applyBorder="1"/>
    <xf numFmtId="164" fontId="11" fillId="0" borderId="3" xfId="0" applyNumberFormat="1" applyFont="1" applyBorder="1"/>
    <xf numFmtId="164" fontId="11" fillId="0" borderId="0" xfId="0" applyNumberFormat="1" applyFont="1"/>
    <xf numFmtId="3" fontId="4" fillId="0" borderId="0" xfId="0" applyNumberFormat="1" applyFont="1"/>
    <xf numFmtId="165" fontId="11" fillId="0" borderId="2" xfId="0" applyNumberFormat="1" applyFont="1" applyBorder="1" applyAlignment="1"/>
    <xf numFmtId="165" fontId="10" fillId="0" borderId="2" xfId="0" applyNumberFormat="1" applyFont="1" applyBorder="1" applyAlignment="1"/>
    <xf numFmtId="3" fontId="4" fillId="0" borderId="0" xfId="0" applyNumberFormat="1" applyFont="1" applyAlignment="1"/>
    <xf numFmtId="164" fontId="4" fillId="0" borderId="0" xfId="0" applyNumberFormat="1" applyFont="1" applyAlignment="1"/>
    <xf numFmtId="4" fontId="4" fillId="0" borderId="0" xfId="0" applyNumberFormat="1" applyFont="1" applyAlignment="1"/>
    <xf numFmtId="4" fontId="15" fillId="2" borderId="0" xfId="0" applyNumberFormat="1" applyFont="1" applyFill="1"/>
    <xf numFmtId="165" fontId="12" fillId="0" borderId="8" xfId="0" applyNumberFormat="1" applyFont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4" fontId="15" fillId="2" borderId="0" xfId="0" applyNumberFormat="1" applyFont="1" applyFill="1"/>
    <xf numFmtId="164" fontId="7" fillId="0" borderId="2" xfId="0" applyNumberFormat="1" applyFont="1" applyBorder="1" applyAlignment="1"/>
    <xf numFmtId="164" fontId="7" fillId="0" borderId="4" xfId="0" applyNumberFormat="1" applyFont="1" applyBorder="1"/>
    <xf numFmtId="164" fontId="7" fillId="0" borderId="4" xfId="0" applyNumberFormat="1" applyFont="1" applyBorder="1" applyAlignment="1"/>
    <xf numFmtId="164" fontId="1" fillId="0" borderId="2" xfId="0" applyNumberFormat="1" applyFont="1" applyBorder="1"/>
    <xf numFmtId="0" fontId="15" fillId="2" borderId="0" xfId="0" applyFont="1" applyFill="1"/>
    <xf numFmtId="164" fontId="1" fillId="0" borderId="4" xfId="0" applyNumberFormat="1" applyFont="1" applyBorder="1"/>
    <xf numFmtId="9" fontId="4" fillId="0" borderId="0" xfId="0" applyNumberFormat="1" applyFont="1"/>
    <xf numFmtId="165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5" fontId="11" fillId="0" borderId="2" xfId="0" applyNumberFormat="1" applyFont="1" applyBorder="1"/>
    <xf numFmtId="0" fontId="11" fillId="0" borderId="1" xfId="0" applyFont="1" applyBorder="1" applyAlignment="1"/>
    <xf numFmtId="164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5" fontId="16" fillId="0" borderId="2" xfId="0" applyNumberFormat="1" applyFont="1" applyBorder="1" applyAlignment="1"/>
    <xf numFmtId="165" fontId="10" fillId="0" borderId="2" xfId="0" applyNumberFormat="1" applyFont="1" applyBorder="1"/>
    <xf numFmtId="164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4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>
      <alignment wrapText="1"/>
    </xf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7" fontId="0" fillId="0" borderId="13" xfId="1" applyNumberFormat="1" applyFont="1" applyBorder="1" applyAlignment="1"/>
    <xf numFmtId="167" fontId="22" fillId="0" borderId="13" xfId="1" applyNumberFormat="1" applyFont="1" applyBorder="1" applyAlignment="1"/>
    <xf numFmtId="0" fontId="19" fillId="4" borderId="12" xfId="3" applyAlignment="1">
      <alignment horizontal="center" wrapText="1"/>
    </xf>
    <xf numFmtId="164" fontId="7" fillId="0" borderId="13" xfId="0" applyNumberFormat="1" applyFont="1" applyBorder="1"/>
    <xf numFmtId="164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6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68" fontId="1" fillId="0" borderId="1" xfId="0" applyNumberFormat="1" applyFont="1" applyBorder="1"/>
    <xf numFmtId="168" fontId="7" fillId="0" borderId="1" xfId="0" applyNumberFormat="1" applyFont="1" applyBorder="1"/>
    <xf numFmtId="168" fontId="7" fillId="0" borderId="1" xfId="0" applyNumberFormat="1" applyFont="1" applyBorder="1" applyAlignment="1"/>
    <xf numFmtId="168" fontId="7" fillId="0" borderId="5" xfId="0" applyNumberFormat="1" applyFont="1" applyBorder="1" applyAlignment="1"/>
    <xf numFmtId="168" fontId="13" fillId="0" borderId="13" xfId="0" applyNumberFormat="1" applyFont="1" applyBorder="1" applyAlignment="1"/>
    <xf numFmtId="0" fontId="19" fillId="4" borderId="12" xfId="3" applyAlignment="1"/>
    <xf numFmtId="168" fontId="19" fillId="4" borderId="12" xfId="3" applyNumberFormat="1"/>
    <xf numFmtId="164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4" fontId="24" fillId="0" borderId="0" xfId="0" applyNumberFormat="1" applyFont="1"/>
    <xf numFmtId="166" fontId="8" fillId="0" borderId="13" xfId="0" applyNumberFormat="1" applyFont="1" applyBorder="1" applyAlignment="1">
      <alignment horizontal="right"/>
    </xf>
    <xf numFmtId="166" fontId="12" fillId="0" borderId="4" xfId="0" applyNumberFormat="1" applyFont="1" applyBorder="1" applyAlignment="1">
      <alignment horizontal="right"/>
    </xf>
    <xf numFmtId="166" fontId="8" fillId="0" borderId="4" xfId="0" applyNumberFormat="1" applyFont="1" applyBorder="1" applyAlignment="1">
      <alignment horizontal="right"/>
    </xf>
    <xf numFmtId="166" fontId="12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5" fillId="0" borderId="13" xfId="0" applyNumberFormat="1" applyFont="1" applyBorder="1" applyAlignment="1">
      <alignment horizontal="right"/>
    </xf>
    <xf numFmtId="166" fontId="13" fillId="0" borderId="4" xfId="0" applyNumberFormat="1" applyFont="1" applyBorder="1" applyAlignment="1">
      <alignment horizontal="right"/>
    </xf>
    <xf numFmtId="166" fontId="5" fillId="0" borderId="4" xfId="0" applyNumberFormat="1" applyFont="1" applyBorder="1" applyAlignment="1">
      <alignment horizontal="right"/>
    </xf>
    <xf numFmtId="166" fontId="13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14" fillId="0" borderId="13" xfId="0" applyNumberFormat="1" applyFont="1" applyBorder="1" applyAlignment="1">
      <alignment horizontal="right"/>
    </xf>
    <xf numFmtId="166" fontId="8" fillId="0" borderId="13" xfId="0" applyNumberFormat="1" applyFont="1" applyBorder="1" applyAlignment="1"/>
    <xf numFmtId="166" fontId="5" fillId="0" borderId="13" xfId="0" applyNumberFormat="1" applyFont="1" applyBorder="1" applyAlignment="1"/>
    <xf numFmtId="166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5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8" fontId="4" fillId="0" borderId="0" xfId="0" applyNumberFormat="1" applyFont="1"/>
    <xf numFmtId="168" fontId="11" fillId="0" borderId="4" xfId="0" applyNumberFormat="1" applyFont="1" applyBorder="1" applyAlignment="1"/>
    <xf numFmtId="168" fontId="10" fillId="0" borderId="4" xfId="0" applyNumberFormat="1" applyFont="1" applyBorder="1"/>
    <xf numFmtId="168" fontId="10" fillId="0" borderId="4" xfId="0" applyNumberFormat="1" applyFont="1" applyBorder="1" applyAlignment="1"/>
    <xf numFmtId="0" fontId="18" fillId="3" borderId="11" xfId="2" applyAlignment="1"/>
    <xf numFmtId="164" fontId="18" fillId="3" borderId="11" xfId="2" applyNumberFormat="1"/>
    <xf numFmtId="168" fontId="18" fillId="3" borderId="11" xfId="2" applyNumberFormat="1"/>
    <xf numFmtId="0" fontId="18" fillId="3" borderId="11" xfId="2"/>
    <xf numFmtId="166" fontId="22" fillId="0" borderId="0" xfId="0" applyNumberFormat="1" applyFont="1" applyAlignment="1"/>
    <xf numFmtId="166" fontId="0" fillId="0" borderId="0" xfId="0" applyNumberFormat="1" applyFont="1" applyAlignment="1"/>
    <xf numFmtId="164" fontId="8" fillId="0" borderId="16" xfId="0" applyNumberFormat="1" applyFont="1" applyBorder="1" applyAlignment="1">
      <alignment horizontal="right"/>
    </xf>
    <xf numFmtId="164" fontId="5" fillId="0" borderId="16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6" xfId="0" applyNumberFormat="1" applyFont="1" applyBorder="1" applyAlignment="1"/>
    <xf numFmtId="164" fontId="1" fillId="0" borderId="16" xfId="0" applyNumberFormat="1" applyFont="1" applyBorder="1"/>
    <xf numFmtId="164" fontId="11" fillId="0" borderId="16" xfId="0" applyNumberFormat="1" applyFont="1" applyBorder="1"/>
    <xf numFmtId="0" fontId="10" fillId="0" borderId="16" xfId="0" applyFont="1" applyBorder="1"/>
    <xf numFmtId="164" fontId="10" fillId="0" borderId="16" xfId="0" applyNumberFormat="1" applyFont="1" applyBorder="1"/>
    <xf numFmtId="164" fontId="10" fillId="0" borderId="16" xfId="0" applyNumberFormat="1" applyFont="1" applyBorder="1" applyAlignment="1"/>
    <xf numFmtId="167" fontId="0" fillId="0" borderId="0" xfId="1" applyNumberFormat="1" applyFont="1" applyAlignment="1"/>
    <xf numFmtId="167" fontId="0" fillId="0" borderId="0" xfId="0" applyNumberFormat="1" applyFont="1" applyAlignment="1"/>
    <xf numFmtId="10" fontId="0" fillId="0" borderId="0" xfId="4" applyNumberFormat="1" applyFont="1" applyAlignment="1"/>
    <xf numFmtId="169" fontId="0" fillId="0" borderId="0" xfId="4" applyNumberFormat="1" applyFont="1" applyAlignment="1"/>
    <xf numFmtId="170" fontId="0" fillId="0" borderId="0" xfId="0" applyNumberFormat="1" applyFont="1" applyAlignment="1">
      <alignment horizontal="center"/>
    </xf>
    <xf numFmtId="171" fontId="0" fillId="0" borderId="0" xfId="0" applyNumberFormat="1" applyFont="1" applyAlignment="1">
      <alignment horizontal="center"/>
    </xf>
    <xf numFmtId="172" fontId="0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167" fontId="0" fillId="0" borderId="0" xfId="0" applyNumberFormat="1" applyFont="1" applyAlignment="1">
      <alignment horizontal="center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0" fontId="18" fillId="3" borderId="11" xfId="2" applyAlignment="1">
      <alignment horizontal="center" wrapText="1"/>
    </xf>
    <xf numFmtId="167" fontId="19" fillId="4" borderId="12" xfId="3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0" fontId="19" fillId="4" borderId="12" xfId="3"/>
    <xf numFmtId="164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4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7" fontId="19" fillId="4" borderId="13" xfId="3" applyNumberForma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0" fontId="4" fillId="0" borderId="15" xfId="0" applyFont="1" applyBorder="1"/>
    <xf numFmtId="0" fontId="18" fillId="3" borderId="11" xfId="2" applyBorder="1" applyAlignment="1">
      <alignment horizontal="center"/>
    </xf>
    <xf numFmtId="0" fontId="18" fillId="3" borderId="17" xfId="2" applyBorder="1"/>
    <xf numFmtId="43" fontId="25" fillId="5" borderId="0" xfId="5" applyFont="1" applyFill="1" applyAlignment="1">
      <alignment horizontal="center"/>
    </xf>
    <xf numFmtId="43" fontId="0" fillId="0" borderId="0" xfId="5" applyFont="1" applyAlignment="1"/>
    <xf numFmtId="170" fontId="0" fillId="0" borderId="0" xfId="1" applyNumberFormat="1" applyFont="1" applyAlignment="1">
      <alignment horizontal="center"/>
    </xf>
  </cellXfs>
  <cellStyles count="6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</cellStyles>
  <dxfs count="41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9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7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0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58512500</c:v>
                </c:pt>
                <c:pt idx="2">
                  <c:v>50373464</c:v>
                </c:pt>
                <c:pt idx="4" formatCode="&quot;$&quot;#,##0">
                  <c:v>42124428</c:v>
                </c:pt>
                <c:pt idx="6" formatCode="&quot;$&quot;#,##0">
                  <c:v>33845392</c:v>
                </c:pt>
                <c:pt idx="8" formatCode="&quot;$&quot;#,##0">
                  <c:v>25666356</c:v>
                </c:pt>
                <c:pt idx="10">
                  <c:v>17487320</c:v>
                </c:pt>
                <c:pt idx="12">
                  <c:v>8783284</c:v>
                </c:pt>
                <c:pt idx="14">
                  <c:v>45853642.933333337</c:v>
                </c:pt>
                <c:pt idx="16">
                  <c:v>94283713.306666672</c:v>
                </c:pt>
                <c:pt idx="18">
                  <c:v>157021572.56</c:v>
                </c:pt>
                <c:pt idx="20">
                  <c:v>237704251.01333332</c:v>
                </c:pt>
                <c:pt idx="22">
                  <c:v>340833975.62666667</c:v>
                </c:pt>
                <c:pt idx="24">
                  <c:v>471922369.44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9893648"/>
        <c:axId val="30130213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</c15:ser>
            </c15:filteredBarSeries>
          </c:ext>
        </c:extLst>
      </c:barChart>
      <c:catAx>
        <c:axId val="259893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302136"/>
        <c:crosses val="autoZero"/>
        <c:auto val="1"/>
        <c:lblAlgn val="ctr"/>
        <c:lblOffset val="100"/>
        <c:noMultiLvlLbl val="0"/>
      </c:catAx>
      <c:valAx>
        <c:axId val="30130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989364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Georgia"/>
              </a:defRPr>
            </a:pPr>
            <a:r>
              <a:rPr lang="es-ES"/>
              <a:t>Gráfica T.I.O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'VAN y TIR'!$L$6:$L$45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37">
                  <c:v>1.1000000000000001</c:v>
                </c:pt>
                <c:pt idx="38">
                  <c:v>1.1499999999999999</c:v>
                </c:pt>
                <c:pt idx="39">
                  <c:v>1.2</c:v>
                </c:pt>
              </c:numCache>
            </c:numRef>
          </c:cat>
          <c:val>
            <c:numRef>
              <c:f>'VAN y TIR'!$M$6:$M$45</c:f>
              <c:numCache>
                <c:formatCode>"$"#,##0.00</c:formatCode>
                <c:ptCount val="40"/>
                <c:pt idx="0">
                  <c:v>8928555557.1527557</c:v>
                </c:pt>
                <c:pt idx="1">
                  <c:v>7489971663.407341</c:v>
                </c:pt>
                <c:pt idx="2">
                  <c:v>6352722925.6488123</c:v>
                </c:pt>
                <c:pt idx="3">
                  <c:v>5441944708.1028109</c:v>
                </c:pt>
                <c:pt idx="4">
                  <c:v>4703873181.4058723</c:v>
                </c:pt>
                <c:pt idx="5">
                  <c:v>4099273547.5141115</c:v>
                </c:pt>
                <c:pt idx="6">
                  <c:v>3599090384.2094955</c:v>
                </c:pt>
                <c:pt idx="7">
                  <c:v>3181514669.6319437</c:v>
                </c:pt>
                <c:pt idx="8">
                  <c:v>2829972005.5122204</c:v>
                </c:pt>
                <c:pt idx="9">
                  <c:v>2531720824.1699638</c:v>
                </c:pt>
                <c:pt idx="10">
                  <c:v>2276861323.3222756</c:v>
                </c:pt>
                <c:pt idx="11">
                  <c:v>2057625278.5601459</c:v>
                </c:pt>
                <c:pt idx="12">
                  <c:v>1867860715.8917677</c:v>
                </c:pt>
                <c:pt idx="13">
                  <c:v>1702653589.4366779</c:v>
                </c:pt>
                <c:pt idx="14">
                  <c:v>1558046996.0258307</c:v>
                </c:pt>
                <c:pt idx="15">
                  <c:v>1430830643.1009884</c:v>
                </c:pt>
                <c:pt idx="16">
                  <c:v>1318381474.3114712</c:v>
                </c:pt>
                <c:pt idx="17">
                  <c:v>1218541931.8286524</c:v>
                </c:pt>
                <c:pt idx="18">
                  <c:v>1129526176.5660503</c:v>
                </c:pt>
                <c:pt idx="19">
                  <c:v>1049847266.3120408</c:v>
                </c:pt>
                <c:pt idx="20">
                  <c:v>978260179.89156723</c:v>
                </c:pt>
                <c:pt idx="21">
                  <c:v>913716919.97802794</c:v>
                </c:pt>
                <c:pt idx="37">
                  <c:v>855330893.90745759</c:v>
                </c:pt>
                <c:pt idx="38">
                  <c:v>802348473.35562515</c:v>
                </c:pt>
                <c:pt idx="39">
                  <c:v>754126147.23541009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302528"/>
        <c:axId val="301302920"/>
      </c:lineChart>
      <c:catAx>
        <c:axId val="30130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Tasa de descuento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301302920"/>
        <c:crosses val="autoZero"/>
        <c:auto val="1"/>
        <c:lblAlgn val="ctr"/>
        <c:lblOffset val="100"/>
        <c:noMultiLvlLbl val="1"/>
      </c:catAx>
      <c:valAx>
        <c:axId val="301302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Georgia"/>
                  </a:defRPr>
                </a:pPr>
                <a:r>
                  <a:rPr lang="es-ES"/>
                  <a:t>Valor presente neto ($)</a:t>
                </a:r>
              </a:p>
            </c:rich>
          </c:tx>
          <c:layout/>
          <c:overlay val="0"/>
        </c:title>
        <c:numFmt formatCode="&quot;$&quot;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Georgia"/>
              </a:defRPr>
            </a:pPr>
            <a:endParaRPr lang="es-ES"/>
          </a:p>
        </c:txPr>
        <c:crossAx val="30130252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40" totalsRowDxfId="39" headerRowCellStyle="Celda de comprobación">
  <tableColumns count="8">
    <tableColumn id="1" name="Promoción" dataDxfId="38"/>
    <tableColumn id="2" name="Tiempo aproximado de duración" dataDxfId="37" totalsRowDxfId="36"/>
    <tableColumn id="3" name="Objetivo " dataDxfId="35" totalsRowDxfId="34"/>
    <tableColumn id="4" name="Cantidad" dataDxfId="33" totalsRowDxfId="32"/>
    <tableColumn id="5" name="Se requieren" dataDxfId="31" totalsRowDxfId="30"/>
    <tableColumn id="6" name="Costo Unitario" totalsRowLabel="Total" dataDxfId="29" totalsRowDxfId="28" dataCellStyle="Moneda"/>
    <tableColumn id="7" name="Costo total" totalsRowFunction="sum" dataDxfId="27" totalsRowDxfId="26" dataCellStyle="Moneda">
      <calculatedColumnFormula>F37*E37</calculatedColumnFormula>
    </tableColumn>
    <tableColumn id="8" name="Proveedor" dataDxfId="25" totalsRow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1:G23" totalsRowShown="0" headerRowDxfId="23">
  <autoFilter ref="A21:G23"/>
  <tableColumns count="7">
    <tableColumn id="1" name="Columna1"/>
    <tableColumn id="2" name="Columna2" dataDxfId="22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21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20"/>
    <tableColumn id="2" name="Columna2" dataDxfId="19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8"/>
    <tableColumn id="2" name="Columna2" dataDxfId="17"/>
    <tableColumn id="3" name="Columna3" dataDxfId="16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5"/>
    <tableColumn id="2" name="Columna2" dataDxfId="14" dataCellStyle="Porcentaje"/>
    <tableColumn id="3" name="Columna3" dataDxfId="13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banrep.gov.co/es/ipc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B14" sqref="B14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</cols>
  <sheetData>
    <row r="1" spans="1:10" ht="12" customHeight="1" thickTop="1" thickBot="1">
      <c r="A1" s="117" t="s">
        <v>0</v>
      </c>
      <c r="B1" s="117" t="s">
        <v>1</v>
      </c>
      <c r="C1" s="2" t="s">
        <v>2</v>
      </c>
    </row>
    <row r="2" spans="1:10" ht="13.5" thickTop="1">
      <c r="A2" s="5" t="s">
        <v>248</v>
      </c>
      <c r="B2" s="123">
        <f>SUM(B3:B9
)</f>
        <v>116700</v>
      </c>
      <c r="C2" s="3"/>
    </row>
    <row r="3" spans="1:10" ht="12.75">
      <c r="A3" s="7" t="s">
        <v>44</v>
      </c>
      <c r="B3" s="124">
        <f>B25</f>
        <v>51000</v>
      </c>
      <c r="C3" s="4"/>
    </row>
    <row r="4" spans="1:10" ht="12.75">
      <c r="A4" s="7" t="s">
        <v>47</v>
      </c>
      <c r="B4" s="125">
        <v>0</v>
      </c>
      <c r="C4" s="4" t="s">
        <v>48</v>
      </c>
    </row>
    <row r="5" spans="1:10" ht="12.75">
      <c r="A5" s="7" t="s">
        <v>49</v>
      </c>
      <c r="B5" s="125">
        <v>0</v>
      </c>
      <c r="C5" s="3"/>
    </row>
    <row r="6" spans="1:10" ht="12.75">
      <c r="A6" s="7" t="s">
        <v>50</v>
      </c>
      <c r="B6" s="125">
        <f>5400</f>
        <v>5400</v>
      </c>
      <c r="C6" s="4" t="s">
        <v>51</v>
      </c>
    </row>
    <row r="7" spans="1:10" ht="12.75">
      <c r="A7" s="7" t="s">
        <v>52</v>
      </c>
      <c r="B7" s="125">
        <v>0</v>
      </c>
      <c r="C7" s="3"/>
    </row>
    <row r="8" spans="1:10" ht="12.75">
      <c r="A8" s="7" t="s">
        <v>53</v>
      </c>
      <c r="B8" s="125">
        <v>10300</v>
      </c>
      <c r="C8" s="3"/>
    </row>
    <row r="9" spans="1:10" ht="12.75">
      <c r="A9" s="7" t="s">
        <v>54</v>
      </c>
      <c r="B9" s="125">
        <v>50000</v>
      </c>
      <c r="C9" s="3"/>
    </row>
    <row r="10" spans="1:10" ht="12.75">
      <c r="A10" s="5" t="s">
        <v>250</v>
      </c>
      <c r="B10" s="123">
        <f>SUM(B11:B14
)</f>
        <v>5552860</v>
      </c>
      <c r="C10" s="3"/>
    </row>
    <row r="11" spans="1:10" ht="12.75">
      <c r="A11" s="7" t="s">
        <v>58</v>
      </c>
      <c r="B11" s="125">
        <v>60800</v>
      </c>
      <c r="C11" s="4"/>
    </row>
    <row r="12" spans="1:10" ht="22.5">
      <c r="A12" s="96" t="s">
        <v>171</v>
      </c>
      <c r="B12" s="125">
        <v>3000000</v>
      </c>
    </row>
    <row r="13" spans="1:10" ht="12.75">
      <c r="A13" s="121" t="s">
        <v>60</v>
      </c>
      <c r="B13" s="126">
        <v>500000</v>
      </c>
      <c r="C13" s="4"/>
    </row>
    <row r="14" spans="1:10" ht="13.5" thickBot="1">
      <c r="A14" s="122" t="s">
        <v>249</v>
      </c>
      <c r="B14" s="127">
        <f>'Salarios, gastos y costos'!K11*6</f>
        <v>1992060</v>
      </c>
      <c r="C14" s="3"/>
    </row>
    <row r="15" spans="1:10" ht="16.5" thickTop="1" thickBot="1">
      <c r="A15" s="128" t="s">
        <v>61</v>
      </c>
      <c r="B15" s="129">
        <f>B10+B2</f>
        <v>5669560</v>
      </c>
    </row>
    <row r="16" spans="1:10" ht="13.5" thickTop="1">
      <c r="D16" s="3"/>
      <c r="E16" s="3"/>
      <c r="F16" s="3"/>
      <c r="G16" s="4" t="s">
        <v>3</v>
      </c>
      <c r="H16" s="97" t="s">
        <v>4</v>
      </c>
      <c r="I16" s="97" t="s">
        <v>5</v>
      </c>
      <c r="J16" s="4" t="s">
        <v>6</v>
      </c>
    </row>
    <row r="17" spans="1:10" ht="12.75">
      <c r="A17" s="11"/>
      <c r="D17" s="4" t="s">
        <v>27</v>
      </c>
      <c r="E17" s="18">
        <v>1500000</v>
      </c>
      <c r="F17" s="3"/>
      <c r="G17" s="4" t="s">
        <v>36</v>
      </c>
      <c r="H17" s="4">
        <v>5</v>
      </c>
      <c r="I17" s="3">
        <f>H17*12</f>
        <v>60</v>
      </c>
      <c r="J17" s="21">
        <f>SUM(B12,B13)/I17</f>
        <v>58333.333333333336</v>
      </c>
    </row>
    <row r="18" spans="1:10" ht="12.75">
      <c r="A18" s="108" t="s">
        <v>165</v>
      </c>
      <c r="B18" s="116" t="s">
        <v>1</v>
      </c>
      <c r="D18" s="4" t="s">
        <v>43</v>
      </c>
      <c r="E18" s="21">
        <v>975000</v>
      </c>
      <c r="F18" s="3"/>
    </row>
    <row r="19" spans="1:10" ht="15.75" customHeight="1">
      <c r="A19" s="101" t="s">
        <v>166</v>
      </c>
      <c r="B19" s="114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101" t="s">
        <v>167</v>
      </c>
      <c r="B20" s="114">
        <v>4760</v>
      </c>
      <c r="D20" s="11" t="s">
        <v>56</v>
      </c>
      <c r="E20" s="3"/>
      <c r="F20" s="3"/>
      <c r="G20" s="3"/>
      <c r="H20" s="3"/>
      <c r="I20" s="4" t="s">
        <v>46</v>
      </c>
      <c r="J20" s="21">
        <f>SUM(J17:J19
)</f>
        <v>58333.333333333336</v>
      </c>
    </row>
    <row r="21" spans="1:10" ht="15.75" customHeight="1">
      <c r="A21" s="101" t="s">
        <v>167</v>
      </c>
      <c r="B21" s="114">
        <v>2040</v>
      </c>
      <c r="D21" s="25">
        <f>SUM(B12:B13
)</f>
        <v>3500000</v>
      </c>
    </row>
    <row r="22" spans="1:10" ht="15.75" customHeight="1">
      <c r="A22" s="101" t="s">
        <v>168</v>
      </c>
      <c r="B22" s="114">
        <v>39000</v>
      </c>
    </row>
    <row r="23" spans="1:10" ht="15.75" customHeight="1">
      <c r="A23" s="101" t="s">
        <v>169</v>
      </c>
      <c r="B23" s="114">
        <v>-39000</v>
      </c>
      <c r="D23" s="18">
        <f>SUM(B11:B13
)</f>
        <v>3560800</v>
      </c>
    </row>
    <row r="24" spans="1:10" ht="15.75" customHeight="1">
      <c r="A24" s="101" t="s">
        <v>170</v>
      </c>
      <c r="B24" s="114">
        <v>5200</v>
      </c>
      <c r="G24" s="4" t="s">
        <v>36</v>
      </c>
      <c r="H24" s="4">
        <v>1</v>
      </c>
      <c r="I24" s="3">
        <f>H24*12</f>
        <v>12</v>
      </c>
      <c r="J24" s="21">
        <f>SUM($B$12,$B$13)/I24</f>
        <v>291666.66666666669</v>
      </c>
    </row>
    <row r="25" spans="1:10" ht="15.75" customHeight="1">
      <c r="A25" s="108" t="s">
        <v>46</v>
      </c>
      <c r="B25" s="115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topLeftCell="A31" zoomScale="115" zoomScaleNormal="115" workbookViewId="0">
      <selection activeCell="G43" sqref="G43"/>
    </sheetView>
  </sheetViews>
  <sheetFormatPr baseColWidth="10" defaultColWidth="14.42578125" defaultRowHeight="15.75" customHeight="1"/>
  <cols>
    <col min="1" max="1" width="21.7109375" bestFit="1" customWidth="1"/>
    <col min="3" max="3" width="27.5703125" bestFit="1" customWidth="1"/>
    <col min="4" max="4" width="18.28515625" customWidth="1"/>
    <col min="5" max="5" width="10.42578125" customWidth="1"/>
    <col min="6" max="6" width="13.7109375" customWidth="1"/>
    <col min="7" max="7" width="17.140625" customWidth="1"/>
    <col min="13" max="13" width="17.28515625" customWidth="1"/>
  </cols>
  <sheetData>
    <row r="1" spans="1:14" ht="15.75" customHeight="1">
      <c r="A1" s="178" t="s">
        <v>8</v>
      </c>
      <c r="B1" s="179"/>
      <c r="D1" s="178" t="s">
        <v>9</v>
      </c>
      <c r="E1" s="179"/>
      <c r="G1" s="178" t="s">
        <v>10</v>
      </c>
      <c r="H1" s="179"/>
      <c r="J1" s="178" t="s">
        <v>11</v>
      </c>
      <c r="K1" s="179"/>
      <c r="M1" s="6" t="s">
        <v>12</v>
      </c>
    </row>
    <row r="2" spans="1:14" ht="15.75" customHeight="1">
      <c r="A2" s="7" t="s">
        <v>13</v>
      </c>
      <c r="B2" s="8">
        <v>1600000</v>
      </c>
      <c r="D2" s="9" t="s">
        <v>17</v>
      </c>
      <c r="E2" s="10">
        <v>0</v>
      </c>
      <c r="G2" s="9" t="s">
        <v>18</v>
      </c>
      <c r="H2" s="10">
        <v>60800</v>
      </c>
      <c r="J2" s="9" t="s">
        <v>19</v>
      </c>
      <c r="K2" s="10">
        <f>((279000*0.19)+279000)</f>
        <v>332010</v>
      </c>
      <c r="M2" s="11" t="s">
        <v>20</v>
      </c>
      <c r="N2" s="11">
        <v>20000</v>
      </c>
    </row>
    <row r="3" spans="1:14" ht="15.75" customHeight="1">
      <c r="A3" s="7" t="s">
        <v>21</v>
      </c>
      <c r="B3" s="8">
        <v>2039963</v>
      </c>
      <c r="D3" s="9" t="s">
        <v>22</v>
      </c>
      <c r="E3" s="10">
        <v>0</v>
      </c>
      <c r="G3" s="9"/>
      <c r="H3" s="10"/>
      <c r="J3" s="9" t="s">
        <v>23</v>
      </c>
      <c r="K3" s="10">
        <v>0</v>
      </c>
      <c r="M3" s="11" t="s">
        <v>24</v>
      </c>
      <c r="N3" s="11">
        <v>10000</v>
      </c>
    </row>
    <row r="4" spans="1:14" ht="15.75" customHeight="1">
      <c r="A4" s="7" t="s">
        <v>26</v>
      </c>
      <c r="B4" s="8">
        <v>200000</v>
      </c>
      <c r="D4" s="9" t="s">
        <v>25</v>
      </c>
      <c r="E4" s="10">
        <v>0</v>
      </c>
      <c r="G4" s="12"/>
      <c r="H4" s="13"/>
      <c r="J4" s="12"/>
      <c r="K4" s="13"/>
    </row>
    <row r="5" spans="1:14" ht="15.75" customHeight="1">
      <c r="A5" s="7" t="s">
        <v>172</v>
      </c>
      <c r="B5" s="8">
        <v>1416857</v>
      </c>
      <c r="D5" s="12"/>
      <c r="E5" s="13"/>
      <c r="G5" s="12"/>
      <c r="H5" s="13"/>
      <c r="J5" s="12"/>
      <c r="K5" s="13"/>
    </row>
    <row r="6" spans="1:14" ht="15.75" customHeight="1">
      <c r="A6" s="7" t="s">
        <v>173</v>
      </c>
      <c r="B6" s="8">
        <v>1244703</v>
      </c>
      <c r="D6" s="12"/>
      <c r="E6" s="13"/>
      <c r="G6" s="12"/>
      <c r="H6" s="13"/>
      <c r="J6" s="12"/>
      <c r="K6" s="13"/>
    </row>
    <row r="7" spans="1:14" ht="15.75" customHeight="1">
      <c r="A7" s="7" t="s">
        <v>174</v>
      </c>
      <c r="B7" s="8">
        <v>1244703</v>
      </c>
      <c r="D7" s="12"/>
      <c r="E7" s="13"/>
      <c r="G7" s="12"/>
      <c r="H7" s="13"/>
      <c r="J7" s="12"/>
      <c r="K7" s="13"/>
    </row>
    <row r="8" spans="1:14" ht="15.75" customHeight="1">
      <c r="A8" s="7"/>
      <c r="B8" s="8"/>
      <c r="D8" s="12"/>
      <c r="E8" s="13"/>
      <c r="G8" s="12"/>
      <c r="H8" s="13"/>
      <c r="J8" s="12"/>
      <c r="K8" s="13"/>
    </row>
    <row r="9" spans="1:14" ht="15.75" customHeight="1">
      <c r="A9" s="15"/>
      <c r="B9" s="16"/>
      <c r="D9" s="12"/>
      <c r="E9" s="13"/>
      <c r="G9" s="12"/>
      <c r="H9" s="13"/>
      <c r="J9" s="12"/>
      <c r="K9" s="13"/>
    </row>
    <row r="10" spans="1:14" ht="15.75" customHeight="1">
      <c r="A10" s="15"/>
      <c r="B10" s="16"/>
      <c r="D10" s="12"/>
      <c r="E10" s="13"/>
      <c r="G10" s="12"/>
      <c r="H10" s="13"/>
      <c r="J10" s="12"/>
      <c r="K10" s="13"/>
    </row>
    <row r="11" spans="1:14" ht="15.75" customHeight="1">
      <c r="A11" s="5" t="s">
        <v>221</v>
      </c>
      <c r="B11" s="16">
        <f>SUM(B2:B10)</f>
        <v>7746226</v>
      </c>
      <c r="D11" s="1" t="s">
        <v>29</v>
      </c>
      <c r="E11" s="17">
        <f>SUM(E2:E10)</f>
        <v>0</v>
      </c>
      <c r="G11" s="1" t="s">
        <v>31</v>
      </c>
      <c r="H11" s="17">
        <f>SUM(H2:H10)</f>
        <v>60800</v>
      </c>
      <c r="J11" s="1" t="s">
        <v>32</v>
      </c>
      <c r="K11" s="17">
        <f>SUM(K2:K10)</f>
        <v>332010</v>
      </c>
      <c r="M11" s="6" t="s">
        <v>33</v>
      </c>
      <c r="N11">
        <f>SUM(N2:N10)</f>
        <v>30000</v>
      </c>
    </row>
    <row r="12" spans="1:14" ht="15.75" customHeight="1">
      <c r="A12" s="110" t="s">
        <v>222</v>
      </c>
      <c r="B12" s="16">
        <f>B11*12</f>
        <v>92954712</v>
      </c>
    </row>
    <row r="13" spans="1:14" ht="15.75" customHeight="1">
      <c r="A13" s="11" t="s">
        <v>34</v>
      </c>
      <c r="B13" s="11">
        <v>100</v>
      </c>
    </row>
    <row r="17" spans="1:6" ht="15.75" customHeight="1">
      <c r="A17" s="178" t="s">
        <v>35</v>
      </c>
      <c r="B17" s="179"/>
      <c r="E17" s="11" t="s">
        <v>37</v>
      </c>
      <c r="F17" s="11" t="s">
        <v>38</v>
      </c>
    </row>
    <row r="18" spans="1:6" ht="15.75" customHeight="1">
      <c r="A18" s="7" t="s">
        <v>13</v>
      </c>
      <c r="B18" s="8">
        <v>1600000</v>
      </c>
      <c r="E18" s="11">
        <v>2006</v>
      </c>
      <c r="F18" s="11">
        <v>4.4800000000000004</v>
      </c>
    </row>
    <row r="19" spans="1:6" ht="15.75" customHeight="1">
      <c r="A19" s="7" t="s">
        <v>21</v>
      </c>
      <c r="B19" s="8">
        <v>2039963</v>
      </c>
      <c r="E19" s="11">
        <v>2007</v>
      </c>
      <c r="F19" s="11">
        <v>5.69</v>
      </c>
    </row>
    <row r="20" spans="1:6" ht="15.75" customHeight="1">
      <c r="A20" s="7" t="s">
        <v>26</v>
      </c>
      <c r="B20" s="8">
        <v>200000</v>
      </c>
      <c r="E20" s="11">
        <v>2008</v>
      </c>
      <c r="F20" s="11">
        <v>7.67</v>
      </c>
    </row>
    <row r="21" spans="1:6" ht="15.75" customHeight="1">
      <c r="A21" s="7" t="s">
        <v>172</v>
      </c>
      <c r="B21" s="8">
        <v>1416857</v>
      </c>
      <c r="E21" s="11">
        <v>2009</v>
      </c>
      <c r="F21" s="11">
        <v>2</v>
      </c>
    </row>
    <row r="22" spans="1:6" ht="15.75" customHeight="1">
      <c r="A22" s="7" t="s">
        <v>173</v>
      </c>
      <c r="B22" s="8">
        <v>1244703</v>
      </c>
      <c r="E22" s="11">
        <v>2010</v>
      </c>
      <c r="F22" s="11">
        <v>3.17</v>
      </c>
    </row>
    <row r="23" spans="1:6" ht="15.75" customHeight="1">
      <c r="A23" s="7" t="s">
        <v>174</v>
      </c>
      <c r="B23" s="8">
        <v>1244703</v>
      </c>
      <c r="E23" s="11">
        <v>2011</v>
      </c>
      <c r="F23" s="11">
        <v>3.73</v>
      </c>
    </row>
    <row r="24" spans="1:6" ht="15.75" customHeight="1">
      <c r="A24" s="7"/>
      <c r="B24" s="8"/>
      <c r="E24" s="11">
        <v>2012</v>
      </c>
      <c r="F24" s="11">
        <v>2.44</v>
      </c>
    </row>
    <row r="25" spans="1:6" ht="12.75">
      <c r="A25" s="15"/>
      <c r="B25" s="16"/>
      <c r="E25" s="11">
        <v>2013</v>
      </c>
      <c r="F25" s="11">
        <v>1.94</v>
      </c>
    </row>
    <row r="26" spans="1:6" ht="12.75">
      <c r="A26" s="15"/>
      <c r="B26" s="16"/>
      <c r="E26" s="11">
        <v>2014</v>
      </c>
      <c r="F26" s="11">
        <v>3.66</v>
      </c>
    </row>
    <row r="27" spans="1:6" ht="12.75">
      <c r="A27" s="5" t="s">
        <v>28</v>
      </c>
      <c r="B27" s="16">
        <f>SUM(B18:B26)</f>
        <v>7746226</v>
      </c>
      <c r="E27" s="11">
        <v>2015</v>
      </c>
      <c r="F27" s="11">
        <v>6.77</v>
      </c>
    </row>
    <row r="28" spans="1:6" ht="12.75">
      <c r="E28" s="11">
        <v>2016</v>
      </c>
      <c r="F28" s="11">
        <v>5.75</v>
      </c>
    </row>
    <row r="29" spans="1:6" ht="12.75">
      <c r="F29">
        <f>AVERAGE(F18:F28)</f>
        <v>4.3000000000000007</v>
      </c>
    </row>
    <row r="31" spans="1:6" ht="41.25" customHeight="1">
      <c r="E31" s="11" t="s">
        <v>41</v>
      </c>
      <c r="F31" s="109" t="s">
        <v>42</v>
      </c>
    </row>
    <row r="33" spans="1:8" ht="15.75" customHeight="1" thickBot="1"/>
    <row r="34" spans="1:8" ht="15.75" customHeight="1" thickTop="1" thickBot="1">
      <c r="A34" s="181" t="s">
        <v>220</v>
      </c>
      <c r="B34" s="181"/>
      <c r="C34" s="181"/>
      <c r="D34" s="181"/>
      <c r="E34" s="181"/>
      <c r="F34" s="181"/>
      <c r="G34" s="181"/>
      <c r="H34" s="181"/>
    </row>
    <row r="35" spans="1:8" ht="15.75" customHeight="1" thickTop="1" thickBot="1">
      <c r="A35" s="182"/>
      <c r="B35" s="182"/>
      <c r="C35" s="182"/>
      <c r="D35" s="182"/>
      <c r="E35" s="182"/>
      <c r="F35" s="182"/>
      <c r="G35" s="182"/>
      <c r="H35" s="182"/>
    </row>
    <row r="36" spans="1:8" ht="46.5" customHeight="1" thickTop="1" thickBot="1">
      <c r="A36" s="113" t="s">
        <v>186</v>
      </c>
      <c r="B36" s="113" t="s">
        <v>187</v>
      </c>
      <c r="C36" s="113" t="s">
        <v>188</v>
      </c>
      <c r="D36" s="113" t="s">
        <v>189</v>
      </c>
      <c r="E36" s="113" t="s">
        <v>190</v>
      </c>
      <c r="F36" s="113" t="s">
        <v>191</v>
      </c>
      <c r="G36" s="113" t="s">
        <v>192</v>
      </c>
      <c r="H36" s="113" t="s">
        <v>193</v>
      </c>
    </row>
    <row r="37" spans="1:8" ht="15.75" customHeight="1" thickTop="1">
      <c r="A37" s="101" t="s">
        <v>194</v>
      </c>
      <c r="B37" s="101" t="s">
        <v>195</v>
      </c>
      <c r="C37" s="101" t="s">
        <v>196</v>
      </c>
      <c r="D37" s="101" t="s">
        <v>197</v>
      </c>
      <c r="E37" s="101">
        <v>2</v>
      </c>
      <c r="F37" s="111">
        <v>55000</v>
      </c>
      <c r="G37" s="111">
        <f>F37*E37</f>
        <v>110000</v>
      </c>
      <c r="H37" s="101" t="s">
        <v>198</v>
      </c>
    </row>
    <row r="38" spans="1:8" ht="15.75" customHeight="1">
      <c r="A38" s="101" t="s">
        <v>199</v>
      </c>
      <c r="B38" s="101" t="s">
        <v>195</v>
      </c>
      <c r="C38" s="101" t="s">
        <v>200</v>
      </c>
      <c r="D38" s="101" t="s">
        <v>201</v>
      </c>
      <c r="E38" s="101">
        <v>1</v>
      </c>
      <c r="F38" s="111">
        <v>140000</v>
      </c>
      <c r="G38" s="111">
        <f t="shared" ref="G38:G42" si="0">F38*E38</f>
        <v>140000</v>
      </c>
      <c r="H38" s="101" t="s">
        <v>198</v>
      </c>
    </row>
    <row r="39" spans="1:8" ht="15.75" customHeight="1">
      <c r="A39" s="101" t="s">
        <v>202</v>
      </c>
      <c r="B39" s="101" t="s">
        <v>195</v>
      </c>
      <c r="C39" s="101" t="s">
        <v>200</v>
      </c>
      <c r="D39" s="101" t="s">
        <v>203</v>
      </c>
      <c r="E39" s="101">
        <v>1</v>
      </c>
      <c r="F39" s="111">
        <v>40000</v>
      </c>
      <c r="G39" s="111">
        <f t="shared" si="0"/>
        <v>40000</v>
      </c>
      <c r="H39" s="101" t="s">
        <v>198</v>
      </c>
    </row>
    <row r="40" spans="1:8" ht="15.75" customHeight="1">
      <c r="A40" s="101" t="s">
        <v>204</v>
      </c>
      <c r="B40" s="101" t="s">
        <v>205</v>
      </c>
      <c r="C40" s="101" t="s">
        <v>200</v>
      </c>
      <c r="D40" s="101" t="s">
        <v>206</v>
      </c>
      <c r="E40" s="101">
        <v>1</v>
      </c>
      <c r="F40" s="111">
        <v>40000</v>
      </c>
      <c r="G40" s="111">
        <f t="shared" si="0"/>
        <v>40000</v>
      </c>
      <c r="H40" s="101" t="s">
        <v>198</v>
      </c>
    </row>
    <row r="41" spans="1:8" ht="15.75" customHeight="1">
      <c r="A41" s="101" t="s">
        <v>207</v>
      </c>
      <c r="B41" s="101" t="s">
        <v>208</v>
      </c>
      <c r="C41" s="101" t="s">
        <v>209</v>
      </c>
      <c r="D41" s="101" t="s">
        <v>210</v>
      </c>
      <c r="E41" s="101">
        <v>7</v>
      </c>
      <c r="F41" s="111">
        <v>485000</v>
      </c>
      <c r="G41" s="111">
        <f>F41*E41</f>
        <v>3395000</v>
      </c>
      <c r="H41" s="101" t="s">
        <v>207</v>
      </c>
    </row>
    <row r="42" spans="1:8" ht="15.75" customHeight="1">
      <c r="A42" s="101" t="s">
        <v>211</v>
      </c>
      <c r="B42" s="101" t="s">
        <v>208</v>
      </c>
      <c r="C42" s="101" t="s">
        <v>209</v>
      </c>
      <c r="D42" s="101" t="s">
        <v>212</v>
      </c>
      <c r="E42" s="101">
        <v>7</v>
      </c>
      <c r="F42" s="111">
        <v>80000</v>
      </c>
      <c r="G42" s="111">
        <f t="shared" si="0"/>
        <v>560000</v>
      </c>
      <c r="H42" s="101" t="s">
        <v>213</v>
      </c>
    </row>
    <row r="43" spans="1:8" ht="15.75" customHeight="1">
      <c r="B43" s="105"/>
      <c r="C43" s="105"/>
      <c r="D43" s="105"/>
      <c r="E43" s="105"/>
      <c r="F43" s="107" t="s">
        <v>214</v>
      </c>
      <c r="G43" s="112">
        <f>SUBTOTAL(109,PUBLICIDAD[Costo total])</f>
        <v>4285000</v>
      </c>
      <c r="H43" s="106"/>
    </row>
    <row r="45" spans="1:8" ht="15.75" customHeight="1" thickBot="1"/>
    <row r="46" spans="1:8" ht="15.75" customHeight="1" thickTop="1" thickBot="1">
      <c r="A46" s="181" t="s">
        <v>238</v>
      </c>
      <c r="B46" s="181"/>
      <c r="C46" s="181"/>
      <c r="D46" s="181"/>
      <c r="E46" s="181"/>
      <c r="F46" s="181"/>
    </row>
    <row r="47" spans="1:8" ht="15.75" customHeight="1" thickTop="1">
      <c r="A47" s="183" t="s">
        <v>223</v>
      </c>
      <c r="B47" s="183"/>
      <c r="C47" s="183"/>
      <c r="D47" s="183"/>
      <c r="E47" s="183" t="s">
        <v>74</v>
      </c>
      <c r="F47" s="183"/>
    </row>
    <row r="48" spans="1:8" ht="15.75" customHeight="1">
      <c r="A48" s="185" t="s">
        <v>231</v>
      </c>
      <c r="B48" s="186"/>
      <c r="C48" s="189" t="s">
        <v>224</v>
      </c>
      <c r="D48" s="190"/>
      <c r="E48" s="180">
        <v>0</v>
      </c>
      <c r="F48" s="180"/>
    </row>
    <row r="49" spans="1:6" ht="15.75" customHeight="1">
      <c r="A49" s="186"/>
      <c r="B49" s="186"/>
      <c r="C49" s="189" t="s">
        <v>225</v>
      </c>
      <c r="D49" s="190"/>
      <c r="E49" s="180">
        <f>B2*12</f>
        <v>19200000</v>
      </c>
      <c r="F49" s="180"/>
    </row>
    <row r="50" spans="1:6" ht="15.75" customHeight="1">
      <c r="A50" s="186"/>
      <c r="B50" s="186"/>
      <c r="C50" s="189" t="s">
        <v>226</v>
      </c>
      <c r="D50" s="190"/>
      <c r="E50" s="180">
        <f>(B19+B22)*12</f>
        <v>39415992</v>
      </c>
      <c r="F50" s="180"/>
    </row>
    <row r="51" spans="1:6" ht="15.75" customHeight="1">
      <c r="A51" s="186"/>
      <c r="B51" s="186"/>
      <c r="C51" s="189" t="s">
        <v>227</v>
      </c>
      <c r="D51" s="189"/>
      <c r="E51" s="180">
        <f>B4*12</f>
        <v>2400000</v>
      </c>
      <c r="F51" s="180"/>
    </row>
    <row r="52" spans="1:6" ht="15.75" customHeight="1">
      <c r="A52" s="186"/>
      <c r="B52" s="186"/>
      <c r="C52" s="189" t="s">
        <v>228</v>
      </c>
      <c r="D52" s="190"/>
      <c r="E52" s="180">
        <f>(B21+B23)*12</f>
        <v>31938720</v>
      </c>
      <c r="F52" s="180"/>
    </row>
    <row r="53" spans="1:6" ht="15.75" customHeight="1" thickBot="1">
      <c r="A53" s="186"/>
      <c r="B53" s="186"/>
      <c r="C53" s="189" t="s">
        <v>229</v>
      </c>
      <c r="D53" s="190"/>
      <c r="E53" s="180">
        <v>0</v>
      </c>
      <c r="F53" s="180"/>
    </row>
    <row r="54" spans="1:6" ht="15.75" customHeight="1" thickTop="1" thickBot="1">
      <c r="A54" s="186"/>
      <c r="B54" s="186"/>
      <c r="C54" s="181" t="s">
        <v>230</v>
      </c>
      <c r="D54" s="181"/>
      <c r="E54" s="184">
        <f>SUM(E48:F53)</f>
        <v>92954712</v>
      </c>
      <c r="F54" s="184"/>
    </row>
    <row r="55" spans="1:6" ht="15.75" customHeight="1" thickTop="1">
      <c r="A55" s="185" t="s">
        <v>237</v>
      </c>
      <c r="B55" s="186"/>
      <c r="C55" s="187" t="s">
        <v>232</v>
      </c>
      <c r="D55" s="188"/>
      <c r="E55" s="191">
        <v>0</v>
      </c>
      <c r="F55" s="191"/>
    </row>
    <row r="56" spans="1:6" ht="15.75" customHeight="1">
      <c r="A56" s="186"/>
      <c r="B56" s="186"/>
      <c r="C56" s="189" t="s">
        <v>233</v>
      </c>
      <c r="D56" s="190"/>
      <c r="E56" s="192">
        <f>'Presupuesto Inicial'!J20*12</f>
        <v>700000</v>
      </c>
      <c r="F56" s="192"/>
    </row>
    <row r="57" spans="1:6" ht="15.75" customHeight="1">
      <c r="A57" s="186"/>
      <c r="B57" s="186"/>
      <c r="C57" s="189" t="s">
        <v>234</v>
      </c>
      <c r="D57" s="190"/>
      <c r="E57" s="192">
        <v>0</v>
      </c>
      <c r="F57" s="192"/>
    </row>
    <row r="58" spans="1:6" ht="15.75" customHeight="1" thickBot="1">
      <c r="A58" s="186"/>
      <c r="B58" s="186"/>
      <c r="C58" s="189" t="s">
        <v>235</v>
      </c>
      <c r="D58" s="190"/>
      <c r="E58" s="192">
        <v>0</v>
      </c>
      <c r="F58" s="192"/>
    </row>
    <row r="59" spans="1:6" ht="15.75" customHeight="1" thickTop="1" thickBot="1">
      <c r="A59" s="186"/>
      <c r="B59" s="186"/>
      <c r="C59" s="181" t="s">
        <v>236</v>
      </c>
      <c r="D59" s="181"/>
      <c r="E59" s="184">
        <f>SUM(E55:F58)</f>
        <v>700000</v>
      </c>
      <c r="F59" s="181"/>
    </row>
    <row r="60" spans="1:6" ht="15.75" customHeight="1" thickTop="1">
      <c r="A60" s="185" t="s">
        <v>241</v>
      </c>
      <c r="B60" s="185"/>
      <c r="C60" s="187" t="s">
        <v>251</v>
      </c>
      <c r="D60" s="187"/>
      <c r="E60" s="191">
        <f>('Presupuesto Inicial'!B12+'Presupuesto Inicial'!B13)+('Presupuesto Inicial'!B11*6)+('Salarios, gastos y costos'!K11*12)</f>
        <v>7848920</v>
      </c>
      <c r="F60" s="191"/>
    </row>
    <row r="61" spans="1:6" ht="15.75" customHeight="1" thickBot="1">
      <c r="A61" s="185"/>
      <c r="B61" s="185"/>
      <c r="C61" s="189" t="s">
        <v>239</v>
      </c>
      <c r="D61" s="189"/>
      <c r="E61" s="192">
        <f>'Presupuesto Inicial'!B2</f>
        <v>116700</v>
      </c>
      <c r="F61" s="192"/>
    </row>
    <row r="62" spans="1:6" ht="15.75" customHeight="1" thickTop="1" thickBot="1">
      <c r="A62" s="185"/>
      <c r="B62" s="185"/>
      <c r="C62" s="181" t="s">
        <v>240</v>
      </c>
      <c r="D62" s="181"/>
      <c r="E62" s="184">
        <f>E60+E61</f>
        <v>7965620</v>
      </c>
      <c r="F62" s="184"/>
    </row>
    <row r="63" spans="1:6" ht="15.75" customHeight="1" thickTop="1" thickBot="1">
      <c r="A63" s="181" t="s">
        <v>245</v>
      </c>
      <c r="B63" s="181"/>
      <c r="C63" s="181"/>
      <c r="D63" s="181"/>
      <c r="E63" s="184">
        <f>E54+E59+E62</f>
        <v>101620332</v>
      </c>
      <c r="F63" s="184"/>
    </row>
    <row r="64" spans="1:6" ht="15.75" customHeight="1" thickTop="1"/>
  </sheetData>
  <mergeCells count="45"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  <mergeCell ref="C57:D57"/>
    <mergeCell ref="C58:D58"/>
    <mergeCell ref="C59:D59"/>
    <mergeCell ref="E55:F55"/>
    <mergeCell ref="E56:F56"/>
    <mergeCell ref="E57:F57"/>
    <mergeCell ref="E58:F58"/>
    <mergeCell ref="E59:F59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E51:F51"/>
    <mergeCell ref="E52:F52"/>
    <mergeCell ref="A34:H34"/>
    <mergeCell ref="A35:H35"/>
    <mergeCell ref="A47:D47"/>
    <mergeCell ref="E47:F47"/>
    <mergeCell ref="A46:F46"/>
    <mergeCell ref="A1:B1"/>
    <mergeCell ref="A17:B17"/>
    <mergeCell ref="D1:E1"/>
    <mergeCell ref="G1:H1"/>
    <mergeCell ref="J1:K1"/>
  </mergeCells>
  <hyperlinks>
    <hyperlink ref="F31" r:id="rId1"/>
  </hyperlinks>
  <pageMargins left="0.7" right="0.7" top="0.75" bottom="0.75" header="0.3" footer="0.3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181" t="s">
        <v>7</v>
      </c>
      <c r="B2" s="193"/>
      <c r="C2" s="193"/>
      <c r="D2" s="193"/>
    </row>
    <row r="3" spans="1:4" ht="15.75" customHeight="1" thickTop="1">
      <c r="A3" s="195" t="s">
        <v>14</v>
      </c>
      <c r="B3" s="179"/>
      <c r="C3" s="195" t="s">
        <v>15</v>
      </c>
      <c r="D3" s="179"/>
    </row>
    <row r="4" spans="1:4" ht="15.75" customHeight="1">
      <c r="A4" s="196" t="s">
        <v>16</v>
      </c>
      <c r="B4" s="199">
        <v>1500000</v>
      </c>
      <c r="C4" s="19" t="s">
        <v>30</v>
      </c>
      <c r="D4" s="20">
        <v>0</v>
      </c>
    </row>
    <row r="5" spans="1:4" ht="15.75" customHeight="1">
      <c r="A5" s="197"/>
      <c r="B5" s="197"/>
      <c r="C5" s="195" t="s">
        <v>39</v>
      </c>
      <c r="D5" s="179"/>
    </row>
    <row r="6" spans="1:4" ht="15.75" customHeight="1">
      <c r="A6" s="197"/>
      <c r="B6" s="197"/>
      <c r="C6" s="19" t="s">
        <v>40</v>
      </c>
      <c r="D6" s="22">
        <v>1500000</v>
      </c>
    </row>
    <row r="7" spans="1:4" ht="15.75" customHeight="1">
      <c r="A7" s="197"/>
      <c r="B7" s="197"/>
      <c r="C7" s="19" t="s">
        <v>43</v>
      </c>
      <c r="D7" s="22">
        <v>975000</v>
      </c>
    </row>
    <row r="8" spans="1:4" ht="15.75" customHeight="1">
      <c r="A8" s="198"/>
      <c r="B8" s="198"/>
      <c r="C8" s="19" t="s">
        <v>242</v>
      </c>
      <c r="D8" s="22">
        <v>525000</v>
      </c>
    </row>
    <row r="9" spans="1:4" ht="15.75" customHeight="1" thickBot="1">
      <c r="A9" s="23" t="s">
        <v>45</v>
      </c>
      <c r="B9" s="24">
        <f>B4</f>
        <v>1500000</v>
      </c>
      <c r="C9" s="23" t="s">
        <v>55</v>
      </c>
      <c r="D9" s="24">
        <f>B9</f>
        <v>1500000</v>
      </c>
    </row>
    <row r="10" spans="1:4" ht="15.75" customHeight="1" thickTop="1" thickBot="1">
      <c r="A10" s="181" t="s">
        <v>57</v>
      </c>
      <c r="B10" s="193"/>
      <c r="C10" s="194">
        <f>D4+D9</f>
        <v>1500000</v>
      </c>
      <c r="D10" s="193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200" t="s">
        <v>244</v>
      </c>
      <c r="C2" s="200"/>
      <c r="D2" s="200"/>
      <c r="E2" s="200"/>
      <c r="F2" s="200"/>
    </row>
    <row r="3" spans="2:6">
      <c r="B3" s="182" t="s">
        <v>246</v>
      </c>
      <c r="C3" s="182"/>
      <c r="D3" s="182"/>
      <c r="E3" s="202">
        <f>'Salarios, gastos y costos'!E62:F62</f>
        <v>7965620</v>
      </c>
      <c r="F3" s="202"/>
    </row>
    <row r="4" spans="2:6">
      <c r="B4" s="203" t="s">
        <v>247</v>
      </c>
      <c r="C4" s="182"/>
      <c r="D4" s="182"/>
      <c r="E4" s="204">
        <f>'Salarios, gastos y costos'!B11*7</f>
        <v>54223582</v>
      </c>
      <c r="F4" s="204"/>
    </row>
    <row r="5" spans="2:6" ht="15">
      <c r="B5" s="200" t="s">
        <v>214</v>
      </c>
      <c r="C5" s="200"/>
      <c r="D5" s="200"/>
      <c r="E5" s="201">
        <f>SUM(E3:F4)</f>
        <v>62189202</v>
      </c>
      <c r="F5" s="201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zoomScale="175" zoomScaleNormal="175" workbookViewId="0">
      <pane xSplit="1" topLeftCell="N1" activePane="topRight" state="frozen"/>
      <selection pane="topRight" activeCell="U3" sqref="U3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5.42578125" bestFit="1" customWidth="1"/>
    <col min="22" max="22" width="15.7109375" bestFit="1" customWidth="1"/>
    <col min="24" max="24" width="35.85546875" bestFit="1" customWidth="1"/>
  </cols>
  <sheetData>
    <row r="1" spans="1:25" ht="12.75">
      <c r="A1" s="102"/>
      <c r="B1" s="130" t="s">
        <v>59</v>
      </c>
      <c r="C1" s="130" t="s">
        <v>62</v>
      </c>
      <c r="D1" s="130" t="s">
        <v>63</v>
      </c>
      <c r="E1" s="130" t="s">
        <v>64</v>
      </c>
      <c r="F1" s="130" t="s">
        <v>65</v>
      </c>
      <c r="G1" s="130" t="s">
        <v>66</v>
      </c>
      <c r="H1" s="206" t="s">
        <v>67</v>
      </c>
      <c r="I1" s="179"/>
      <c r="J1" s="205" t="s">
        <v>68</v>
      </c>
      <c r="K1" s="179"/>
      <c r="L1" s="205" t="s">
        <v>69</v>
      </c>
      <c r="M1" s="179"/>
      <c r="N1" s="205" t="s">
        <v>70</v>
      </c>
      <c r="O1" s="179"/>
      <c r="P1" s="205" t="s">
        <v>71</v>
      </c>
      <c r="Q1" s="179"/>
      <c r="R1" s="205" t="s">
        <v>72</v>
      </c>
      <c r="S1" s="179"/>
      <c r="U1" s="147" t="s">
        <v>74</v>
      </c>
    </row>
    <row r="2" spans="1:25" ht="12.75">
      <c r="A2" s="102" t="s">
        <v>73</v>
      </c>
      <c r="B2" s="133">
        <f t="shared" ref="B2:G2" si="0">B3</f>
        <v>0</v>
      </c>
      <c r="C2" s="133">
        <f t="shared" si="0"/>
        <v>0</v>
      </c>
      <c r="D2" s="133">
        <f t="shared" si="0"/>
        <v>0</v>
      </c>
      <c r="E2" s="133">
        <f t="shared" si="0"/>
        <v>0</v>
      </c>
      <c r="F2" s="133">
        <f t="shared" si="0"/>
        <v>0</v>
      </c>
      <c r="G2" s="133">
        <f t="shared" si="0"/>
        <v>0</v>
      </c>
      <c r="H2" s="134">
        <v>1</v>
      </c>
      <c r="I2" s="135">
        <f>I3</f>
        <v>64841196</v>
      </c>
      <c r="J2" s="136">
        <v>1</v>
      </c>
      <c r="K2" s="135">
        <f>K3</f>
        <v>82052880</v>
      </c>
      <c r="L2" s="136">
        <v>1</v>
      </c>
      <c r="M2" s="135">
        <f>M3</f>
        <v>103731348</v>
      </c>
      <c r="N2" s="136">
        <v>1</v>
      </c>
      <c r="O2" s="135">
        <f>O3</f>
        <v>130920468</v>
      </c>
      <c r="P2" s="136">
        <v>1</v>
      </c>
      <c r="Q2" s="135">
        <f>Q3</f>
        <v>164931144</v>
      </c>
      <c r="R2" s="136">
        <v>1</v>
      </c>
      <c r="S2" s="137">
        <f>S3</f>
        <v>207292764</v>
      </c>
      <c r="U2" s="44">
        <f t="shared" ref="U2:U16" si="1">SUM(B2:S2)</f>
        <v>753769806</v>
      </c>
    </row>
    <row r="3" spans="1:25" ht="15.75" customHeight="1">
      <c r="A3" s="103" t="s">
        <v>82</v>
      </c>
      <c r="B3" s="138">
        <v>0</v>
      </c>
      <c r="C3" s="138">
        <v>0</v>
      </c>
      <c r="D3" s="138">
        <v>0</v>
      </c>
      <c r="E3" s="138">
        <v>0</v>
      </c>
      <c r="F3" s="138">
        <v>0</v>
      </c>
      <c r="G3" s="138">
        <v>0</v>
      </c>
      <c r="H3" s="139">
        <v>1</v>
      </c>
      <c r="I3" s="140">
        <f>I18*$I$20</f>
        <v>64841196</v>
      </c>
      <c r="J3" s="141">
        <v>1</v>
      </c>
      <c r="K3" s="140">
        <f>K18*$I$20</f>
        <v>82052880</v>
      </c>
      <c r="L3" s="141">
        <v>1</v>
      </c>
      <c r="M3" s="140">
        <f>M18*$I$20</f>
        <v>103731348</v>
      </c>
      <c r="N3" s="141">
        <v>1</v>
      </c>
      <c r="O3" s="140">
        <f>O18*$I$20</f>
        <v>130920468</v>
      </c>
      <c r="P3" s="141">
        <v>1</v>
      </c>
      <c r="Q3" s="140">
        <f>Q18*$I$20</f>
        <v>164931144</v>
      </c>
      <c r="R3" s="141">
        <v>1</v>
      </c>
      <c r="S3" s="142">
        <f>S18*$I$20</f>
        <v>207292764</v>
      </c>
      <c r="U3" s="44">
        <f>SUM(B3:S3)</f>
        <v>753769806</v>
      </c>
    </row>
    <row r="4" spans="1:25" ht="12.75">
      <c r="A4" s="102" t="s">
        <v>84</v>
      </c>
      <c r="B4" s="133">
        <f>SUM(B5:B7)</f>
        <v>7865359.333333333</v>
      </c>
      <c r="C4" s="133">
        <f t="shared" ref="C4:G4" si="2">SUM(C5:C7)</f>
        <v>7865359.333333333</v>
      </c>
      <c r="D4" s="133">
        <f t="shared" si="2"/>
        <v>7865359.333333333</v>
      </c>
      <c r="E4" s="133">
        <f t="shared" si="2"/>
        <v>7865359.333333333</v>
      </c>
      <c r="F4" s="133">
        <f t="shared" si="2"/>
        <v>7865359.333333333</v>
      </c>
      <c r="G4" s="133">
        <f t="shared" si="2"/>
        <v>7865359.333333333</v>
      </c>
      <c r="H4" s="134">
        <f t="shared" ref="H4:H16" si="3">(I4)/$I$2</f>
        <v>0.12130188550706765</v>
      </c>
      <c r="I4" s="135">
        <f>SUM(I5:I7)</f>
        <v>7865359.333333333</v>
      </c>
      <c r="J4" s="136">
        <f t="shared" ref="J4:J16" si="4">(K4)/$K$2</f>
        <v>9.5857200056028907E-2</v>
      </c>
      <c r="K4" s="135">
        <f>SUM(K5:K7)</f>
        <v>7865359.333333333</v>
      </c>
      <c r="L4" s="136">
        <f t="shared" ref="L4:L16" si="5">(M4)/$M$2</f>
        <v>7.5824323938539134E-2</v>
      </c>
      <c r="M4" s="135">
        <f>SUM(M5:M7)</f>
        <v>7865359.333333333</v>
      </c>
      <c r="N4" s="136">
        <f t="shared" ref="N4:N16" si="6">(O4)/$O$2</f>
        <v>6.0077384793135118E-2</v>
      </c>
      <c r="O4" s="135">
        <f>SUM(O5:O7)</f>
        <v>7865359.333333333</v>
      </c>
      <c r="P4" s="136">
        <f t="shared" ref="P4:P16" si="7">(Q4)/$Q$2</f>
        <v>4.7688745391430337E-2</v>
      </c>
      <c r="Q4" s="135">
        <f>SUM(Q5:Q7)</f>
        <v>7865359.333333333</v>
      </c>
      <c r="R4" s="136">
        <f t="shared" ref="R4:R16" si="8">(S4)/$S$2</f>
        <v>3.7943241151115789E-2</v>
      </c>
      <c r="S4" s="137">
        <f>SUM(S5:S7)</f>
        <v>7865359.333333333</v>
      </c>
      <c r="U4" s="44">
        <f t="shared" si="1"/>
        <v>94384312.438692778</v>
      </c>
    </row>
    <row r="5" spans="1:25" ht="12.75">
      <c r="A5" s="103" t="s">
        <v>86</v>
      </c>
      <c r="B5" s="138">
        <f>'Salarios, gastos y costos'!$H$11</f>
        <v>60800</v>
      </c>
      <c r="C5" s="138">
        <f>'Salarios, gastos y costos'!$H$11</f>
        <v>60800</v>
      </c>
      <c r="D5" s="138">
        <f>'Salarios, gastos y costos'!$H$11</f>
        <v>60800</v>
      </c>
      <c r="E5" s="138">
        <f>'Salarios, gastos y costos'!$H$11</f>
        <v>60800</v>
      </c>
      <c r="F5" s="138">
        <f>'Salarios, gastos y costos'!$H$11</f>
        <v>60800</v>
      </c>
      <c r="G5" s="138">
        <f>'Salarios, gastos y costos'!$H$11</f>
        <v>60800</v>
      </c>
      <c r="H5" s="139">
        <f t="shared" si="3"/>
        <v>9.3767548642995416E-4</v>
      </c>
      <c r="I5" s="140">
        <f>'Salarios, gastos y costos'!$H$11</f>
        <v>60800</v>
      </c>
      <c r="J5" s="141">
        <f t="shared" si="4"/>
        <v>7.4098556930603774E-4</v>
      </c>
      <c r="K5" s="140">
        <f>'Salarios, gastos y costos'!$H$11</f>
        <v>60800</v>
      </c>
      <c r="L5" s="141">
        <f t="shared" si="5"/>
        <v>5.8612946975296224E-4</v>
      </c>
      <c r="M5" s="140">
        <f>'Salarios, gastos y costos'!$H$11</f>
        <v>60800</v>
      </c>
      <c r="N5" s="141">
        <f t="shared" si="6"/>
        <v>4.6440408385952303E-4</v>
      </c>
      <c r="O5" s="140">
        <f>'Salarios, gastos y costos'!$H$11</f>
        <v>60800</v>
      </c>
      <c r="P5" s="141">
        <f t="shared" si="7"/>
        <v>3.6863868475925929E-4</v>
      </c>
      <c r="Q5" s="140">
        <f>'Salarios, gastos y costos'!$H$11</f>
        <v>60800</v>
      </c>
      <c r="R5" s="141">
        <f t="shared" si="8"/>
        <v>2.9330498000402946E-4</v>
      </c>
      <c r="S5" s="142">
        <f>'Salarios, gastos y costos'!$H$11</f>
        <v>60800</v>
      </c>
      <c r="U5" s="44">
        <f t="shared" si="1"/>
        <v>729600.00339113828</v>
      </c>
    </row>
    <row r="6" spans="1:25" ht="12.75">
      <c r="A6" s="103" t="s">
        <v>88</v>
      </c>
      <c r="B6" s="138">
        <f>'Salarios, gastos y costos'!$B$11</f>
        <v>7746226</v>
      </c>
      <c r="C6" s="138">
        <f>'Salarios, gastos y costos'!$B$11</f>
        <v>7746226</v>
      </c>
      <c r="D6" s="138">
        <f>'Salarios, gastos y costos'!$B$11</f>
        <v>7746226</v>
      </c>
      <c r="E6" s="138">
        <f>'Salarios, gastos y costos'!$B$11</f>
        <v>7746226</v>
      </c>
      <c r="F6" s="138">
        <f>'Salarios, gastos y costos'!$B$11</f>
        <v>7746226</v>
      </c>
      <c r="G6" s="138">
        <f>'Salarios, gastos y costos'!$B$11</f>
        <v>7746226</v>
      </c>
      <c r="H6" s="139">
        <f t="shared" si="3"/>
        <v>0.11946457619319668</v>
      </c>
      <c r="I6" s="140">
        <f>'Salarios, gastos y costos'!$B$11</f>
        <v>7746226</v>
      </c>
      <c r="J6" s="141">
        <f t="shared" si="4"/>
        <v>9.4405290831961045E-2</v>
      </c>
      <c r="K6" s="140">
        <f>'Salarios, gastos y costos'!$B$11</f>
        <v>7746226</v>
      </c>
      <c r="L6" s="141">
        <f t="shared" si="5"/>
        <v>7.4675844374450823E-2</v>
      </c>
      <c r="M6" s="140">
        <f>'Salarios, gastos y costos'!$B$11</f>
        <v>7746226</v>
      </c>
      <c r="N6" s="141">
        <f t="shared" si="6"/>
        <v>5.9167417580572659E-2</v>
      </c>
      <c r="O6" s="140">
        <f>'Salarios, gastos y costos'!$B$11</f>
        <v>7746226</v>
      </c>
      <c r="P6" s="141">
        <f t="shared" si="7"/>
        <v>4.6966423758025955E-2</v>
      </c>
      <c r="Q6" s="140">
        <f>'Salarios, gastos y costos'!$B$11</f>
        <v>7746226</v>
      </c>
      <c r="R6" s="141">
        <f t="shared" si="8"/>
        <v>3.7368530625603504E-2</v>
      </c>
      <c r="S6" s="142">
        <f>'Salarios, gastos y costos'!$B$11</f>
        <v>7746226</v>
      </c>
      <c r="U6" s="44">
        <f t="shared" si="1"/>
        <v>92954712.432048082</v>
      </c>
      <c r="V6" s="98" t="s">
        <v>215</v>
      </c>
      <c r="X6" s="98" t="s">
        <v>219</v>
      </c>
      <c r="Y6" s="104">
        <f>U6+U7+U9+U10</f>
        <v>101923832.48533265</v>
      </c>
    </row>
    <row r="7" spans="1:25" ht="12.75">
      <c r="A7" s="103" t="s">
        <v>90</v>
      </c>
      <c r="B7" s="138">
        <f>'Presupuesto Inicial'!$J$20</f>
        <v>58333.333333333336</v>
      </c>
      <c r="C7" s="138">
        <f>'Presupuesto Inicial'!$J$20</f>
        <v>58333.333333333336</v>
      </c>
      <c r="D7" s="138">
        <f>'Presupuesto Inicial'!$J$20</f>
        <v>58333.333333333336</v>
      </c>
      <c r="E7" s="138">
        <f>'Presupuesto Inicial'!$J$20</f>
        <v>58333.333333333336</v>
      </c>
      <c r="F7" s="138">
        <f>'Presupuesto Inicial'!$J$20</f>
        <v>58333.333333333336</v>
      </c>
      <c r="G7" s="138">
        <f>'Presupuesto Inicial'!$J$20</f>
        <v>58333.333333333336</v>
      </c>
      <c r="H7" s="139">
        <f t="shared" si="3"/>
        <v>8.9963382744101972E-4</v>
      </c>
      <c r="I7" s="140">
        <f>'Presupuesto Inicial'!$J$20</f>
        <v>58333.333333333336</v>
      </c>
      <c r="J7" s="141">
        <f t="shared" si="4"/>
        <v>7.1092365476182356E-4</v>
      </c>
      <c r="K7" s="140">
        <f>'Presupuesto Inicial'!$J$20</f>
        <v>58333.333333333336</v>
      </c>
      <c r="L7" s="141">
        <f t="shared" si="5"/>
        <v>5.623500943353531E-4</v>
      </c>
      <c r="M7" s="140">
        <f>'Presupuesto Inicial'!$J$20</f>
        <v>58333.333333333336</v>
      </c>
      <c r="N7" s="141">
        <f t="shared" si="6"/>
        <v>4.4556312870294154E-4</v>
      </c>
      <c r="O7" s="140">
        <f>'Presupuesto Inicial'!$J$20</f>
        <v>58333.333333333336</v>
      </c>
      <c r="P7" s="141">
        <f t="shared" si="7"/>
        <v>3.5368294864512271E-4</v>
      </c>
      <c r="Q7" s="140">
        <f>'Presupuesto Inicial'!$J$20</f>
        <v>58333.333333333336</v>
      </c>
      <c r="R7" s="141">
        <f t="shared" si="8"/>
        <v>2.8140554550825199E-4</v>
      </c>
      <c r="S7" s="142">
        <f>'Presupuesto Inicial'!$J$20</f>
        <v>58333.333333333336</v>
      </c>
      <c r="U7" s="44">
        <f t="shared" si="1"/>
        <v>700000.00325355912</v>
      </c>
      <c r="V7" s="98" t="s">
        <v>216</v>
      </c>
    </row>
    <row r="8" spans="1:25" s="131" customFormat="1" ht="12.75">
      <c r="A8" s="102" t="s">
        <v>92</v>
      </c>
      <c r="B8" s="143">
        <f>B2-B4</f>
        <v>-7865359.333333333</v>
      </c>
      <c r="C8" s="143">
        <f t="shared" ref="C8:G8" si="9">C2-C4</f>
        <v>-7865359.333333333</v>
      </c>
      <c r="D8" s="144">
        <f t="shared" si="9"/>
        <v>-7865359.333333333</v>
      </c>
      <c r="E8" s="144">
        <f t="shared" si="9"/>
        <v>-7865359.333333333</v>
      </c>
      <c r="F8" s="144">
        <f t="shared" si="9"/>
        <v>-7865359.333333333</v>
      </c>
      <c r="G8" s="144">
        <f t="shared" si="9"/>
        <v>-7865359.333333333</v>
      </c>
      <c r="H8" s="134">
        <f t="shared" si="3"/>
        <v>0.87869811449293234</v>
      </c>
      <c r="I8" s="135">
        <f>I2-I4</f>
        <v>56975836.666666664</v>
      </c>
      <c r="J8" s="136">
        <f t="shared" si="4"/>
        <v>0.90414279994397118</v>
      </c>
      <c r="K8" s="135">
        <f>K2-K4</f>
        <v>74187520.666666672</v>
      </c>
      <c r="L8" s="136">
        <f t="shared" si="5"/>
        <v>0.92417567606146089</v>
      </c>
      <c r="M8" s="135">
        <f>M2-M4</f>
        <v>95865988.666666672</v>
      </c>
      <c r="N8" s="136">
        <f t="shared" si="6"/>
        <v>0.93992261520686493</v>
      </c>
      <c r="O8" s="135">
        <f>O2-O4</f>
        <v>123055108.66666667</v>
      </c>
      <c r="P8" s="136">
        <f t="shared" si="7"/>
        <v>0.95231125460856958</v>
      </c>
      <c r="Q8" s="135">
        <f>Q2-Q4</f>
        <v>157065784.66666666</v>
      </c>
      <c r="R8" s="136">
        <f t="shared" si="8"/>
        <v>0.9620567588488842</v>
      </c>
      <c r="S8" s="137">
        <f>S2-S4</f>
        <v>199427404.66666666</v>
      </c>
      <c r="U8" s="132">
        <f t="shared" si="1"/>
        <v>659385493.56130719</v>
      </c>
    </row>
    <row r="9" spans="1:25" ht="12.75">
      <c r="A9" s="103" t="s">
        <v>94</v>
      </c>
      <c r="B9" s="138">
        <f>'Salarios, gastos y costos'!$E$11+'Salarios, gastos y costos'!$K$11</f>
        <v>332010</v>
      </c>
      <c r="C9" s="138">
        <f>'Salarios, gastos y costos'!$E$11+'Salarios, gastos y costos'!$K$11</f>
        <v>332010</v>
      </c>
      <c r="D9" s="145">
        <f>'Salarios, gastos y costos'!$E$11+'Salarios, gastos y costos'!$K$11</f>
        <v>332010</v>
      </c>
      <c r="E9" s="145">
        <f>'Salarios, gastos y costos'!$E$11+'Salarios, gastos y costos'!$K$11</f>
        <v>332010</v>
      </c>
      <c r="F9" s="145">
        <f>'Salarios, gastos y costos'!$E$11+'Salarios, gastos y costos'!$K$11</f>
        <v>332010</v>
      </c>
      <c r="G9" s="145">
        <f>'Salarios, gastos y costos'!$E$11+'Salarios, gastos y costos'!$K$11</f>
        <v>332010</v>
      </c>
      <c r="H9" s="139">
        <f t="shared" si="3"/>
        <v>5.1203558922633076E-3</v>
      </c>
      <c r="I9" s="140">
        <f>'Salarios, gastos y costos'!$E$11+'Salarios, gastos y costos'!$K$11</f>
        <v>332010</v>
      </c>
      <c r="J9" s="141">
        <f t="shared" si="4"/>
        <v>4.0462930734423948E-3</v>
      </c>
      <c r="K9" s="140">
        <f>'Salarios, gastos y costos'!$E$11+'Salarios, gastos y costos'!$K$11</f>
        <v>332010</v>
      </c>
      <c r="L9" s="141">
        <f t="shared" si="5"/>
        <v>3.2006717969190954E-3</v>
      </c>
      <c r="M9" s="140">
        <f>'Salarios, gastos y costos'!$E$11+'Salarios, gastos y costos'!$K$11</f>
        <v>332010</v>
      </c>
      <c r="N9" s="141">
        <f t="shared" si="6"/>
        <v>2.5359671033256619E-3</v>
      </c>
      <c r="O9" s="140">
        <f>'Salarios, gastos y costos'!$E$11+'Salarios, gastos y costos'!$K$11</f>
        <v>332010</v>
      </c>
      <c r="P9" s="141">
        <f t="shared" si="7"/>
        <v>2.0130218705085804E-3</v>
      </c>
      <c r="Q9" s="140">
        <f>'Salarios, gastos y costos'!$E$11+'Salarios, gastos y costos'!$K$11</f>
        <v>332010</v>
      </c>
      <c r="R9" s="141">
        <f t="shared" si="8"/>
        <v>1.6016478028147668E-3</v>
      </c>
      <c r="S9" s="142">
        <f>'Salarios, gastos y costos'!$E$11+'Salarios, gastos y costos'!$K$11</f>
        <v>332010</v>
      </c>
      <c r="U9" s="44">
        <f t="shared" si="1"/>
        <v>3984120.0185179571</v>
      </c>
      <c r="V9" s="98" t="s">
        <v>217</v>
      </c>
    </row>
    <row r="10" spans="1:25" ht="12.75">
      <c r="A10" s="103" t="s">
        <v>96</v>
      </c>
      <c r="B10" s="138">
        <v>0</v>
      </c>
      <c r="C10" s="138">
        <f>'Salarios, gastos y costos'!G37</f>
        <v>110000</v>
      </c>
      <c r="D10" s="145">
        <f>'Salarios, gastos y costos'!G38</f>
        <v>140000</v>
      </c>
      <c r="E10" s="145">
        <f>'Salarios, gastos y costos'!G39</f>
        <v>40000</v>
      </c>
      <c r="F10" s="145">
        <f>'Salarios, gastos y costos'!G40</f>
        <v>40000</v>
      </c>
      <c r="G10" s="145">
        <f>'Salarios, gastos y costos'!$F$41+'Salarios, gastos y costos'!$F$42</f>
        <v>565000</v>
      </c>
      <c r="H10" s="139">
        <f t="shared" si="3"/>
        <v>8.713596214357305E-3</v>
      </c>
      <c r="I10" s="140">
        <f>'Salarios, gastos y costos'!$F$41+'Salarios, gastos y costos'!$F$42</f>
        <v>565000</v>
      </c>
      <c r="J10" s="141">
        <f t="shared" si="4"/>
        <v>6.8858033989788051E-3</v>
      </c>
      <c r="K10" s="140">
        <f>'Salarios, gastos y costos'!$F$41+'Salarios, gastos y costos'!$F$42</f>
        <v>565000</v>
      </c>
      <c r="L10" s="141">
        <f t="shared" si="5"/>
        <v>5.4467623422767052E-3</v>
      </c>
      <c r="M10" s="140">
        <f>'Salarios, gastos y costos'!$F$41+'Salarios, gastos y costos'!$F$42</f>
        <v>565000</v>
      </c>
      <c r="N10" s="141">
        <f t="shared" si="6"/>
        <v>4.3155971608656333E-3</v>
      </c>
      <c r="O10" s="140">
        <f>'Salarios, gastos y costos'!$F$41+'Salarios, gastos y costos'!$F$42</f>
        <v>565000</v>
      </c>
      <c r="P10" s="141">
        <f t="shared" si="7"/>
        <v>3.425671988305617E-3</v>
      </c>
      <c r="Q10" s="140">
        <f>'Salarios, gastos y costos'!$F$41+'Salarios, gastos y costos'!$F$42</f>
        <v>565000</v>
      </c>
      <c r="R10" s="141">
        <f t="shared" si="8"/>
        <v>2.7256137122084975E-3</v>
      </c>
      <c r="S10" s="142">
        <f>'Salarios, gastos y costos'!$F$41+'Salarios, gastos y costos'!$F$42</f>
        <v>565000</v>
      </c>
      <c r="U10" s="44">
        <f t="shared" si="1"/>
        <v>4285000.0315130446</v>
      </c>
      <c r="V10" s="98" t="s">
        <v>218</v>
      </c>
    </row>
    <row r="11" spans="1:25" s="131" customFormat="1" ht="12.75">
      <c r="A11" s="102" t="s">
        <v>99</v>
      </c>
      <c r="B11" s="143">
        <f t="shared" ref="B11:G11" si="10">B8-B9-B10</f>
        <v>-8197369.333333333</v>
      </c>
      <c r="C11" s="143">
        <f>C8-C9-C10</f>
        <v>-8307369.333333333</v>
      </c>
      <c r="D11" s="144">
        <f t="shared" si="10"/>
        <v>-8337369.333333333</v>
      </c>
      <c r="E11" s="144">
        <f t="shared" si="10"/>
        <v>-8237369.333333333</v>
      </c>
      <c r="F11" s="144">
        <f t="shared" si="10"/>
        <v>-8237369.333333333</v>
      </c>
      <c r="G11" s="144">
        <f t="shared" si="10"/>
        <v>-8762369.3333333321</v>
      </c>
      <c r="H11" s="134">
        <f t="shared" si="3"/>
        <v>0.8648641623863117</v>
      </c>
      <c r="I11" s="146">
        <f>I8-I9-I10</f>
        <v>56078826.666666664</v>
      </c>
      <c r="J11" s="136">
        <f t="shared" si="4"/>
        <v>0.89321070347154996</v>
      </c>
      <c r="K11" s="146">
        <f>K8-K9-K10</f>
        <v>73290510.666666672</v>
      </c>
      <c r="L11" s="136">
        <f t="shared" si="5"/>
        <v>0.91552824192226512</v>
      </c>
      <c r="M11" s="146">
        <f>M8-M9-M10</f>
        <v>94968978.666666672</v>
      </c>
      <c r="N11" s="136">
        <f t="shared" si="6"/>
        <v>0.93307105094267362</v>
      </c>
      <c r="O11" s="146">
        <f>O8-O9-O10</f>
        <v>122158098.66666667</v>
      </c>
      <c r="P11" s="136">
        <f t="shared" si="7"/>
        <v>0.94687256074975545</v>
      </c>
      <c r="Q11" s="135">
        <f>Q8-Q9-Q10</f>
        <v>156168774.66666666</v>
      </c>
      <c r="R11" s="136">
        <f t="shared" si="8"/>
        <v>0.95772949733386092</v>
      </c>
      <c r="S11" s="137">
        <f>S8-S9-S10</f>
        <v>198530394.66666666</v>
      </c>
      <c r="U11" s="132">
        <f t="shared" si="1"/>
        <v>651116373.51127625</v>
      </c>
      <c r="V11" s="160">
        <f>S11+Q11+O11+M11+K11+I11</f>
        <v>701195583.99999988</v>
      </c>
    </row>
    <row r="12" spans="1:25" ht="12.75">
      <c r="A12" s="103" t="s">
        <v>100</v>
      </c>
      <c r="B12" s="138">
        <v>0</v>
      </c>
      <c r="C12" s="138">
        <v>0</v>
      </c>
      <c r="D12" s="145">
        <v>0</v>
      </c>
      <c r="E12" s="145">
        <v>0</v>
      </c>
      <c r="F12" s="145">
        <v>0</v>
      </c>
      <c r="G12" s="145">
        <v>0</v>
      </c>
      <c r="H12" s="139">
        <f t="shared" si="3"/>
        <v>0</v>
      </c>
      <c r="I12" s="140">
        <v>0</v>
      </c>
      <c r="J12" s="141">
        <f t="shared" si="4"/>
        <v>0</v>
      </c>
      <c r="K12" s="140">
        <v>0</v>
      </c>
      <c r="L12" s="141">
        <f t="shared" si="5"/>
        <v>0</v>
      </c>
      <c r="M12" s="140">
        <v>0</v>
      </c>
      <c r="N12" s="141">
        <f t="shared" si="6"/>
        <v>0</v>
      </c>
      <c r="O12" s="140">
        <v>0</v>
      </c>
      <c r="P12" s="141">
        <f t="shared" si="7"/>
        <v>0</v>
      </c>
      <c r="Q12" s="140">
        <v>0</v>
      </c>
      <c r="R12" s="141">
        <f t="shared" si="8"/>
        <v>0</v>
      </c>
      <c r="S12" s="140">
        <v>0</v>
      </c>
      <c r="U12" s="44">
        <f t="shared" si="1"/>
        <v>0</v>
      </c>
      <c r="V12" s="160">
        <f t="shared" ref="V12:V14" si="11">S12+Q12+O12+M12+K12+I12</f>
        <v>0</v>
      </c>
    </row>
    <row r="13" spans="1:25" ht="12.75">
      <c r="A13" s="103" t="s">
        <v>101</v>
      </c>
      <c r="B13" s="138">
        <v>0</v>
      </c>
      <c r="C13" s="138">
        <v>0</v>
      </c>
      <c r="D13" s="145">
        <v>0</v>
      </c>
      <c r="E13" s="145">
        <v>0</v>
      </c>
      <c r="F13" s="145">
        <v>0</v>
      </c>
      <c r="G13" s="145">
        <v>0</v>
      </c>
      <c r="H13" s="139">
        <f t="shared" si="3"/>
        <v>0</v>
      </c>
      <c r="I13" s="140">
        <v>0</v>
      </c>
      <c r="J13" s="141">
        <f t="shared" si="4"/>
        <v>0</v>
      </c>
      <c r="K13" s="140">
        <v>0</v>
      </c>
      <c r="L13" s="141">
        <f t="shared" si="5"/>
        <v>0</v>
      </c>
      <c r="M13" s="140">
        <v>0</v>
      </c>
      <c r="N13" s="141">
        <f t="shared" si="6"/>
        <v>0</v>
      </c>
      <c r="O13" s="140">
        <v>0</v>
      </c>
      <c r="P13" s="141">
        <f t="shared" si="7"/>
        <v>0</v>
      </c>
      <c r="Q13" s="140">
        <v>0</v>
      </c>
      <c r="R13" s="141">
        <f t="shared" si="8"/>
        <v>0</v>
      </c>
      <c r="S13" s="142">
        <v>0</v>
      </c>
      <c r="U13" s="44">
        <f t="shared" si="1"/>
        <v>0</v>
      </c>
      <c r="V13" s="160">
        <f t="shared" si="11"/>
        <v>0</v>
      </c>
    </row>
    <row r="14" spans="1:25" s="131" customFormat="1" ht="12.75">
      <c r="A14" s="102" t="s">
        <v>102</v>
      </c>
      <c r="B14" s="143">
        <f t="shared" ref="B14:G14" si="12">B11+B12-B13</f>
        <v>-8197369.333333333</v>
      </c>
      <c r="C14" s="143">
        <f>C11+C12-C13</f>
        <v>-8307369.333333333</v>
      </c>
      <c r="D14" s="144">
        <f t="shared" si="12"/>
        <v>-8337369.333333333</v>
      </c>
      <c r="E14" s="144">
        <f t="shared" si="12"/>
        <v>-8237369.333333333</v>
      </c>
      <c r="F14" s="144">
        <f t="shared" si="12"/>
        <v>-8237369.333333333</v>
      </c>
      <c r="G14" s="144">
        <f t="shared" si="12"/>
        <v>-8762369.3333333321</v>
      </c>
      <c r="H14" s="134">
        <f t="shared" si="3"/>
        <v>0.8648641623863117</v>
      </c>
      <c r="I14" s="146">
        <f>I11+I12-I13</f>
        <v>56078826.666666664</v>
      </c>
      <c r="J14" s="136">
        <f t="shared" si="4"/>
        <v>0.89321070347154996</v>
      </c>
      <c r="K14" s="146">
        <f>K11+K12-K13</f>
        <v>73290510.666666672</v>
      </c>
      <c r="L14" s="136">
        <f t="shared" si="5"/>
        <v>0.91552824192226512</v>
      </c>
      <c r="M14" s="146">
        <f>M11+M12-M13</f>
        <v>94968978.666666672</v>
      </c>
      <c r="N14" s="136">
        <f t="shared" si="6"/>
        <v>0.93307105094267362</v>
      </c>
      <c r="O14" s="146">
        <f>O11+O12-O13</f>
        <v>122158098.66666667</v>
      </c>
      <c r="P14" s="136">
        <f t="shared" si="7"/>
        <v>0.94687256074975545</v>
      </c>
      <c r="Q14" s="135">
        <f>Q11+Q12-Q13</f>
        <v>156168774.66666666</v>
      </c>
      <c r="R14" s="136">
        <f t="shared" si="8"/>
        <v>0.95772949733386092</v>
      </c>
      <c r="S14" s="137">
        <f>S11+S12-S13</f>
        <v>198530394.66666666</v>
      </c>
      <c r="U14" s="132">
        <f t="shared" si="1"/>
        <v>651116373.51127625</v>
      </c>
      <c r="V14" s="160">
        <f t="shared" si="11"/>
        <v>701195583.99999988</v>
      </c>
    </row>
    <row r="15" spans="1:25" ht="12.75">
      <c r="A15" s="103" t="s">
        <v>103</v>
      </c>
      <c r="B15" s="145">
        <f t="shared" ref="B15:F15" si="13">IF(B14&gt;0, B14*0.34, 0)</f>
        <v>0</v>
      </c>
      <c r="C15" s="145">
        <f t="shared" si="13"/>
        <v>0</v>
      </c>
      <c r="D15" s="145">
        <f t="shared" si="13"/>
        <v>0</v>
      </c>
      <c r="E15" s="145">
        <f t="shared" si="13"/>
        <v>0</v>
      </c>
      <c r="F15" s="145">
        <f t="shared" si="13"/>
        <v>0</v>
      </c>
      <c r="G15" s="145">
        <f>IF(G14&gt;0, G14*0.34, 0)</f>
        <v>0</v>
      </c>
      <c r="H15" s="139">
        <f t="shared" si="3"/>
        <v>0.29405381521134599</v>
      </c>
      <c r="I15" s="140">
        <f>IF(I14&gt;0, I14*0.34, 0)</f>
        <v>19066801.066666666</v>
      </c>
      <c r="J15" s="141">
        <f t="shared" si="4"/>
        <v>0.30369163918032699</v>
      </c>
      <c r="K15" s="140">
        <f>IF(K14&gt;0, K14*0.34, 0)</f>
        <v>24918773.626666669</v>
      </c>
      <c r="L15" s="141">
        <f t="shared" si="5"/>
        <v>0.31127960225357015</v>
      </c>
      <c r="M15" s="140">
        <f>IF(M14&gt;0, M14*0.34, 0)</f>
        <v>32289452.74666667</v>
      </c>
      <c r="N15" s="141">
        <f t="shared" si="6"/>
        <v>0.31724415732050909</v>
      </c>
      <c r="O15" s="140">
        <f>IF(O14&gt;0, O14*0.34, 0)</f>
        <v>41533753.546666674</v>
      </c>
      <c r="P15" s="141">
        <f t="shared" si="7"/>
        <v>0.32193667065491688</v>
      </c>
      <c r="Q15" s="140">
        <f>IF(Q14&gt;0, Q14*0.34, 0)</f>
        <v>53097383.38666667</v>
      </c>
      <c r="R15" s="141">
        <f t="shared" si="8"/>
        <v>0.32562802909351274</v>
      </c>
      <c r="S15" s="142">
        <f>IF(S14&gt;0, S14*0.34, 0)</f>
        <v>67500334.186666667</v>
      </c>
      <c r="U15" s="44">
        <f t="shared" si="1"/>
        <v>238406500.43383396</v>
      </c>
      <c r="V15" s="161">
        <f>V14*0.34</f>
        <v>238406498.55999997</v>
      </c>
    </row>
    <row r="16" spans="1:25" s="131" customFormat="1" ht="12.75">
      <c r="A16" s="102" t="s">
        <v>104</v>
      </c>
      <c r="B16" s="143">
        <f t="shared" ref="B16:G16" si="14">B14-B15</f>
        <v>-8197369.333333333</v>
      </c>
      <c r="C16" s="143">
        <f t="shared" si="14"/>
        <v>-8307369.333333333</v>
      </c>
      <c r="D16" s="144">
        <f t="shared" si="14"/>
        <v>-8337369.333333333</v>
      </c>
      <c r="E16" s="144">
        <f t="shared" si="14"/>
        <v>-8237369.333333333</v>
      </c>
      <c r="F16" s="144">
        <f t="shared" si="14"/>
        <v>-8237369.333333333</v>
      </c>
      <c r="G16" s="144">
        <f t="shared" si="14"/>
        <v>-8762369.3333333321</v>
      </c>
      <c r="H16" s="134">
        <f t="shared" si="3"/>
        <v>0.5708103471749657</v>
      </c>
      <c r="I16" s="146">
        <f>I14-I15</f>
        <v>37012025.599999994</v>
      </c>
      <c r="J16" s="136">
        <f t="shared" si="4"/>
        <v>0.58951906429122303</v>
      </c>
      <c r="K16" s="146">
        <f>K14-K15</f>
        <v>48371737.040000007</v>
      </c>
      <c r="L16" s="136">
        <f t="shared" si="5"/>
        <v>0.60424863966869491</v>
      </c>
      <c r="M16" s="146">
        <f>M14-M15</f>
        <v>62679525.920000002</v>
      </c>
      <c r="N16" s="136">
        <f t="shared" si="6"/>
        <v>0.61582689362216458</v>
      </c>
      <c r="O16" s="146">
        <f>O14-O15</f>
        <v>80624345.120000005</v>
      </c>
      <c r="P16" s="136">
        <f t="shared" si="7"/>
        <v>0.62493589009483852</v>
      </c>
      <c r="Q16" s="135">
        <f>Q14-Q15</f>
        <v>103071391.27999999</v>
      </c>
      <c r="R16" s="136">
        <f t="shared" si="8"/>
        <v>0.63210146824034819</v>
      </c>
      <c r="S16" s="137">
        <f>S14-S15</f>
        <v>131030060.47999999</v>
      </c>
      <c r="U16" s="132">
        <f t="shared" si="1"/>
        <v>412709873.07744229</v>
      </c>
    </row>
    <row r="18" spans="7:19" ht="12.75">
      <c r="G18" s="11" t="s">
        <v>109</v>
      </c>
      <c r="H18" s="11"/>
      <c r="I18" s="11">
        <v>2671</v>
      </c>
      <c r="J18" s="11"/>
      <c r="K18" s="65">
        <f>'Tabla Crecimiento'!B4</f>
        <v>3380</v>
      </c>
      <c r="L18" s="11"/>
      <c r="M18" s="65">
        <f>'Tabla Crecimiento'!B5</f>
        <v>4273</v>
      </c>
      <c r="N18" s="11"/>
      <c r="O18" s="65">
        <f>'Tabla Crecimiento'!B6</f>
        <v>5393</v>
      </c>
      <c r="P18" s="11"/>
      <c r="Q18" s="65">
        <f>'Tabla Crecimiento'!B7</f>
        <v>6794</v>
      </c>
      <c r="R18" s="11"/>
      <c r="S18" s="65">
        <f>'Tabla Crecimiento'!B8</f>
        <v>8539</v>
      </c>
    </row>
    <row r="19" spans="7:19" ht="12.75">
      <c r="G19" s="11" t="s">
        <v>110</v>
      </c>
      <c r="H19" s="11"/>
      <c r="I19" s="11">
        <v>1.2</v>
      </c>
    </row>
    <row r="20" spans="7:19" ht="12.75">
      <c r="G20" s="100" t="s">
        <v>185</v>
      </c>
      <c r="H20" s="11"/>
      <c r="I20" s="11">
        <f>(20400+(20400*0.19))</f>
        <v>24276</v>
      </c>
    </row>
    <row r="21" spans="7:19" ht="12.75">
      <c r="G21" s="11" t="s">
        <v>111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12" priority="15" operator="lessThan">
      <formula>0</formula>
    </cfRule>
  </conditionalFormatting>
  <conditionalFormatting sqref="I8">
    <cfRule type="cellIs" dxfId="11" priority="13" operator="lessThan">
      <formula>0</formula>
    </cfRule>
    <cfRule type="cellIs" dxfId="10" priority="14" operator="lessThan">
      <formula>0</formula>
    </cfRule>
  </conditionalFormatting>
  <conditionalFormatting sqref="H2:S16">
    <cfRule type="cellIs" dxfId="9" priority="7" operator="greaterThan">
      <formula>0</formula>
    </cfRule>
  </conditionalFormatting>
  <conditionalFormatting sqref="D2:G14 D16:G16 B15:G15">
    <cfRule type="cellIs" dxfId="8" priority="5" operator="lessThan">
      <formula>0</formula>
    </cfRule>
  </conditionalFormatting>
  <conditionalFormatting sqref="B8:C8">
    <cfRule type="cellIs" dxfId="7" priority="4" operator="lessThan">
      <formula>0</formula>
    </cfRule>
  </conditionalFormatting>
  <conditionalFormatting sqref="B11:C11">
    <cfRule type="cellIs" dxfId="6" priority="3" operator="lessThan">
      <formula>0</formula>
    </cfRule>
  </conditionalFormatting>
  <conditionalFormatting sqref="B14:C14">
    <cfRule type="cellIs" dxfId="5" priority="2" operator="lessThan">
      <formula>0</formula>
    </cfRule>
  </conditionalFormatting>
  <conditionalFormatting sqref="B16:C16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A13" sqref="A13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6"/>
      <c r="B1" s="205" t="s">
        <v>74</v>
      </c>
      <c r="C1" s="179"/>
      <c r="D1" s="205" t="s">
        <v>75</v>
      </c>
      <c r="E1" s="179"/>
      <c r="F1" s="205" t="s">
        <v>76</v>
      </c>
      <c r="G1" s="179"/>
      <c r="H1" s="205" t="s">
        <v>78</v>
      </c>
      <c r="I1" s="179"/>
      <c r="J1" s="207" t="s">
        <v>79</v>
      </c>
      <c r="K1" s="208"/>
      <c r="L1" s="28"/>
      <c r="M1" s="28"/>
      <c r="N1" s="28"/>
      <c r="O1" s="28"/>
      <c r="P1" s="28"/>
      <c r="Q1" s="28"/>
      <c r="R1" s="28"/>
    </row>
    <row r="2" spans="1:18" ht="12.75">
      <c r="A2" s="30" t="s">
        <v>73</v>
      </c>
      <c r="B2" s="32">
        <v>1</v>
      </c>
      <c r="C2" s="35">
        <f>C3</f>
        <v>753769806</v>
      </c>
      <c r="D2" s="36">
        <v>1</v>
      </c>
      <c r="E2" s="35">
        <f>E3</f>
        <v>1949969700</v>
      </c>
      <c r="F2" s="36">
        <v>1</v>
      </c>
      <c r="G2" s="35">
        <f>G3</f>
        <v>3692646636</v>
      </c>
      <c r="H2" s="36">
        <v>1</v>
      </c>
      <c r="I2" s="35">
        <f>I3</f>
        <v>3887680020</v>
      </c>
      <c r="J2" s="36">
        <v>1</v>
      </c>
      <c r="K2" s="37">
        <f>K3</f>
        <v>3899259672</v>
      </c>
      <c r="L2" s="45"/>
      <c r="M2" s="45"/>
      <c r="N2" s="45"/>
      <c r="O2" s="45"/>
      <c r="P2" s="45"/>
      <c r="Q2" s="45"/>
      <c r="R2" s="45"/>
    </row>
    <row r="3" spans="1:18" ht="15.75" customHeight="1">
      <c r="A3" s="50" t="s">
        <v>82</v>
      </c>
      <c r="B3" s="47">
        <v>1</v>
      </c>
      <c r="C3" s="49">
        <f>'Estado de resultados PyG - 12 m'!U3</f>
        <v>753769806</v>
      </c>
      <c r="D3" s="51">
        <v>1</v>
      </c>
      <c r="E3" s="49">
        <f>E18*$E$19</f>
        <v>1949969700</v>
      </c>
      <c r="F3" s="49">
        <f t="shared" ref="F3:K3" si="0">F18*$E$19</f>
        <v>0</v>
      </c>
      <c r="G3" s="49">
        <f>G18*$E$19</f>
        <v>3692646636</v>
      </c>
      <c r="H3" s="49">
        <f t="shared" si="0"/>
        <v>0</v>
      </c>
      <c r="I3" s="49">
        <f t="shared" si="0"/>
        <v>3887680020</v>
      </c>
      <c r="J3" s="49">
        <f t="shared" si="0"/>
        <v>0</v>
      </c>
      <c r="K3" s="49">
        <f t="shared" si="0"/>
        <v>3899259672</v>
      </c>
      <c r="L3" s="53"/>
      <c r="M3" s="53"/>
      <c r="N3" s="53"/>
      <c r="O3" s="53"/>
      <c r="P3" s="53"/>
      <c r="Q3" s="53"/>
      <c r="R3" s="53"/>
    </row>
    <row r="4" spans="1:18" ht="12.75">
      <c r="A4" s="30" t="s">
        <v>84</v>
      </c>
      <c r="B4" s="32">
        <f t="shared" ref="B4:B16" si="1">(C4)/$C$2</f>
        <v>0.12521636139759726</v>
      </c>
      <c r="C4" s="35">
        <f>SUM(C5:C7)</f>
        <v>94384312.438692778</v>
      </c>
      <c r="D4" s="51">
        <f>(E4)/$E$2</f>
        <v>5.1285602396796214E-2</v>
      </c>
      <c r="E4" s="35">
        <f>SUM(E5:E7)</f>
        <v>100005370.72</v>
      </c>
      <c r="F4" s="36">
        <f t="shared" ref="F4:F16" si="2">(G4)/$G$2</f>
        <v>2.7209154350289151E-2</v>
      </c>
      <c r="G4" s="35">
        <f>SUM(G5:G7)</f>
        <v>100473792.28</v>
      </c>
      <c r="H4" s="36">
        <f t="shared" ref="H4:H16" si="3">(I4)/$I$2</f>
        <v>2.5964640433550908E-2</v>
      </c>
      <c r="I4" s="35">
        <f>SUM(I5:I7)</f>
        <v>100942213.84</v>
      </c>
      <c r="J4" s="36">
        <f t="shared" ref="J4:J16" si="4">(K4)/$K$2</f>
        <v>2.5935585462593422E-2</v>
      </c>
      <c r="K4" s="37">
        <f>SUM(K5:K7)</f>
        <v>101129582.464</v>
      </c>
      <c r="L4" s="45"/>
      <c r="M4" s="45"/>
      <c r="N4" s="45"/>
      <c r="O4" s="45"/>
      <c r="P4" s="45"/>
      <c r="Q4" s="45"/>
      <c r="R4" s="45"/>
    </row>
    <row r="5" spans="1:18" ht="12.75">
      <c r="A5" s="50" t="s">
        <v>86</v>
      </c>
      <c r="B5" s="47">
        <f t="shared" si="1"/>
        <v>9.6793476945286172E-4</v>
      </c>
      <c r="C5" s="49">
        <f>'Estado de resultados PyG - 12 m'!U5</f>
        <v>729600.00339113828</v>
      </c>
      <c r="D5" s="51">
        <f>(E5)/E2</f>
        <v>3.9660923962049258E-4</v>
      </c>
      <c r="E5" s="49">
        <f>('Salarios, gastos y costos'!$H$11*12)+('Salarios, gastos y costos'!$H$11*12*E21)</f>
        <v>773376</v>
      </c>
      <c r="F5" s="51">
        <f t="shared" si="2"/>
        <v>2.1042468359271408E-4</v>
      </c>
      <c r="G5" s="49">
        <f>('Salarios, gastos y costos'!$H$11*12)+('Salarios, gastos y costos'!$H$11*12*G21)</f>
        <v>777024</v>
      </c>
      <c r="H5" s="51">
        <f t="shared" si="3"/>
        <v>2.0080664972010737E-4</v>
      </c>
      <c r="I5" s="49">
        <f>('Salarios, gastos y costos'!$H$11*12)+('Salarios, gastos y costos'!$H$11*12*I21)</f>
        <v>780672</v>
      </c>
      <c r="J5" s="51">
        <f t="shared" si="4"/>
        <v>2.0058453803842996E-4</v>
      </c>
      <c r="K5" s="52">
        <f>('Salarios, gastos y costos'!$H$11*12)+('Salarios, gastos y costos'!$H$11*12*K21)</f>
        <v>782131.19999999995</v>
      </c>
      <c r="L5" s="53"/>
      <c r="M5" s="53"/>
      <c r="N5" s="53"/>
      <c r="O5" s="53"/>
      <c r="P5" s="53"/>
      <c r="Q5" s="53"/>
      <c r="R5" s="53"/>
    </row>
    <row r="6" spans="1:18" ht="12.75">
      <c r="A6" s="50" t="s">
        <v>88</v>
      </c>
      <c r="B6" s="47">
        <f t="shared" si="1"/>
        <v>0.12331976114210136</v>
      </c>
      <c r="C6" s="49">
        <f>'Estado de resultados PyG - 12 m'!U6</f>
        <v>92954712.432048082</v>
      </c>
      <c r="D6" s="51">
        <f t="shared" ref="D6:D16" si="5">E6/$E$2</f>
        <v>5.0530013220205422E-2</v>
      </c>
      <c r="E6" s="49">
        <f>('Salarios, gastos y costos'!$B$27)*12+(('Salarios, gastos y costos'!B11*12)*E21)</f>
        <v>98531994.719999999</v>
      </c>
      <c r="F6" s="51">
        <f t="shared" si="2"/>
        <v>2.680916373499433E-2</v>
      </c>
      <c r="G6" s="49">
        <f>('Salarios, gastos y costos'!$B$27)*12+(('Salarios, gastos y costos'!B11*12)*G21)</f>
        <v>98996768.280000001</v>
      </c>
      <c r="H6" s="51">
        <f t="shared" si="3"/>
        <v>2.5583777813072178E-2</v>
      </c>
      <c r="I6" s="49">
        <f>('Salarios, gastos y costos'!$B$27)*12+('Salarios, gastos y costos'!B11*12)*I21</f>
        <v>99461541.840000004</v>
      </c>
      <c r="J6" s="51">
        <f t="shared" si="4"/>
        <v>2.5555479666961766E-2</v>
      </c>
      <c r="K6" s="52">
        <f>('Salarios, gastos y costos'!$B$27)*12+('Salarios, gastos y costos'!B11*12)*K21</f>
        <v>99647451.263999999</v>
      </c>
      <c r="L6" s="53"/>
      <c r="M6" s="53"/>
      <c r="N6" s="53"/>
      <c r="O6" s="53"/>
      <c r="P6" s="53"/>
      <c r="Q6" s="53"/>
      <c r="R6" s="53"/>
    </row>
    <row r="7" spans="1:18" ht="12.75">
      <c r="A7" s="50" t="s">
        <v>90</v>
      </c>
      <c r="B7" s="47">
        <f t="shared" si="1"/>
        <v>9.2866548604304149E-4</v>
      </c>
      <c r="C7" s="49">
        <f>'Estado de resultados PyG - 12 m'!U7</f>
        <v>700000.00325355912</v>
      </c>
      <c r="D7" s="51">
        <f t="shared" si="5"/>
        <v>3.5897993697030266E-4</v>
      </c>
      <c r="E7" s="49">
        <f>('Presupuesto Inicial'!$J$20)*12</f>
        <v>700000</v>
      </c>
      <c r="F7" s="51">
        <f t="shared" si="2"/>
        <v>1.8956593170210939E-4</v>
      </c>
      <c r="G7" s="49">
        <f>('Presupuesto Inicial'!$J$20)*12</f>
        <v>700000</v>
      </c>
      <c r="H7" s="51">
        <f t="shared" si="3"/>
        <v>1.8005597075862226E-4</v>
      </c>
      <c r="I7" s="49">
        <f>('Presupuesto Inicial'!$J$20)*12</f>
        <v>700000</v>
      </c>
      <c r="J7" s="51">
        <f t="shared" si="4"/>
        <v>1.7952125759322857E-4</v>
      </c>
      <c r="K7" s="52">
        <f>('Presupuesto Inicial'!$J$20)*12</f>
        <v>700000</v>
      </c>
      <c r="L7" s="53"/>
      <c r="M7" s="53"/>
      <c r="N7" s="53"/>
      <c r="O7" s="53"/>
      <c r="P7" s="53"/>
      <c r="Q7" s="53"/>
      <c r="R7" s="53"/>
    </row>
    <row r="8" spans="1:18" ht="12.75">
      <c r="A8" s="30" t="s">
        <v>92</v>
      </c>
      <c r="B8" s="32">
        <f t="shared" si="1"/>
        <v>0.87478363860240271</v>
      </c>
      <c r="C8" s="35">
        <f>C2-C4</f>
        <v>659385493.56130719</v>
      </c>
      <c r="D8" s="36">
        <f t="shared" si="5"/>
        <v>0.94871439760320375</v>
      </c>
      <c r="E8" s="35">
        <f>E2-E4</f>
        <v>1849964329.28</v>
      </c>
      <c r="F8" s="36">
        <f t="shared" si="2"/>
        <v>0.97279084564971074</v>
      </c>
      <c r="G8" s="35">
        <f>G2-G4</f>
        <v>3592172843.7199998</v>
      </c>
      <c r="H8" s="36">
        <f t="shared" si="3"/>
        <v>0.97403535956644904</v>
      </c>
      <c r="I8" s="35">
        <f>I2-I4</f>
        <v>3786737806.1599998</v>
      </c>
      <c r="J8" s="36">
        <f t="shared" si="4"/>
        <v>0.97406441453740655</v>
      </c>
      <c r="K8" s="37">
        <f>K2-K4</f>
        <v>3798130089.5359998</v>
      </c>
      <c r="L8" s="56"/>
      <c r="M8" s="45"/>
      <c r="N8" s="45"/>
      <c r="O8" s="45"/>
      <c r="P8" s="45"/>
      <c r="Q8" s="45"/>
      <c r="R8" s="45"/>
    </row>
    <row r="9" spans="1:18" ht="12.75">
      <c r="A9" s="57" t="s">
        <v>94</v>
      </c>
      <c r="B9" s="47">
        <f t="shared" si="1"/>
        <v>5.2855924803625748E-3</v>
      </c>
      <c r="C9" s="49">
        <f>'Estado de resultados PyG - 12 m'!U9</f>
        <v>3984120.0185179571</v>
      </c>
      <c r="D9" s="51">
        <f t="shared" si="5"/>
        <v>2.1657604318821131E-3</v>
      </c>
      <c r="E9" s="49">
        <f>'Estado de resultados PyG - 12 m'!U9+('Estado de resultados PyG - 12 m'!U9*$E$21)</f>
        <v>4223167.2196290344</v>
      </c>
      <c r="F9" s="51">
        <f t="shared" si="2"/>
        <v>1.1490641369134309E-3</v>
      </c>
      <c r="G9" s="49">
        <f>'Estado de resultados PyG - 12 m'!U9+('Estado de resultados PyG - 12 m'!U9*G21)</f>
        <v>4243087.8197216243</v>
      </c>
      <c r="H9" s="51">
        <f t="shared" si="3"/>
        <v>1.0965430276883266E-3</v>
      </c>
      <c r="I9" s="49">
        <f>'Estado de resultados PyG - 12 m'!U9+('Estado de resultados PyG - 12 m'!U9*I21)</f>
        <v>4263008.4198142141</v>
      </c>
      <c r="J9" s="51">
        <f t="shared" si="4"/>
        <v>1.0953301444683191E-3</v>
      </c>
      <c r="K9" s="52">
        <f>'Estado de resultados PyG - 12 m'!U9+('Estado de resultados PyG - 12 m'!U9*K21)</f>
        <v>4270976.6598512502</v>
      </c>
      <c r="L9" s="53"/>
      <c r="M9" s="53"/>
      <c r="N9" s="53"/>
      <c r="O9" s="53"/>
      <c r="P9" s="53"/>
      <c r="Q9" s="53"/>
      <c r="R9" s="53"/>
    </row>
    <row r="10" spans="1:18" ht="12.75">
      <c r="A10" s="50" t="s">
        <v>96</v>
      </c>
      <c r="B10" s="47">
        <f t="shared" si="1"/>
        <v>5.684759454948298E-3</v>
      </c>
      <c r="C10" s="49">
        <f>'Estado de resultados PyG - 12 m'!$U$10</f>
        <v>4285000.0315130446</v>
      </c>
      <c r="D10" s="51">
        <f t="shared" si="5"/>
        <v>2.3293182624344504E-3</v>
      </c>
      <c r="E10" s="49">
        <f>('Estado de resultados PyG - 12 m'!$U$10)+('Estado de resultados PyG - 12 m'!$U$10*E21)</f>
        <v>4542100.0334038269</v>
      </c>
      <c r="F10" s="51">
        <f t="shared" si="2"/>
        <v>1.2358412497613792E-3</v>
      </c>
      <c r="G10" s="49">
        <f>('Estado de resultados PyG - 12 m'!$U$10)+('Estado de resultados PyG - 12 m'!$U$10*G21)</f>
        <v>4563525.0335613927</v>
      </c>
      <c r="H10" s="51">
        <f t="shared" si="3"/>
        <v>1.1793537560014925E-3</v>
      </c>
      <c r="I10" s="49">
        <f>('Estado de resultados PyG - 12 m'!$U$10)+('Estado de resultados PyG - 12 m'!$U$10*I21)</f>
        <v>4584950.0337189576</v>
      </c>
      <c r="J10" s="51">
        <f t="shared" si="4"/>
        <v>1.178049276063188E-3</v>
      </c>
      <c r="K10" s="52">
        <f>('Estado de resultados PyG - 12 m'!$U$10)+('Estado de resultados PyG - 12 m'!$U$10*K21)</f>
        <v>4593520.0337819839</v>
      </c>
      <c r="L10" s="53"/>
      <c r="M10" s="53"/>
      <c r="N10" s="53"/>
      <c r="O10" s="53"/>
      <c r="P10" s="53"/>
      <c r="Q10" s="53"/>
      <c r="R10" s="53"/>
    </row>
    <row r="11" spans="1:18" ht="12.75">
      <c r="A11" s="30" t="s">
        <v>99</v>
      </c>
      <c r="B11" s="32">
        <f t="shared" si="1"/>
        <v>0.86381328666709178</v>
      </c>
      <c r="C11" s="35">
        <f>C8-C9-C10</f>
        <v>651116373.51127613</v>
      </c>
      <c r="D11" s="36">
        <f t="shared" si="5"/>
        <v>0.94421931890888722</v>
      </c>
      <c r="E11" s="35">
        <f>E8-E9-E10</f>
        <v>1841199062.026967</v>
      </c>
      <c r="F11" s="36">
        <f t="shared" si="2"/>
        <v>0.97040594026303606</v>
      </c>
      <c r="G11" s="35">
        <f>G8-G9-G10</f>
        <v>3583366230.8667169</v>
      </c>
      <c r="H11" s="36">
        <f t="shared" si="3"/>
        <v>0.97175946278275926</v>
      </c>
      <c r="I11" s="35">
        <f>I8-I9-I10</f>
        <v>3777889847.7064667</v>
      </c>
      <c r="J11" s="36">
        <f t="shared" si="4"/>
        <v>0.97179103511687503</v>
      </c>
      <c r="K11" s="37">
        <f>K8-K9-K10</f>
        <v>3789265592.8423667</v>
      </c>
      <c r="L11" s="56"/>
      <c r="M11" s="56"/>
      <c r="N11" s="56"/>
      <c r="O11" s="56"/>
      <c r="P11" s="45"/>
      <c r="Q11" s="45"/>
      <c r="R11" s="45"/>
    </row>
    <row r="12" spans="1:18" ht="12.75">
      <c r="A12" s="57" t="s">
        <v>100</v>
      </c>
      <c r="B12" s="47">
        <f t="shared" si="1"/>
        <v>0</v>
      </c>
      <c r="C12" s="49">
        <v>0</v>
      </c>
      <c r="D12" s="51">
        <f t="shared" si="5"/>
        <v>0</v>
      </c>
      <c r="E12" s="49">
        <v>0</v>
      </c>
      <c r="F12" s="51">
        <f t="shared" si="2"/>
        <v>0</v>
      </c>
      <c r="G12" s="49">
        <v>0</v>
      </c>
      <c r="H12" s="51">
        <f t="shared" si="3"/>
        <v>0</v>
      </c>
      <c r="I12" s="49">
        <v>0</v>
      </c>
      <c r="J12" s="51">
        <f t="shared" si="4"/>
        <v>0</v>
      </c>
      <c r="K12" s="52">
        <v>0</v>
      </c>
      <c r="L12" s="53"/>
      <c r="M12" s="53"/>
      <c r="N12" s="53"/>
      <c r="O12" s="53"/>
      <c r="P12" s="53"/>
      <c r="Q12" s="53"/>
      <c r="R12" s="53"/>
    </row>
    <row r="13" spans="1:18" ht="12.75">
      <c r="A13" s="50" t="s">
        <v>101</v>
      </c>
      <c r="B13" s="47">
        <f t="shared" si="1"/>
        <v>0</v>
      </c>
      <c r="C13" s="49">
        <f>'Estado de resultados PyG - 12 m'!U13</f>
        <v>0</v>
      </c>
      <c r="D13" s="51">
        <f t="shared" si="5"/>
        <v>0</v>
      </c>
      <c r="E13" s="49">
        <v>0</v>
      </c>
      <c r="F13" s="51">
        <f t="shared" si="2"/>
        <v>0</v>
      </c>
      <c r="G13" s="49">
        <v>0</v>
      </c>
      <c r="H13" s="51">
        <f t="shared" si="3"/>
        <v>0</v>
      </c>
      <c r="I13" s="49">
        <v>0</v>
      </c>
      <c r="J13" s="51">
        <f t="shared" si="4"/>
        <v>0</v>
      </c>
      <c r="K13" s="52">
        <v>0</v>
      </c>
      <c r="L13" s="53"/>
      <c r="M13" s="53"/>
      <c r="N13" s="53"/>
      <c r="O13" s="53"/>
      <c r="P13" s="53"/>
      <c r="Q13" s="53"/>
      <c r="R13" s="53"/>
    </row>
    <row r="14" spans="1:18" ht="12.75">
      <c r="A14" s="30" t="s">
        <v>102</v>
      </c>
      <c r="B14" s="32">
        <f t="shared" si="1"/>
        <v>0.86381328666709178</v>
      </c>
      <c r="C14" s="35">
        <f>C11+C12-C13</f>
        <v>651116373.51127613</v>
      </c>
      <c r="D14" s="36">
        <f t="shared" si="5"/>
        <v>0.94421931890888722</v>
      </c>
      <c r="E14" s="35">
        <f>E11+E12-E13</f>
        <v>1841199062.026967</v>
      </c>
      <c r="F14" s="36">
        <f t="shared" si="2"/>
        <v>0.97040594026303606</v>
      </c>
      <c r="G14" s="35">
        <f>G11+G12-G13</f>
        <v>3583366230.8667169</v>
      </c>
      <c r="H14" s="36">
        <f t="shared" si="3"/>
        <v>0.97175946278275926</v>
      </c>
      <c r="I14" s="35">
        <f>I11+I12-I13</f>
        <v>3777889847.7064667</v>
      </c>
      <c r="J14" s="36">
        <f t="shared" si="4"/>
        <v>0.97179103511687503</v>
      </c>
      <c r="K14" s="37">
        <f>K11+K12-K13</f>
        <v>3789265592.8423667</v>
      </c>
      <c r="L14" s="56"/>
      <c r="M14" s="56"/>
      <c r="N14" s="56"/>
      <c r="O14" s="56"/>
      <c r="P14" s="45"/>
      <c r="Q14" s="45"/>
      <c r="R14" s="45"/>
    </row>
    <row r="15" spans="1:18" ht="12.75">
      <c r="A15" s="50" t="s">
        <v>103</v>
      </c>
      <c r="B15" s="47">
        <f t="shared" si="1"/>
        <v>0.31628555367450467</v>
      </c>
      <c r="C15" s="49">
        <f>'Estado de resultados PyG - 12 m'!U15</f>
        <v>238406500.43383396</v>
      </c>
      <c r="D15" s="51">
        <f t="shared" si="5"/>
        <v>0.32103456842902162</v>
      </c>
      <c r="E15" s="49">
        <f>IF(E14&gt;0, E14*0.34, 0)</f>
        <v>626007681.08916879</v>
      </c>
      <c r="F15" s="51">
        <f t="shared" si="2"/>
        <v>0.32993801968943226</v>
      </c>
      <c r="G15" s="49">
        <f>IF(G14&gt;0, G14*0.34, 0)</f>
        <v>1218344518.4946837</v>
      </c>
      <c r="H15" s="51">
        <f t="shared" si="3"/>
        <v>0.33039821734613817</v>
      </c>
      <c r="I15" s="49">
        <f>IF(I14&gt;0, I14*0.34, 0)</f>
        <v>1284482548.2201989</v>
      </c>
      <c r="J15" s="51">
        <f t="shared" si="4"/>
        <v>0.33040895193973757</v>
      </c>
      <c r="K15" s="52">
        <f>IF(K14&gt;0, K14*0.34, 0)</f>
        <v>1288350301.5664048</v>
      </c>
      <c r="L15" s="53"/>
      <c r="M15" s="53"/>
      <c r="N15" s="53"/>
      <c r="O15" s="53"/>
      <c r="P15" s="53"/>
      <c r="Q15" s="53"/>
      <c r="R15" s="53"/>
    </row>
    <row r="16" spans="1:18" ht="12.75">
      <c r="A16" s="30" t="s">
        <v>104</v>
      </c>
      <c r="B16" s="32">
        <f t="shared" si="1"/>
        <v>0.54752773299258706</v>
      </c>
      <c r="C16" s="35">
        <f>C14-C15</f>
        <v>412709873.07744217</v>
      </c>
      <c r="D16" s="36">
        <f t="shared" si="5"/>
        <v>0.62318475047986555</v>
      </c>
      <c r="E16" s="35">
        <f>E14-E15</f>
        <v>1215191380.9377983</v>
      </c>
      <c r="F16" s="36">
        <f t="shared" si="2"/>
        <v>0.6404679205736038</v>
      </c>
      <c r="G16" s="35">
        <f>G14-G15</f>
        <v>2365021712.3720331</v>
      </c>
      <c r="H16" s="36">
        <f t="shared" si="3"/>
        <v>0.6413612454366211</v>
      </c>
      <c r="I16" s="35">
        <f>I14-I15</f>
        <v>2493407299.486268</v>
      </c>
      <c r="J16" s="36">
        <f t="shared" si="4"/>
        <v>0.64138208317713752</v>
      </c>
      <c r="K16" s="37">
        <f>K14-K15</f>
        <v>2500915291.2759619</v>
      </c>
      <c r="L16" s="56"/>
      <c r="M16" s="56"/>
      <c r="N16" s="56"/>
      <c r="O16" s="56"/>
      <c r="P16" s="45"/>
      <c r="Q16" s="45"/>
      <c r="R16" s="45"/>
    </row>
    <row r="18" spans="2:18" ht="12.75">
      <c r="B18" s="11"/>
      <c r="C18" s="100" t="s">
        <v>253</v>
      </c>
      <c r="E18" s="62">
        <f>'Tabla Crecimiento'!B10</f>
        <v>80325</v>
      </c>
      <c r="G18" s="62">
        <f>'Tabla Crecimiento'!B11</f>
        <v>152111</v>
      </c>
      <c r="I18" s="62">
        <f>'Tabla Crecimiento'!B12</f>
        <v>160145</v>
      </c>
      <c r="K18" s="62">
        <f>'Tabla Crecimiento'!B13</f>
        <v>160622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8" t="s">
        <v>185</v>
      </c>
      <c r="E19">
        <f>'Estado de resultados PyG - 12 m'!I20</f>
        <v>24276</v>
      </c>
      <c r="L19" s="11" t="s">
        <v>105</v>
      </c>
      <c r="M19" s="11">
        <v>3</v>
      </c>
    </row>
    <row r="20" spans="2:18" ht="12.75">
      <c r="L20" s="11" t="s">
        <v>106</v>
      </c>
      <c r="M20" s="11">
        <v>2860</v>
      </c>
    </row>
    <row r="21" spans="2:18" ht="12.75">
      <c r="C21" s="98" t="s">
        <v>252</v>
      </c>
      <c r="D21">
        <v>5.75</v>
      </c>
      <c r="E21" s="148">
        <v>0.06</v>
      </c>
      <c r="G21" s="149">
        <v>6.5000000000000002E-2</v>
      </c>
      <c r="I21" s="148">
        <v>7.0000000000000007E-2</v>
      </c>
      <c r="K21" s="149">
        <v>7.1999999999999995E-2</v>
      </c>
      <c r="L21" s="11" t="s">
        <v>107</v>
      </c>
      <c r="M21" s="11">
        <v>0.03</v>
      </c>
    </row>
    <row r="25" spans="2:18" ht="15.75" customHeight="1">
      <c r="C25" s="44">
        <f>C5+C6+C9+C10+C13+C15</f>
        <v>340359932.91930419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zoomScale="130" zoomScaleNormal="130" workbookViewId="0">
      <pane xSplit="1" topLeftCell="S1" activePane="topRight" state="frozen"/>
      <selection pane="topRight" activeCell="AC6" sqref="AC6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56" customFormat="1" ht="15.75" customHeight="1">
      <c r="A1" s="159"/>
      <c r="B1" s="209" t="s">
        <v>108</v>
      </c>
      <c r="C1" s="210"/>
      <c r="D1" s="209" t="s">
        <v>59</v>
      </c>
      <c r="E1" s="210"/>
      <c r="F1" s="209" t="s">
        <v>62</v>
      </c>
      <c r="G1" s="210"/>
      <c r="H1" s="209" t="s">
        <v>63</v>
      </c>
      <c r="I1" s="210"/>
      <c r="J1" s="209" t="s">
        <v>64</v>
      </c>
      <c r="K1" s="210"/>
      <c r="L1" s="209" t="s">
        <v>65</v>
      </c>
      <c r="M1" s="210"/>
      <c r="N1" s="209" t="s">
        <v>66</v>
      </c>
      <c r="O1" s="210"/>
      <c r="P1" s="209" t="s">
        <v>67</v>
      </c>
      <c r="Q1" s="210"/>
      <c r="R1" s="209" t="s">
        <v>68</v>
      </c>
      <c r="S1" s="210"/>
      <c r="T1" s="209" t="s">
        <v>69</v>
      </c>
      <c r="U1" s="210"/>
      <c r="V1" s="209" t="s">
        <v>70</v>
      </c>
      <c r="W1" s="210"/>
      <c r="X1" s="209" t="s">
        <v>71</v>
      </c>
      <c r="Y1" s="210"/>
      <c r="Z1" s="209" t="s">
        <v>72</v>
      </c>
      <c r="AA1" s="210"/>
    </row>
    <row r="2" spans="1:29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63">
        <f t="shared" ref="D2:D9" si="1">E2/$E$2</f>
        <v>1</v>
      </c>
      <c r="E2" s="34">
        <f>SUM(E3:E9)</f>
        <v>8139036</v>
      </c>
      <c r="F2" s="63">
        <f t="shared" ref="F2:F9" si="2">G2/$G$2</f>
        <v>1</v>
      </c>
      <c r="G2" s="153">
        <f>SUM(G3:G9)</f>
        <v>8249036</v>
      </c>
      <c r="H2" s="63">
        <f t="shared" ref="H2:H9" si="3">I2/$I$2</f>
        <v>1</v>
      </c>
      <c r="I2" s="153">
        <f>SUM(I3:I9)</f>
        <v>8279036</v>
      </c>
      <c r="J2" s="63">
        <f t="shared" ref="J2:J9" si="4">K2/$K$2</f>
        <v>1</v>
      </c>
      <c r="K2" s="153">
        <f>SUM(K3:K9)</f>
        <v>8179036</v>
      </c>
      <c r="L2" s="33">
        <f t="shared" ref="L2:L9" si="5">M2/$M$2</f>
        <v>1</v>
      </c>
      <c r="M2" s="34">
        <f>SUM(M3:M9)</f>
        <v>8179036</v>
      </c>
      <c r="N2" s="33">
        <f t="shared" ref="N2:N9" si="6">O2/$O$2</f>
        <v>1</v>
      </c>
      <c r="O2" s="34">
        <f>SUM(O3:O9)</f>
        <v>8704036</v>
      </c>
      <c r="P2" s="33">
        <f t="shared" ref="P2:P9" si="7">Q2/$Q$2</f>
        <v>1</v>
      </c>
      <c r="Q2" s="34">
        <f>SUM(Q3:Q9)</f>
        <v>27770837.066666666</v>
      </c>
      <c r="R2" s="33">
        <f t="shared" ref="R2:R9" si="8">S2/$S$2</f>
        <v>1</v>
      </c>
      <c r="S2" s="34">
        <f>SUM(S3:S9)</f>
        <v>33622809.626666665</v>
      </c>
      <c r="T2" s="33">
        <f t="shared" ref="T2:T9" si="9">U2/$U$2</f>
        <v>1</v>
      </c>
      <c r="U2" s="34">
        <f>SUM(U3:U9)</f>
        <v>40993488.74666667</v>
      </c>
      <c r="V2" s="33">
        <f t="shared" ref="V2:V9" si="10">W2/$W$2</f>
        <v>1</v>
      </c>
      <c r="W2" s="34">
        <f>SUM(W3:W9)</f>
        <v>50237789.546666674</v>
      </c>
      <c r="X2" s="33">
        <f t="shared" ref="X2:X9" si="11">Y2/$Y$2</f>
        <v>1</v>
      </c>
      <c r="Y2" s="34">
        <f>SUM(Y3:Y9)</f>
        <v>61801419.38666667</v>
      </c>
      <c r="Z2" s="33">
        <f t="shared" ref="Z2:Z9" si="12">AA2/$AA$2</f>
        <v>1</v>
      </c>
      <c r="AA2" s="38">
        <f>SUM(AA3:AA9)</f>
        <v>76204370.186666667</v>
      </c>
      <c r="AC2" s="152">
        <f t="shared" ref="AC2:AC6" si="13">AA2+Y2+W2+U2+S2+Q2+O2+M2+K2+I2+G2+E2</f>
        <v>340359930.56</v>
      </c>
    </row>
    <row r="3" spans="1:29" ht="15.75" customHeight="1">
      <c r="A3" s="40" t="s">
        <v>81</v>
      </c>
      <c r="B3" s="64">
        <f t="shared" si="0"/>
        <v>0</v>
      </c>
      <c r="C3" s="42">
        <v>0</v>
      </c>
      <c r="D3" s="64">
        <f t="shared" si="1"/>
        <v>0.95173752763840824</v>
      </c>
      <c r="E3" s="43">
        <f>'Salarios, gastos y costos'!$B$11</f>
        <v>7746226</v>
      </c>
      <c r="F3" s="64">
        <f t="shared" si="2"/>
        <v>0.93904621097544005</v>
      </c>
      <c r="G3" s="154">
        <f>'Salarios, gastos y costos'!$B$11</f>
        <v>7746226</v>
      </c>
      <c r="H3" s="64">
        <f t="shared" si="3"/>
        <v>0.93564347346720078</v>
      </c>
      <c r="I3" s="154">
        <f>'Salarios, gastos y costos'!$B$11</f>
        <v>7746226</v>
      </c>
      <c r="J3" s="64">
        <f t="shared" si="4"/>
        <v>0.94708300587012939</v>
      </c>
      <c r="K3" s="154">
        <f>'Salarios, gastos y costos'!$B$11</f>
        <v>7746226</v>
      </c>
      <c r="L3" s="41">
        <f t="shared" si="5"/>
        <v>0.94708300587012939</v>
      </c>
      <c r="M3" s="43">
        <f>'Salarios, gastos y costos'!$B$11</f>
        <v>7746226</v>
      </c>
      <c r="N3" s="41">
        <f t="shared" si="6"/>
        <v>0.88995794594599564</v>
      </c>
      <c r="O3" s="43">
        <f>'Salarios, gastos y costos'!$B$11</f>
        <v>7746226</v>
      </c>
      <c r="P3" s="41">
        <f t="shared" si="7"/>
        <v>0.27893383196928528</v>
      </c>
      <c r="Q3" s="43">
        <f>'Salarios, gastos y costos'!$B$27</f>
        <v>7746226</v>
      </c>
      <c r="R3" s="41">
        <f t="shared" si="8"/>
        <v>0.23038604108374014</v>
      </c>
      <c r="S3" s="43">
        <f>'Salarios, gastos y costos'!$B$27</f>
        <v>7746226</v>
      </c>
      <c r="T3" s="41">
        <f t="shared" si="9"/>
        <v>0.18896235077405735</v>
      </c>
      <c r="U3" s="43">
        <f>'Salarios, gastos y costos'!$B$27</f>
        <v>7746226</v>
      </c>
      <c r="V3" s="41">
        <f t="shared" si="10"/>
        <v>0.15419121879963307</v>
      </c>
      <c r="W3" s="43">
        <f>'Salarios, gastos y costos'!$B$27</f>
        <v>7746226</v>
      </c>
      <c r="X3" s="41">
        <f t="shared" si="11"/>
        <v>0.12534058403311052</v>
      </c>
      <c r="Y3" s="43">
        <f>'Salarios, gastos y costos'!$B$27</f>
        <v>7746226</v>
      </c>
      <c r="Z3" s="41">
        <f t="shared" si="12"/>
        <v>0.10165067936425702</v>
      </c>
      <c r="AA3" s="46">
        <f>'Salarios, gastos y costos'!$B$27</f>
        <v>7746226</v>
      </c>
      <c r="AC3" s="152">
        <f t="shared" si="13"/>
        <v>92954712</v>
      </c>
    </row>
    <row r="4" spans="1:29" ht="15.75" customHeight="1">
      <c r="A4" s="40" t="s">
        <v>83</v>
      </c>
      <c r="B4" s="64">
        <f t="shared" si="0"/>
        <v>0</v>
      </c>
      <c r="C4" s="42">
        <v>0</v>
      </c>
      <c r="D4" s="64">
        <f t="shared" si="1"/>
        <v>4.0792300218355095E-2</v>
      </c>
      <c r="E4" s="43">
        <f>'Salarios, gastos y costos'!$K$11</f>
        <v>332010</v>
      </c>
      <c r="F4" s="64">
        <f t="shared" si="2"/>
        <v>4.02483393211037E-2</v>
      </c>
      <c r="G4" s="154">
        <f>'Salarios, gastos y costos'!$K$11</f>
        <v>332010</v>
      </c>
      <c r="H4" s="64">
        <f t="shared" si="3"/>
        <v>4.010249502478308E-2</v>
      </c>
      <c r="I4" s="154">
        <f>'Salarios, gastos y costos'!$K$11</f>
        <v>332010</v>
      </c>
      <c r="J4" s="64">
        <f t="shared" si="4"/>
        <v>4.0592803357266061E-2</v>
      </c>
      <c r="K4" s="154">
        <f>'Salarios, gastos y costos'!$K$11</f>
        <v>332010</v>
      </c>
      <c r="L4" s="41">
        <f t="shared" si="5"/>
        <v>4.0592803357266061E-2</v>
      </c>
      <c r="M4" s="43">
        <f>'Salarios, gastos y costos'!$K$11</f>
        <v>332010</v>
      </c>
      <c r="N4" s="41">
        <f t="shared" si="6"/>
        <v>3.8144373483749376E-2</v>
      </c>
      <c r="O4" s="43">
        <f>'Salarios, gastos y costos'!$K$11</f>
        <v>332010</v>
      </c>
      <c r="P4" s="41">
        <f t="shared" si="7"/>
        <v>1.1955347230008835E-2</v>
      </c>
      <c r="Q4" s="43">
        <f>'Salarios, gastos y costos'!$K$11</f>
        <v>332010</v>
      </c>
      <c r="R4" s="41">
        <f t="shared" si="8"/>
        <v>9.8745465856808941E-3</v>
      </c>
      <c r="S4" s="43">
        <f>'Salarios, gastos y costos'!$K$11</f>
        <v>332010</v>
      </c>
      <c r="T4" s="41">
        <f t="shared" si="9"/>
        <v>8.0990911032669047E-3</v>
      </c>
      <c r="U4" s="43">
        <f>'Salarios, gastos y costos'!$K$11</f>
        <v>332010</v>
      </c>
      <c r="V4" s="41">
        <f t="shared" si="10"/>
        <v>6.6087700712148308E-3</v>
      </c>
      <c r="W4" s="43">
        <f>'Salarios, gastos y costos'!$K$11</f>
        <v>332010</v>
      </c>
      <c r="X4" s="41">
        <f t="shared" si="11"/>
        <v>5.3722067113498922E-3</v>
      </c>
      <c r="Y4" s="43">
        <f>'Salarios, gastos y costos'!$K$11</f>
        <v>332010</v>
      </c>
      <c r="Z4" s="41">
        <f t="shared" si="12"/>
        <v>4.3568367429154499E-3</v>
      </c>
      <c r="AA4" s="46">
        <f>'Salarios, gastos y costos'!$K$11</f>
        <v>332010</v>
      </c>
      <c r="AC4" s="152">
        <f t="shared" si="13"/>
        <v>3984120</v>
      </c>
    </row>
    <row r="5" spans="1:29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64">
        <f t="shared" si="1"/>
        <v>0</v>
      </c>
      <c r="E5" s="43">
        <f>'Salarios, gastos y costos'!$E$11</f>
        <v>0</v>
      </c>
      <c r="F5" s="64">
        <f t="shared" si="2"/>
        <v>0</v>
      </c>
      <c r="G5" s="154">
        <f>'Salarios, gastos y costos'!$E$11</f>
        <v>0</v>
      </c>
      <c r="H5" s="64">
        <f t="shared" si="3"/>
        <v>0</v>
      </c>
      <c r="I5" s="154">
        <f>'Salarios, gastos y costos'!$E$11</f>
        <v>0</v>
      </c>
      <c r="J5" s="64">
        <f t="shared" si="4"/>
        <v>0</v>
      </c>
      <c r="K5" s="154">
        <f>'Salarios, gastos y costos'!$E$11</f>
        <v>0</v>
      </c>
      <c r="L5" s="41">
        <f t="shared" si="5"/>
        <v>0</v>
      </c>
      <c r="M5" s="43">
        <f>'Salarios, gastos y costos'!$E$11</f>
        <v>0</v>
      </c>
      <c r="N5" s="41">
        <f t="shared" si="6"/>
        <v>0</v>
      </c>
      <c r="O5" s="43">
        <f>'Salarios, gastos y costos'!$E$11</f>
        <v>0</v>
      </c>
      <c r="P5" s="41">
        <f t="shared" si="7"/>
        <v>0</v>
      </c>
      <c r="Q5" s="43">
        <f>'Salarios, gastos y costos'!$E$11</f>
        <v>0</v>
      </c>
      <c r="R5" s="41">
        <f t="shared" si="8"/>
        <v>0</v>
      </c>
      <c r="S5" s="43">
        <f>'Salarios, gastos y costos'!$E$11</f>
        <v>0</v>
      </c>
      <c r="T5" s="41">
        <f t="shared" si="9"/>
        <v>0</v>
      </c>
      <c r="U5" s="43">
        <f>'Salarios, gastos y costos'!$E$11</f>
        <v>0</v>
      </c>
      <c r="V5" s="41">
        <f t="shared" si="10"/>
        <v>0</v>
      </c>
      <c r="W5" s="43">
        <f>'Salarios, gastos y costos'!$E$11</f>
        <v>0</v>
      </c>
      <c r="X5" s="41">
        <f t="shared" si="11"/>
        <v>0</v>
      </c>
      <c r="Y5" s="43">
        <f>'Salarios, gastos y costos'!$E$11</f>
        <v>0</v>
      </c>
      <c r="Z5" s="41">
        <f t="shared" si="12"/>
        <v>0</v>
      </c>
      <c r="AA5" s="46">
        <f>'Salarios, gastos y costos'!$E$11</f>
        <v>0</v>
      </c>
      <c r="AC5" s="152">
        <f t="shared" si="13"/>
        <v>0</v>
      </c>
    </row>
    <row r="6" spans="1:29" ht="15.75" customHeight="1">
      <c r="A6" s="40" t="s">
        <v>255</v>
      </c>
      <c r="B6" s="64">
        <f t="shared" si="0"/>
        <v>0.96826648538409243</v>
      </c>
      <c r="C6" s="42">
        <f>'Presupuesto Inicial'!D23</f>
        <v>3560800</v>
      </c>
      <c r="D6" s="64">
        <f t="shared" si="1"/>
        <v>7.4701721432366194E-3</v>
      </c>
      <c r="E6" s="43">
        <f>'Salarios, gastos y costos'!$H$11</f>
        <v>60800</v>
      </c>
      <c r="F6" s="64">
        <f t="shared" si="2"/>
        <v>7.3705582082560922E-3</v>
      </c>
      <c r="G6" s="154">
        <f>'Salarios, gastos y costos'!$H$11</f>
        <v>60800</v>
      </c>
      <c r="H6" s="64">
        <f t="shared" si="3"/>
        <v>7.3438501777260056E-3</v>
      </c>
      <c r="I6" s="154">
        <f>'Salarios, gastos y costos'!$H$11</f>
        <v>60800</v>
      </c>
      <c r="J6" s="64">
        <f t="shared" si="4"/>
        <v>7.4336388787138242E-3</v>
      </c>
      <c r="K6" s="154">
        <f>'Salarios, gastos y costos'!$H$11</f>
        <v>60800</v>
      </c>
      <c r="L6" s="41">
        <f t="shared" si="5"/>
        <v>7.4336388787138242E-3</v>
      </c>
      <c r="M6" s="43">
        <f>'Salarios, gastos y costos'!$H$11</f>
        <v>60800</v>
      </c>
      <c r="N6" s="41">
        <f t="shared" si="6"/>
        <v>6.9852652263846333E-3</v>
      </c>
      <c r="O6" s="43">
        <f>'Salarios, gastos y costos'!$H$11</f>
        <v>60800</v>
      </c>
      <c r="P6" s="41">
        <f t="shared" si="7"/>
        <v>2.1893470425123854E-3</v>
      </c>
      <c r="Q6" s="43">
        <f>'Salarios, gastos y costos'!$H$11</f>
        <v>60800</v>
      </c>
      <c r="R6" s="41">
        <f t="shared" si="8"/>
        <v>1.808296233274294E-3</v>
      </c>
      <c r="S6" s="43">
        <f>'Salarios, gastos y costos'!$H$11</f>
        <v>60800</v>
      </c>
      <c r="T6" s="41">
        <f t="shared" si="9"/>
        <v>1.4831623718521364E-3</v>
      </c>
      <c r="U6" s="43">
        <f>'Salarios, gastos y costos'!$H$11</f>
        <v>60800</v>
      </c>
      <c r="V6" s="41">
        <f t="shared" si="10"/>
        <v>1.21024433098359E-3</v>
      </c>
      <c r="W6" s="43">
        <f>'Salarios, gastos y costos'!$H$11</f>
        <v>60800</v>
      </c>
      <c r="X6" s="41">
        <f t="shared" si="11"/>
        <v>9.8379617496483071E-4</v>
      </c>
      <c r="Y6" s="43">
        <f>'Salarios, gastos y costos'!$H$11</f>
        <v>60800</v>
      </c>
      <c r="Z6" s="41">
        <f t="shared" si="12"/>
        <v>7.9785450428980856E-4</v>
      </c>
      <c r="AA6" s="46">
        <f>'Salarios, gastos y costos'!$H$11</f>
        <v>60800</v>
      </c>
      <c r="AC6" s="152">
        <f t="shared" si="13"/>
        <v>729600</v>
      </c>
    </row>
    <row r="7" spans="1:29" ht="15.75" customHeight="1">
      <c r="A7" s="40" t="s">
        <v>254</v>
      </c>
      <c r="B7" s="64">
        <f>C7/$C$2</f>
        <v>0</v>
      </c>
      <c r="C7" s="42">
        <v>0</v>
      </c>
      <c r="D7" s="64">
        <f>E7/$C$2</f>
        <v>0</v>
      </c>
      <c r="E7" s="92">
        <v>0</v>
      </c>
      <c r="F7" s="64">
        <f>G7/$C$2</f>
        <v>2.9911624745071381E-2</v>
      </c>
      <c r="G7" s="154">
        <f>'Salarios, gastos y costos'!G37</f>
        <v>110000</v>
      </c>
      <c r="H7" s="64">
        <f>I7/$C$2</f>
        <v>3.8069340584636305E-2</v>
      </c>
      <c r="I7" s="154">
        <f>'Salarios, gastos y costos'!G38</f>
        <v>140000</v>
      </c>
      <c r="J7" s="64">
        <f>K7/$C$2</f>
        <v>1.0876954452753228E-2</v>
      </c>
      <c r="K7" s="154">
        <f>'Salarios, gastos y costos'!G39</f>
        <v>40000</v>
      </c>
      <c r="L7" s="64">
        <f>M7/$C$2</f>
        <v>1.0876954452753228E-2</v>
      </c>
      <c r="M7" s="92">
        <f>'Salarios, gastos y costos'!G40</f>
        <v>40000</v>
      </c>
      <c r="N7" s="64">
        <f>O7/$C$2</f>
        <v>0.15363698164513936</v>
      </c>
      <c r="O7" s="92">
        <f>'Salarios, gastos y costos'!$F$41+'Salarios, gastos y costos'!$F$42</f>
        <v>565000</v>
      </c>
      <c r="P7" s="64">
        <f>Q7/$C$2</f>
        <v>0.15363698164513936</v>
      </c>
      <c r="Q7" s="92">
        <f>'Salarios, gastos y costos'!$F$41+'Salarios, gastos y costos'!$F$42</f>
        <v>565000</v>
      </c>
      <c r="R7" s="64">
        <f>S7/$C$2</f>
        <v>0.15363698164513936</v>
      </c>
      <c r="S7" s="92">
        <f>'Salarios, gastos y costos'!$F$41+'Salarios, gastos y costos'!$F$42</f>
        <v>565000</v>
      </c>
      <c r="T7" s="64">
        <f>U7/$C$2</f>
        <v>0.15363698164513936</v>
      </c>
      <c r="U7" s="92">
        <f>'Salarios, gastos y costos'!$F$41+'Salarios, gastos y costos'!$F$42</f>
        <v>565000</v>
      </c>
      <c r="V7" s="64">
        <f>W7/$C$2</f>
        <v>0.15363698164513936</v>
      </c>
      <c r="W7" s="92">
        <f>'Salarios, gastos y costos'!$F$41+'Salarios, gastos y costos'!$F$42</f>
        <v>565000</v>
      </c>
      <c r="X7" s="64">
        <f>Y7/$C$2</f>
        <v>0.15363698164513936</v>
      </c>
      <c r="Y7" s="92">
        <f>'Salarios, gastos y costos'!$F$41+'Salarios, gastos y costos'!$F$42</f>
        <v>565000</v>
      </c>
      <c r="Z7" s="64">
        <f>AA7/$C$2</f>
        <v>0.15363698164513936</v>
      </c>
      <c r="AA7" s="94">
        <f>'Salarios, gastos y costos'!$F$41+'Salarios, gastos y costos'!$F$42</f>
        <v>565000</v>
      </c>
      <c r="AC7" s="152">
        <f>AA7+Y7+W7+U7+S7+Q7+O7+M7+K7+I7+G7+E7</f>
        <v>4285000</v>
      </c>
    </row>
    <row r="8" spans="1:29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64">
        <f t="shared" si="1"/>
        <v>0</v>
      </c>
      <c r="E8" s="42">
        <v>0</v>
      </c>
      <c r="F8" s="64">
        <f t="shared" si="2"/>
        <v>0</v>
      </c>
      <c r="G8" s="155">
        <v>0</v>
      </c>
      <c r="H8" s="64">
        <f t="shared" si="3"/>
        <v>0</v>
      </c>
      <c r="I8" s="155">
        <v>0</v>
      </c>
      <c r="J8" s="64">
        <f t="shared" si="4"/>
        <v>0</v>
      </c>
      <c r="K8" s="155">
        <v>0</v>
      </c>
      <c r="L8" s="41">
        <f t="shared" si="5"/>
        <v>0</v>
      </c>
      <c r="M8" s="42">
        <v>0</v>
      </c>
      <c r="N8" s="41">
        <f t="shared" si="6"/>
        <v>0</v>
      </c>
      <c r="O8" s="42">
        <v>0</v>
      </c>
      <c r="P8" s="41">
        <f t="shared" si="7"/>
        <v>0</v>
      </c>
      <c r="Q8" s="42">
        <v>0</v>
      </c>
      <c r="R8" s="41">
        <f t="shared" si="8"/>
        <v>0</v>
      </c>
      <c r="S8" s="42">
        <v>0</v>
      </c>
      <c r="T8" s="41">
        <f t="shared" si="9"/>
        <v>0</v>
      </c>
      <c r="U8" s="42">
        <v>0</v>
      </c>
      <c r="V8" s="41">
        <f t="shared" si="10"/>
        <v>0</v>
      </c>
      <c r="W8" s="42">
        <v>0</v>
      </c>
      <c r="X8" s="41">
        <f t="shared" si="11"/>
        <v>0</v>
      </c>
      <c r="Y8" s="42">
        <v>0</v>
      </c>
      <c r="Z8" s="41">
        <f t="shared" si="12"/>
        <v>0</v>
      </c>
      <c r="AA8" s="54">
        <v>0</v>
      </c>
      <c r="AC8" s="152">
        <f t="shared" ref="AC8:AC13" si="14">AA8+Y8+W8+U8+S8+Q8+O8+M8+K8+I8+G8+E8</f>
        <v>0</v>
      </c>
    </row>
    <row r="9" spans="1:29" ht="15.75" customHeight="1">
      <c r="A9" s="40" t="s">
        <v>91</v>
      </c>
      <c r="B9" s="64">
        <f t="shared" si="0"/>
        <v>0</v>
      </c>
      <c r="C9" s="42">
        <v>0</v>
      </c>
      <c r="D9" s="64">
        <f t="shared" si="1"/>
        <v>0</v>
      </c>
      <c r="E9" s="42">
        <v>0</v>
      </c>
      <c r="F9" s="64">
        <f t="shared" si="2"/>
        <v>0</v>
      </c>
      <c r="G9" s="155">
        <v>0</v>
      </c>
      <c r="H9" s="64">
        <f t="shared" si="3"/>
        <v>0</v>
      </c>
      <c r="I9" s="155">
        <v>0</v>
      </c>
      <c r="J9" s="64">
        <f t="shared" si="4"/>
        <v>0</v>
      </c>
      <c r="K9" s="155">
        <v>0</v>
      </c>
      <c r="L9" s="41">
        <f t="shared" si="5"/>
        <v>0</v>
      </c>
      <c r="M9" s="42">
        <v>0</v>
      </c>
      <c r="N9" s="41">
        <f t="shared" si="6"/>
        <v>0</v>
      </c>
      <c r="O9" s="42">
        <v>0</v>
      </c>
      <c r="P9" s="41">
        <f t="shared" si="7"/>
        <v>0.68657639022168859</v>
      </c>
      <c r="Q9" s="42">
        <f>'Estado de resultados PyG - 12 m'!I15</f>
        <v>19066801.066666666</v>
      </c>
      <c r="R9" s="41">
        <f t="shared" si="8"/>
        <v>0.74112704748217362</v>
      </c>
      <c r="S9" s="42">
        <f>'Estado de resultados PyG - 12 m'!K15</f>
        <v>24918773.626666669</v>
      </c>
      <c r="T9" s="41">
        <f t="shared" si="9"/>
        <v>0.78767271910450032</v>
      </c>
      <c r="U9" s="42">
        <f>'Estado de resultados PyG - 12 m'!M15</f>
        <v>32289452.74666667</v>
      </c>
      <c r="V9" s="41">
        <f t="shared" si="10"/>
        <v>0.82674325286715322</v>
      </c>
      <c r="W9" s="42">
        <f>'Estado de resultados PyG - 12 m'!O15</f>
        <v>41533753.546666674</v>
      </c>
      <c r="X9" s="41">
        <f t="shared" si="11"/>
        <v>0.85916122823098384</v>
      </c>
      <c r="Y9" s="42">
        <f>'Estado de resultados PyG - 12 m'!Q15</f>
        <v>53097383.38666667</v>
      </c>
      <c r="Z9" s="41">
        <f t="shared" si="12"/>
        <v>0.88578035644571307</v>
      </c>
      <c r="AA9" s="54">
        <f>'Estado de resultados PyG - 12 m'!S15</f>
        <v>67500334.186666667</v>
      </c>
      <c r="AC9" s="152">
        <f t="shared" si="14"/>
        <v>238406498.56</v>
      </c>
    </row>
    <row r="10" spans="1:29" ht="15.75" customHeight="1">
      <c r="A10" s="31" t="s">
        <v>93</v>
      </c>
      <c r="B10" s="63">
        <f>C10/$C$10</f>
        <v>1</v>
      </c>
      <c r="C10" s="34">
        <f>SUM(C11:C12)</f>
        <v>62190000</v>
      </c>
      <c r="D10" s="63">
        <v>0</v>
      </c>
      <c r="E10" s="34">
        <f>SUM(E11:E12)</f>
        <v>0</v>
      </c>
      <c r="F10" s="63">
        <v>0</v>
      </c>
      <c r="G10" s="153">
        <f>SUM(G11:G12)</f>
        <v>0</v>
      </c>
      <c r="H10" s="63">
        <v>0</v>
      </c>
      <c r="I10" s="153">
        <f>SUM(I11:I12)</f>
        <v>0</v>
      </c>
      <c r="J10" s="63">
        <v>0</v>
      </c>
      <c r="K10" s="153">
        <f>SUM(K11:K12)</f>
        <v>0</v>
      </c>
      <c r="L10" s="33">
        <v>0</v>
      </c>
      <c r="M10" s="34">
        <f>SUM(M11:M12)</f>
        <v>0</v>
      </c>
      <c r="N10" s="33">
        <v>0</v>
      </c>
      <c r="O10" s="34">
        <f>SUM(O11:O12)</f>
        <v>0</v>
      </c>
      <c r="P10" s="33">
        <f>Q10/$Q$10</f>
        <v>1</v>
      </c>
      <c r="Q10" s="34">
        <f>SUM(Q11:Q12)</f>
        <v>64841196</v>
      </c>
      <c r="R10" s="33">
        <f>S10/$S$10</f>
        <v>1</v>
      </c>
      <c r="S10" s="34">
        <f>SUM(S11:S12)</f>
        <v>82052880</v>
      </c>
      <c r="T10" s="33">
        <f>U10/$U$10</f>
        <v>1</v>
      </c>
      <c r="U10" s="34">
        <f>SUM(U11:U12)</f>
        <v>103731348</v>
      </c>
      <c r="V10" s="33">
        <f>W10/$W$10</f>
        <v>1</v>
      </c>
      <c r="W10" s="34">
        <f>SUM(W11:W12)</f>
        <v>130920468</v>
      </c>
      <c r="X10" s="33">
        <f>Y10/$Y$10</f>
        <v>1</v>
      </c>
      <c r="Y10" s="34">
        <f>SUM(Y11:Y12)</f>
        <v>164931144</v>
      </c>
      <c r="Z10" s="33">
        <f>AA10/$AA$10</f>
        <v>1</v>
      </c>
      <c r="AA10" s="38">
        <f>SUM(AA11:AA12)</f>
        <v>207292764</v>
      </c>
      <c r="AC10" s="152">
        <f t="shared" si="14"/>
        <v>753769800</v>
      </c>
    </row>
    <row r="11" spans="1:29" ht="15.75" customHeight="1">
      <c r="A11" s="40" t="s">
        <v>95</v>
      </c>
      <c r="B11" s="64">
        <f>C11/$C$10</f>
        <v>0</v>
      </c>
      <c r="C11" s="42">
        <v>0</v>
      </c>
      <c r="D11" s="64">
        <v>0</v>
      </c>
      <c r="E11" s="42">
        <v>0</v>
      </c>
      <c r="F11" s="64">
        <v>0</v>
      </c>
      <c r="G11" s="155">
        <v>0</v>
      </c>
      <c r="H11" s="64">
        <v>0</v>
      </c>
      <c r="I11" s="155">
        <v>0</v>
      </c>
      <c r="J11" s="64">
        <v>0</v>
      </c>
      <c r="K11" s="155">
        <v>0</v>
      </c>
      <c r="L11" s="41">
        <v>0</v>
      </c>
      <c r="M11" s="42">
        <v>0</v>
      </c>
      <c r="N11" s="41">
        <v>0</v>
      </c>
      <c r="O11" s="42">
        <v>0</v>
      </c>
      <c r="P11" s="41">
        <f>Q11/$Q$10</f>
        <v>1</v>
      </c>
      <c r="Q11" s="43">
        <f>'Estado de resultados PyG - 12 m'!I3</f>
        <v>64841196</v>
      </c>
      <c r="R11" s="41">
        <f>S11/$S$10</f>
        <v>1</v>
      </c>
      <c r="S11" s="43">
        <f>'Estado de resultados PyG - 12 m'!K3</f>
        <v>82052880</v>
      </c>
      <c r="T11" s="41">
        <f>U11/$U$10</f>
        <v>1</v>
      </c>
      <c r="U11" s="43">
        <f>'Estado de resultados PyG - 12 m'!M3</f>
        <v>103731348</v>
      </c>
      <c r="V11" s="41">
        <f>W11/$W$10</f>
        <v>1</v>
      </c>
      <c r="W11" s="43">
        <f>'Estado de resultados PyG - 12 m'!O3</f>
        <v>130920468</v>
      </c>
      <c r="X11" s="41">
        <f>Y11/$Y$10</f>
        <v>1</v>
      </c>
      <c r="Y11" s="43">
        <f>'Estado de resultados PyG - 12 m'!Q3</f>
        <v>164931144</v>
      </c>
      <c r="Z11" s="41">
        <f>AA11/$AA$10</f>
        <v>1</v>
      </c>
      <c r="AA11" s="46">
        <f>'Estado de resultados PyG - 12 m'!S3</f>
        <v>207292764</v>
      </c>
      <c r="AC11" s="152">
        <f t="shared" si="14"/>
        <v>753769800</v>
      </c>
    </row>
    <row r="12" spans="1:29" ht="15.75" customHeight="1">
      <c r="A12" s="40" t="s">
        <v>97</v>
      </c>
      <c r="B12" s="64">
        <f>C12/$C$10</f>
        <v>1</v>
      </c>
      <c r="C12" s="42">
        <v>62190000</v>
      </c>
      <c r="D12" s="79">
        <v>0</v>
      </c>
      <c r="E12" s="42">
        <v>0</v>
      </c>
      <c r="F12" s="64">
        <v>0</v>
      </c>
      <c r="G12" s="155">
        <v>0</v>
      </c>
      <c r="H12" s="64">
        <v>0</v>
      </c>
      <c r="I12" s="155">
        <v>0</v>
      </c>
      <c r="J12" s="64">
        <v>0</v>
      </c>
      <c r="K12" s="155">
        <v>0</v>
      </c>
      <c r="L12" s="41">
        <v>0</v>
      </c>
      <c r="M12" s="42">
        <v>0</v>
      </c>
      <c r="N12" s="41">
        <v>0</v>
      </c>
      <c r="O12" s="42">
        <v>0</v>
      </c>
      <c r="P12" s="41">
        <v>0</v>
      </c>
      <c r="Q12" s="42">
        <v>0</v>
      </c>
      <c r="R12" s="41">
        <v>0</v>
      </c>
      <c r="S12" s="42">
        <v>0</v>
      </c>
      <c r="T12" s="41">
        <v>0</v>
      </c>
      <c r="U12" s="42">
        <v>0</v>
      </c>
      <c r="V12" s="41">
        <v>0</v>
      </c>
      <c r="W12" s="42">
        <v>0</v>
      </c>
      <c r="X12" s="41">
        <v>0</v>
      </c>
      <c r="Y12" s="42">
        <v>0</v>
      </c>
      <c r="Z12" s="41">
        <v>0</v>
      </c>
      <c r="AA12" s="54">
        <v>0</v>
      </c>
      <c r="AC12" s="152">
        <f t="shared" si="14"/>
        <v>0</v>
      </c>
    </row>
    <row r="13" spans="1:29" s="156" customFormat="1" ht="15.75" customHeight="1">
      <c r="A13" s="156" t="s">
        <v>98</v>
      </c>
      <c r="B13" s="157"/>
      <c r="C13" s="157">
        <f>C10-C2</f>
        <v>58512500</v>
      </c>
      <c r="D13" s="157"/>
      <c r="E13" s="157">
        <f>C13-E2+E10</f>
        <v>50373464</v>
      </c>
      <c r="F13" s="157"/>
      <c r="G13" s="158">
        <f>E13-G2+G10</f>
        <v>42124428</v>
      </c>
      <c r="H13" s="157"/>
      <c r="I13" s="158">
        <f>G13-I2+I10</f>
        <v>33845392</v>
      </c>
      <c r="J13" s="157"/>
      <c r="K13" s="158">
        <f>I13-K2+K10</f>
        <v>25666356</v>
      </c>
      <c r="L13" s="157"/>
      <c r="M13" s="157">
        <f>K13-M2+M10</f>
        <v>17487320</v>
      </c>
      <c r="N13" s="157"/>
      <c r="O13" s="157">
        <f>M13-O2+O10</f>
        <v>8783284</v>
      </c>
      <c r="P13" s="157"/>
      <c r="Q13" s="157">
        <f>O13-Q2+Q10</f>
        <v>45853642.933333337</v>
      </c>
      <c r="R13" s="157"/>
      <c r="S13" s="157">
        <f>Q13-S2+S10</f>
        <v>94283713.306666672</v>
      </c>
      <c r="T13" s="157"/>
      <c r="U13" s="157">
        <f>S13-U2+U10</f>
        <v>157021572.56</v>
      </c>
      <c r="V13" s="157"/>
      <c r="W13" s="157">
        <f>U13-W2+W10</f>
        <v>237704251.01333332</v>
      </c>
      <c r="X13" s="157"/>
      <c r="Y13" s="157">
        <f>W13-Y2+Y10</f>
        <v>340833975.62666667</v>
      </c>
      <c r="Z13" s="157"/>
      <c r="AA13" s="157">
        <f>Y13-AA2+AA10</f>
        <v>471922369.44</v>
      </c>
      <c r="AC13" s="158">
        <f t="shared" si="14"/>
        <v>1525899768.8799999</v>
      </c>
    </row>
    <row r="16" spans="1:29" ht="15.75" customHeight="1">
      <c r="C16" s="98" t="s">
        <v>256</v>
      </c>
    </row>
  </sheetData>
  <mergeCells count="13">
    <mergeCell ref="X1:Y1"/>
    <mergeCell ref="Z1:AA1"/>
    <mergeCell ref="R1:S1"/>
    <mergeCell ref="P1:Q1"/>
    <mergeCell ref="V1:W1"/>
    <mergeCell ref="T1:U1"/>
    <mergeCell ref="N1:O1"/>
    <mergeCell ref="J1:K1"/>
    <mergeCell ref="H1:I1"/>
    <mergeCell ref="D1:E1"/>
    <mergeCell ref="B1:C1"/>
    <mergeCell ref="F1:G1"/>
    <mergeCell ref="L1:M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60" zoomScaleNormal="160" workbookViewId="0">
      <pane xSplit="1" topLeftCell="B1" activePane="topRight" state="frozen"/>
      <selection pane="topRight" activeCell="E4" sqref="E4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7"/>
      <c r="B1" s="211" t="s">
        <v>77</v>
      </c>
      <c r="C1" s="179"/>
      <c r="D1" s="211" t="s">
        <v>74</v>
      </c>
      <c r="E1" s="179"/>
      <c r="F1" s="211" t="s">
        <v>75</v>
      </c>
      <c r="G1" s="179"/>
      <c r="H1" s="211" t="s">
        <v>76</v>
      </c>
      <c r="I1" s="179"/>
      <c r="J1" s="211" t="s">
        <v>78</v>
      </c>
      <c r="K1" s="179"/>
      <c r="L1" s="211" t="s">
        <v>79</v>
      </c>
      <c r="M1" s="179"/>
      <c r="N1" s="29"/>
      <c r="O1" s="29"/>
      <c r="P1" s="29"/>
      <c r="Q1" s="29"/>
      <c r="R1" s="29"/>
      <c r="S1" s="29"/>
      <c r="T1" s="29"/>
    </row>
    <row r="2" spans="1:20" ht="15.75" customHeight="1">
      <c r="A2" s="31" t="s">
        <v>80</v>
      </c>
      <c r="B2" s="63">
        <f t="shared" ref="B2:B9" si="0">C2/$C$2</f>
        <v>1</v>
      </c>
      <c r="C2" s="34">
        <f>SUM(C3:C9)</f>
        <v>3677500</v>
      </c>
      <c r="D2" s="33">
        <f t="shared" ref="D2:D9" si="1">E2/$E$2</f>
        <v>1</v>
      </c>
      <c r="E2" s="34">
        <f>SUM(E3:E9)</f>
        <v>340359932.91591305</v>
      </c>
      <c r="F2" s="33">
        <f t="shared" ref="F2:F9" si="2">G2/$G$2</f>
        <v>1</v>
      </c>
      <c r="G2" s="34">
        <f>SUM(G3:G9)</f>
        <v>734078319.06220162</v>
      </c>
      <c r="H2" s="33">
        <f t="shared" ref="H2:H9" si="3">I2/$I$2</f>
        <v>1</v>
      </c>
      <c r="I2" s="34">
        <f>SUM(I3:I9)</f>
        <v>1326921275.6279669</v>
      </c>
      <c r="J2" s="33">
        <f t="shared" ref="J2:J9" si="4">K2/$K$2</f>
        <v>1</v>
      </c>
      <c r="K2" s="34">
        <f>SUM(K3:K9)</f>
        <v>1393565424.513732</v>
      </c>
      <c r="L2" s="33">
        <f t="shared" ref="L2:L9" si="5">M2/$M$2</f>
        <v>1</v>
      </c>
      <c r="M2" s="38">
        <f>SUM(M3:M9)</f>
        <v>1397635625.5240381</v>
      </c>
      <c r="N2" s="39"/>
      <c r="O2" s="39"/>
      <c r="P2" s="39"/>
      <c r="Q2" s="39"/>
      <c r="R2" s="39"/>
      <c r="S2" s="39"/>
      <c r="T2" s="39"/>
    </row>
    <row r="3" spans="1:20" ht="15.75" customHeight="1">
      <c r="A3" s="40" t="s">
        <v>81</v>
      </c>
      <c r="B3" s="64">
        <f t="shared" si="0"/>
        <v>0</v>
      </c>
      <c r="C3" s="42">
        <v>0</v>
      </c>
      <c r="D3" s="41">
        <f t="shared" si="1"/>
        <v>0.27310709470322064</v>
      </c>
      <c r="E3" s="43">
        <f>'Estado de resultados PyG - 5 añ'!C6</f>
        <v>92954712.432048082</v>
      </c>
      <c r="F3" s="41">
        <f t="shared" si="2"/>
        <v>0.13422545273626446</v>
      </c>
      <c r="G3" s="43">
        <f>'Estado de resultados PyG - 5 añ'!E6</f>
        <v>98531994.719999999</v>
      </c>
      <c r="H3" s="41">
        <f t="shared" si="3"/>
        <v>7.4606361431012305E-2</v>
      </c>
      <c r="I3" s="43">
        <f>'Estado de resultados PyG - 5 añ'!G6</f>
        <v>98996768.280000001</v>
      </c>
      <c r="J3" s="41">
        <f t="shared" si="4"/>
        <v>7.1371993083644364E-2</v>
      </c>
      <c r="K3" s="43">
        <f>'Estado de resultados PyG - 5 añ'!I6</f>
        <v>99461541.840000004</v>
      </c>
      <c r="L3" s="41">
        <f t="shared" si="5"/>
        <v>7.1297160321480479E-2</v>
      </c>
      <c r="M3" s="46">
        <f>'Estado de resultados PyG - 5 añ'!K6</f>
        <v>99647451.263999999</v>
      </c>
      <c r="N3" s="48"/>
      <c r="O3" s="48"/>
      <c r="P3" s="48"/>
      <c r="Q3" s="48"/>
      <c r="R3" s="48"/>
      <c r="S3" s="48"/>
      <c r="T3" s="48"/>
    </row>
    <row r="4" spans="1:20" ht="15.75" customHeight="1">
      <c r="A4" s="40" t="s">
        <v>83</v>
      </c>
      <c r="B4" s="64">
        <f t="shared" si="0"/>
        <v>0</v>
      </c>
      <c r="C4" s="42">
        <v>0</v>
      </c>
      <c r="D4" s="41">
        <f t="shared" si="1"/>
        <v>1.1705608190674564E-2</v>
      </c>
      <c r="E4" s="43">
        <f>'Estado de resultados PyG - 5 añ'!C9</f>
        <v>3984120.0185179571</v>
      </c>
      <c r="F4" s="41">
        <f t="shared" si="2"/>
        <v>5.7530199570860604E-3</v>
      </c>
      <c r="G4" s="43">
        <f>'Estado de resultados PyG - 5 añ'!E9</f>
        <v>4223167.2196290344</v>
      </c>
      <c r="H4" s="41">
        <f t="shared" si="3"/>
        <v>3.1976937122464772E-3</v>
      </c>
      <c r="I4" s="43">
        <f>'Estado de resultados PyG - 5 añ'!G9</f>
        <v>4243087.8197216243</v>
      </c>
      <c r="J4" s="41">
        <f t="shared" si="4"/>
        <v>3.0590658643111358E-3</v>
      </c>
      <c r="K4" s="43">
        <f>'Estado de resultados PyG - 5 añ'!I9</f>
        <v>4263008.4198142141</v>
      </c>
      <c r="L4" s="41">
        <f t="shared" si="5"/>
        <v>3.0558584668660431E-3</v>
      </c>
      <c r="M4" s="46">
        <f>'Estado de resultados PyG - 5 añ'!K9</f>
        <v>4270976.6598512502</v>
      </c>
      <c r="N4" s="48"/>
      <c r="O4" s="48"/>
      <c r="P4" s="48"/>
      <c r="Q4" s="48"/>
      <c r="R4" s="48"/>
      <c r="S4" s="48"/>
      <c r="T4" s="48"/>
    </row>
    <row r="5" spans="1:20" ht="15.75" customHeight="1">
      <c r="A5" s="40" t="s">
        <v>85</v>
      </c>
      <c r="B5" s="64">
        <f t="shared" si="0"/>
        <v>0</v>
      </c>
      <c r="C5" s="42">
        <f>'Salarios, gastos y costos'!E11</f>
        <v>0</v>
      </c>
      <c r="D5" s="41">
        <f t="shared" si="1"/>
        <v>0</v>
      </c>
      <c r="E5" s="43">
        <f>('Salarios, gastos y costos'!$E$11)*12</f>
        <v>0</v>
      </c>
      <c r="F5" s="41">
        <f t="shared" si="2"/>
        <v>0</v>
      </c>
      <c r="G5" s="43">
        <f>E5*1.7</f>
        <v>0</v>
      </c>
      <c r="H5" s="41">
        <f t="shared" si="3"/>
        <v>0</v>
      </c>
      <c r="I5" s="43">
        <f>G5*1.7</f>
        <v>0</v>
      </c>
      <c r="J5" s="41">
        <f t="shared" si="4"/>
        <v>0</v>
      </c>
      <c r="K5" s="43">
        <f>I5*1.7</f>
        <v>0</v>
      </c>
      <c r="L5" s="41">
        <f t="shared" si="5"/>
        <v>0</v>
      </c>
      <c r="M5" s="46">
        <f>K5*1.7</f>
        <v>0</v>
      </c>
      <c r="N5" s="48"/>
      <c r="O5" s="48"/>
      <c r="P5" s="48"/>
      <c r="Q5" s="48"/>
      <c r="R5" s="48"/>
      <c r="S5" s="48"/>
      <c r="T5" s="48"/>
    </row>
    <row r="6" spans="1:20" ht="15.75" customHeight="1">
      <c r="A6" s="40" t="s">
        <v>87</v>
      </c>
      <c r="B6" s="64">
        <f t="shared" si="0"/>
        <v>0.96826648538409243</v>
      </c>
      <c r="C6" s="42">
        <f>'Presupuesto Inicial'!D23</f>
        <v>3560800</v>
      </c>
      <c r="D6" s="41">
        <f t="shared" si="1"/>
        <v>2.1436130679349085E-3</v>
      </c>
      <c r="E6" s="43">
        <f>'Flujo de caja - 12 meses'!AC6</f>
        <v>729600</v>
      </c>
      <c r="F6" s="41">
        <f t="shared" si="2"/>
        <v>1.0535333627452747E-3</v>
      </c>
      <c r="G6" s="43">
        <f>'Flujo de caja - 12 meses'!AC6+('Estado de resultados PyG - 5 añ'!E21*'Flujo de caja - 12 meses'!AC6)</f>
        <v>773376</v>
      </c>
      <c r="H6" s="41">
        <f t="shared" si="3"/>
        <v>5.8283487815356566E-4</v>
      </c>
      <c r="I6" s="43">
        <f>'Flujo de caja - 12 meses'!AC6+('Estado de resultados PyG - 5 añ'!E21*'Flujo de caja - 12 meses'!AC6)</f>
        <v>773376</v>
      </c>
      <c r="J6" s="41">
        <f t="shared" si="4"/>
        <v>5.5496210396426872E-4</v>
      </c>
      <c r="K6" s="43">
        <f>'Flujo de caja - 12 meses'!AC6+('Estado de resultados PyG - 5 añ'!E21*'Flujo de caja - 12 meses'!AC6)</f>
        <v>773376</v>
      </c>
      <c r="L6" s="41">
        <f t="shared" si="5"/>
        <v>5.5334594072759533E-4</v>
      </c>
      <c r="M6" s="46">
        <f>'Flujo de caja - 12 meses'!AC6+('Estado de resultados PyG - 5 añ'!E21*'Flujo de caja - 12 meses'!AC6)</f>
        <v>773376</v>
      </c>
      <c r="N6" s="48"/>
      <c r="O6" s="48"/>
      <c r="P6" s="48"/>
      <c r="Q6" s="48"/>
      <c r="R6" s="48"/>
      <c r="S6" s="48"/>
      <c r="T6" s="48"/>
    </row>
    <row r="7" spans="1:20" ht="15.75" customHeight="1">
      <c r="A7" s="40" t="s">
        <v>254</v>
      </c>
      <c r="B7" s="64">
        <f>C7/$C$2</f>
        <v>0</v>
      </c>
      <c r="C7" s="42">
        <v>0</v>
      </c>
      <c r="D7" s="64">
        <f>E7/$C$2</f>
        <v>1.1651937543203383</v>
      </c>
      <c r="E7" s="92">
        <f>'Estado de resultados PyG - 5 añ'!C10</f>
        <v>4285000.0315130446</v>
      </c>
      <c r="F7" s="64">
        <f>G7/$C$2</f>
        <v>1.2351053795795586</v>
      </c>
      <c r="G7" s="92">
        <f>'Estado de resultados PyG - 5 añ'!E10</f>
        <v>4542100.0334038269</v>
      </c>
      <c r="H7" s="64">
        <f>I7/$C$2</f>
        <v>1.2409313483511606</v>
      </c>
      <c r="I7" s="92">
        <f>'Estado de resultados PyG - 5 añ'!G10</f>
        <v>4563525.0335613927</v>
      </c>
      <c r="J7" s="64">
        <f>K7/$C$2</f>
        <v>1.2467573171227622</v>
      </c>
      <c r="K7" s="92">
        <f>'Estado de resultados PyG - 5 añ'!I10</f>
        <v>4584950.0337189576</v>
      </c>
      <c r="L7" s="64">
        <f>M7/$C$2</f>
        <v>1.2490877046314028</v>
      </c>
      <c r="M7" s="94">
        <f>'Estado de resultados PyG - 5 añ'!K10</f>
        <v>4593520.0337819839</v>
      </c>
      <c r="N7" s="48"/>
      <c r="O7" s="48"/>
      <c r="P7" s="48"/>
      <c r="Q7" s="48"/>
      <c r="R7" s="48"/>
      <c r="S7" s="48"/>
      <c r="T7" s="48"/>
    </row>
    <row r="8" spans="1:20" ht="15.75" customHeight="1">
      <c r="A8" s="40" t="s">
        <v>89</v>
      </c>
      <c r="B8" s="64">
        <f>C8/$C$2</f>
        <v>3.1733514615907545E-2</v>
      </c>
      <c r="C8" s="42">
        <f>'Presupuesto Inicial'!B2</f>
        <v>116700</v>
      </c>
      <c r="D8" s="41">
        <f t="shared" si="1"/>
        <v>0</v>
      </c>
      <c r="E8" s="42">
        <v>0</v>
      </c>
      <c r="F8" s="41">
        <f t="shared" si="2"/>
        <v>0</v>
      </c>
      <c r="G8" s="42">
        <v>0</v>
      </c>
      <c r="H8" s="41">
        <f t="shared" si="3"/>
        <v>0</v>
      </c>
      <c r="I8" s="42">
        <v>0</v>
      </c>
      <c r="J8" s="41">
        <f t="shared" si="4"/>
        <v>0</v>
      </c>
      <c r="K8" s="42">
        <v>0</v>
      </c>
      <c r="L8" s="41">
        <f t="shared" si="5"/>
        <v>0</v>
      </c>
      <c r="M8" s="54">
        <v>0</v>
      </c>
      <c r="N8" s="55"/>
      <c r="O8" s="55"/>
      <c r="P8" s="55"/>
      <c r="Q8" s="55"/>
      <c r="R8" s="55"/>
      <c r="S8" s="55"/>
      <c r="T8" s="55"/>
    </row>
    <row r="9" spans="1:20" ht="15.75" customHeight="1">
      <c r="A9" s="40" t="s">
        <v>91</v>
      </c>
      <c r="B9" s="64">
        <f t="shared" si="0"/>
        <v>0</v>
      </c>
      <c r="C9" s="42">
        <v>0</v>
      </c>
      <c r="D9" s="41">
        <f t="shared" si="1"/>
        <v>0.70045407046408426</v>
      </c>
      <c r="E9" s="42">
        <f>'Estado de resultados PyG - 5 añ'!C15</f>
        <v>238406500.43383396</v>
      </c>
      <c r="F9" s="41">
        <f t="shared" si="2"/>
        <v>0.85278050697493013</v>
      </c>
      <c r="G9" s="42">
        <f>'Estado de resultados PyG - 5 añ'!E15</f>
        <v>626007681.08916879</v>
      </c>
      <c r="H9" s="41">
        <f t="shared" si="3"/>
        <v>0.91817392702374223</v>
      </c>
      <c r="I9" s="42">
        <f>'Estado de resultados PyG - 5 añ'!G15</f>
        <v>1218344518.4946837</v>
      </c>
      <c r="J9" s="41">
        <f t="shared" si="4"/>
        <v>0.92172389299081792</v>
      </c>
      <c r="K9" s="42">
        <f>'Estado de resultados PyG - 5 añ'!I15</f>
        <v>1284482548.2201989</v>
      </c>
      <c r="L9" s="41">
        <f t="shared" si="5"/>
        <v>0.9218069989331753</v>
      </c>
      <c r="M9" s="54">
        <f>'Estado de resultados PyG - 5 añ'!K15</f>
        <v>1288350301.5664048</v>
      </c>
      <c r="N9" s="55"/>
      <c r="O9" s="55"/>
      <c r="P9" s="55"/>
      <c r="Q9" s="55"/>
      <c r="R9" s="55"/>
      <c r="S9" s="55"/>
      <c r="T9" s="55"/>
    </row>
    <row r="10" spans="1:20" ht="15.75" customHeight="1">
      <c r="A10" s="31" t="s">
        <v>93</v>
      </c>
      <c r="B10" s="63">
        <f>C10/$C$10</f>
        <v>1</v>
      </c>
      <c r="C10" s="34">
        <f>SUM(C11:C12)</f>
        <v>62190000</v>
      </c>
      <c r="D10" s="33">
        <f>E10/$E$10</f>
        <v>1</v>
      </c>
      <c r="E10" s="34">
        <f>SUM(E11:E12)</f>
        <v>753769806</v>
      </c>
      <c r="F10" s="33">
        <f>G10/$G$10</f>
        <v>1</v>
      </c>
      <c r="G10" s="34">
        <f>SUM(G11:G12)</f>
        <v>1949969700</v>
      </c>
      <c r="H10" s="33">
        <f>I10/$I$10</f>
        <v>1</v>
      </c>
      <c r="I10" s="34">
        <f>SUM(I11:I12)</f>
        <v>3692646636</v>
      </c>
      <c r="J10" s="33">
        <f>K10/$K$10</f>
        <v>1</v>
      </c>
      <c r="K10" s="34">
        <f>SUM(K11:K12)</f>
        <v>3887680020</v>
      </c>
      <c r="L10" s="33">
        <f>M10/$M$10</f>
        <v>1</v>
      </c>
      <c r="M10" s="38">
        <f>SUM(M11:M12)</f>
        <v>3899259672</v>
      </c>
      <c r="N10" s="39"/>
      <c r="O10" s="39"/>
      <c r="P10" s="39"/>
      <c r="Q10" s="39"/>
      <c r="R10" s="39"/>
      <c r="S10" s="39"/>
      <c r="T10" s="39"/>
    </row>
    <row r="11" spans="1:20" ht="15.75" customHeight="1">
      <c r="A11" s="40" t="s">
        <v>95</v>
      </c>
      <c r="B11" s="64">
        <f>C11/$C$10</f>
        <v>0</v>
      </c>
      <c r="C11" s="42">
        <v>0</v>
      </c>
      <c r="D11" s="41">
        <f>E11/$E$10</f>
        <v>1</v>
      </c>
      <c r="E11" s="42">
        <f>'Estado de resultados PyG - 5 añ'!C3</f>
        <v>753769806</v>
      </c>
      <c r="F11" s="41">
        <f>G11/$G$10</f>
        <v>1</v>
      </c>
      <c r="G11" s="42">
        <f>'Estado de resultados PyG - 5 añ'!E3</f>
        <v>1949969700</v>
      </c>
      <c r="H11" s="41">
        <f>I11/$I$10</f>
        <v>1</v>
      </c>
      <c r="I11" s="42">
        <f>'Estado de resultados PyG - 5 añ'!G3</f>
        <v>3692646636</v>
      </c>
      <c r="J11" s="41">
        <f>K11/$K$10</f>
        <v>1</v>
      </c>
      <c r="K11" s="42">
        <f>'Estado de resultados PyG - 5 añ'!I3</f>
        <v>3887680020</v>
      </c>
      <c r="L11" s="41">
        <f>M11/$K$10</f>
        <v>1.0029785506884386</v>
      </c>
      <c r="M11" s="54">
        <f>'Estado de resultados PyG - 5 añ'!K3</f>
        <v>3899259672</v>
      </c>
      <c r="N11" s="55"/>
      <c r="O11" s="48"/>
      <c r="P11" s="48"/>
      <c r="Q11" s="48"/>
      <c r="R11" s="48"/>
      <c r="S11" s="48"/>
      <c r="T11" s="48"/>
    </row>
    <row r="12" spans="1:20" ht="15.75" customHeight="1">
      <c r="A12" s="40" t="s">
        <v>97</v>
      </c>
      <c r="B12" s="64">
        <f>C12/$C$10</f>
        <v>1</v>
      </c>
      <c r="C12" s="42">
        <v>62190000</v>
      </c>
      <c r="D12" s="41">
        <v>0</v>
      </c>
      <c r="E12" s="42">
        <v>0</v>
      </c>
      <c r="F12" s="41">
        <v>0</v>
      </c>
      <c r="G12" s="42">
        <v>0</v>
      </c>
      <c r="H12" s="41">
        <v>0</v>
      </c>
      <c r="I12" s="42">
        <v>0</v>
      </c>
      <c r="J12" s="41">
        <v>0</v>
      </c>
      <c r="K12" s="42">
        <v>0</v>
      </c>
      <c r="L12" s="41">
        <v>0</v>
      </c>
      <c r="M12" s="54">
        <v>0</v>
      </c>
      <c r="N12" s="55"/>
      <c r="O12" s="55"/>
      <c r="P12" s="55"/>
      <c r="Q12" s="55"/>
      <c r="R12" s="55"/>
      <c r="S12" s="55"/>
      <c r="T12" s="55"/>
    </row>
    <row r="13" spans="1:20" ht="15.75" customHeight="1">
      <c r="A13" s="31" t="s">
        <v>98</v>
      </c>
      <c r="B13" s="58"/>
      <c r="C13" s="59">
        <f>C10-C2</f>
        <v>58512500</v>
      </c>
      <c r="D13" s="58"/>
      <c r="E13" s="59">
        <f>C13-E2+E10</f>
        <v>471922373.08408695</v>
      </c>
      <c r="F13" s="58"/>
      <c r="G13" s="59">
        <f>E13-G2+G10</f>
        <v>1687813754.0218854</v>
      </c>
      <c r="H13" s="58"/>
      <c r="I13" s="59">
        <f>G13-I2+I10</f>
        <v>4053539114.3939185</v>
      </c>
      <c r="J13" s="58"/>
      <c r="K13" s="59">
        <f>I13-K2+K10</f>
        <v>6547653709.8801861</v>
      </c>
      <c r="L13" s="58"/>
      <c r="M13" s="60">
        <f>K13-M2+M10</f>
        <v>9049277756.3561478</v>
      </c>
      <c r="N13" s="61"/>
      <c r="O13" s="61"/>
      <c r="P13" s="61"/>
      <c r="Q13" s="61"/>
      <c r="R13" s="61"/>
      <c r="S13" s="61"/>
      <c r="T13" s="61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E1" zoomScale="130" zoomScaleNormal="130" workbookViewId="0">
      <selection activeCell="L19" sqref="L19"/>
    </sheetView>
  </sheetViews>
  <sheetFormatPr baseColWidth="10" defaultColWidth="14.42578125" defaultRowHeight="15.75" customHeight="1"/>
  <cols>
    <col min="1" max="2" width="23.140625" customWidth="1"/>
    <col min="3" max="3" width="9.5703125" customWidth="1"/>
    <col min="4" max="4" width="14.7109375" bestFit="1" customWidth="1"/>
    <col min="5" max="5" width="7.42578125" customWidth="1"/>
    <col min="7" max="7" width="7" customWidth="1"/>
    <col min="9" max="9" width="7.28515625" customWidth="1"/>
    <col min="11" max="11" width="7.42578125" customWidth="1"/>
  </cols>
  <sheetData>
    <row r="1" spans="1:19" ht="12.75">
      <c r="A1" s="26"/>
      <c r="B1" s="26"/>
      <c r="C1" s="205" t="s">
        <v>74</v>
      </c>
      <c r="D1" s="179"/>
      <c r="E1" s="205" t="s">
        <v>75</v>
      </c>
      <c r="F1" s="179"/>
      <c r="G1" s="205" t="s">
        <v>76</v>
      </c>
      <c r="H1" s="179"/>
      <c r="I1" s="205" t="s">
        <v>78</v>
      </c>
      <c r="J1" s="179"/>
      <c r="K1" s="207" t="s">
        <v>79</v>
      </c>
      <c r="L1" s="212"/>
      <c r="M1" s="28"/>
      <c r="N1" s="28"/>
      <c r="O1" s="28"/>
      <c r="P1" s="28"/>
      <c r="Q1" s="28"/>
      <c r="R1" s="28"/>
      <c r="S1" s="28"/>
    </row>
    <row r="2" spans="1:19" ht="12.75">
      <c r="A2" s="30" t="s">
        <v>73</v>
      </c>
      <c r="B2" s="30"/>
      <c r="C2" s="32">
        <v>1</v>
      </c>
      <c r="D2" s="35">
        <f>D3</f>
        <v>753769806</v>
      </c>
      <c r="E2" s="36">
        <v>1</v>
      </c>
      <c r="F2" s="35">
        <f>F3</f>
        <v>1949969700</v>
      </c>
      <c r="G2" s="36">
        <v>1</v>
      </c>
      <c r="H2" s="35">
        <f>H3</f>
        <v>3692646636</v>
      </c>
      <c r="I2" s="36">
        <v>1</v>
      </c>
      <c r="J2" s="35">
        <f>J3</f>
        <v>3887680020</v>
      </c>
      <c r="K2" s="36">
        <v>1</v>
      </c>
      <c r="L2" s="162">
        <f>L3</f>
        <v>3899259672</v>
      </c>
      <c r="M2" s="45"/>
      <c r="N2" s="45"/>
      <c r="O2" s="45"/>
      <c r="P2" s="45"/>
      <c r="Q2" s="45"/>
      <c r="R2" s="45"/>
      <c r="S2" s="45"/>
    </row>
    <row r="3" spans="1:19" ht="15.75" customHeight="1">
      <c r="A3" s="50" t="s">
        <v>82</v>
      </c>
      <c r="B3" s="50"/>
      <c r="C3" s="47">
        <v>1</v>
      </c>
      <c r="D3" s="49">
        <f>'Estado de resultados PyG - 12 m'!U3</f>
        <v>753769806</v>
      </c>
      <c r="E3" s="51">
        <v>1</v>
      </c>
      <c r="F3" s="49">
        <f>F22*$F$23</f>
        <v>1949969700</v>
      </c>
      <c r="G3" s="51">
        <v>1</v>
      </c>
      <c r="H3" s="49">
        <f>H22*$F$23</f>
        <v>3692646636</v>
      </c>
      <c r="I3" s="51">
        <v>1</v>
      </c>
      <c r="J3" s="49">
        <f t="shared" ref="J3:L3" si="0">J22*$F$23</f>
        <v>3887680020</v>
      </c>
      <c r="K3" s="51">
        <v>1</v>
      </c>
      <c r="L3" s="163">
        <f t="shared" si="0"/>
        <v>3899259672</v>
      </c>
      <c r="M3" s="53"/>
      <c r="N3" s="53"/>
      <c r="O3" s="53"/>
      <c r="P3" s="53"/>
      <c r="Q3" s="53"/>
      <c r="R3" s="53"/>
      <c r="S3" s="53"/>
    </row>
    <row r="4" spans="1:19" ht="12.75">
      <c r="A4" s="30" t="s">
        <v>84</v>
      </c>
      <c r="B4" s="30"/>
      <c r="C4" s="32">
        <f t="shared" ref="C4:C19" si="1">(D4)/$D$2</f>
        <v>0.12521636139759726</v>
      </c>
      <c r="D4" s="35">
        <f>SUM(D5:D7)</f>
        <v>94384312.438692778</v>
      </c>
      <c r="E4" s="51">
        <f>(F4)/$F$2</f>
        <v>5.1285602396796214E-2</v>
      </c>
      <c r="F4" s="35">
        <f>SUM(F5:F7)</f>
        <v>100005370.72</v>
      </c>
      <c r="G4" s="36">
        <f t="shared" ref="G4:G19" si="2">(H4)/$H$2</f>
        <v>2.7209154350289151E-2</v>
      </c>
      <c r="H4" s="35">
        <f>SUM(H5:H7)</f>
        <v>100473792.28</v>
      </c>
      <c r="I4" s="36">
        <f t="shared" ref="I4:I19" si="3">(J4)/$J$2</f>
        <v>2.5964640433550908E-2</v>
      </c>
      <c r="J4" s="35">
        <f>SUM(J5:J7)</f>
        <v>100942213.84</v>
      </c>
      <c r="K4" s="36">
        <f t="shared" ref="K4:K19" si="4">(L4)/$L$2</f>
        <v>2.5935585462593422E-2</v>
      </c>
      <c r="L4" s="162">
        <f>SUM(L5:L7)</f>
        <v>101129582.464</v>
      </c>
      <c r="M4" s="45"/>
      <c r="N4" s="45"/>
      <c r="O4" s="45"/>
      <c r="P4" s="45"/>
      <c r="Q4" s="45"/>
      <c r="R4" s="45"/>
      <c r="S4" s="45"/>
    </row>
    <row r="5" spans="1:19" ht="12.75">
      <c r="A5" s="50" t="s">
        <v>86</v>
      </c>
      <c r="B5" s="50"/>
      <c r="C5" s="47">
        <f t="shared" si="1"/>
        <v>9.6793476945286172E-4</v>
      </c>
      <c r="D5" s="49">
        <f>'Estado de resultados PyG - 12 m'!U5</f>
        <v>729600.00339113828</v>
      </c>
      <c r="E5" s="51">
        <f>(F5)/F2</f>
        <v>3.9660923962049258E-4</v>
      </c>
      <c r="F5" s="49">
        <f>('Salarios, gastos y costos'!$H$11*12)+('Salarios, gastos y costos'!$H$11*12*F25)</f>
        <v>773376</v>
      </c>
      <c r="G5" s="51">
        <f t="shared" si="2"/>
        <v>2.1042468359271408E-4</v>
      </c>
      <c r="H5" s="49">
        <f>('Salarios, gastos y costos'!$H$11*12)+('Salarios, gastos y costos'!$H$11*12*H25)</f>
        <v>777024</v>
      </c>
      <c r="I5" s="49">
        <f>(J5)/$J$2</f>
        <v>2.0080664972010737E-4</v>
      </c>
      <c r="J5" s="49">
        <f>('Salarios, gastos y costos'!$H$11*12)+('Salarios, gastos y costos'!$H$11*12*J25)</f>
        <v>780672</v>
      </c>
      <c r="K5" s="49">
        <f>(L5)/$L$2</f>
        <v>2.0058453803842996E-4</v>
      </c>
      <c r="L5" s="49">
        <f>('Salarios, gastos y costos'!$H$11*12)+('Salarios, gastos y costos'!$H$11*12*L25)</f>
        <v>782131.19999999995</v>
      </c>
      <c r="M5" s="53"/>
      <c r="N5" s="53"/>
      <c r="O5" s="53"/>
      <c r="P5" s="53"/>
      <c r="Q5" s="53"/>
      <c r="R5" s="53"/>
      <c r="S5" s="53"/>
    </row>
    <row r="6" spans="1:19" ht="12.75">
      <c r="A6" s="50" t="s">
        <v>88</v>
      </c>
      <c r="B6" s="50"/>
      <c r="C6" s="47">
        <f t="shared" si="1"/>
        <v>0.12331976114210136</v>
      </c>
      <c r="D6" s="49">
        <f>'Estado de resultados PyG - 12 m'!U6</f>
        <v>92954712.432048082</v>
      </c>
      <c r="E6" s="51">
        <f t="shared" ref="E6:E19" si="5">F6/$F$2</f>
        <v>5.0530013220205422E-2</v>
      </c>
      <c r="F6" s="49">
        <f>('Salarios, gastos y costos'!$B$27)*12+(('Salarios, gastos y costos'!B11*12)*F25)</f>
        <v>98531994.719999999</v>
      </c>
      <c r="G6" s="51">
        <f t="shared" si="2"/>
        <v>2.680916373499433E-2</v>
      </c>
      <c r="H6" s="49">
        <f>('Salarios, gastos y costos'!$B$27)*12+(('Salarios, gastos y costos'!B11*12)*H25)</f>
        <v>98996768.280000001</v>
      </c>
      <c r="I6" s="51">
        <f t="shared" si="3"/>
        <v>2.5583777813072178E-2</v>
      </c>
      <c r="J6" s="49">
        <f>('Salarios, gastos y costos'!$B$27)*12+(('Salarios, gastos y costos'!B11*12)*J25)</f>
        <v>99461541.840000004</v>
      </c>
      <c r="K6" s="51">
        <f t="shared" si="4"/>
        <v>2.5555479666961766E-2</v>
      </c>
      <c r="L6" s="163">
        <f>('Salarios, gastos y costos'!$B$27)*12+(('Salarios, gastos y costos'!B11*12)*L25)</f>
        <v>99647451.263999999</v>
      </c>
      <c r="M6" s="53"/>
      <c r="N6" s="53"/>
      <c r="O6" s="53"/>
      <c r="P6" s="53"/>
      <c r="Q6" s="53"/>
      <c r="R6" s="53"/>
      <c r="S6" s="53"/>
    </row>
    <row r="7" spans="1:19" ht="12.75">
      <c r="A7" s="50" t="s">
        <v>90</v>
      </c>
      <c r="B7" s="50"/>
      <c r="C7" s="47">
        <f t="shared" si="1"/>
        <v>9.2866548604304149E-4</v>
      </c>
      <c r="D7" s="49">
        <f>'Estado de resultados PyG - 12 m'!U7</f>
        <v>700000.00325355912</v>
      </c>
      <c r="E7" s="51">
        <f t="shared" si="5"/>
        <v>3.5897993697030266E-4</v>
      </c>
      <c r="F7" s="49">
        <f>('Presupuesto Inicial'!$J$20)*12</f>
        <v>700000</v>
      </c>
      <c r="G7" s="51">
        <f t="shared" si="2"/>
        <v>1.8956593170210939E-4</v>
      </c>
      <c r="H7" s="49">
        <f>('Presupuesto Inicial'!$J$20)*12</f>
        <v>700000</v>
      </c>
      <c r="I7" s="51">
        <f t="shared" si="3"/>
        <v>1.8005597075862226E-4</v>
      </c>
      <c r="J7" s="49">
        <f>('Presupuesto Inicial'!$J$20)*12</f>
        <v>700000</v>
      </c>
      <c r="K7" s="51">
        <f t="shared" si="4"/>
        <v>1.7952125759322857E-4</v>
      </c>
      <c r="L7" s="163">
        <f>('Presupuesto Inicial'!$J$20)*12</f>
        <v>700000</v>
      </c>
      <c r="M7" s="53"/>
      <c r="N7" s="53"/>
      <c r="O7" s="53"/>
      <c r="P7" s="53"/>
      <c r="Q7" s="53"/>
      <c r="R7" s="53"/>
      <c r="S7" s="53"/>
    </row>
    <row r="8" spans="1:19" ht="12.75">
      <c r="A8" s="30" t="s">
        <v>92</v>
      </c>
      <c r="B8" s="30"/>
      <c r="C8" s="32">
        <f t="shared" si="1"/>
        <v>0.87478363860240271</v>
      </c>
      <c r="D8" s="35">
        <f>D2-D4</f>
        <v>659385493.56130719</v>
      </c>
      <c r="E8" s="36">
        <f t="shared" si="5"/>
        <v>0.94871439760320375</v>
      </c>
      <c r="F8" s="35">
        <f>F2-F4</f>
        <v>1849964329.28</v>
      </c>
      <c r="G8" s="36">
        <f t="shared" si="2"/>
        <v>0.97279084564971074</v>
      </c>
      <c r="H8" s="35">
        <f>H2-H4</f>
        <v>3592172843.7199998</v>
      </c>
      <c r="I8" s="36">
        <f t="shared" si="3"/>
        <v>0.97403535956644904</v>
      </c>
      <c r="J8" s="35">
        <f>J2-J4</f>
        <v>3786737806.1599998</v>
      </c>
      <c r="K8" s="36">
        <f t="shared" si="4"/>
        <v>0.97406441453740655</v>
      </c>
      <c r="L8" s="162">
        <f>L2-L4</f>
        <v>3798130089.5359998</v>
      </c>
      <c r="M8" s="56"/>
      <c r="N8" s="45"/>
      <c r="O8" s="45"/>
      <c r="P8" s="45"/>
      <c r="Q8" s="45"/>
      <c r="R8" s="45"/>
      <c r="S8" s="45"/>
    </row>
    <row r="9" spans="1:19" ht="12.75">
      <c r="A9" s="57" t="s">
        <v>94</v>
      </c>
      <c r="B9" s="57"/>
      <c r="C9" s="47">
        <f t="shared" si="1"/>
        <v>5.2855924803625748E-3</v>
      </c>
      <c r="D9" s="49">
        <f>'Estado de resultados PyG - 12 m'!U9</f>
        <v>3984120.0185179571</v>
      </c>
      <c r="E9" s="51">
        <f t="shared" si="5"/>
        <v>2.1657604318821131E-3</v>
      </c>
      <c r="F9" s="49">
        <f>'Estado de resultados PyG - 12 m'!U9+('Estado de resultados PyG - 12 m'!U9*F25)</f>
        <v>4223167.2196290344</v>
      </c>
      <c r="G9" s="51">
        <f t="shared" si="2"/>
        <v>1.1490641369134309E-3</v>
      </c>
      <c r="H9" s="49">
        <f>'Estado de resultados PyG - 12 m'!U9+('Estado de resultados PyG - 12 m'!U9*H25)</f>
        <v>4243087.8197216243</v>
      </c>
      <c r="I9" s="51">
        <f t="shared" si="3"/>
        <v>1.0965430276883266E-3</v>
      </c>
      <c r="J9" s="49">
        <f>'Estado de resultados PyG - 12 m'!U9+('Estado de resultados PyG - 12 m'!U9*J25)</f>
        <v>4263008.4198142141</v>
      </c>
      <c r="K9" s="51">
        <f t="shared" si="4"/>
        <v>1.0953301444683191E-3</v>
      </c>
      <c r="L9" s="163">
        <f>'Estado de resultados PyG - 12 m'!U9+('Estado de resultados PyG - 12 m'!U9*L25)</f>
        <v>4270976.6598512502</v>
      </c>
      <c r="M9" s="53"/>
      <c r="N9" s="53"/>
      <c r="O9" s="53"/>
      <c r="P9" s="53"/>
      <c r="Q9" s="53"/>
      <c r="R9" s="53"/>
      <c r="S9" s="53"/>
    </row>
    <row r="10" spans="1:19" ht="12.75">
      <c r="A10" s="50" t="s">
        <v>96</v>
      </c>
      <c r="B10" s="50"/>
      <c r="C10" s="47">
        <f t="shared" si="1"/>
        <v>5.684759454948298E-3</v>
      </c>
      <c r="D10" s="49">
        <f>'Estado de resultados PyG - 12 m'!$U$10</f>
        <v>4285000.0315130446</v>
      </c>
      <c r="E10" s="51">
        <f t="shared" si="5"/>
        <v>2.3293182624344504E-3</v>
      </c>
      <c r="F10" s="49">
        <f>('Estado de resultados PyG - 12 m'!$U$10)+('Estado de resultados PyG - 12 m'!$U$10*F25)</f>
        <v>4542100.0334038269</v>
      </c>
      <c r="G10" s="51">
        <f t="shared" si="2"/>
        <v>1.2358412497613792E-3</v>
      </c>
      <c r="H10" s="49">
        <f>('Estado de resultados PyG - 12 m'!$U$10)+('Estado de resultados PyG - 12 m'!$U$10*H25)</f>
        <v>4563525.0335613927</v>
      </c>
      <c r="I10" s="51">
        <f t="shared" si="3"/>
        <v>1.1793537560014925E-3</v>
      </c>
      <c r="J10" s="49">
        <f>('Estado de resultados PyG - 12 m'!$U$10)+('Estado de resultados PyG - 12 m'!$U$10*J25)</f>
        <v>4584950.0337189576</v>
      </c>
      <c r="K10" s="51">
        <f t="shared" si="4"/>
        <v>1.178049276063188E-3</v>
      </c>
      <c r="L10" s="163">
        <f>('Estado de resultados PyG - 12 m'!$U$10)+('Estado de resultados PyG - 12 m'!$U$10*L25)</f>
        <v>4593520.0337819839</v>
      </c>
      <c r="M10" s="53"/>
      <c r="N10" s="53"/>
      <c r="O10" s="53"/>
      <c r="P10" s="53"/>
      <c r="Q10" s="53"/>
      <c r="R10" s="53"/>
      <c r="S10" s="53"/>
    </row>
    <row r="11" spans="1:19" ht="12.75">
      <c r="A11" s="30" t="s">
        <v>99</v>
      </c>
      <c r="B11" s="30"/>
      <c r="C11" s="32">
        <f t="shared" si="1"/>
        <v>0.86381328666709178</v>
      </c>
      <c r="D11" s="35">
        <f>D8-D9-D10</f>
        <v>651116373.51127613</v>
      </c>
      <c r="E11" s="36">
        <f t="shared" si="5"/>
        <v>0.94421931890888722</v>
      </c>
      <c r="F11" s="35">
        <f>F8-F9-F10</f>
        <v>1841199062.026967</v>
      </c>
      <c r="G11" s="36">
        <f t="shared" si="2"/>
        <v>0.97040594026303606</v>
      </c>
      <c r="H11" s="35">
        <f>H8-H9-H10</f>
        <v>3583366230.8667169</v>
      </c>
      <c r="I11" s="36">
        <f t="shared" si="3"/>
        <v>0.97175946278275926</v>
      </c>
      <c r="J11" s="35">
        <f>J8-J9-J10</f>
        <v>3777889847.7064667</v>
      </c>
      <c r="K11" s="36">
        <f t="shared" si="4"/>
        <v>0.97179103511687503</v>
      </c>
      <c r="L11" s="162">
        <f>L8-L9-L10</f>
        <v>3789265592.8423667</v>
      </c>
      <c r="M11" s="56"/>
      <c r="N11" s="56"/>
      <c r="O11" s="56"/>
      <c r="P11" s="56"/>
      <c r="Q11" s="45"/>
      <c r="R11" s="45"/>
      <c r="S11" s="45"/>
    </row>
    <row r="12" spans="1:19" ht="12.75">
      <c r="A12" s="57" t="s">
        <v>100</v>
      </c>
      <c r="B12" s="57"/>
      <c r="C12" s="47">
        <f t="shared" si="1"/>
        <v>0</v>
      </c>
      <c r="D12" s="49">
        <v>0</v>
      </c>
      <c r="E12" s="51">
        <f t="shared" si="5"/>
        <v>0</v>
      </c>
      <c r="F12" s="49">
        <v>0</v>
      </c>
      <c r="G12" s="51">
        <f t="shared" si="2"/>
        <v>0</v>
      </c>
      <c r="H12" s="49">
        <v>0</v>
      </c>
      <c r="I12" s="51">
        <f t="shared" si="3"/>
        <v>0</v>
      </c>
      <c r="J12" s="49">
        <v>0</v>
      </c>
      <c r="K12" s="51">
        <f t="shared" si="4"/>
        <v>0</v>
      </c>
      <c r="L12" s="163">
        <v>0</v>
      </c>
      <c r="M12" s="53"/>
      <c r="N12" s="53"/>
      <c r="O12" s="53"/>
      <c r="P12" s="53"/>
      <c r="Q12" s="53"/>
      <c r="R12" s="53"/>
      <c r="S12" s="53"/>
    </row>
    <row r="13" spans="1:19" ht="12.75">
      <c r="A13" s="50" t="s">
        <v>101</v>
      </c>
      <c r="B13" s="50"/>
      <c r="C13" s="47">
        <f t="shared" si="1"/>
        <v>0</v>
      </c>
      <c r="D13" s="49">
        <f>'Estado de resultados PyG - 12 m'!U13</f>
        <v>0</v>
      </c>
      <c r="E13" s="51">
        <f t="shared" si="5"/>
        <v>0</v>
      </c>
      <c r="F13" s="49">
        <v>0</v>
      </c>
      <c r="G13" s="51">
        <f t="shared" si="2"/>
        <v>0</v>
      </c>
      <c r="H13" s="49">
        <v>0</v>
      </c>
      <c r="I13" s="51">
        <f t="shared" si="3"/>
        <v>0</v>
      </c>
      <c r="J13" s="49">
        <v>0</v>
      </c>
      <c r="K13" s="51">
        <f t="shared" si="4"/>
        <v>0</v>
      </c>
      <c r="L13" s="163">
        <v>0</v>
      </c>
      <c r="M13" s="53"/>
      <c r="N13" s="53"/>
      <c r="O13" s="53"/>
      <c r="P13" s="53"/>
      <c r="Q13" s="53"/>
      <c r="R13" s="53"/>
      <c r="S13" s="53"/>
    </row>
    <row r="14" spans="1:19" ht="12.75">
      <c r="A14" s="30" t="s">
        <v>102</v>
      </c>
      <c r="B14" s="30"/>
      <c r="C14" s="32">
        <f t="shared" si="1"/>
        <v>0.86381328666709178</v>
      </c>
      <c r="D14" s="35">
        <f>D11+D12-D13</f>
        <v>651116373.51127613</v>
      </c>
      <c r="E14" s="36">
        <f t="shared" si="5"/>
        <v>0.94421931890888722</v>
      </c>
      <c r="F14" s="35">
        <f>F11+F12-F13</f>
        <v>1841199062.026967</v>
      </c>
      <c r="G14" s="36">
        <f t="shared" si="2"/>
        <v>0.97040594026303606</v>
      </c>
      <c r="H14" s="35">
        <f>H11+H12-H13</f>
        <v>3583366230.8667169</v>
      </c>
      <c r="I14" s="36">
        <f t="shared" si="3"/>
        <v>0.97175946278275926</v>
      </c>
      <c r="J14" s="35">
        <f>J11+J12-J13</f>
        <v>3777889847.7064667</v>
      </c>
      <c r="K14" s="36">
        <f t="shared" si="4"/>
        <v>0.97179103511687503</v>
      </c>
      <c r="L14" s="162">
        <f>L11+L12-L13</f>
        <v>3789265592.8423667</v>
      </c>
      <c r="M14" s="56"/>
      <c r="N14" s="56"/>
      <c r="O14" s="56"/>
      <c r="P14" s="56"/>
      <c r="Q14" s="45"/>
      <c r="R14" s="45"/>
      <c r="S14" s="45"/>
    </row>
    <row r="15" spans="1:19" ht="12.75">
      <c r="A15" s="50" t="s">
        <v>103</v>
      </c>
      <c r="B15" s="50"/>
      <c r="C15" s="47">
        <f t="shared" si="1"/>
        <v>0.31628555367450467</v>
      </c>
      <c r="D15" s="49">
        <f>'Estado de resultados PyG - 12 m'!U15</f>
        <v>238406500.43383396</v>
      </c>
      <c r="E15" s="51">
        <f t="shared" si="5"/>
        <v>0.32103456842902162</v>
      </c>
      <c r="F15" s="49">
        <f>IF(F14&gt;0, F14*0.34, 0)</f>
        <v>626007681.08916879</v>
      </c>
      <c r="G15" s="51">
        <f t="shared" si="2"/>
        <v>0.32993801968943226</v>
      </c>
      <c r="H15" s="49">
        <f>IF(H14&gt;0, H14*0.34, 0)</f>
        <v>1218344518.4946837</v>
      </c>
      <c r="I15" s="51">
        <f t="shared" si="3"/>
        <v>0.33039821734613817</v>
      </c>
      <c r="J15" s="49">
        <f>IF(J14&gt;0, J14*0.34, 0)</f>
        <v>1284482548.2201989</v>
      </c>
      <c r="K15" s="51">
        <f t="shared" si="4"/>
        <v>0.33040895193973757</v>
      </c>
      <c r="L15" s="163">
        <f>IF(L14&gt;0, L14*0.34, 0)</f>
        <v>1288350301.5664048</v>
      </c>
      <c r="M15" s="53"/>
      <c r="N15" s="53"/>
      <c r="O15" s="53"/>
      <c r="P15" s="53"/>
      <c r="Q15" s="53"/>
      <c r="R15" s="53"/>
      <c r="S15" s="53"/>
    </row>
    <row r="16" spans="1:19" ht="12.75">
      <c r="A16" s="30" t="s">
        <v>104</v>
      </c>
      <c r="B16" s="30"/>
      <c r="C16" s="69">
        <f t="shared" si="1"/>
        <v>0.54752773299258706</v>
      </c>
      <c r="D16" s="35">
        <f>D14-D15</f>
        <v>412709873.07744217</v>
      </c>
      <c r="E16" s="70">
        <f t="shared" si="5"/>
        <v>0.62318475047986555</v>
      </c>
      <c r="F16" s="35">
        <f>F14-F15</f>
        <v>1215191380.9377983</v>
      </c>
      <c r="G16" s="70">
        <f t="shared" si="2"/>
        <v>0.6404679205736038</v>
      </c>
      <c r="H16" s="35">
        <f>H14-H15</f>
        <v>2365021712.3720331</v>
      </c>
      <c r="I16" s="70">
        <f t="shared" si="3"/>
        <v>0.6413612454366211</v>
      </c>
      <c r="J16" s="35">
        <f>J14-J15</f>
        <v>2493407299.486268</v>
      </c>
      <c r="K16" s="70">
        <f t="shared" si="4"/>
        <v>0.64138208317713752</v>
      </c>
      <c r="L16" s="162">
        <f>L14-L15</f>
        <v>2500915291.2759619</v>
      </c>
      <c r="M16" s="56"/>
      <c r="N16" s="56"/>
      <c r="O16" s="56"/>
      <c r="P16" s="56"/>
      <c r="Q16" s="45"/>
      <c r="R16" s="45"/>
      <c r="S16" s="45"/>
    </row>
    <row r="17" spans="1:19" ht="12.75">
      <c r="A17" s="7" t="s">
        <v>113</v>
      </c>
      <c r="B17" s="72">
        <v>0</v>
      </c>
      <c r="C17" s="32">
        <f t="shared" si="1"/>
        <v>9.2866548604304149E-4</v>
      </c>
      <c r="D17" s="73">
        <f>D7</f>
        <v>700000.00325355912</v>
      </c>
      <c r="E17" s="36">
        <f t="shared" si="5"/>
        <v>3.5897993697030266E-4</v>
      </c>
      <c r="F17" s="73">
        <f>F7</f>
        <v>700000</v>
      </c>
      <c r="G17" s="36">
        <f t="shared" si="2"/>
        <v>1.8956593170210939E-4</v>
      </c>
      <c r="H17" s="73">
        <f>H7</f>
        <v>700000</v>
      </c>
      <c r="I17" s="36">
        <f t="shared" si="3"/>
        <v>1.8005597075862226E-4</v>
      </c>
      <c r="J17" s="73">
        <f>J7</f>
        <v>700000</v>
      </c>
      <c r="K17" s="36">
        <f t="shared" si="4"/>
        <v>1.7952125759322857E-4</v>
      </c>
      <c r="L17" s="164">
        <f>L7</f>
        <v>700000</v>
      </c>
    </row>
    <row r="18" spans="1:19" ht="12.75">
      <c r="A18" s="7" t="s">
        <v>116</v>
      </c>
      <c r="B18" s="72">
        <v>-62190000</v>
      </c>
      <c r="C18" s="32">
        <f t="shared" si="1"/>
        <v>0</v>
      </c>
      <c r="D18" s="74">
        <v>0</v>
      </c>
      <c r="E18" s="36">
        <f t="shared" si="5"/>
        <v>0</v>
      </c>
      <c r="F18" s="74">
        <v>0</v>
      </c>
      <c r="G18" s="36">
        <f t="shared" si="2"/>
        <v>0</v>
      </c>
      <c r="H18" s="74">
        <v>0</v>
      </c>
      <c r="I18" s="36">
        <f t="shared" si="3"/>
        <v>0</v>
      </c>
      <c r="J18" s="74">
        <v>0</v>
      </c>
      <c r="K18" s="36">
        <f t="shared" si="4"/>
        <v>0</v>
      </c>
      <c r="L18" s="165">
        <v>0</v>
      </c>
    </row>
    <row r="19" spans="1:19" ht="12.75">
      <c r="A19" s="5" t="s">
        <v>117</v>
      </c>
      <c r="B19" s="75">
        <f>B18+B17</f>
        <v>-62190000</v>
      </c>
      <c r="C19" s="32">
        <f t="shared" si="1"/>
        <v>0.54845639847863015</v>
      </c>
      <c r="D19" s="77">
        <f>D18+D17+D16</f>
        <v>413409873.08069575</v>
      </c>
      <c r="E19" s="36">
        <f t="shared" si="5"/>
        <v>0.62354373041683586</v>
      </c>
      <c r="F19" s="77">
        <f>F18+F17+F16</f>
        <v>1215891380.9377983</v>
      </c>
      <c r="G19" s="36">
        <f t="shared" si="2"/>
        <v>0.64065748650530585</v>
      </c>
      <c r="H19" s="77">
        <f>H18+H17+H16</f>
        <v>2365721712.3720331</v>
      </c>
      <c r="I19" s="36">
        <f t="shared" si="3"/>
        <v>0.64154130140737975</v>
      </c>
      <c r="J19" s="77">
        <f>J18+J17+J16</f>
        <v>2494107299.486268</v>
      </c>
      <c r="K19" s="36">
        <f t="shared" si="4"/>
        <v>0.64156160443473076</v>
      </c>
      <c r="L19" s="166">
        <f>L18+L17+L16</f>
        <v>2501615291.2759619</v>
      </c>
    </row>
    <row r="22" spans="1:19" ht="12.75">
      <c r="C22" s="11"/>
      <c r="D22" s="100" t="s">
        <v>253</v>
      </c>
      <c r="F22" s="62">
        <f>'Tabla Crecimiento'!B10</f>
        <v>80325</v>
      </c>
      <c r="H22" s="62">
        <f>'Tabla Crecimiento'!B11</f>
        <v>152111</v>
      </c>
      <c r="J22" s="62">
        <f>'Tabla Crecimiento'!B12</f>
        <v>160145</v>
      </c>
      <c r="L22" s="62">
        <f>'Tabla Crecimiento'!B13</f>
        <v>160622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8" t="s">
        <v>185</v>
      </c>
      <c r="F23">
        <f>'Estado de resultados PyG - 12 m'!I20</f>
        <v>24276</v>
      </c>
      <c r="M23" s="11" t="s">
        <v>105</v>
      </c>
      <c r="N23" s="11">
        <v>3</v>
      </c>
    </row>
    <row r="24" spans="1:19" ht="12.75">
      <c r="M24" s="11" t="s">
        <v>106</v>
      </c>
      <c r="N24" s="11">
        <v>2860</v>
      </c>
    </row>
    <row r="25" spans="1:19" ht="12.75">
      <c r="D25" s="98" t="s">
        <v>252</v>
      </c>
      <c r="F25" s="148">
        <v>0.06</v>
      </c>
      <c r="H25" s="149">
        <v>6.5000000000000002E-2</v>
      </c>
      <c r="J25" s="148">
        <v>7.0000000000000007E-2</v>
      </c>
      <c r="L25" s="149">
        <v>7.1999999999999995E-2</v>
      </c>
      <c r="M25" s="11" t="s">
        <v>107</v>
      </c>
      <c r="N25" s="11">
        <v>0.03</v>
      </c>
    </row>
    <row r="30" spans="1:19" ht="15.75" customHeight="1">
      <c r="D30" s="44">
        <f>D5+D6+D9+D10+D13+D15</f>
        <v>340359932.91930419</v>
      </c>
    </row>
  </sheetData>
  <mergeCells count="5">
    <mergeCell ref="E1:F1"/>
    <mergeCell ref="C1:D1"/>
    <mergeCell ref="G1:H1"/>
    <mergeCell ref="I1:J1"/>
    <mergeCell ref="K1:L1"/>
  </mergeCells>
  <conditionalFormatting sqref="A1:B16 C1:C19 D1:D16 E1:E19 F1:F16 G1:G19 H1:H16 I6:I19 J6:J16 K6:K19 L6:L16 I1:L5">
    <cfRule type="cellIs" dxfId="2" priority="1" operator="lessThan">
      <formula>0</formula>
    </cfRule>
  </conditionalFormatting>
  <conditionalFormatting sqref="B17:L19"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9" zoomScale="115" zoomScaleNormal="115" workbookViewId="0">
      <selection activeCell="C26" sqref="C26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customWidth="1"/>
    <col min="10" max="10" width="18.42578125" customWidth="1"/>
    <col min="13" max="13" width="16.7109375" customWidth="1"/>
  </cols>
  <sheetData>
    <row r="1" spans="1:13" ht="15.75" customHeight="1">
      <c r="A1" s="11" t="s">
        <v>112</v>
      </c>
      <c r="B1" s="66">
        <f>Prestamo!E5</f>
        <v>62189202</v>
      </c>
      <c r="H1" s="67">
        <v>-70000000</v>
      </c>
      <c r="J1" s="25">
        <f>'Flujo de Caja (Profesor) - 5 añ'!B19</f>
        <v>-62190000</v>
      </c>
    </row>
    <row r="2" spans="1:13" ht="15.75" customHeight="1">
      <c r="A2" s="100" t="s">
        <v>279</v>
      </c>
      <c r="B2" s="11">
        <v>0.15</v>
      </c>
      <c r="C2" s="11">
        <v>800</v>
      </c>
      <c r="H2" s="68">
        <f>'Flujo de caja - 5 años'!E13</f>
        <v>471922373.08408695</v>
      </c>
      <c r="J2" s="25">
        <f>'Flujo de Caja (Profesor) - 5 añ'!D19</f>
        <v>413409873.08069575</v>
      </c>
    </row>
    <row r="3" spans="1:13" ht="15.75" customHeight="1">
      <c r="H3" s="68">
        <f>'Flujo de caja - 5 años'!G13</f>
        <v>1687813754.0218854</v>
      </c>
      <c r="J3" s="25">
        <f>'Flujo de Caja (Profesor) - 5 añ'!F19</f>
        <v>1215891380.9377983</v>
      </c>
    </row>
    <row r="4" spans="1:13" ht="15.75" customHeight="1">
      <c r="A4" s="11"/>
      <c r="B4" s="25">
        <f>'Flujo de caja - 5 años'!E13/((1+$B$2)^1)</f>
        <v>410367280.94268435</v>
      </c>
      <c r="C4" s="25">
        <f>'Flujo de caja - 5 años'!G13/((1+$B$2)^2)</f>
        <v>1276229681.6800647</v>
      </c>
      <c r="D4" s="25">
        <f>'Flujo de caja - 5 años'!I13/((1+$B$2)^3)</f>
        <v>2665267766.5119882</v>
      </c>
      <c r="E4" s="71">
        <f>'Flujo de caja - 5 años'!K13/((1+$B$2)^4)</f>
        <v>3743642259.6432619</v>
      </c>
      <c r="F4" s="71">
        <f>'Flujo de caja - 5 años'!M13/((1+$B$2)^5)</f>
        <v>4499090371.7125826</v>
      </c>
      <c r="H4" s="68">
        <f>'Flujo de caja - 5 años'!I13</f>
        <v>4053539114.3939185</v>
      </c>
      <c r="J4" s="25">
        <f>'Flujo de Caja (Profesor) - 5 añ'!H19</f>
        <v>2365721712.3720331</v>
      </c>
    </row>
    <row r="5" spans="1:13" ht="15.75" customHeight="1">
      <c r="A5" s="11" t="s">
        <v>114</v>
      </c>
      <c r="B5" s="25">
        <f>SUM(B4:F4)-B1</f>
        <v>12532408158.490582</v>
      </c>
      <c r="H5" s="68">
        <f>'Flujo de caja - 5 años'!K13</f>
        <v>6547653709.8801861</v>
      </c>
      <c r="J5" s="25">
        <f>'Flujo de Caja (Profesor) - 5 añ'!J19</f>
        <v>2494107299.486268</v>
      </c>
      <c r="L5" s="11" t="s">
        <v>115</v>
      </c>
    </row>
    <row r="6" spans="1:13" ht="15.75" customHeight="1">
      <c r="A6" s="11"/>
      <c r="B6" s="25">
        <f>'Flujo de caja - 5 años'!E13/(1+$C$2)^1</f>
        <v>589166.50821983395</v>
      </c>
      <c r="C6" s="25">
        <f>'Flujo de caja - 5 años'!G13/(1+$C$2)^2</f>
        <v>2630.6283095286408</v>
      </c>
      <c r="D6" s="25">
        <f>'Flujo de caja - 5 años'!I13/(1+$C$2)^3</f>
        <v>7.8874536437922629</v>
      </c>
      <c r="E6" s="71">
        <f>'Flujo de caja - 5 años'!K13/(1+$B$2)^4</f>
        <v>3743642259.6432619</v>
      </c>
      <c r="F6" s="71">
        <f>'Flujo de caja - 5 años'!M13/(1+$B$2)^5</f>
        <v>4499090371.7125826</v>
      </c>
      <c r="H6" s="68">
        <f>'Flujo de caja - 5 años'!M13</f>
        <v>9049277756.3561478</v>
      </c>
      <c r="J6" s="25">
        <f>'Flujo de Caja (Profesor) - 5 añ'!L19</f>
        <v>2501615291.2759619</v>
      </c>
      <c r="L6" s="11">
        <v>0</v>
      </c>
      <c r="M6" s="44">
        <f t="shared" ref="M6:M45" si="0">NPV(L6,$J$2:$J$6)+$J$1</f>
        <v>8928555557.1527557</v>
      </c>
    </row>
    <row r="7" spans="1:13" ht="15.75" customHeight="1">
      <c r="A7" s="11" t="s">
        <v>118</v>
      </c>
      <c r="B7" s="25">
        <f>SUM(B6:F6)-B1</f>
        <v>8181135234.3798275</v>
      </c>
      <c r="H7" s="76">
        <f>'Flujo de caja - 5 años'!E18</f>
        <v>0</v>
      </c>
      <c r="L7" s="11">
        <v>0.05</v>
      </c>
      <c r="M7" s="44">
        <f t="shared" si="0"/>
        <v>7489971663.407341</v>
      </c>
    </row>
    <row r="8" spans="1:13" ht="15.75" customHeight="1">
      <c r="L8" s="11">
        <v>0.1</v>
      </c>
      <c r="M8" s="44">
        <f t="shared" si="0"/>
        <v>6352722925.6488123</v>
      </c>
    </row>
    <row r="9" spans="1:13" ht="15.75" customHeight="1">
      <c r="G9" s="11" t="s">
        <v>114</v>
      </c>
      <c r="H9" s="44">
        <f t="array" ref="H9">NPV(0.15,H2:H6)+H1</f>
        <v>12524597360.490583</v>
      </c>
      <c r="J9" s="44">
        <f t="array" ref="J9">NPV(0.15,J2:J6)+J1</f>
        <v>5441944708.1028109</v>
      </c>
      <c r="L9" s="11">
        <v>0.15</v>
      </c>
      <c r="M9" s="44">
        <f t="shared" si="0"/>
        <v>5441944708.1028109</v>
      </c>
    </row>
    <row r="10" spans="1:13" ht="15.75" customHeight="1">
      <c r="G10" s="11" t="s">
        <v>118</v>
      </c>
      <c r="H10" s="78">
        <f>IRR(H1:H6)</f>
        <v>8.8842658949893476</v>
      </c>
      <c r="J10" s="78">
        <f>IRR(J1:J6)</f>
        <v>8.2588854299066305</v>
      </c>
      <c r="L10" s="11">
        <v>0.2</v>
      </c>
      <c r="M10" s="44">
        <f t="shared" si="0"/>
        <v>4703873181.4058723</v>
      </c>
    </row>
    <row r="11" spans="1:13" ht="15.75" customHeight="1">
      <c r="L11" s="11">
        <v>0.25</v>
      </c>
      <c r="M11" s="44">
        <f t="shared" si="0"/>
        <v>4099273547.5141115</v>
      </c>
    </row>
    <row r="12" spans="1:13" ht="15.75" customHeight="1">
      <c r="G12" s="11" t="s">
        <v>119</v>
      </c>
      <c r="J12" s="11" t="s">
        <v>120</v>
      </c>
      <c r="L12" s="11">
        <v>0.3</v>
      </c>
      <c r="M12" s="44">
        <f t="shared" si="0"/>
        <v>3599090384.2094955</v>
      </c>
    </row>
    <row r="13" spans="1:13" ht="15.75" customHeight="1">
      <c r="L13" s="11">
        <v>0.35</v>
      </c>
      <c r="M13" s="44">
        <f t="shared" si="0"/>
        <v>3181514669.6319437</v>
      </c>
    </row>
    <row r="14" spans="1:13" ht="15.75" customHeight="1">
      <c r="L14" s="11">
        <v>0.4</v>
      </c>
      <c r="M14" s="44">
        <f t="shared" si="0"/>
        <v>2829972005.5122204</v>
      </c>
    </row>
    <row r="15" spans="1:13" ht="15.75" customHeight="1">
      <c r="L15" s="11">
        <v>0.45</v>
      </c>
      <c r="M15" s="44">
        <f t="shared" si="0"/>
        <v>2531720824.1699638</v>
      </c>
    </row>
    <row r="16" spans="1:13" ht="15.75" customHeight="1">
      <c r="A16" s="11" t="s">
        <v>121</v>
      </c>
      <c r="B16">
        <f>B17/(B19-B18)</f>
        <v>3066.9166390877763</v>
      </c>
      <c r="L16" s="11">
        <v>0.5</v>
      </c>
      <c r="M16" s="44">
        <f t="shared" si="0"/>
        <v>2276861323.3222756</v>
      </c>
    </row>
    <row r="17" spans="1:13" ht="15.75" customHeight="1">
      <c r="A17" s="11" t="s">
        <v>122</v>
      </c>
      <c r="B17" s="44">
        <f>'Estado de resultados PyG - 12 m'!I6+'Estado de resultados PyG - 12 m'!I7+'Estado de resultados PyG - 12 m'!I9+'Estado de resultados PyG - 12 m'!I10+'Estado de resultados PyG - 12 m'!I13</f>
        <v>8701569.3333333321</v>
      </c>
      <c r="L17" s="11">
        <v>0.55000000000000004</v>
      </c>
      <c r="M17" s="44">
        <f t="shared" si="0"/>
        <v>2057625278.5601459</v>
      </c>
    </row>
    <row r="18" spans="1:13" ht="15.75" customHeight="1">
      <c r="A18" s="11" t="s">
        <v>123</v>
      </c>
      <c r="B18" s="44">
        <f>'Estado de resultados PyG - 12 m'!I5/'Estado de resultados PyG - 12 m'!I18</f>
        <v>22.763010108573567</v>
      </c>
      <c r="L18" s="11">
        <v>0.6</v>
      </c>
      <c r="M18" s="44">
        <f t="shared" si="0"/>
        <v>1867860715.8917677</v>
      </c>
    </row>
    <row r="19" spans="1:13" ht="15.75" customHeight="1">
      <c r="A19" s="11" t="s">
        <v>124</v>
      </c>
      <c r="B19" s="11">
        <v>2860</v>
      </c>
      <c r="L19" s="11">
        <v>0.65</v>
      </c>
      <c r="M19" s="44">
        <f t="shared" si="0"/>
        <v>1702653589.4366779</v>
      </c>
    </row>
    <row r="20" spans="1:13" ht="15.75" customHeight="1">
      <c r="L20" s="11">
        <v>0.7</v>
      </c>
      <c r="M20" s="44">
        <f t="shared" si="0"/>
        <v>1558046996.0258307</v>
      </c>
    </row>
    <row r="21" spans="1:13" ht="15.75" customHeight="1">
      <c r="A21" s="120" t="s">
        <v>265</v>
      </c>
      <c r="B21" s="120" t="s">
        <v>266</v>
      </c>
      <c r="C21" s="98" t="s">
        <v>267</v>
      </c>
      <c r="D21" s="98" t="s">
        <v>268</v>
      </c>
      <c r="E21" s="98" t="s">
        <v>269</v>
      </c>
      <c r="F21" s="98" t="s">
        <v>270</v>
      </c>
      <c r="G21" s="98" t="s">
        <v>271</v>
      </c>
      <c r="L21" s="11">
        <v>0.75</v>
      </c>
      <c r="M21" s="44">
        <f t="shared" si="0"/>
        <v>1430830643.1009884</v>
      </c>
    </row>
    <row r="22" spans="1:13" ht="15.75" customHeight="1">
      <c r="A22" s="120"/>
      <c r="B22" s="150" t="s">
        <v>77</v>
      </c>
      <c r="C22" s="98" t="s">
        <v>74</v>
      </c>
      <c r="D22" s="98" t="s">
        <v>75</v>
      </c>
      <c r="E22" s="98" t="s">
        <v>76</v>
      </c>
      <c r="F22" s="98" t="s">
        <v>78</v>
      </c>
      <c r="G22" s="98" t="s">
        <v>79</v>
      </c>
      <c r="L22" s="11">
        <v>0.8</v>
      </c>
      <c r="M22" s="44">
        <f t="shared" si="0"/>
        <v>1318381474.3114712</v>
      </c>
    </row>
    <row r="23" spans="1:13" ht="15.75" customHeight="1">
      <c r="A23" s="119" t="s">
        <v>261</v>
      </c>
      <c r="B23" s="217">
        <f>B1*-1</f>
        <v>-62189202</v>
      </c>
      <c r="C23" s="171">
        <f>'Flujo de Caja (Profesor) - 5 añ'!D19</f>
        <v>413409873.08069575</v>
      </c>
      <c r="D23" s="171">
        <f>'Flujo de Caja (Profesor) - 5 añ'!F19</f>
        <v>1215891380.9377983</v>
      </c>
      <c r="E23" s="171">
        <f>'Flujo de Caja (Profesor) - 5 añ'!H19</f>
        <v>2365721712.3720331</v>
      </c>
      <c r="F23" s="171">
        <f>'Flujo de Caja (Profesor) - 5 añ'!J19</f>
        <v>2494107299.486268</v>
      </c>
      <c r="G23" s="171">
        <f>'Flujo de Caja (Profesor) - 5 añ'!L19</f>
        <v>2501615291.2759619</v>
      </c>
      <c r="L23" s="11">
        <v>0.85</v>
      </c>
      <c r="M23" s="44">
        <f t="shared" si="0"/>
        <v>1218541931.8286524</v>
      </c>
    </row>
    <row r="24" spans="1:13" ht="15.75" customHeight="1">
      <c r="B24" s="44"/>
      <c r="L24" s="11">
        <v>0.9</v>
      </c>
      <c r="M24" s="44">
        <f t="shared" si="0"/>
        <v>1129526176.5660503</v>
      </c>
    </row>
    <row r="25" spans="1:13" ht="12.75">
      <c r="A25" s="119" t="s">
        <v>265</v>
      </c>
      <c r="B25" s="120" t="s">
        <v>266</v>
      </c>
      <c r="C25" s="172" t="s">
        <v>267</v>
      </c>
      <c r="L25" s="11">
        <v>0.95</v>
      </c>
      <c r="M25" s="44">
        <f t="shared" si="0"/>
        <v>1049847266.3120408</v>
      </c>
    </row>
    <row r="26" spans="1:13" ht="12.75">
      <c r="A26" s="119" t="s">
        <v>262</v>
      </c>
      <c r="B26" s="120"/>
      <c r="C26" s="172">
        <f>J1+(C23/C47)+(D23/C47*C48)+(E23/C47*C48*C49)+(F23/C47*C48*C49*C50)+(G23/C47*C48*C49*C50*C51)</f>
        <v>9985027796.3041878</v>
      </c>
      <c r="L26" s="11">
        <v>1</v>
      </c>
      <c r="M26" s="44">
        <f t="shared" si="0"/>
        <v>978260179.89156723</v>
      </c>
    </row>
    <row r="27" spans="1:13" ht="12.75">
      <c r="A27" s="151" t="s">
        <v>278</v>
      </c>
      <c r="B27" s="151"/>
      <c r="C27" s="172">
        <f>-B1+(C23/(1+B2))+(D23/(1+B2)^2)+(E23/(1+B2)^3)+(F23/(1+B2)^4)+(G23/(1+B2)^5)</f>
        <v>5441945506.1028109</v>
      </c>
      <c r="L27" s="11">
        <v>1.05</v>
      </c>
      <c r="M27" s="44">
        <f t="shared" si="0"/>
        <v>913716919.97802794</v>
      </c>
    </row>
    <row r="28" spans="1:13" ht="12.75">
      <c r="A28" s="151" t="s">
        <v>118</v>
      </c>
      <c r="B28" s="151"/>
      <c r="C28" s="216">
        <f>B32+((B34-B32)*(E32/(E32+E34)))</f>
        <v>28.757062254909471</v>
      </c>
      <c r="L28" s="11"/>
      <c r="M28" s="44"/>
    </row>
    <row r="29" spans="1:13" ht="12.75">
      <c r="A29" s="119"/>
      <c r="B29" s="120"/>
      <c r="L29" s="11"/>
      <c r="M29" s="44"/>
    </row>
    <row r="30" spans="1:13" ht="12.75">
      <c r="A30" s="119"/>
      <c r="B30" s="120"/>
      <c r="L30" s="11"/>
      <c r="M30" s="44"/>
    </row>
    <row r="31" spans="1:13" ht="12.75">
      <c r="A31" s="119" t="s">
        <v>265</v>
      </c>
      <c r="B31" s="176" t="s">
        <v>266</v>
      </c>
      <c r="L31" s="11"/>
      <c r="M31" s="44"/>
    </row>
    <row r="32" spans="1:13" ht="12.75">
      <c r="A32" s="119" t="s">
        <v>272</v>
      </c>
      <c r="B32" s="176">
        <f>(((C23+D23+E23+F23+G23)/B1)-1)/5</f>
        <v>28.71416923842424</v>
      </c>
      <c r="D32" t="s">
        <v>280</v>
      </c>
      <c r="E32" s="215">
        <f>-$B$1+($C$23/(1+B32))+($D$23/((1+B32)^2))+($E$23/((1+B32)^3))+($F$23/((1+B32)^4))+($G$23/((1+B32)^5))</f>
        <v>-46805728.903633773</v>
      </c>
      <c r="L32" s="11"/>
      <c r="M32" s="44"/>
    </row>
    <row r="33" spans="1:13" ht="12.75">
      <c r="A33" s="151"/>
      <c r="B33" s="176">
        <v>29</v>
      </c>
      <c r="D33" t="s">
        <v>280</v>
      </c>
      <c r="E33" s="215">
        <f t="shared" ref="E33:E34" si="1">-$B$1+($C$23/(1+B33))+($D$23/((1+B33)^2))+($E$23/((1+B33)^3))+($F$23/((1+B33)^4))+($G$23/((1+B33)^5))</f>
        <v>-46967081.059419967</v>
      </c>
      <c r="L33" s="11"/>
      <c r="M33" s="44"/>
    </row>
    <row r="34" spans="1:13" ht="12.75">
      <c r="A34" s="119" t="s">
        <v>273</v>
      </c>
      <c r="B34" s="177">
        <v>28.8</v>
      </c>
      <c r="D34" t="s">
        <v>280</v>
      </c>
      <c r="E34" s="215">
        <f t="shared" si="1"/>
        <v>-46854537.664252765</v>
      </c>
      <c r="L34" s="11"/>
      <c r="M34" s="44"/>
    </row>
    <row r="35" spans="1:13" ht="12.75">
      <c r="A35" s="119"/>
      <c r="B35" s="120"/>
      <c r="L35" s="11"/>
      <c r="M35" s="44"/>
    </row>
    <row r="36" spans="1:13" ht="12.75">
      <c r="A36" s="119" t="s">
        <v>265</v>
      </c>
      <c r="B36" s="175" t="s">
        <v>266</v>
      </c>
      <c r="L36" s="11"/>
      <c r="M36" s="44"/>
    </row>
    <row r="37" spans="1:13" ht="12.75">
      <c r="A37" s="119" t="s">
        <v>274</v>
      </c>
      <c r="B37" s="175"/>
      <c r="L37" s="11"/>
      <c r="M37" s="44"/>
    </row>
    <row r="38" spans="1:13" ht="12.75">
      <c r="A38" s="119" t="s">
        <v>275</v>
      </c>
      <c r="B38" s="175">
        <f>-B1+(C23/(1+B34))+(D23/((1+B34)^2))+(E23/((1+B34)^3))+(F23/((1+B34)^4))+(G23/((1+B34)^5))</f>
        <v>-46854537.664252765</v>
      </c>
      <c r="L38" s="11"/>
      <c r="M38" s="44"/>
    </row>
    <row r="39" spans="1:13" ht="12.75">
      <c r="A39" s="119" t="s">
        <v>277</v>
      </c>
      <c r="B39" s="175">
        <f>E32*-1</f>
        <v>46805728.903633773</v>
      </c>
      <c r="L39" s="11"/>
      <c r="M39" s="44"/>
    </row>
    <row r="40" spans="1:13" ht="12.75">
      <c r="A40" s="119" t="s">
        <v>276</v>
      </c>
      <c r="B40" s="175">
        <f>B38*-1</f>
        <v>46854537.664252765</v>
      </c>
      <c r="L40" s="11"/>
      <c r="M40" s="44"/>
    </row>
    <row r="41" spans="1:13" ht="12.75">
      <c r="A41" s="119" t="s">
        <v>118</v>
      </c>
      <c r="B41" s="175">
        <f>B32+(B39/(B39+B40))</f>
        <v>29.213908675634876</v>
      </c>
      <c r="L41" s="11"/>
      <c r="M41" s="44"/>
    </row>
    <row r="42" spans="1:13" ht="12.75">
      <c r="A42" s="119"/>
      <c r="B42" s="120"/>
      <c r="L42" s="11"/>
      <c r="M42" s="44"/>
    </row>
    <row r="43" spans="1:13" ht="12.75">
      <c r="B43" s="44"/>
      <c r="L43" s="11">
        <v>1.1000000000000001</v>
      </c>
      <c r="M43" s="44">
        <f t="shared" si="0"/>
        <v>855330893.90745759</v>
      </c>
    </row>
    <row r="44" spans="1:13" ht="12.75">
      <c r="L44" s="11">
        <v>1.1499999999999999</v>
      </c>
      <c r="M44" s="44">
        <f t="shared" si="0"/>
        <v>802348473.35562515</v>
      </c>
    </row>
    <row r="45" spans="1:13" ht="12.75">
      <c r="A45" s="119" t="s">
        <v>265</v>
      </c>
      <c r="B45" s="120" t="s">
        <v>266</v>
      </c>
      <c r="C45" s="98" t="s">
        <v>267</v>
      </c>
      <c r="L45" s="11">
        <v>1.2</v>
      </c>
      <c r="M45" s="44">
        <f t="shared" si="0"/>
        <v>754126147.23541009</v>
      </c>
    </row>
    <row r="46" spans="1:13" ht="12.75">
      <c r="A46" s="119" t="s">
        <v>263</v>
      </c>
      <c r="B46" s="120"/>
      <c r="C46" s="98" t="s">
        <v>264</v>
      </c>
      <c r="L46" s="11"/>
    </row>
    <row r="47" spans="1:13" ht="15.75" customHeight="1">
      <c r="A47" s="98" t="s">
        <v>74</v>
      </c>
      <c r="B47" s="173">
        <v>5.7500000000000002E-2</v>
      </c>
      <c r="C47" s="174">
        <f xml:space="preserve"> 1 +B47</f>
        <v>1.0575000000000001</v>
      </c>
    </row>
    <row r="48" spans="1:13" ht="15.75" customHeight="1">
      <c r="A48" s="98" t="s">
        <v>75</v>
      </c>
      <c r="B48" s="173">
        <v>0.06</v>
      </c>
      <c r="C48" s="174">
        <f t="shared" ref="C48:C51" si="2" xml:space="preserve"> 1 +B48</f>
        <v>1.06</v>
      </c>
    </row>
    <row r="49" spans="1:3" ht="15.75" customHeight="1">
      <c r="A49" s="98" t="s">
        <v>76</v>
      </c>
      <c r="B49" s="173">
        <v>6.5000000000000002E-2</v>
      </c>
      <c r="C49" s="174">
        <f t="shared" si="2"/>
        <v>1.0649999999999999</v>
      </c>
    </row>
    <row r="50" spans="1:3" ht="15.75" customHeight="1">
      <c r="A50" s="98" t="s">
        <v>78</v>
      </c>
      <c r="B50" s="173">
        <v>7.0000000000000007E-2</v>
      </c>
      <c r="C50" s="174">
        <f t="shared" si="2"/>
        <v>1.07</v>
      </c>
    </row>
    <row r="51" spans="1:3" ht="15.75" customHeight="1">
      <c r="A51" s="98" t="s">
        <v>79</v>
      </c>
      <c r="B51" s="173">
        <v>7.1999999999999995E-2</v>
      </c>
      <c r="C51" s="174">
        <f t="shared" si="2"/>
        <v>1.0720000000000001</v>
      </c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60" zoomScaleNormal="160" workbookViewId="0">
      <selection sqref="A1:K16"/>
    </sheetView>
  </sheetViews>
  <sheetFormatPr baseColWidth="10" defaultColWidth="14.42578125" defaultRowHeight="15.75" customHeight="1"/>
  <cols>
    <col min="1" max="1" width="30.5703125" bestFit="1" customWidth="1"/>
    <col min="2" max="2" width="9.28515625" hidden="1" customWidth="1"/>
    <col min="3" max="3" width="0" hidden="1" customWidth="1"/>
    <col min="4" max="4" width="8.5703125" hidden="1" customWidth="1"/>
    <col min="5" max="5" width="0" hidden="1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</cols>
  <sheetData>
    <row r="1" spans="1:11" ht="15.75" customHeight="1">
      <c r="A1" s="159"/>
      <c r="B1" s="209" t="s">
        <v>74</v>
      </c>
      <c r="C1" s="210"/>
      <c r="D1" s="209" t="s">
        <v>75</v>
      </c>
      <c r="E1" s="210"/>
      <c r="F1" s="209" t="s">
        <v>76</v>
      </c>
      <c r="G1" s="210"/>
      <c r="H1" s="209" t="s">
        <v>78</v>
      </c>
      <c r="I1" s="210"/>
      <c r="J1" s="213" t="s">
        <v>79</v>
      </c>
      <c r="K1" s="214"/>
    </row>
    <row r="2" spans="1:11" ht="15.75" customHeight="1">
      <c r="A2" s="31" t="s">
        <v>127</v>
      </c>
      <c r="B2" s="83">
        <f>C2/$C$2</f>
        <v>1</v>
      </c>
      <c r="C2" s="85">
        <f>SUM(C4,C8)</f>
        <v>756569806</v>
      </c>
      <c r="D2" s="83">
        <f>E2/$E$2</f>
        <v>1</v>
      </c>
      <c r="E2" s="85">
        <f>SUM(E4,E8)</f>
        <v>1957319700</v>
      </c>
      <c r="F2" s="83">
        <f>G2/$G$2</f>
        <v>1</v>
      </c>
      <c r="G2" s="85">
        <f>SUM(G4,G8)</f>
        <v>3712421636</v>
      </c>
      <c r="H2" s="83">
        <f>I2/$I$2</f>
        <v>1</v>
      </c>
      <c r="I2" s="85">
        <f>SUM(I4,I8)</f>
        <v>3939567520</v>
      </c>
      <c r="J2" s="33">
        <f>K2/$K$2</f>
        <v>1</v>
      </c>
      <c r="K2" s="167">
        <f>SUM(K4,K8)</f>
        <v>4032478422</v>
      </c>
    </row>
    <row r="3" spans="1:11" ht="15.75" customHeight="1">
      <c r="A3" s="31" t="s">
        <v>141</v>
      </c>
      <c r="B3" s="83"/>
      <c r="C3" s="89"/>
      <c r="D3" s="83"/>
      <c r="E3" s="89"/>
      <c r="F3" s="83"/>
      <c r="G3" s="89"/>
      <c r="H3" s="83">
        <f>I3/$I$2</f>
        <v>0</v>
      </c>
      <c r="I3" s="89"/>
      <c r="J3" s="90"/>
      <c r="K3" s="168"/>
    </row>
    <row r="4" spans="1:11" ht="15.75" customHeight="1">
      <c r="A4" s="40" t="s">
        <v>146</v>
      </c>
      <c r="B4" s="91">
        <f>C4/$C$2</f>
        <v>0.9962990857184697</v>
      </c>
      <c r="C4" s="92">
        <f>'Estado de resultados PyG - 5 añ'!C3</f>
        <v>753769806</v>
      </c>
      <c r="D4" s="91">
        <f>E4/$E$2</f>
        <v>0.99624486485268604</v>
      </c>
      <c r="E4" s="92">
        <f>'Estado de resultados PyG - 5 añ'!E3</f>
        <v>1949969700</v>
      </c>
      <c r="F4" s="83">
        <f>G4/$G$2</f>
        <v>0.99467328823637957</v>
      </c>
      <c r="G4" s="92">
        <f>'Estado de resultados PyG - 5 añ'!G3</f>
        <v>3692646636</v>
      </c>
      <c r="H4" s="83">
        <f>I4/$I$2</f>
        <v>0.98682913803695893</v>
      </c>
      <c r="I4" s="92">
        <f>'Estado de resultados PyG - 5 añ'!I3</f>
        <v>3887680020</v>
      </c>
      <c r="J4" s="33">
        <f>K4/$K$2</f>
        <v>0.9669635553972965</v>
      </c>
      <c r="K4" s="169">
        <f>'Estado de resultados PyG - 5 añ'!K3</f>
        <v>3899259672</v>
      </c>
    </row>
    <row r="5" spans="1:11" ht="15.75" customHeight="1">
      <c r="A5" s="31" t="s">
        <v>154</v>
      </c>
      <c r="B5" s="83"/>
      <c r="C5" s="89"/>
      <c r="D5" s="83"/>
      <c r="E5" s="89"/>
      <c r="F5" s="83"/>
      <c r="G5" s="89"/>
      <c r="H5" s="83"/>
      <c r="I5" s="89"/>
      <c r="J5" s="90"/>
      <c r="K5" s="168"/>
    </row>
    <row r="6" spans="1:11" ht="15.75" customHeight="1">
      <c r="A6" s="40" t="s">
        <v>158</v>
      </c>
      <c r="B6" s="91">
        <f>C6/$C$2</f>
        <v>4.6261428519128612E-3</v>
      </c>
      <c r="C6" s="43">
        <f>'Presupuesto Inicial'!$D$21</f>
        <v>3500000</v>
      </c>
      <c r="D6" s="91">
        <f>E6/$E$2</f>
        <v>4.4703989848975615E-3</v>
      </c>
      <c r="E6" s="43">
        <f>C6*2.5</f>
        <v>8750000</v>
      </c>
      <c r="F6" s="91">
        <f>G6/$G$2</f>
        <v>5.8923802694915662E-3</v>
      </c>
      <c r="G6" s="43">
        <f>E6*2.5</f>
        <v>21875000</v>
      </c>
      <c r="H6" s="83">
        <f>I6/$I$2</f>
        <v>1.3881599876729616E-2</v>
      </c>
      <c r="I6" s="43">
        <f>G6*2.5</f>
        <v>54687500</v>
      </c>
      <c r="J6" s="41">
        <f>K6/$K$2</f>
        <v>3.3904397170262154E-2</v>
      </c>
      <c r="K6" s="169">
        <f>I6*2.5</f>
        <v>136718750</v>
      </c>
    </row>
    <row r="7" spans="1:11" ht="15.75" customHeight="1">
      <c r="A7" s="31" t="s">
        <v>159</v>
      </c>
      <c r="B7" s="83">
        <f>C7/$C$2</f>
        <v>9.2522857038257217E-4</v>
      </c>
      <c r="C7" s="43">
        <f>('Presupuesto Inicial'!J20)*12</f>
        <v>700000</v>
      </c>
      <c r="D7" s="83">
        <f>E7/$E$2</f>
        <v>7.1526383758360984E-4</v>
      </c>
      <c r="E7" s="43">
        <f>C7+$C$7</f>
        <v>1400000</v>
      </c>
      <c r="F7" s="83">
        <f>G7/$G$2</f>
        <v>5.6566850587119028E-4</v>
      </c>
      <c r="G7" s="43">
        <f>E7+$C$7</f>
        <v>2100000</v>
      </c>
      <c r="H7" s="83">
        <f>I7/$I$2</f>
        <v>7.1073791368855637E-4</v>
      </c>
      <c r="I7" s="43">
        <f>G7+$C$7</f>
        <v>2800000</v>
      </c>
      <c r="J7" s="33">
        <f>K7/$K$2</f>
        <v>8.6795256755871114E-4</v>
      </c>
      <c r="K7" s="169">
        <f>I7+$C$7</f>
        <v>3500000</v>
      </c>
    </row>
    <row r="8" spans="1:11" ht="15.75" customHeight="1">
      <c r="A8" s="31" t="s">
        <v>160</v>
      </c>
      <c r="B8" s="83">
        <f>C8/$C$2</f>
        <v>3.7009142815302887E-3</v>
      </c>
      <c r="C8" s="43">
        <f>C6-C7</f>
        <v>2800000</v>
      </c>
      <c r="D8" s="83">
        <f>E8/$E$2</f>
        <v>3.755135147313952E-3</v>
      </c>
      <c r="E8" s="92">
        <f t="shared" ref="E8:K8" si="0">E6-E7</f>
        <v>7350000</v>
      </c>
      <c r="F8" s="83">
        <f>G8/$G$2</f>
        <v>5.3267117636203757E-3</v>
      </c>
      <c r="G8" s="92">
        <f t="shared" si="0"/>
        <v>19775000</v>
      </c>
      <c r="H8" s="83">
        <f>I8/$I$2</f>
        <v>1.3170861963041059E-2</v>
      </c>
      <c r="I8" s="92">
        <f t="shared" si="0"/>
        <v>51887500</v>
      </c>
      <c r="J8" s="33">
        <f>K8/$K$2</f>
        <v>3.3036444602703441E-2</v>
      </c>
      <c r="K8" s="169">
        <f t="shared" si="0"/>
        <v>133218750</v>
      </c>
    </row>
    <row r="9" spans="1:11" ht="15.75" customHeight="1">
      <c r="A9" s="31" t="s">
        <v>161</v>
      </c>
      <c r="B9" s="83">
        <f>C9/$C$9</f>
        <v>1</v>
      </c>
      <c r="C9" s="59">
        <f>SUM(C11:C14)</f>
        <v>336074932.88440001</v>
      </c>
      <c r="D9" s="83">
        <f>E9/$E$9</f>
        <v>1</v>
      </c>
      <c r="E9" s="59">
        <f>SUM(E11:E14)</f>
        <v>729536219.02879786</v>
      </c>
      <c r="F9" s="83">
        <f>G9/$G$9</f>
        <v>1</v>
      </c>
      <c r="G9" s="59">
        <f>SUM(G11:G14)</f>
        <v>1322357750.5944054</v>
      </c>
      <c r="H9" s="83">
        <f>I9/$I$9</f>
        <v>1</v>
      </c>
      <c r="I9" s="59">
        <f>SUM(I11:I14)</f>
        <v>1388980474.4800129</v>
      </c>
      <c r="J9" s="33">
        <f>K9/$K$9</f>
        <v>1</v>
      </c>
      <c r="K9" s="167">
        <f>SUM(K11:K14)</f>
        <v>1393042105.4902561</v>
      </c>
    </row>
    <row r="10" spans="1:11" ht="15.75" customHeight="1">
      <c r="A10" s="31" t="s">
        <v>162</v>
      </c>
      <c r="B10" s="83"/>
      <c r="C10" s="89"/>
      <c r="D10" s="83"/>
      <c r="E10" s="89"/>
      <c r="F10" s="83"/>
      <c r="G10" s="89"/>
      <c r="H10" s="83"/>
      <c r="I10" s="89"/>
      <c r="J10" s="90"/>
      <c r="K10" s="168"/>
    </row>
    <row r="11" spans="1:11" ht="15.75" customHeight="1">
      <c r="A11" s="40" t="s">
        <v>257</v>
      </c>
      <c r="B11" s="91">
        <f>C11/$C$9</f>
        <v>2.1709444192642632E-3</v>
      </c>
      <c r="C11" s="43">
        <f>'Flujo de caja - 5 años'!E6</f>
        <v>729600</v>
      </c>
      <c r="D11" s="91">
        <f>E11/$E$9</f>
        <v>1.0600926723412915E-3</v>
      </c>
      <c r="E11" s="43">
        <f>'Flujo de caja - 5 años'!G6</f>
        <v>773376</v>
      </c>
      <c r="F11" s="91">
        <f>G11/$G$9</f>
        <v>5.8484627148165029E-4</v>
      </c>
      <c r="G11" s="43">
        <f>'Flujo de caja - 5 años'!I6</f>
        <v>773376</v>
      </c>
      <c r="H11" s="91">
        <f>I11/$I$9</f>
        <v>5.567940040982403E-4</v>
      </c>
      <c r="I11" s="43">
        <f>'Flujo de caja - 5 años'!K6</f>
        <v>773376</v>
      </c>
      <c r="J11" s="41">
        <f>K11/$K$9</f>
        <v>5.551705845444092E-4</v>
      </c>
      <c r="K11" s="169">
        <f>'Flujo de caja - 5 años'!M6</f>
        <v>773376</v>
      </c>
    </row>
    <row r="12" spans="1:11" ht="15.75" customHeight="1">
      <c r="A12" s="40" t="s">
        <v>258</v>
      </c>
      <c r="B12" s="91">
        <f>C12/$C$9</f>
        <v>0.70938495289631986</v>
      </c>
      <c r="C12" s="43">
        <f>'Flujo de caja - 5 años'!E9</f>
        <v>238406500.43383396</v>
      </c>
      <c r="D12" s="91">
        <f>E12/$E$9</f>
        <v>0.85808992721779809</v>
      </c>
      <c r="E12" s="43">
        <f>'Flujo de caja - 5 años'!G9</f>
        <v>626007681.08916879</v>
      </c>
      <c r="F12" s="91">
        <f>G12/$G$9</f>
        <v>0.92134259276435049</v>
      </c>
      <c r="G12" s="43">
        <f>'Flujo de caja - 5 años'!I9</f>
        <v>1218344518.4946837</v>
      </c>
      <c r="H12" s="91">
        <f>I12/$I$9</f>
        <v>0.92476645411524994</v>
      </c>
      <c r="I12" s="43">
        <f>'Flujo de caja - 5 años'!K9</f>
        <v>1284482548.2201989</v>
      </c>
      <c r="J12" s="41">
        <f>K12/$K$9</f>
        <v>0.92484663348563545</v>
      </c>
      <c r="K12" s="169">
        <f>'Flujo de caja - 5 años'!M9</f>
        <v>1288350301.5664048</v>
      </c>
    </row>
    <row r="13" spans="1:11" ht="15.75" customHeight="1">
      <c r="A13" s="40" t="s">
        <v>259</v>
      </c>
      <c r="B13" s="91">
        <f>C13/$C$9</f>
        <v>0.27658924643457949</v>
      </c>
      <c r="C13" s="43">
        <f>'Flujo de caja - 5 años'!E3</f>
        <v>92954712.432048082</v>
      </c>
      <c r="D13" s="91">
        <f>E13/$E$9</f>
        <v>0.1350611417911117</v>
      </c>
      <c r="E13" s="43">
        <f>'Flujo de caja - 5 años'!G3</f>
        <v>98531994.719999999</v>
      </c>
      <c r="F13" s="91">
        <f>G13/$G$9</f>
        <v>7.4863831845429524E-2</v>
      </c>
      <c r="G13" s="43">
        <f>'Flujo de caja - 5 años'!I3</f>
        <v>98996768.280000001</v>
      </c>
      <c r="H13" s="91">
        <f>I13/$I$9</f>
        <v>7.1607588204027864E-2</v>
      </c>
      <c r="I13" s="43">
        <f>'Flujo de caja - 5 años'!K3</f>
        <v>99461541.840000004</v>
      </c>
      <c r="J13" s="41">
        <f>K13/$K$9</f>
        <v>7.1532260849309276E-2</v>
      </c>
      <c r="K13" s="169">
        <f>'Flujo de caja - 5 años'!M3</f>
        <v>99647451.263999999</v>
      </c>
    </row>
    <row r="14" spans="1:11" ht="15.75" customHeight="1">
      <c r="A14" s="40" t="s">
        <v>260</v>
      </c>
      <c r="B14" s="91">
        <f>C14/$C$9</f>
        <v>1.1854856249836338E-2</v>
      </c>
      <c r="C14" s="43">
        <f>'Flujo de caja - 5 años'!E4+'Flujo de caja - 5 años'!E5+'Flujo de caja - 5 años'!E8</f>
        <v>3984120.0185179571</v>
      </c>
      <c r="D14" s="91">
        <f>E14/$E$9</f>
        <v>5.7888383187488165E-3</v>
      </c>
      <c r="E14" s="43">
        <f>'Flujo de caja - 5 años'!G4+'Flujo de caja - 5 años'!G5+'Flujo de caja - 5 años'!G8</f>
        <v>4223167.2196290344</v>
      </c>
      <c r="F14" s="91">
        <f>G14/$G$9</f>
        <v>3.2087291187383581E-3</v>
      </c>
      <c r="G14" s="43">
        <f>'Flujo de caja - 5 años'!I4+'Flujo de caja - 5 años'!I5+'Flujo de caja - 5 años'!I8</f>
        <v>4243087.8197216243</v>
      </c>
      <c r="H14" s="91">
        <f>I14/$I$9</f>
        <v>3.0691636766241367E-3</v>
      </c>
      <c r="I14" s="43">
        <f>'Flujo de caja - 5 años'!K4+'Flujo de caja - 5 años'!K5+'Flujo de caja - 5 años'!K8</f>
        <v>4263008.4198142141</v>
      </c>
      <c r="J14" s="41">
        <f>K14/$K$9</f>
        <v>3.0659350805108342E-3</v>
      </c>
      <c r="K14" s="169">
        <f>'Flujo de caja - 5 años'!M4+'Flujo de caja - 5 años'!M5+'Flujo de caja - 5 años'!M8</f>
        <v>4270976.6598512502</v>
      </c>
    </row>
    <row r="15" spans="1:11" ht="15.75" customHeight="1">
      <c r="A15" s="31" t="s">
        <v>163</v>
      </c>
      <c r="B15" s="83">
        <f>C15/$C$15</f>
        <v>1</v>
      </c>
      <c r="C15" s="59">
        <f>C16</f>
        <v>420494873.11559999</v>
      </c>
      <c r="D15" s="83">
        <f>E15/$E$15</f>
        <v>1</v>
      </c>
      <c r="E15" s="59">
        <f>E16</f>
        <v>1227783480.9712021</v>
      </c>
      <c r="F15" s="83">
        <f>G15/$G$15</f>
        <v>1</v>
      </c>
      <c r="G15" s="59">
        <f>G16</f>
        <v>2390063885.4055948</v>
      </c>
      <c r="H15" s="83">
        <f>I15/$I$15</f>
        <v>1</v>
      </c>
      <c r="I15" s="59">
        <f>I16</f>
        <v>2550587045.5199871</v>
      </c>
      <c r="J15" s="33">
        <f>K15/$K$15</f>
        <v>1</v>
      </c>
      <c r="K15" s="167">
        <f>K16</f>
        <v>2639436316.5097437</v>
      </c>
    </row>
    <row r="16" spans="1:11" ht="15.75" customHeight="1">
      <c r="A16" s="40" t="s">
        <v>164</v>
      </c>
      <c r="B16" s="91">
        <f>C16/$C$15</f>
        <v>1</v>
      </c>
      <c r="C16" s="42">
        <f>C2-C9</f>
        <v>420494873.11559999</v>
      </c>
      <c r="D16" s="91">
        <f>E16/$E$15</f>
        <v>1</v>
      </c>
      <c r="E16" s="42">
        <f>E2-E9</f>
        <v>1227783480.9712021</v>
      </c>
      <c r="F16" s="91">
        <f>G16/$G$15</f>
        <v>1</v>
      </c>
      <c r="G16" s="42">
        <f>G2-G9</f>
        <v>2390063885.4055948</v>
      </c>
      <c r="H16" s="91">
        <f>I16/$I$15</f>
        <v>1</v>
      </c>
      <c r="I16" s="42">
        <f>I2-I9</f>
        <v>2550587045.5199871</v>
      </c>
      <c r="J16" s="41">
        <f>K16/$K$15</f>
        <v>1</v>
      </c>
      <c r="K16" s="170">
        <f>K2-K9</f>
        <v>2639436316.5097437</v>
      </c>
    </row>
  </sheetData>
  <mergeCells count="5">
    <mergeCell ref="B1:C1"/>
    <mergeCell ref="D1:E1"/>
    <mergeCell ref="F1:G1"/>
    <mergeCell ref="H1:I1"/>
    <mergeCell ref="J1:K1"/>
  </mergeCells>
  <conditionalFormatting sqref="A1:K1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3" sqref="C13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18" bestFit="1" customWidth="1"/>
  </cols>
  <sheetData>
    <row r="1" spans="1:15" ht="15.75" customHeight="1">
      <c r="A1" s="80" t="s">
        <v>125</v>
      </c>
      <c r="B1" s="80" t="s">
        <v>126</v>
      </c>
      <c r="C1" s="84" t="s">
        <v>243</v>
      </c>
      <c r="E1" t="s">
        <v>133</v>
      </c>
      <c r="F1" t="s">
        <v>134</v>
      </c>
      <c r="H1" t="s">
        <v>135</v>
      </c>
    </row>
    <row r="2" spans="1:15" ht="15.75" customHeight="1">
      <c r="A2" s="86" t="s">
        <v>136</v>
      </c>
      <c r="B2" s="87">
        <v>0</v>
      </c>
      <c r="C2" s="118"/>
      <c r="E2">
        <v>6</v>
      </c>
      <c r="F2">
        <v>2109</v>
      </c>
      <c r="H2" t="s">
        <v>138</v>
      </c>
      <c r="I2">
        <v>160650</v>
      </c>
      <c r="K2" t="s">
        <v>175</v>
      </c>
      <c r="N2" t="s">
        <v>176</v>
      </c>
      <c r="O2">
        <v>315000</v>
      </c>
    </row>
    <row r="3" spans="1:15" ht="15.75" customHeight="1">
      <c r="A3" s="86" t="s">
        <v>67</v>
      </c>
      <c r="B3" s="87">
        <f t="shared" ref="B3:B8" si="0">F3</f>
        <v>2671</v>
      </c>
      <c r="C3" s="118">
        <f>B3*(20400+(20400*0.19))</f>
        <v>64841196</v>
      </c>
      <c r="E3">
        <v>7</v>
      </c>
      <c r="F3">
        <v>2671</v>
      </c>
      <c r="H3" t="s">
        <v>140</v>
      </c>
      <c r="I3">
        <v>24</v>
      </c>
      <c r="K3" t="s">
        <v>177</v>
      </c>
      <c r="L3" s="99">
        <v>0.32</v>
      </c>
    </row>
    <row r="4" spans="1:15" ht="15.75" customHeight="1">
      <c r="A4" s="86" t="s">
        <v>68</v>
      </c>
      <c r="B4" s="87">
        <f t="shared" si="0"/>
        <v>3380</v>
      </c>
      <c r="C4" s="118">
        <f t="shared" ref="C4:C13" si="1">B4*(20400+(20400*0.19))</f>
        <v>82052880</v>
      </c>
      <c r="E4">
        <v>8</v>
      </c>
      <c r="F4">
        <v>3380</v>
      </c>
      <c r="H4" t="s">
        <v>143</v>
      </c>
      <c r="I4">
        <v>0.24</v>
      </c>
      <c r="K4" t="s">
        <v>178</v>
      </c>
      <c r="L4" s="99">
        <v>0.51</v>
      </c>
    </row>
    <row r="5" spans="1:15" ht="15.75" customHeight="1">
      <c r="A5" s="86" t="s">
        <v>69</v>
      </c>
      <c r="B5" s="87">
        <f t="shared" si="0"/>
        <v>4273</v>
      </c>
      <c r="C5" s="118">
        <f t="shared" si="1"/>
        <v>103731348</v>
      </c>
      <c r="E5">
        <v>9</v>
      </c>
      <c r="F5">
        <v>4273</v>
      </c>
      <c r="K5" t="s">
        <v>179</v>
      </c>
      <c r="L5" s="99">
        <v>0.16</v>
      </c>
    </row>
    <row r="6" spans="1:15" ht="15.75" customHeight="1">
      <c r="A6" s="86" t="s">
        <v>70</v>
      </c>
      <c r="B6" s="87">
        <f t="shared" si="0"/>
        <v>5393</v>
      </c>
      <c r="C6" s="118">
        <f t="shared" si="1"/>
        <v>130920468</v>
      </c>
      <c r="E6">
        <v>10</v>
      </c>
      <c r="F6">
        <v>5393</v>
      </c>
    </row>
    <row r="7" spans="1:15" ht="15.75" customHeight="1">
      <c r="A7" s="86" t="s">
        <v>71</v>
      </c>
      <c r="B7" s="87">
        <f t="shared" si="0"/>
        <v>6794</v>
      </c>
      <c r="C7" s="118">
        <f t="shared" si="1"/>
        <v>164931144</v>
      </c>
      <c r="E7">
        <v>11</v>
      </c>
      <c r="F7">
        <v>6794</v>
      </c>
    </row>
    <row r="8" spans="1:15" ht="15.75" customHeight="1">
      <c r="A8" s="86" t="s">
        <v>72</v>
      </c>
      <c r="B8" s="87">
        <f t="shared" si="0"/>
        <v>8539</v>
      </c>
      <c r="C8" s="118">
        <f t="shared" si="1"/>
        <v>207292764</v>
      </c>
      <c r="D8" t="s">
        <v>180</v>
      </c>
      <c r="E8">
        <v>12</v>
      </c>
      <c r="F8">
        <v>8539</v>
      </c>
    </row>
    <row r="9" spans="1:15" ht="15.75" customHeight="1">
      <c r="A9" s="86" t="s">
        <v>74</v>
      </c>
      <c r="B9" s="87">
        <f>F8</f>
        <v>8539</v>
      </c>
      <c r="C9" s="118">
        <f t="shared" si="1"/>
        <v>207292764</v>
      </c>
      <c r="D9" t="s">
        <v>181</v>
      </c>
      <c r="E9">
        <v>24</v>
      </c>
      <c r="F9">
        <v>80325</v>
      </c>
    </row>
    <row r="10" spans="1:15" ht="15.75" customHeight="1">
      <c r="A10" s="86" t="s">
        <v>75</v>
      </c>
      <c r="B10" s="87">
        <f>F9</f>
        <v>80325</v>
      </c>
      <c r="C10" s="118">
        <f t="shared" si="1"/>
        <v>1949969700</v>
      </c>
      <c r="D10" t="s">
        <v>182</v>
      </c>
      <c r="E10">
        <v>36</v>
      </c>
      <c r="F10">
        <v>152111</v>
      </c>
    </row>
    <row r="11" spans="1:15" ht="15.75" customHeight="1">
      <c r="A11" s="86" t="s">
        <v>76</v>
      </c>
      <c r="B11" s="87">
        <f>F10</f>
        <v>152111</v>
      </c>
      <c r="C11" s="118">
        <f t="shared" si="1"/>
        <v>3692646636</v>
      </c>
      <c r="D11" t="s">
        <v>183</v>
      </c>
      <c r="E11">
        <v>48</v>
      </c>
      <c r="F11">
        <v>160145</v>
      </c>
    </row>
    <row r="12" spans="1:15" ht="15.75" customHeight="1">
      <c r="A12" s="86" t="s">
        <v>78</v>
      </c>
      <c r="B12" s="87">
        <f>F11</f>
        <v>160145</v>
      </c>
      <c r="C12" s="118">
        <f t="shared" si="1"/>
        <v>3887680020</v>
      </c>
      <c r="D12" t="s">
        <v>184</v>
      </c>
      <c r="E12">
        <v>60</v>
      </c>
      <c r="F12">
        <v>160622</v>
      </c>
    </row>
    <row r="13" spans="1:15" ht="15.75" customHeight="1">
      <c r="A13" s="86" t="s">
        <v>79</v>
      </c>
      <c r="B13" s="87">
        <f>F12</f>
        <v>160622</v>
      </c>
      <c r="C13" s="118">
        <f t="shared" si="1"/>
        <v>3899259672</v>
      </c>
    </row>
    <row r="14" spans="1:15" ht="15.75" customHeight="1">
      <c r="A14" s="11"/>
    </row>
    <row r="15" spans="1:15" ht="15.75" customHeight="1">
      <c r="A15" s="1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81"/>
      <c r="B1" s="82" t="s">
        <v>128</v>
      </c>
      <c r="C1" s="82" t="s">
        <v>129</v>
      </c>
      <c r="D1" s="82" t="s">
        <v>130</v>
      </c>
      <c r="E1" s="82" t="s">
        <v>131</v>
      </c>
    </row>
    <row r="2" spans="1:6" ht="15.75" customHeight="1">
      <c r="A2" s="82" t="s">
        <v>132</v>
      </c>
      <c r="B2" s="88">
        <v>257331</v>
      </c>
      <c r="C2" s="88">
        <v>142971</v>
      </c>
      <c r="D2" s="88">
        <v>142971</v>
      </c>
      <c r="E2" s="88">
        <v>142971</v>
      </c>
    </row>
    <row r="3" spans="1:6" ht="15.75" customHeight="1">
      <c r="A3" s="82" t="s">
        <v>137</v>
      </c>
      <c r="B3" s="88">
        <v>74360</v>
      </c>
      <c r="C3" s="88">
        <v>20020</v>
      </c>
      <c r="D3" s="88">
        <v>20020</v>
      </c>
      <c r="E3" s="88">
        <v>0</v>
      </c>
    </row>
    <row r="4" spans="1:6" ht="15.75" customHeight="1">
      <c r="A4" s="82" t="s">
        <v>139</v>
      </c>
      <c r="B4" s="88">
        <f>SUM(B2:B3)*0.02</f>
        <v>6633.82</v>
      </c>
      <c r="C4" s="88">
        <f>SUM(C2:C3)*0.02</f>
        <v>3259.82</v>
      </c>
      <c r="D4" s="88">
        <f>SUM(D2:D3)*0.02</f>
        <v>3259.82</v>
      </c>
      <c r="E4" s="88">
        <f>SUM(E2:E3)*0.02</f>
        <v>2859.42</v>
      </c>
    </row>
    <row r="5" spans="1:6" ht="15.75" customHeight="1">
      <c r="A5" s="82" t="s">
        <v>142</v>
      </c>
      <c r="B5" s="88">
        <f>SUM(B2:B4)</f>
        <v>338324.82</v>
      </c>
      <c r="C5" s="88">
        <f>SUM(C2:C4)</f>
        <v>166250.82</v>
      </c>
      <c r="D5" s="88">
        <f>SUM(D2:D4)</f>
        <v>166250.82</v>
      </c>
      <c r="E5" s="88">
        <f>SUM(E2:E4)</f>
        <v>145830.42000000001</v>
      </c>
    </row>
    <row r="6" spans="1:6" ht="15.75" customHeight="1">
      <c r="A6" s="82" t="s">
        <v>144</v>
      </c>
      <c r="B6" s="88">
        <v>350000</v>
      </c>
      <c r="C6" s="88">
        <v>180000</v>
      </c>
      <c r="D6" s="88">
        <v>175000</v>
      </c>
      <c r="E6" s="88">
        <v>160000</v>
      </c>
    </row>
    <row r="7" spans="1:6" ht="15.75" customHeight="1">
      <c r="A7" s="82" t="s">
        <v>145</v>
      </c>
      <c r="B7" s="88">
        <f>((B6/B5)-1)*100</f>
        <v>3.4508789511807025</v>
      </c>
      <c r="C7" s="88">
        <f>((C6/C5)-1)*100</f>
        <v>8.2701426675669829</v>
      </c>
      <c r="D7" s="88">
        <f>((D6/D5)-1)*100</f>
        <v>5.2626387045790146</v>
      </c>
      <c r="E7" s="88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147</v>
      </c>
      <c r="C1" s="1" t="s">
        <v>148</v>
      </c>
      <c r="D1" s="1" t="s">
        <v>149</v>
      </c>
    </row>
    <row r="2" spans="1:4" ht="15.75" customHeight="1">
      <c r="A2" s="93" t="s">
        <v>150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93" t="s">
        <v>151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93" t="s">
        <v>152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93" t="s">
        <v>153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93" t="s">
        <v>155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93" t="s">
        <v>156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93" t="s">
        <v>157</v>
      </c>
      <c r="B8" s="14">
        <f>AVERAGE(B2:B7)</f>
        <v>1950000</v>
      </c>
      <c r="C8" s="95">
        <f>AVERAGE(C2:C7)</f>
        <v>78.5</v>
      </c>
      <c r="D8" s="14">
        <f>AVERAGE(D2:D7)</f>
        <v>25758.479963906324</v>
      </c>
    </row>
    <row r="9" spans="1:4" ht="15.75" customHeight="1">
      <c r="A9" s="25"/>
    </row>
    <row r="10" spans="1:4" ht="15.75" customHeight="1">
      <c r="A1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Presupuesto Inicial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Balance General</vt:lpstr>
      <vt:lpstr>Tabla Crecimiento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Usuario de Windows</cp:lastModifiedBy>
  <dcterms:created xsi:type="dcterms:W3CDTF">2017-04-30T17:28:42Z</dcterms:created>
  <dcterms:modified xsi:type="dcterms:W3CDTF">2017-05-01T23:24:46Z</dcterms:modified>
</cp:coreProperties>
</file>