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9.xml" ContentType="application/vnd.openxmlformats-officedocument.drawing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0.xml" ContentType="application/vnd.openxmlformats-officedocument.drawing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pa_\OneDrive\Desktop\Code\EXCEL\Project\workspace\"/>
    </mc:Choice>
  </mc:AlternateContent>
  <xr:revisionPtr revIDLastSave="0" documentId="13_ncr:1_{070E812A-780B-47A9-A67F-1E4068F84E6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ayroll" sheetId="1" r:id="rId1"/>
    <sheet name="Gradebook" sheetId="3" r:id="rId2"/>
    <sheet name="Decision Making" sheetId="4" r:id="rId3"/>
    <sheet name="Sales Database" sheetId="5" r:id="rId4"/>
    <sheet name="Sales Report" sheetId="6" r:id="rId5"/>
    <sheet name="Car Inventory" sheetId="9" r:id="rId6"/>
    <sheet name="Inventory Report" sheetId="10" r:id="rId7"/>
    <sheet name="Loan Comparsion" sheetId="11" r:id="rId8"/>
    <sheet name="Price Comparsion" sheetId="12" r:id="rId9"/>
    <sheet name="Pet Comparsion" sheetId="13" r:id="rId10"/>
    <sheet name="Vacation Cost Comparsion" sheetId="14" r:id="rId11"/>
    <sheet name="Printer Cost Compersion" sheetId="15" r:id="rId12"/>
    <sheet name="Car Cost Comparsion" sheetId="16" r:id="rId13"/>
  </sheets>
  <definedNames>
    <definedName name="_xlnm._FilterDatabase" localSheetId="3" hidden="1">'Sales Database'!$A$1:$K$172</definedName>
    <definedName name="_xlchart.v1.0" hidden="1">Gradebook!$C$4:$C$23</definedName>
  </definedNames>
  <calcPr calcId="191029"/>
  <pivotCaches>
    <pivotCache cacheId="0" r:id="rId14"/>
    <pivotCache cacheId="1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6" i="5" l="1"/>
  <c r="F175" i="5"/>
  <c r="F174" i="5"/>
  <c r="H2" i="5"/>
  <c r="L8" i="4"/>
  <c r="C5" i="4"/>
  <c r="K5" i="4"/>
  <c r="K6" i="4"/>
  <c r="K7" i="4"/>
  <c r="K8" i="4"/>
  <c r="K9" i="4"/>
  <c r="K10" i="4"/>
  <c r="K11" i="4"/>
  <c r="K12" i="4"/>
  <c r="K13" i="4"/>
  <c r="K14" i="4"/>
  <c r="L5" i="4"/>
  <c r="K16" i="4"/>
  <c r="K17" i="4"/>
  <c r="K18" i="4"/>
  <c r="M4" i="3"/>
  <c r="I4" i="3"/>
  <c r="H4" i="3"/>
  <c r="AD6" i="1"/>
  <c r="X6" i="1"/>
  <c r="S6" i="1"/>
  <c r="D30" i="1"/>
  <c r="D29" i="1"/>
  <c r="D28" i="1"/>
  <c r="D27" i="1"/>
  <c r="E30" i="1"/>
  <c r="F30" i="1"/>
  <c r="G30" i="1"/>
  <c r="H30" i="1"/>
  <c r="I30" i="1"/>
  <c r="J30" i="1"/>
  <c r="K30" i="1"/>
  <c r="L30" i="1"/>
  <c r="M30" i="1"/>
  <c r="S30" i="1"/>
  <c r="T30" i="1"/>
  <c r="U30" i="1"/>
  <c r="V30" i="1"/>
  <c r="W30" i="1"/>
  <c r="E27" i="1"/>
  <c r="F27" i="1"/>
  <c r="G27" i="1"/>
  <c r="H27" i="1"/>
  <c r="E28" i="1"/>
  <c r="F28" i="1"/>
  <c r="G28" i="1"/>
  <c r="H28" i="1"/>
  <c r="H30" i="16"/>
  <c r="I30" i="16"/>
  <c r="G30" i="16"/>
  <c r="H27" i="16"/>
  <c r="I27" i="16"/>
  <c r="G27" i="16"/>
  <c r="H25" i="16"/>
  <c r="I25" i="16"/>
  <c r="G25" i="16"/>
  <c r="B25" i="16"/>
  <c r="I23" i="16"/>
  <c r="H23" i="16"/>
  <c r="G23" i="16"/>
  <c r="H18" i="16"/>
  <c r="I18" i="16"/>
  <c r="G18" i="16"/>
  <c r="B18" i="16"/>
  <c r="B27" i="16"/>
  <c r="B30" i="16" s="1"/>
  <c r="H3" i="16"/>
  <c r="I3" i="16"/>
  <c r="G3" i="16"/>
  <c r="H2" i="16"/>
  <c r="I2" i="16"/>
  <c r="G2" i="16"/>
  <c r="B3" i="16"/>
  <c r="C3" i="16"/>
  <c r="D3" i="16"/>
  <c r="B15" i="16"/>
  <c r="C15" i="16"/>
  <c r="D15" i="16"/>
  <c r="G15" i="16"/>
  <c r="H15" i="16"/>
  <c r="I15" i="16"/>
  <c r="B16" i="16"/>
  <c r="C16" i="16"/>
  <c r="D16" i="16"/>
  <c r="G16" i="16"/>
  <c r="H16" i="16"/>
  <c r="I16" i="16"/>
  <c r="C18" i="16"/>
  <c r="D18" i="16"/>
  <c r="B23" i="16"/>
  <c r="C23" i="16"/>
  <c r="D23" i="16"/>
  <c r="C25" i="16"/>
  <c r="D25" i="16"/>
  <c r="C27" i="16"/>
  <c r="D27" i="16"/>
  <c r="C30" i="16"/>
  <c r="D30" i="16"/>
  <c r="B18" i="4"/>
  <c r="D19" i="15"/>
  <c r="C19" i="15"/>
  <c r="B19" i="15"/>
  <c r="D17" i="15"/>
  <c r="C17" i="15"/>
  <c r="B17" i="15"/>
  <c r="D15" i="15"/>
  <c r="C15" i="15"/>
  <c r="B15" i="15"/>
  <c r="D14" i="15"/>
  <c r="C14" i="15"/>
  <c r="B14" i="15"/>
  <c r="I19" i="15"/>
  <c r="H19" i="15"/>
  <c r="G19" i="15"/>
  <c r="I17" i="15"/>
  <c r="H17" i="15"/>
  <c r="G17" i="15"/>
  <c r="I15" i="15"/>
  <c r="H15" i="15"/>
  <c r="G15" i="15"/>
  <c r="I14" i="15"/>
  <c r="H14" i="15"/>
  <c r="G14" i="15"/>
  <c r="H13" i="15"/>
  <c r="I13" i="15"/>
  <c r="G13" i="15"/>
  <c r="I6" i="15"/>
  <c r="H6" i="15"/>
  <c r="G6" i="15"/>
  <c r="C13" i="15"/>
  <c r="D13" i="15"/>
  <c r="B13" i="15"/>
  <c r="C6" i="15"/>
  <c r="B6" i="15"/>
  <c r="B11" i="15"/>
  <c r="D6" i="15"/>
  <c r="G11" i="15"/>
  <c r="H35" i="14"/>
  <c r="G35" i="14"/>
  <c r="B35" i="14"/>
  <c r="H31" i="14"/>
  <c r="G31" i="14"/>
  <c r="H26" i="14"/>
  <c r="H27" i="14" s="1"/>
  <c r="G26" i="14"/>
  <c r="G27" i="14" s="1"/>
  <c r="H20" i="14"/>
  <c r="H21" i="14" s="1"/>
  <c r="H22" i="14" s="1"/>
  <c r="I20" i="14"/>
  <c r="I21" i="14" s="1"/>
  <c r="I22" i="14" s="1"/>
  <c r="I35" i="14"/>
  <c r="I31" i="14"/>
  <c r="I26" i="14"/>
  <c r="I27" i="14" s="1"/>
  <c r="G20" i="14"/>
  <c r="G21" i="14" s="1"/>
  <c r="G22" i="14" s="1"/>
  <c r="C35" i="14"/>
  <c r="B31" i="14"/>
  <c r="B26" i="14"/>
  <c r="D35" i="14"/>
  <c r="C31" i="14"/>
  <c r="D31" i="14"/>
  <c r="B27" i="14"/>
  <c r="C26" i="14"/>
  <c r="C27" i="14" s="1"/>
  <c r="D26" i="14"/>
  <c r="D27" i="14" s="1"/>
  <c r="C20" i="14"/>
  <c r="C21" i="14" s="1"/>
  <c r="C22" i="14" s="1"/>
  <c r="D20" i="14"/>
  <c r="D21" i="14" s="1"/>
  <c r="D22" i="14" s="1"/>
  <c r="B20" i="14"/>
  <c r="B21" i="14" s="1"/>
  <c r="B22" i="14" s="1"/>
  <c r="C19" i="13"/>
  <c r="B19" i="13"/>
  <c r="C17" i="13"/>
  <c r="B17" i="13"/>
  <c r="C16" i="13"/>
  <c r="B16" i="13"/>
  <c r="C10" i="13"/>
  <c r="B10" i="13"/>
  <c r="N11" i="12"/>
  <c r="M11" i="12"/>
  <c r="M2" i="12"/>
  <c r="L3" i="12"/>
  <c r="M3" i="12"/>
  <c r="N3" i="12"/>
  <c r="L4" i="12"/>
  <c r="M4" i="12"/>
  <c r="N4" i="12"/>
  <c r="L5" i="12"/>
  <c r="M5" i="12"/>
  <c r="N5" i="12"/>
  <c r="L6" i="12"/>
  <c r="M6" i="12"/>
  <c r="N6" i="12"/>
  <c r="L7" i="12"/>
  <c r="M7" i="12"/>
  <c r="N7" i="12"/>
  <c r="L8" i="12"/>
  <c r="M8" i="12"/>
  <c r="N8" i="12"/>
  <c r="L9" i="12"/>
  <c r="M9" i="12"/>
  <c r="N9" i="12"/>
  <c r="L10" i="12"/>
  <c r="M10" i="12"/>
  <c r="N10" i="12"/>
  <c r="L11" i="12"/>
  <c r="L12" i="12"/>
  <c r="M12" i="12"/>
  <c r="N12" i="12"/>
  <c r="L13" i="12"/>
  <c r="M13" i="12"/>
  <c r="N13" i="12"/>
  <c r="L14" i="12"/>
  <c r="M14" i="12"/>
  <c r="N14" i="12"/>
  <c r="L15" i="12"/>
  <c r="M15" i="12"/>
  <c r="N15" i="12"/>
  <c r="L16" i="12"/>
  <c r="M16" i="12"/>
  <c r="N16" i="12"/>
  <c r="N2" i="12"/>
  <c r="L2" i="12"/>
  <c r="G3" i="12"/>
  <c r="H3" i="12"/>
  <c r="I3" i="12"/>
  <c r="G4" i="12"/>
  <c r="H4" i="12"/>
  <c r="I4" i="12"/>
  <c r="G5" i="12"/>
  <c r="H5" i="12"/>
  <c r="I5" i="12"/>
  <c r="G6" i="12"/>
  <c r="H6" i="12"/>
  <c r="I6" i="12"/>
  <c r="G7" i="12"/>
  <c r="H7" i="12"/>
  <c r="I7" i="12"/>
  <c r="G8" i="12"/>
  <c r="H8" i="12"/>
  <c r="I8" i="12"/>
  <c r="G9" i="12"/>
  <c r="H9" i="12"/>
  <c r="I9" i="12"/>
  <c r="G10" i="12"/>
  <c r="H10" i="12"/>
  <c r="I10" i="12"/>
  <c r="G11" i="12"/>
  <c r="H11" i="12"/>
  <c r="I11" i="12"/>
  <c r="G12" i="12"/>
  <c r="H12" i="12"/>
  <c r="I12" i="12"/>
  <c r="G13" i="12"/>
  <c r="H13" i="12"/>
  <c r="I13" i="12"/>
  <c r="G14" i="12"/>
  <c r="H14" i="12"/>
  <c r="I14" i="12"/>
  <c r="G15" i="12"/>
  <c r="H15" i="12"/>
  <c r="I15" i="12"/>
  <c r="G16" i="12"/>
  <c r="H16" i="12"/>
  <c r="I16" i="12"/>
  <c r="H2" i="12"/>
  <c r="I2" i="12"/>
  <c r="G2" i="12"/>
  <c r="O6" i="1"/>
  <c r="K6" i="1"/>
  <c r="J6" i="1"/>
  <c r="E3" i="11"/>
  <c r="F3" i="11" s="1"/>
  <c r="G3" i="11" s="1"/>
  <c r="E4" i="11"/>
  <c r="F4" i="11"/>
  <c r="G4" i="11" s="1"/>
  <c r="E5" i="11"/>
  <c r="F5" i="11" s="1"/>
  <c r="G5" i="11" s="1"/>
  <c r="E2" i="11"/>
  <c r="F2" i="11" s="1"/>
  <c r="G2" i="11" s="1"/>
  <c r="M44" i="9"/>
  <c r="M24" i="9"/>
  <c r="M35" i="9"/>
  <c r="M38" i="9"/>
  <c r="M40" i="9"/>
  <c r="M33" i="9"/>
  <c r="M28" i="9"/>
  <c r="M4" i="9"/>
  <c r="M5" i="9"/>
  <c r="M20" i="9"/>
  <c r="M6" i="9"/>
  <c r="M12" i="9"/>
  <c r="M46" i="9"/>
  <c r="M19" i="9"/>
  <c r="M3" i="9"/>
  <c r="M23" i="9"/>
  <c r="M50" i="9"/>
  <c r="M39" i="9"/>
  <c r="M31" i="9"/>
  <c r="M36" i="9"/>
  <c r="M34" i="9"/>
  <c r="M41" i="9"/>
  <c r="M15" i="9"/>
  <c r="M47" i="9"/>
  <c r="M29" i="9"/>
  <c r="M2" i="9"/>
  <c r="M9" i="9"/>
  <c r="M14" i="9"/>
  <c r="M43" i="9"/>
  <c r="M45" i="9"/>
  <c r="M52" i="9"/>
  <c r="M21" i="9"/>
  <c r="M16" i="9"/>
  <c r="M10" i="9"/>
  <c r="M11" i="9"/>
  <c r="M30" i="9"/>
  <c r="M26" i="9"/>
  <c r="M27" i="9"/>
  <c r="M49" i="9"/>
  <c r="M22" i="9"/>
  <c r="M32" i="9"/>
  <c r="M37" i="9"/>
  <c r="M18" i="9"/>
  <c r="M48" i="9"/>
  <c r="M42" i="9"/>
  <c r="M25" i="9"/>
  <c r="M51" i="9"/>
  <c r="M17" i="9"/>
  <c r="M13" i="9"/>
  <c r="M8" i="9"/>
  <c r="M7" i="9"/>
  <c r="M53" i="9"/>
  <c r="F44" i="9"/>
  <c r="G44" i="9" s="1"/>
  <c r="I44" i="9" s="1"/>
  <c r="F24" i="9"/>
  <c r="G24" i="9" s="1"/>
  <c r="I24" i="9" s="1"/>
  <c r="F35" i="9"/>
  <c r="F38" i="9"/>
  <c r="G38" i="9" s="1"/>
  <c r="I38" i="9" s="1"/>
  <c r="F40" i="9"/>
  <c r="G40" i="9" s="1"/>
  <c r="I40" i="9" s="1"/>
  <c r="F33" i="9"/>
  <c r="G33" i="9" s="1"/>
  <c r="I33" i="9" s="1"/>
  <c r="F28" i="9"/>
  <c r="G28" i="9" s="1"/>
  <c r="I28" i="9" s="1"/>
  <c r="F4" i="9"/>
  <c r="G4" i="9" s="1"/>
  <c r="I4" i="9" s="1"/>
  <c r="F5" i="9"/>
  <c r="G5" i="9" s="1"/>
  <c r="I5" i="9" s="1"/>
  <c r="F20" i="9"/>
  <c r="G20" i="9" s="1"/>
  <c r="I20" i="9" s="1"/>
  <c r="F6" i="9"/>
  <c r="G6" i="9" s="1"/>
  <c r="I6" i="9" s="1"/>
  <c r="F12" i="9"/>
  <c r="G12" i="9" s="1"/>
  <c r="I12" i="9" s="1"/>
  <c r="F46" i="9"/>
  <c r="G46" i="9" s="1"/>
  <c r="I46" i="9" s="1"/>
  <c r="F19" i="9"/>
  <c r="G19" i="9" s="1"/>
  <c r="I19" i="9" s="1"/>
  <c r="F3" i="9"/>
  <c r="G3" i="9" s="1"/>
  <c r="I3" i="9" s="1"/>
  <c r="F23" i="9"/>
  <c r="G23" i="9" s="1"/>
  <c r="I23" i="9" s="1"/>
  <c r="F50" i="9"/>
  <c r="G50" i="9" s="1"/>
  <c r="I50" i="9" s="1"/>
  <c r="F39" i="9"/>
  <c r="G39" i="9" s="1"/>
  <c r="I39" i="9" s="1"/>
  <c r="F31" i="9"/>
  <c r="F36" i="9"/>
  <c r="G36" i="9" s="1"/>
  <c r="I36" i="9" s="1"/>
  <c r="F34" i="9"/>
  <c r="G34" i="9" s="1"/>
  <c r="I34" i="9" s="1"/>
  <c r="F41" i="9"/>
  <c r="G41" i="9" s="1"/>
  <c r="I41" i="9" s="1"/>
  <c r="F15" i="9"/>
  <c r="G15" i="9" s="1"/>
  <c r="I15" i="9" s="1"/>
  <c r="F47" i="9"/>
  <c r="G47" i="9" s="1"/>
  <c r="I47" i="9" s="1"/>
  <c r="F29" i="9"/>
  <c r="G29" i="9" s="1"/>
  <c r="I29" i="9" s="1"/>
  <c r="F2" i="9"/>
  <c r="G2" i="9" s="1"/>
  <c r="I2" i="9" s="1"/>
  <c r="F9" i="9"/>
  <c r="G9" i="9" s="1"/>
  <c r="I9" i="9" s="1"/>
  <c r="F14" i="9"/>
  <c r="G14" i="9" s="1"/>
  <c r="I14" i="9" s="1"/>
  <c r="F43" i="9"/>
  <c r="G43" i="9" s="1"/>
  <c r="I43" i="9" s="1"/>
  <c r="F45" i="9"/>
  <c r="G45" i="9" s="1"/>
  <c r="I45" i="9" s="1"/>
  <c r="F52" i="9"/>
  <c r="G52" i="9" s="1"/>
  <c r="I52" i="9" s="1"/>
  <c r="F21" i="9"/>
  <c r="G21" i="9" s="1"/>
  <c r="I21" i="9" s="1"/>
  <c r="F16" i="9"/>
  <c r="G16" i="9" s="1"/>
  <c r="I16" i="9" s="1"/>
  <c r="F10" i="9"/>
  <c r="G10" i="9" s="1"/>
  <c r="I10" i="9" s="1"/>
  <c r="F11" i="9"/>
  <c r="F30" i="9"/>
  <c r="G30" i="9" s="1"/>
  <c r="I30" i="9" s="1"/>
  <c r="F26" i="9"/>
  <c r="G26" i="9" s="1"/>
  <c r="I26" i="9" s="1"/>
  <c r="F27" i="9"/>
  <c r="G27" i="9" s="1"/>
  <c r="I27" i="9" s="1"/>
  <c r="F49" i="9"/>
  <c r="F22" i="9"/>
  <c r="G22" i="9" s="1"/>
  <c r="I22" i="9" s="1"/>
  <c r="F32" i="9"/>
  <c r="G32" i="9" s="1"/>
  <c r="I32" i="9" s="1"/>
  <c r="F37" i="9"/>
  <c r="G37" i="9" s="1"/>
  <c r="I37" i="9" s="1"/>
  <c r="F18" i="9"/>
  <c r="G18" i="9" s="1"/>
  <c r="I18" i="9" s="1"/>
  <c r="F48" i="9"/>
  <c r="G48" i="9" s="1"/>
  <c r="I48" i="9" s="1"/>
  <c r="F42" i="9"/>
  <c r="G42" i="9" s="1"/>
  <c r="I42" i="9" s="1"/>
  <c r="F25" i="9"/>
  <c r="G25" i="9" s="1"/>
  <c r="I25" i="9" s="1"/>
  <c r="F51" i="9"/>
  <c r="G51" i="9" s="1"/>
  <c r="I51" i="9" s="1"/>
  <c r="F17" i="9"/>
  <c r="G17" i="9" s="1"/>
  <c r="I17" i="9" s="1"/>
  <c r="F13" i="9"/>
  <c r="G13" i="9" s="1"/>
  <c r="I13" i="9" s="1"/>
  <c r="F8" i="9"/>
  <c r="G8" i="9" s="1"/>
  <c r="I8" i="9" s="1"/>
  <c r="F7" i="9"/>
  <c r="F53" i="9"/>
  <c r="G53" i="9" s="1"/>
  <c r="I53" i="9" s="1"/>
  <c r="D44" i="9"/>
  <c r="E44" i="9" s="1"/>
  <c r="D24" i="9"/>
  <c r="E24" i="9" s="1"/>
  <c r="D35" i="9"/>
  <c r="E35" i="9" s="1"/>
  <c r="D38" i="9"/>
  <c r="E38" i="9" s="1"/>
  <c r="D40" i="9"/>
  <c r="E40" i="9" s="1"/>
  <c r="D33" i="9"/>
  <c r="E33" i="9" s="1"/>
  <c r="D28" i="9"/>
  <c r="E28" i="9" s="1"/>
  <c r="D4" i="9"/>
  <c r="E4" i="9" s="1"/>
  <c r="D5" i="9"/>
  <c r="E5" i="9" s="1"/>
  <c r="D20" i="9"/>
  <c r="E20" i="9" s="1"/>
  <c r="D6" i="9"/>
  <c r="E6" i="9" s="1"/>
  <c r="D12" i="9"/>
  <c r="E12" i="9" s="1"/>
  <c r="D46" i="9"/>
  <c r="E46" i="9" s="1"/>
  <c r="D19" i="9"/>
  <c r="E19" i="9" s="1"/>
  <c r="D3" i="9"/>
  <c r="E3" i="9" s="1"/>
  <c r="D23" i="9"/>
  <c r="E23" i="9" s="1"/>
  <c r="D50" i="9"/>
  <c r="E50" i="9" s="1"/>
  <c r="D39" i="9"/>
  <c r="E39" i="9" s="1"/>
  <c r="D31" i="9"/>
  <c r="E31" i="9" s="1"/>
  <c r="D36" i="9"/>
  <c r="E36" i="9" s="1"/>
  <c r="D34" i="9"/>
  <c r="E34" i="9" s="1"/>
  <c r="D41" i="9"/>
  <c r="E41" i="9" s="1"/>
  <c r="D15" i="9"/>
  <c r="E15" i="9" s="1"/>
  <c r="D47" i="9"/>
  <c r="E47" i="9" s="1"/>
  <c r="D29" i="9"/>
  <c r="E29" i="9" s="1"/>
  <c r="D2" i="9"/>
  <c r="E2" i="9" s="1"/>
  <c r="D9" i="9"/>
  <c r="E9" i="9" s="1"/>
  <c r="D14" i="9"/>
  <c r="E14" i="9" s="1"/>
  <c r="D43" i="9"/>
  <c r="E43" i="9" s="1"/>
  <c r="D45" i="9"/>
  <c r="E45" i="9" s="1"/>
  <c r="D52" i="9"/>
  <c r="E52" i="9" s="1"/>
  <c r="D21" i="9"/>
  <c r="E21" i="9" s="1"/>
  <c r="D16" i="9"/>
  <c r="E16" i="9" s="1"/>
  <c r="D10" i="9"/>
  <c r="E10" i="9" s="1"/>
  <c r="D11" i="9"/>
  <c r="E11" i="9" s="1"/>
  <c r="D30" i="9"/>
  <c r="E30" i="9" s="1"/>
  <c r="D26" i="9"/>
  <c r="E26" i="9" s="1"/>
  <c r="D27" i="9"/>
  <c r="E27" i="9" s="1"/>
  <c r="D49" i="9"/>
  <c r="E49" i="9" s="1"/>
  <c r="D22" i="9"/>
  <c r="E22" i="9" s="1"/>
  <c r="D32" i="9"/>
  <c r="E32" i="9" s="1"/>
  <c r="D37" i="9"/>
  <c r="E37" i="9" s="1"/>
  <c r="D18" i="9"/>
  <c r="E18" i="9" s="1"/>
  <c r="D48" i="9"/>
  <c r="E48" i="9" s="1"/>
  <c r="D42" i="9"/>
  <c r="E42" i="9" s="1"/>
  <c r="D25" i="9"/>
  <c r="E25" i="9" s="1"/>
  <c r="D51" i="9"/>
  <c r="E51" i="9" s="1"/>
  <c r="D17" i="9"/>
  <c r="E17" i="9" s="1"/>
  <c r="D13" i="9"/>
  <c r="E13" i="9" s="1"/>
  <c r="D8" i="9"/>
  <c r="E8" i="9" s="1"/>
  <c r="D7" i="9"/>
  <c r="E7" i="9" s="1"/>
  <c r="D53" i="9"/>
  <c r="E53" i="9" s="1"/>
  <c r="B44" i="9"/>
  <c r="B24" i="9"/>
  <c r="B35" i="9"/>
  <c r="C35" i="9" s="1"/>
  <c r="B38" i="9"/>
  <c r="B40" i="9"/>
  <c r="C40" i="9" s="1"/>
  <c r="B33" i="9"/>
  <c r="B28" i="9"/>
  <c r="C28" i="9" s="1"/>
  <c r="B4" i="9"/>
  <c r="B5" i="9"/>
  <c r="C5" i="9" s="1"/>
  <c r="B20" i="9"/>
  <c r="C20" i="9" s="1"/>
  <c r="B6" i="9"/>
  <c r="C6" i="9" s="1"/>
  <c r="B12" i="9"/>
  <c r="C12" i="9" s="1"/>
  <c r="B46" i="9"/>
  <c r="C46" i="9" s="1"/>
  <c r="B19" i="9"/>
  <c r="C19" i="9" s="1"/>
  <c r="B3" i="9"/>
  <c r="C3" i="9" s="1"/>
  <c r="B23" i="9"/>
  <c r="C23" i="9" s="1"/>
  <c r="B50" i="9"/>
  <c r="B39" i="9"/>
  <c r="B31" i="9"/>
  <c r="C31" i="9" s="1"/>
  <c r="B36" i="9"/>
  <c r="B34" i="9"/>
  <c r="B41" i="9"/>
  <c r="B15" i="9"/>
  <c r="C15" i="9" s="1"/>
  <c r="B47" i="9"/>
  <c r="B29" i="9"/>
  <c r="B2" i="9"/>
  <c r="B9" i="9"/>
  <c r="C9" i="9" s="1"/>
  <c r="B14" i="9"/>
  <c r="C14" i="9" s="1"/>
  <c r="B43" i="9"/>
  <c r="C43" i="9" s="1"/>
  <c r="B45" i="9"/>
  <c r="C45" i="9" s="1"/>
  <c r="B52" i="9"/>
  <c r="C52" i="9" s="1"/>
  <c r="B21" i="9"/>
  <c r="C21" i="9" s="1"/>
  <c r="B16" i="9"/>
  <c r="C16" i="9" s="1"/>
  <c r="B10" i="9"/>
  <c r="B11" i="9"/>
  <c r="C11" i="9" s="1"/>
  <c r="B30" i="9"/>
  <c r="B26" i="9"/>
  <c r="B27" i="9"/>
  <c r="B49" i="9"/>
  <c r="C49" i="9" s="1"/>
  <c r="B22" i="9"/>
  <c r="B32" i="9"/>
  <c r="B37" i="9"/>
  <c r="B18" i="9"/>
  <c r="C18" i="9" s="1"/>
  <c r="B48" i="9"/>
  <c r="C48" i="9" s="1"/>
  <c r="B42" i="9"/>
  <c r="C42" i="9" s="1"/>
  <c r="B25" i="9"/>
  <c r="C25" i="9" s="1"/>
  <c r="B51" i="9"/>
  <c r="C51" i="9" s="1"/>
  <c r="B17" i="9"/>
  <c r="C17" i="9" s="1"/>
  <c r="B13" i="9"/>
  <c r="B8" i="9"/>
  <c r="B7" i="9"/>
  <c r="C7" i="9" s="1"/>
  <c r="B53" i="9"/>
  <c r="G3" i="5"/>
  <c r="H3" i="5" s="1"/>
  <c r="G4" i="5"/>
  <c r="H4" i="5" s="1"/>
  <c r="G5" i="5"/>
  <c r="H5" i="5" s="1"/>
  <c r="G6" i="5"/>
  <c r="H6" i="5" s="1"/>
  <c r="G7" i="5"/>
  <c r="H7" i="5" s="1"/>
  <c r="G8" i="5"/>
  <c r="H8" i="5" s="1"/>
  <c r="G9" i="5"/>
  <c r="H9" i="5" s="1"/>
  <c r="G10" i="5"/>
  <c r="H10" i="5" s="1"/>
  <c r="G11" i="5"/>
  <c r="H11" i="5" s="1"/>
  <c r="G12" i="5"/>
  <c r="H12" i="5" s="1"/>
  <c r="G13" i="5"/>
  <c r="H13" i="5" s="1"/>
  <c r="G14" i="5"/>
  <c r="H14" i="5" s="1"/>
  <c r="G15" i="5"/>
  <c r="H15" i="5" s="1"/>
  <c r="G16" i="5"/>
  <c r="H16" i="5" s="1"/>
  <c r="G17" i="5"/>
  <c r="H17" i="5" s="1"/>
  <c r="G18" i="5"/>
  <c r="H18" i="5" s="1"/>
  <c r="G19" i="5"/>
  <c r="H19" i="5" s="1"/>
  <c r="G20" i="5"/>
  <c r="H20" i="5" s="1"/>
  <c r="G21" i="5"/>
  <c r="H21" i="5" s="1"/>
  <c r="G22" i="5"/>
  <c r="H22" i="5" s="1"/>
  <c r="G23" i="5"/>
  <c r="H23" i="5" s="1"/>
  <c r="G24" i="5"/>
  <c r="H24" i="5" s="1"/>
  <c r="G25" i="5"/>
  <c r="H25" i="5" s="1"/>
  <c r="G26" i="5"/>
  <c r="H26" i="5" s="1"/>
  <c r="G27" i="5"/>
  <c r="H27" i="5" s="1"/>
  <c r="G28" i="5"/>
  <c r="H28" i="5" s="1"/>
  <c r="G29" i="5"/>
  <c r="H29" i="5" s="1"/>
  <c r="G30" i="5"/>
  <c r="H30" i="5" s="1"/>
  <c r="G31" i="5"/>
  <c r="H31" i="5" s="1"/>
  <c r="G32" i="5"/>
  <c r="H32" i="5" s="1"/>
  <c r="G33" i="5"/>
  <c r="H33" i="5" s="1"/>
  <c r="G34" i="5"/>
  <c r="H34" i="5" s="1"/>
  <c r="G35" i="5"/>
  <c r="H35" i="5" s="1"/>
  <c r="G36" i="5"/>
  <c r="H36" i="5" s="1"/>
  <c r="G37" i="5"/>
  <c r="H37" i="5" s="1"/>
  <c r="G38" i="5"/>
  <c r="H38" i="5" s="1"/>
  <c r="G39" i="5"/>
  <c r="H39" i="5" s="1"/>
  <c r="G40" i="5"/>
  <c r="H40" i="5" s="1"/>
  <c r="G41" i="5"/>
  <c r="H41" i="5" s="1"/>
  <c r="G42" i="5"/>
  <c r="H42" i="5" s="1"/>
  <c r="G43" i="5"/>
  <c r="H43" i="5" s="1"/>
  <c r="G44" i="5"/>
  <c r="H44" i="5" s="1"/>
  <c r="G45" i="5"/>
  <c r="H45" i="5" s="1"/>
  <c r="G46" i="5"/>
  <c r="H46" i="5" s="1"/>
  <c r="G47" i="5"/>
  <c r="H47" i="5" s="1"/>
  <c r="G48" i="5"/>
  <c r="H48" i="5" s="1"/>
  <c r="G49" i="5"/>
  <c r="H49" i="5" s="1"/>
  <c r="G50" i="5"/>
  <c r="H50" i="5" s="1"/>
  <c r="G51" i="5"/>
  <c r="H51" i="5" s="1"/>
  <c r="G52" i="5"/>
  <c r="H52" i="5" s="1"/>
  <c r="G53" i="5"/>
  <c r="H53" i="5" s="1"/>
  <c r="G54" i="5"/>
  <c r="H54" i="5" s="1"/>
  <c r="G55" i="5"/>
  <c r="H55" i="5" s="1"/>
  <c r="G56" i="5"/>
  <c r="H56" i="5" s="1"/>
  <c r="G57" i="5"/>
  <c r="H57" i="5" s="1"/>
  <c r="G58" i="5"/>
  <c r="H58" i="5" s="1"/>
  <c r="G59" i="5"/>
  <c r="H59" i="5" s="1"/>
  <c r="G60" i="5"/>
  <c r="H60" i="5" s="1"/>
  <c r="G61" i="5"/>
  <c r="H61" i="5" s="1"/>
  <c r="G62" i="5"/>
  <c r="H62" i="5" s="1"/>
  <c r="G63" i="5"/>
  <c r="H63" i="5" s="1"/>
  <c r="G64" i="5"/>
  <c r="H64" i="5" s="1"/>
  <c r="G65" i="5"/>
  <c r="H65" i="5" s="1"/>
  <c r="G66" i="5"/>
  <c r="H66" i="5" s="1"/>
  <c r="G67" i="5"/>
  <c r="H67" i="5" s="1"/>
  <c r="G68" i="5"/>
  <c r="H68" i="5" s="1"/>
  <c r="G69" i="5"/>
  <c r="H69" i="5" s="1"/>
  <c r="G70" i="5"/>
  <c r="H70" i="5" s="1"/>
  <c r="G71" i="5"/>
  <c r="H71" i="5" s="1"/>
  <c r="G72" i="5"/>
  <c r="H72" i="5" s="1"/>
  <c r="G73" i="5"/>
  <c r="H73" i="5" s="1"/>
  <c r="G74" i="5"/>
  <c r="H74" i="5" s="1"/>
  <c r="G75" i="5"/>
  <c r="H75" i="5" s="1"/>
  <c r="G76" i="5"/>
  <c r="H76" i="5" s="1"/>
  <c r="G77" i="5"/>
  <c r="H77" i="5" s="1"/>
  <c r="G78" i="5"/>
  <c r="H78" i="5" s="1"/>
  <c r="G79" i="5"/>
  <c r="H79" i="5" s="1"/>
  <c r="G80" i="5"/>
  <c r="H80" i="5" s="1"/>
  <c r="G81" i="5"/>
  <c r="H81" i="5" s="1"/>
  <c r="G82" i="5"/>
  <c r="H82" i="5" s="1"/>
  <c r="G83" i="5"/>
  <c r="H83" i="5" s="1"/>
  <c r="G84" i="5"/>
  <c r="H84" i="5" s="1"/>
  <c r="G85" i="5"/>
  <c r="H85" i="5" s="1"/>
  <c r="G86" i="5"/>
  <c r="H86" i="5" s="1"/>
  <c r="G87" i="5"/>
  <c r="H87" i="5" s="1"/>
  <c r="G88" i="5"/>
  <c r="H88" i="5" s="1"/>
  <c r="G89" i="5"/>
  <c r="H89" i="5" s="1"/>
  <c r="G90" i="5"/>
  <c r="H90" i="5" s="1"/>
  <c r="G91" i="5"/>
  <c r="H91" i="5" s="1"/>
  <c r="G92" i="5"/>
  <c r="H92" i="5" s="1"/>
  <c r="G93" i="5"/>
  <c r="H93" i="5" s="1"/>
  <c r="G94" i="5"/>
  <c r="H94" i="5" s="1"/>
  <c r="G95" i="5"/>
  <c r="H95" i="5" s="1"/>
  <c r="G96" i="5"/>
  <c r="H96" i="5" s="1"/>
  <c r="G97" i="5"/>
  <c r="H97" i="5" s="1"/>
  <c r="G98" i="5"/>
  <c r="H98" i="5" s="1"/>
  <c r="G99" i="5"/>
  <c r="H99" i="5" s="1"/>
  <c r="G100" i="5"/>
  <c r="H100" i="5" s="1"/>
  <c r="G101" i="5"/>
  <c r="H101" i="5" s="1"/>
  <c r="G102" i="5"/>
  <c r="H102" i="5" s="1"/>
  <c r="G103" i="5"/>
  <c r="H103" i="5" s="1"/>
  <c r="G104" i="5"/>
  <c r="H104" i="5" s="1"/>
  <c r="G105" i="5"/>
  <c r="H105" i="5" s="1"/>
  <c r="G106" i="5"/>
  <c r="H106" i="5" s="1"/>
  <c r="G107" i="5"/>
  <c r="H107" i="5" s="1"/>
  <c r="G108" i="5"/>
  <c r="H108" i="5" s="1"/>
  <c r="G109" i="5"/>
  <c r="H109" i="5" s="1"/>
  <c r="G110" i="5"/>
  <c r="H110" i="5" s="1"/>
  <c r="G111" i="5"/>
  <c r="H111" i="5" s="1"/>
  <c r="G112" i="5"/>
  <c r="H112" i="5" s="1"/>
  <c r="G113" i="5"/>
  <c r="H113" i="5" s="1"/>
  <c r="G114" i="5"/>
  <c r="H114" i="5" s="1"/>
  <c r="G115" i="5"/>
  <c r="H115" i="5" s="1"/>
  <c r="G116" i="5"/>
  <c r="H116" i="5" s="1"/>
  <c r="G117" i="5"/>
  <c r="H117" i="5" s="1"/>
  <c r="G118" i="5"/>
  <c r="H118" i="5" s="1"/>
  <c r="G119" i="5"/>
  <c r="H119" i="5" s="1"/>
  <c r="G120" i="5"/>
  <c r="H120" i="5" s="1"/>
  <c r="G121" i="5"/>
  <c r="H121" i="5" s="1"/>
  <c r="G122" i="5"/>
  <c r="H122" i="5" s="1"/>
  <c r="G123" i="5"/>
  <c r="H123" i="5" s="1"/>
  <c r="G124" i="5"/>
  <c r="H124" i="5" s="1"/>
  <c r="G125" i="5"/>
  <c r="H125" i="5" s="1"/>
  <c r="G126" i="5"/>
  <c r="H126" i="5" s="1"/>
  <c r="G127" i="5"/>
  <c r="H127" i="5" s="1"/>
  <c r="G128" i="5"/>
  <c r="H128" i="5" s="1"/>
  <c r="G129" i="5"/>
  <c r="H129" i="5" s="1"/>
  <c r="G130" i="5"/>
  <c r="H130" i="5" s="1"/>
  <c r="G131" i="5"/>
  <c r="H131" i="5" s="1"/>
  <c r="G132" i="5"/>
  <c r="H132" i="5" s="1"/>
  <c r="G133" i="5"/>
  <c r="H133" i="5" s="1"/>
  <c r="G134" i="5"/>
  <c r="H134" i="5" s="1"/>
  <c r="G135" i="5"/>
  <c r="H135" i="5" s="1"/>
  <c r="G136" i="5"/>
  <c r="H136" i="5" s="1"/>
  <c r="G137" i="5"/>
  <c r="H137" i="5" s="1"/>
  <c r="G138" i="5"/>
  <c r="H138" i="5" s="1"/>
  <c r="G139" i="5"/>
  <c r="H139" i="5" s="1"/>
  <c r="G140" i="5"/>
  <c r="H140" i="5" s="1"/>
  <c r="G141" i="5"/>
  <c r="H141" i="5" s="1"/>
  <c r="G142" i="5"/>
  <c r="H142" i="5" s="1"/>
  <c r="G143" i="5"/>
  <c r="H143" i="5" s="1"/>
  <c r="G144" i="5"/>
  <c r="H144" i="5" s="1"/>
  <c r="G145" i="5"/>
  <c r="H145" i="5" s="1"/>
  <c r="G146" i="5"/>
  <c r="H146" i="5" s="1"/>
  <c r="G147" i="5"/>
  <c r="H147" i="5" s="1"/>
  <c r="G148" i="5"/>
  <c r="H148" i="5" s="1"/>
  <c r="G149" i="5"/>
  <c r="H149" i="5" s="1"/>
  <c r="G150" i="5"/>
  <c r="H150" i="5" s="1"/>
  <c r="G151" i="5"/>
  <c r="H151" i="5" s="1"/>
  <c r="G152" i="5"/>
  <c r="H152" i="5" s="1"/>
  <c r="G153" i="5"/>
  <c r="H153" i="5" s="1"/>
  <c r="G154" i="5"/>
  <c r="H154" i="5" s="1"/>
  <c r="G155" i="5"/>
  <c r="H155" i="5" s="1"/>
  <c r="G156" i="5"/>
  <c r="H156" i="5" s="1"/>
  <c r="G157" i="5"/>
  <c r="H157" i="5" s="1"/>
  <c r="G158" i="5"/>
  <c r="H158" i="5" s="1"/>
  <c r="G159" i="5"/>
  <c r="H159" i="5" s="1"/>
  <c r="G160" i="5"/>
  <c r="H160" i="5" s="1"/>
  <c r="G161" i="5"/>
  <c r="H161" i="5" s="1"/>
  <c r="G162" i="5"/>
  <c r="H162" i="5" s="1"/>
  <c r="G163" i="5"/>
  <c r="H163" i="5" s="1"/>
  <c r="G164" i="5"/>
  <c r="H164" i="5" s="1"/>
  <c r="G165" i="5"/>
  <c r="H165" i="5" s="1"/>
  <c r="G166" i="5"/>
  <c r="H166" i="5" s="1"/>
  <c r="G167" i="5"/>
  <c r="H167" i="5" s="1"/>
  <c r="G168" i="5"/>
  <c r="H168" i="5" s="1"/>
  <c r="G169" i="5"/>
  <c r="H169" i="5" s="1"/>
  <c r="G170" i="5"/>
  <c r="H170" i="5" s="1"/>
  <c r="G171" i="5"/>
  <c r="H171" i="5" s="1"/>
  <c r="G172" i="5"/>
  <c r="H172" i="5" s="1"/>
  <c r="G2" i="5"/>
  <c r="I6" i="1"/>
  <c r="B16" i="4"/>
  <c r="D16" i="4"/>
  <c r="F16" i="4"/>
  <c r="H16" i="4"/>
  <c r="J16" i="4"/>
  <c r="B17" i="4"/>
  <c r="D17" i="4"/>
  <c r="F17" i="4"/>
  <c r="H17" i="4"/>
  <c r="J17" i="4"/>
  <c r="D18" i="4"/>
  <c r="F18" i="4"/>
  <c r="H18" i="4"/>
  <c r="J18" i="4"/>
  <c r="G5" i="4"/>
  <c r="G14" i="4"/>
  <c r="G13" i="4"/>
  <c r="G12" i="4"/>
  <c r="G11" i="4"/>
  <c r="G10" i="4"/>
  <c r="G9" i="4"/>
  <c r="G8" i="4"/>
  <c r="G7" i="4"/>
  <c r="G6" i="4"/>
  <c r="E5" i="4"/>
  <c r="I14" i="4"/>
  <c r="I13" i="4"/>
  <c r="I12" i="4"/>
  <c r="I11" i="4"/>
  <c r="I10" i="4"/>
  <c r="I9" i="4"/>
  <c r="I8" i="4"/>
  <c r="I7" i="4"/>
  <c r="I6" i="4"/>
  <c r="I5" i="4"/>
  <c r="E14" i="4"/>
  <c r="E13" i="4"/>
  <c r="E12" i="4"/>
  <c r="E11" i="4"/>
  <c r="E10" i="4"/>
  <c r="E9" i="4"/>
  <c r="E8" i="4"/>
  <c r="E7" i="4"/>
  <c r="E6" i="4"/>
  <c r="C6" i="4"/>
  <c r="C7" i="4"/>
  <c r="C8" i="4"/>
  <c r="C9" i="4"/>
  <c r="C10" i="4"/>
  <c r="C11" i="4"/>
  <c r="C12" i="4"/>
  <c r="C13" i="4"/>
  <c r="C14" i="4"/>
  <c r="K28" i="3"/>
  <c r="J28" i="3"/>
  <c r="I28" i="3"/>
  <c r="H28" i="3"/>
  <c r="K27" i="3"/>
  <c r="J27" i="3"/>
  <c r="I27" i="3"/>
  <c r="H27" i="3"/>
  <c r="K26" i="3"/>
  <c r="J26" i="3"/>
  <c r="I26" i="3"/>
  <c r="H26" i="3"/>
  <c r="D26" i="3"/>
  <c r="E26" i="3"/>
  <c r="F26" i="3"/>
  <c r="D27" i="3"/>
  <c r="E27" i="3"/>
  <c r="F27" i="3"/>
  <c r="D28" i="3"/>
  <c r="E28" i="3"/>
  <c r="F28" i="3"/>
  <c r="C28" i="3"/>
  <c r="C27" i="3"/>
  <c r="C26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J4" i="3"/>
  <c r="K4" i="3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V6" i="1"/>
  <c r="V25" i="1"/>
  <c r="S25" i="1"/>
  <c r="S24" i="1"/>
  <c r="S23" i="1"/>
  <c r="S22" i="1"/>
  <c r="U21" i="1"/>
  <c r="S21" i="1"/>
  <c r="U18" i="1"/>
  <c r="T18" i="1"/>
  <c r="W17" i="1"/>
  <c r="V17" i="1"/>
  <c r="U17" i="1"/>
  <c r="S17" i="1"/>
  <c r="W14" i="1"/>
  <c r="V13" i="1"/>
  <c r="U13" i="1"/>
  <c r="S11" i="1"/>
  <c r="U10" i="1"/>
  <c r="T10" i="1"/>
  <c r="V9" i="1"/>
  <c r="S9" i="1"/>
  <c r="V8" i="1"/>
  <c r="U8" i="1"/>
  <c r="S8" i="1"/>
  <c r="P6" i="1"/>
  <c r="Q7" i="1"/>
  <c r="P25" i="1"/>
  <c r="R6" i="1"/>
  <c r="Q6" i="1"/>
  <c r="O7" i="1"/>
  <c r="P7" i="1"/>
  <c r="R7" i="1"/>
  <c r="O8" i="1"/>
  <c r="P8" i="1"/>
  <c r="Q8" i="1"/>
  <c r="R8" i="1"/>
  <c r="O9" i="1"/>
  <c r="P9" i="1"/>
  <c r="Q9" i="1"/>
  <c r="R9" i="1"/>
  <c r="O10" i="1"/>
  <c r="P10" i="1"/>
  <c r="Q10" i="1"/>
  <c r="R10" i="1"/>
  <c r="O11" i="1"/>
  <c r="P11" i="1"/>
  <c r="Q11" i="1"/>
  <c r="R11" i="1"/>
  <c r="O12" i="1"/>
  <c r="P12" i="1"/>
  <c r="Q12" i="1"/>
  <c r="R12" i="1"/>
  <c r="O13" i="1"/>
  <c r="P13" i="1"/>
  <c r="Q13" i="1"/>
  <c r="R13" i="1"/>
  <c r="O14" i="1"/>
  <c r="P14" i="1"/>
  <c r="Q14" i="1"/>
  <c r="R14" i="1"/>
  <c r="O15" i="1"/>
  <c r="P15" i="1"/>
  <c r="Q15" i="1"/>
  <c r="R15" i="1"/>
  <c r="O16" i="1"/>
  <c r="P16" i="1"/>
  <c r="Q16" i="1"/>
  <c r="R16" i="1"/>
  <c r="O17" i="1"/>
  <c r="P17" i="1"/>
  <c r="Q17" i="1"/>
  <c r="R17" i="1"/>
  <c r="O18" i="1"/>
  <c r="P18" i="1"/>
  <c r="Q18" i="1"/>
  <c r="R18" i="1"/>
  <c r="O19" i="1"/>
  <c r="P19" i="1"/>
  <c r="Q19" i="1"/>
  <c r="R19" i="1"/>
  <c r="O20" i="1"/>
  <c r="P20" i="1"/>
  <c r="Q20" i="1"/>
  <c r="R20" i="1"/>
  <c r="O21" i="1"/>
  <c r="P21" i="1"/>
  <c r="Q21" i="1"/>
  <c r="R21" i="1"/>
  <c r="O22" i="1"/>
  <c r="P22" i="1"/>
  <c r="Q22" i="1"/>
  <c r="R22" i="1"/>
  <c r="O23" i="1"/>
  <c r="P23" i="1"/>
  <c r="Q23" i="1"/>
  <c r="R23" i="1"/>
  <c r="O24" i="1"/>
  <c r="P24" i="1"/>
  <c r="Q24" i="1"/>
  <c r="R24" i="1"/>
  <c r="O25" i="1"/>
  <c r="Q25" i="1"/>
  <c r="R25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6" i="1"/>
  <c r="L6" i="1"/>
  <c r="I7" i="1"/>
  <c r="M6" i="1"/>
  <c r="W6" i="1" s="1"/>
  <c r="J7" i="1"/>
  <c r="T7" i="1" s="1"/>
  <c r="K7" i="1"/>
  <c r="L7" i="1"/>
  <c r="M7" i="1"/>
  <c r="J8" i="1"/>
  <c r="K8" i="1"/>
  <c r="L8" i="1"/>
  <c r="M8" i="1"/>
  <c r="W8" i="1" s="1"/>
  <c r="J9" i="1"/>
  <c r="T9" i="1" s="1"/>
  <c r="K9" i="1"/>
  <c r="U9" i="1" s="1"/>
  <c r="L9" i="1"/>
  <c r="M9" i="1"/>
  <c r="W9" i="1" s="1"/>
  <c r="J10" i="1"/>
  <c r="K10" i="1"/>
  <c r="L10" i="1"/>
  <c r="V10" i="1" s="1"/>
  <c r="M10" i="1"/>
  <c r="W10" i="1" s="1"/>
  <c r="J11" i="1"/>
  <c r="T11" i="1" s="1"/>
  <c r="K11" i="1"/>
  <c r="U11" i="1" s="1"/>
  <c r="L11" i="1"/>
  <c r="V11" i="1" s="1"/>
  <c r="M11" i="1"/>
  <c r="W11" i="1" s="1"/>
  <c r="J12" i="1"/>
  <c r="T12" i="1" s="1"/>
  <c r="K12" i="1"/>
  <c r="U12" i="1" s="1"/>
  <c r="L12" i="1"/>
  <c r="V12" i="1" s="1"/>
  <c r="M12" i="1"/>
  <c r="W12" i="1" s="1"/>
  <c r="J13" i="1"/>
  <c r="T13" i="1" s="1"/>
  <c r="K13" i="1"/>
  <c r="L13" i="1"/>
  <c r="M13" i="1"/>
  <c r="W13" i="1" s="1"/>
  <c r="J14" i="1"/>
  <c r="T14" i="1" s="1"/>
  <c r="K14" i="1"/>
  <c r="U14" i="1" s="1"/>
  <c r="L14" i="1"/>
  <c r="V14" i="1" s="1"/>
  <c r="M14" i="1"/>
  <c r="J15" i="1"/>
  <c r="T15" i="1" s="1"/>
  <c r="K15" i="1"/>
  <c r="U15" i="1" s="1"/>
  <c r="L15" i="1"/>
  <c r="V15" i="1" s="1"/>
  <c r="M15" i="1"/>
  <c r="W15" i="1" s="1"/>
  <c r="J16" i="1"/>
  <c r="T16" i="1" s="1"/>
  <c r="K16" i="1"/>
  <c r="U16" i="1" s="1"/>
  <c r="L16" i="1"/>
  <c r="V16" i="1" s="1"/>
  <c r="M16" i="1"/>
  <c r="W16" i="1" s="1"/>
  <c r="J17" i="1"/>
  <c r="T17" i="1" s="1"/>
  <c r="K17" i="1"/>
  <c r="L17" i="1"/>
  <c r="M17" i="1"/>
  <c r="J18" i="1"/>
  <c r="K18" i="1"/>
  <c r="L18" i="1"/>
  <c r="V18" i="1" s="1"/>
  <c r="M18" i="1"/>
  <c r="W18" i="1" s="1"/>
  <c r="J19" i="1"/>
  <c r="T19" i="1" s="1"/>
  <c r="K19" i="1"/>
  <c r="U19" i="1" s="1"/>
  <c r="L19" i="1"/>
  <c r="V19" i="1" s="1"/>
  <c r="M19" i="1"/>
  <c r="W19" i="1" s="1"/>
  <c r="J20" i="1"/>
  <c r="T20" i="1" s="1"/>
  <c r="K20" i="1"/>
  <c r="U20" i="1" s="1"/>
  <c r="L20" i="1"/>
  <c r="V20" i="1" s="1"/>
  <c r="M20" i="1"/>
  <c r="W20" i="1" s="1"/>
  <c r="J21" i="1"/>
  <c r="T21" i="1" s="1"/>
  <c r="K21" i="1"/>
  <c r="L21" i="1"/>
  <c r="V21" i="1" s="1"/>
  <c r="M21" i="1"/>
  <c r="W21" i="1" s="1"/>
  <c r="J22" i="1"/>
  <c r="T22" i="1" s="1"/>
  <c r="K22" i="1"/>
  <c r="U22" i="1" s="1"/>
  <c r="L22" i="1"/>
  <c r="V22" i="1" s="1"/>
  <c r="M22" i="1"/>
  <c r="W22" i="1" s="1"/>
  <c r="J23" i="1"/>
  <c r="T23" i="1" s="1"/>
  <c r="K23" i="1"/>
  <c r="U23" i="1" s="1"/>
  <c r="L23" i="1"/>
  <c r="V23" i="1" s="1"/>
  <c r="M23" i="1"/>
  <c r="W23" i="1" s="1"/>
  <c r="J24" i="1"/>
  <c r="T24" i="1" s="1"/>
  <c r="K24" i="1"/>
  <c r="U24" i="1" s="1"/>
  <c r="L24" i="1"/>
  <c r="V24" i="1" s="1"/>
  <c r="M24" i="1"/>
  <c r="W24" i="1" s="1"/>
  <c r="J25" i="1"/>
  <c r="T25" i="1" s="1"/>
  <c r="K25" i="1"/>
  <c r="U25" i="1" s="1"/>
  <c r="L25" i="1"/>
  <c r="M25" i="1"/>
  <c r="W25" i="1" s="1"/>
  <c r="I8" i="1"/>
  <c r="I9" i="1"/>
  <c r="I10" i="1"/>
  <c r="S10" i="1" s="1"/>
  <c r="I11" i="1"/>
  <c r="I12" i="1"/>
  <c r="S12" i="1" s="1"/>
  <c r="I13" i="1"/>
  <c r="S13" i="1" s="1"/>
  <c r="I14" i="1"/>
  <c r="S14" i="1" s="1"/>
  <c r="I15" i="1"/>
  <c r="S15" i="1" s="1"/>
  <c r="I16" i="1"/>
  <c r="S16" i="1" s="1"/>
  <c r="I17" i="1"/>
  <c r="I18" i="1"/>
  <c r="S18" i="1" s="1"/>
  <c r="I19" i="1"/>
  <c r="S19" i="1" s="1"/>
  <c r="I20" i="1"/>
  <c r="S20" i="1" s="1"/>
  <c r="I21" i="1"/>
  <c r="I22" i="1"/>
  <c r="I23" i="1"/>
  <c r="I24" i="1"/>
  <c r="I25" i="1"/>
  <c r="C29" i="1"/>
  <c r="C28" i="1"/>
  <c r="C27" i="1"/>
  <c r="C16" i="4" l="1"/>
  <c r="N27" i="1"/>
  <c r="N29" i="1" s="1"/>
  <c r="O30" i="1"/>
  <c r="R28" i="1"/>
  <c r="Q30" i="1"/>
  <c r="P30" i="1"/>
  <c r="O27" i="1"/>
  <c r="O29" i="1"/>
  <c r="R30" i="1"/>
  <c r="P27" i="1"/>
  <c r="P29" i="1" s="1"/>
  <c r="N30" i="1"/>
  <c r="T6" i="1"/>
  <c r="U6" i="1"/>
  <c r="S27" i="1"/>
  <c r="S29" i="1" s="1"/>
  <c r="T8" i="1"/>
  <c r="T28" i="1" s="1"/>
  <c r="J29" i="1"/>
  <c r="Q28" i="1"/>
  <c r="W7" i="1"/>
  <c r="M28" i="1"/>
  <c r="V7" i="1"/>
  <c r="V28" i="1" s="1"/>
  <c r="L28" i="1"/>
  <c r="M27" i="1"/>
  <c r="M29" i="1" s="1"/>
  <c r="U7" i="1"/>
  <c r="U28" i="1" s="1"/>
  <c r="K28" i="1"/>
  <c r="L27" i="1"/>
  <c r="L29" i="1" s="1"/>
  <c r="P28" i="1"/>
  <c r="K27" i="1"/>
  <c r="O28" i="1"/>
  <c r="J27" i="1"/>
  <c r="I28" i="1"/>
  <c r="N28" i="1"/>
  <c r="Q27" i="1"/>
  <c r="Q29" i="1" s="1"/>
  <c r="I27" i="1"/>
  <c r="I29" i="1" s="1"/>
  <c r="R27" i="1"/>
  <c r="R29" i="1" s="1"/>
  <c r="H29" i="1"/>
  <c r="V27" i="1"/>
  <c r="G29" i="1"/>
  <c r="F29" i="1"/>
  <c r="E29" i="1"/>
  <c r="J28" i="1"/>
  <c r="S7" i="1"/>
  <c r="G37" i="14"/>
  <c r="B37" i="14"/>
  <c r="H37" i="14"/>
  <c r="I37" i="14"/>
  <c r="D37" i="14"/>
  <c r="C37" i="14"/>
  <c r="L18" i="12"/>
  <c r="N18" i="12"/>
  <c r="M18" i="12"/>
  <c r="H18" i="12"/>
  <c r="I18" i="12"/>
  <c r="G18" i="12"/>
  <c r="N22" i="9"/>
  <c r="N47" i="9"/>
  <c r="N4" i="9"/>
  <c r="N38" i="9"/>
  <c r="N37" i="9"/>
  <c r="N2" i="9"/>
  <c r="N27" i="9"/>
  <c r="N41" i="9"/>
  <c r="N33" i="9"/>
  <c r="N26" i="9"/>
  <c r="N34" i="9"/>
  <c r="N8" i="9"/>
  <c r="N10" i="9"/>
  <c r="N39" i="9"/>
  <c r="N24" i="9"/>
  <c r="N49" i="9"/>
  <c r="N53" i="9"/>
  <c r="N30" i="9"/>
  <c r="N36" i="9"/>
  <c r="C47" i="9"/>
  <c r="N11" i="9"/>
  <c r="N31" i="9"/>
  <c r="N35" i="9"/>
  <c r="N7" i="9"/>
  <c r="N13" i="9"/>
  <c r="N16" i="9"/>
  <c r="N50" i="9"/>
  <c r="N44" i="9"/>
  <c r="C50" i="9"/>
  <c r="C34" i="9"/>
  <c r="C13" i="9"/>
  <c r="C44" i="9"/>
  <c r="N18" i="9"/>
  <c r="N9" i="9"/>
  <c r="N6" i="9"/>
  <c r="C22" i="9"/>
  <c r="C26" i="9"/>
  <c r="N32" i="9"/>
  <c r="N29" i="9"/>
  <c r="N5" i="9"/>
  <c r="N15" i="9"/>
  <c r="C37" i="9"/>
  <c r="C2" i="9"/>
  <c r="N17" i="9"/>
  <c r="N21" i="9"/>
  <c r="N23" i="9"/>
  <c r="C32" i="9"/>
  <c r="C29" i="9"/>
  <c r="C4" i="9"/>
  <c r="G7" i="9"/>
  <c r="I7" i="9" s="1"/>
  <c r="G11" i="9"/>
  <c r="I11" i="9" s="1"/>
  <c r="G31" i="9"/>
  <c r="I31" i="9" s="1"/>
  <c r="G35" i="9"/>
  <c r="I35" i="9" s="1"/>
  <c r="N51" i="9"/>
  <c r="N52" i="9"/>
  <c r="N3" i="9"/>
  <c r="N25" i="9"/>
  <c r="N45" i="9"/>
  <c r="N19" i="9"/>
  <c r="C33" i="9"/>
  <c r="N42" i="9"/>
  <c r="N43" i="9"/>
  <c r="N46" i="9"/>
  <c r="N48" i="9"/>
  <c r="C27" i="9"/>
  <c r="N14" i="9"/>
  <c r="C41" i="9"/>
  <c r="C38" i="9"/>
  <c r="N12" i="9"/>
  <c r="C53" i="9"/>
  <c r="C30" i="9"/>
  <c r="C36" i="9"/>
  <c r="C24" i="9"/>
  <c r="N20" i="9"/>
  <c r="C8" i="9"/>
  <c r="C10" i="9"/>
  <c r="C39" i="9"/>
  <c r="N28" i="9"/>
  <c r="N40" i="9"/>
  <c r="G49" i="9"/>
  <c r="I49" i="9" s="1"/>
  <c r="G16" i="4"/>
  <c r="I18" i="4"/>
  <c r="E16" i="4"/>
  <c r="I17" i="4"/>
  <c r="G18" i="4"/>
  <c r="I16" i="4"/>
  <c r="G17" i="4"/>
  <c r="L10" i="4"/>
  <c r="L7" i="4"/>
  <c r="L9" i="4"/>
  <c r="E17" i="4"/>
  <c r="L13" i="4"/>
  <c r="E18" i="4"/>
  <c r="L11" i="4"/>
  <c r="L12" i="4"/>
  <c r="C17" i="4"/>
  <c r="L14" i="4"/>
  <c r="L6" i="4"/>
  <c r="C18" i="4"/>
  <c r="AB18" i="1"/>
  <c r="AB14" i="1"/>
  <c r="Z6" i="1"/>
  <c r="Z16" i="1"/>
  <c r="Y12" i="1"/>
  <c r="Y8" i="1"/>
  <c r="Y7" i="1"/>
  <c r="Y23" i="1"/>
  <c r="X15" i="1"/>
  <c r="AB24" i="1"/>
  <c r="AB20" i="1"/>
  <c r="AB16" i="1"/>
  <c r="AB12" i="1"/>
  <c r="AB8" i="1"/>
  <c r="X12" i="1"/>
  <c r="X11" i="1"/>
  <c r="X10" i="1"/>
  <c r="X7" i="1"/>
  <c r="X8" i="1"/>
  <c r="X19" i="1"/>
  <c r="X9" i="1"/>
  <c r="AA22" i="1"/>
  <c r="AA18" i="1"/>
  <c r="AA14" i="1"/>
  <c r="AA10" i="1"/>
  <c r="AA24" i="1"/>
  <c r="AA20" i="1"/>
  <c r="AA16" i="1"/>
  <c r="AA12" i="1"/>
  <c r="AA6" i="1"/>
  <c r="AA8" i="1"/>
  <c r="Y19" i="1"/>
  <c r="Y10" i="1"/>
  <c r="Y18" i="1"/>
  <c r="Y22" i="1"/>
  <c r="Y17" i="1"/>
  <c r="Y13" i="1"/>
  <c r="Y24" i="1"/>
  <c r="Y20" i="1"/>
  <c r="Y16" i="1"/>
  <c r="Y14" i="1"/>
  <c r="AB6" i="1"/>
  <c r="Y15" i="1"/>
  <c r="Y11" i="1"/>
  <c r="AB22" i="1"/>
  <c r="AB10" i="1"/>
  <c r="X22" i="1"/>
  <c r="X21" i="1"/>
  <c r="Z21" i="1"/>
  <c r="X25" i="1"/>
  <c r="X20" i="1"/>
  <c r="Y25" i="1"/>
  <c r="Y21" i="1"/>
  <c r="X17" i="1"/>
  <c r="X16" i="1"/>
  <c r="Y9" i="1"/>
  <c r="AB19" i="1"/>
  <c r="AB15" i="1"/>
  <c r="AB11" i="1"/>
  <c r="AB23" i="1"/>
  <c r="X14" i="1"/>
  <c r="AA15" i="1"/>
  <c r="AA11" i="1"/>
  <c r="AA7" i="1"/>
  <c r="X13" i="1"/>
  <c r="Z11" i="1"/>
  <c r="Y6" i="1"/>
  <c r="X23" i="1"/>
  <c r="AB21" i="1"/>
  <c r="AB17" i="1"/>
  <c r="AB13" i="1"/>
  <c r="AB9" i="1"/>
  <c r="AB25" i="1"/>
  <c r="AA21" i="1"/>
  <c r="AA17" i="1"/>
  <c r="AA13" i="1"/>
  <c r="AA9" i="1"/>
  <c r="AA25" i="1"/>
  <c r="X18" i="1"/>
  <c r="X24" i="1"/>
  <c r="AA23" i="1"/>
  <c r="AA19" i="1"/>
  <c r="Y30" i="1" l="1"/>
  <c r="X30" i="1"/>
  <c r="AA30" i="1"/>
  <c r="AA28" i="1"/>
  <c r="K29" i="1"/>
  <c r="V29" i="1"/>
  <c r="AA27" i="1"/>
  <c r="AA29" i="1" s="1"/>
  <c r="U27" i="1"/>
  <c r="U29" i="1" s="1"/>
  <c r="S28" i="1"/>
  <c r="AD15" i="1"/>
  <c r="AD23" i="1"/>
  <c r="AD19" i="1"/>
  <c r="Y27" i="1"/>
  <c r="Y29" i="1" s="1"/>
  <c r="X27" i="1"/>
  <c r="X29" i="1" s="1"/>
  <c r="X28" i="1"/>
  <c r="AD21" i="1"/>
  <c r="AD11" i="1"/>
  <c r="T27" i="1"/>
  <c r="T29" i="1" s="1"/>
  <c r="AD16" i="1"/>
  <c r="Y28" i="1"/>
  <c r="W27" i="1"/>
  <c r="W29" i="1" s="1"/>
  <c r="W28" i="1"/>
  <c r="AB7" i="1"/>
  <c r="AB28" i="1" s="1"/>
  <c r="L18" i="4"/>
  <c r="L16" i="4"/>
  <c r="L17" i="4"/>
  <c r="Z8" i="1"/>
  <c r="Z10" i="1"/>
  <c r="AD10" i="1" s="1"/>
  <c r="Z9" i="1"/>
  <c r="AD9" i="1" s="1"/>
  <c r="Z7" i="1"/>
  <c r="Z22" i="1"/>
  <c r="AD22" i="1" s="1"/>
  <c r="Z18" i="1"/>
  <c r="AD18" i="1" s="1"/>
  <c r="Z25" i="1"/>
  <c r="AD25" i="1" s="1"/>
  <c r="Z23" i="1"/>
  <c r="Z15" i="1"/>
  <c r="Z14" i="1"/>
  <c r="AD14" i="1" s="1"/>
  <c r="Z13" i="1"/>
  <c r="AD13" i="1" s="1"/>
  <c r="Z12" i="1"/>
  <c r="AD12" i="1" s="1"/>
  <c r="Z24" i="1"/>
  <c r="AD24" i="1" s="1"/>
  <c r="Z20" i="1"/>
  <c r="AD20" i="1" s="1"/>
  <c r="Z19" i="1"/>
  <c r="Z17" i="1"/>
  <c r="AD17" i="1" s="1"/>
  <c r="Z30" i="1" l="1"/>
  <c r="AB27" i="1"/>
  <c r="AB29" i="1" s="1"/>
  <c r="AB30" i="1"/>
  <c r="Z28" i="1"/>
  <c r="Z27" i="1"/>
  <c r="Z29" i="1" s="1"/>
  <c r="AD8" i="1"/>
  <c r="AD7" i="1"/>
  <c r="AD28" i="1" l="1"/>
  <c r="AD30" i="1"/>
  <c r="AD27" i="1"/>
  <c r="AD2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BE9636-C557-462E-B0F0-9D08632FCF57}" keepAlive="1" name="Query - car inventory" description="Connection to the 'car inventory' query in the workbook." type="5" refreshedVersion="0" background="1">
    <dbPr connection="Provider=Microsoft.Mashup.OleDb.1;Data Source=$Workbook$;Location=&quot;car inventory&quot;;Extended Properties=&quot;&quot;" command="SELECT * FROM [car inventory]"/>
  </connection>
</connections>
</file>

<file path=xl/sharedStrings.xml><?xml version="1.0" encoding="utf-8"?>
<sst xmlns="http://schemas.openxmlformats.org/spreadsheetml/2006/main" count="1487" uniqueCount="377">
  <si>
    <t>Last Name</t>
  </si>
  <si>
    <t>First Name</t>
  </si>
  <si>
    <t>Hourly Wage</t>
  </si>
  <si>
    <t>House Worked</t>
  </si>
  <si>
    <t>Pay</t>
  </si>
  <si>
    <t>Smith</t>
  </si>
  <si>
    <t>John</t>
  </si>
  <si>
    <t>Johnson</t>
  </si>
  <si>
    <t>Emily</t>
  </si>
  <si>
    <t>Williams</t>
  </si>
  <si>
    <t>Michael</t>
  </si>
  <si>
    <t>Brown</t>
  </si>
  <si>
    <t>Jessica</t>
  </si>
  <si>
    <t>Jones</t>
  </si>
  <si>
    <t>Daniel</t>
  </si>
  <si>
    <t>Miller</t>
  </si>
  <si>
    <t>Olivia</t>
  </si>
  <si>
    <t>Davis</t>
  </si>
  <si>
    <t>James</t>
  </si>
  <si>
    <t>Garcia</t>
  </si>
  <si>
    <t>Emma</t>
  </si>
  <si>
    <t>Rodriguez</t>
  </si>
  <si>
    <t>Benjamin</t>
  </si>
  <si>
    <t>Wilson</t>
  </si>
  <si>
    <t>Ava</t>
  </si>
  <si>
    <t>Martinez</t>
  </si>
  <si>
    <t>Liam</t>
  </si>
  <si>
    <t>Anderson</t>
  </si>
  <si>
    <t>Sophia</t>
  </si>
  <si>
    <t>Taylor</t>
  </si>
  <si>
    <t>Noah</t>
  </si>
  <si>
    <t>Thomas</t>
  </si>
  <si>
    <t>Mia</t>
  </si>
  <si>
    <t>Jackson</t>
  </si>
  <si>
    <t>Ethan</t>
  </si>
  <si>
    <t>White</t>
  </si>
  <si>
    <t>Charlotte</t>
  </si>
  <si>
    <t>Harris</t>
  </si>
  <si>
    <t>David</t>
  </si>
  <si>
    <t>Clark</t>
  </si>
  <si>
    <t>Amelia</t>
  </si>
  <si>
    <t>Lewis</t>
  </si>
  <si>
    <t>Harper</t>
  </si>
  <si>
    <t>Young</t>
  </si>
  <si>
    <t>Logan</t>
  </si>
  <si>
    <t>Max</t>
  </si>
  <si>
    <t>Min</t>
  </si>
  <si>
    <t>Average</t>
  </si>
  <si>
    <t>Total</t>
  </si>
  <si>
    <t xml:space="preserve"> </t>
  </si>
  <si>
    <t>Ms. Nipa Das Gupta</t>
  </si>
  <si>
    <t>Overtime Hours</t>
  </si>
  <si>
    <t>Overtime Bonus</t>
  </si>
  <si>
    <t>1-Jan</t>
  </si>
  <si>
    <t>8-Jan</t>
  </si>
  <si>
    <t>15-Jan</t>
  </si>
  <si>
    <t>22-Jan</t>
  </si>
  <si>
    <t>29-Jan</t>
  </si>
  <si>
    <t>January Pay</t>
  </si>
  <si>
    <t>Gradebook</t>
  </si>
  <si>
    <t>Safety Test</t>
  </si>
  <si>
    <t>Company Philosophy Test</t>
  </si>
  <si>
    <t>Financial Skill Test</t>
  </si>
  <si>
    <t>Drug Test</t>
  </si>
  <si>
    <t>Points Possible</t>
  </si>
  <si>
    <t>Fire Employee?</t>
  </si>
  <si>
    <t>Career Decision</t>
  </si>
  <si>
    <t>Job</t>
  </si>
  <si>
    <t>Job Market</t>
  </si>
  <si>
    <t>Enjoyment</t>
  </si>
  <si>
    <t>My Talent</t>
  </si>
  <si>
    <t>Schooling</t>
  </si>
  <si>
    <t>Software Developer</t>
  </si>
  <si>
    <t>Systems Analyst</t>
  </si>
  <si>
    <t>Network Engineer</t>
  </si>
  <si>
    <t>Database Administrator</t>
  </si>
  <si>
    <t>Cybersecurity Analyst</t>
  </si>
  <si>
    <t>Artificial Intelligence Engineer</t>
  </si>
  <si>
    <t>Data Scientist</t>
  </si>
  <si>
    <t>Web Developer</t>
  </si>
  <si>
    <t>IT Project Manager</t>
  </si>
  <si>
    <t>Computer Systems Administrator</t>
  </si>
  <si>
    <t>3</t>
  </si>
  <si>
    <t>5</t>
  </si>
  <si>
    <t>4</t>
  </si>
  <si>
    <t>1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</si>
  <si>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</si>
  <si>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</si>
  <si>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</si>
  <si>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</si>
  <si>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</si>
  <si>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</si>
  <si>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</si>
  <si>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</si>
  <si>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</si>
  <si>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</si>
  <si>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</si>
  <si>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</si>
  <si>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</si>
  <si>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</si>
  <si>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</si>
  <si>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</si>
  <si>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</si>
  <si>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</si>
  <si>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</si>
  <si>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</si>
  <si>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</si>
  <si>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</si>
  <si>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</si>
  <si>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</si>
  <si>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</si>
  <si>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</si>
  <si>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</si>
  <si>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</si>
  <si>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</si>
  <si>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</si>
  <si>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</si>
  <si>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</si>
  <si>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</si>
  <si>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</si>
  <si>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</si>
  <si>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</si>
  <si>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Commision 10%, if sale price is less than 50. Otherwise, 20%</t>
  </si>
  <si>
    <t>Chalie</t>
  </si>
  <si>
    <t>Barns</t>
  </si>
  <si>
    <t>Juan</t>
  </si>
  <si>
    <t>Hernandez</t>
  </si>
  <si>
    <t>Doug</t>
  </si>
  <si>
    <t>Hellen</t>
  </si>
  <si>
    <t>sum of all items</t>
  </si>
  <si>
    <t>sum of items valued at more than 50</t>
  </si>
  <si>
    <t>sum of items valued at less than and equal to 50</t>
  </si>
  <si>
    <t>Row Labels</t>
  </si>
  <si>
    <t>Grand Total</t>
  </si>
  <si>
    <t>Sum of Sale Price</t>
  </si>
  <si>
    <t>Produced By: Ms. Nipa Das Gupta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</si>
  <si>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</si>
  <si>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</si>
  <si>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</si>
  <si>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</si>
  <si>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</si>
  <si>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</si>
  <si>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</si>
  <si>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</si>
  <si>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</si>
  <si>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</si>
  <si>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</si>
  <si>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</si>
  <si>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</si>
  <si>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</si>
  <si>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</si>
  <si>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/>
  </si>
  <si>
    <t>Black</t>
  </si>
  <si>
    <t>FD06MTG002</t>
  </si>
  <si>
    <t>McCall</t>
  </si>
  <si>
    <t>FD08MTG003</t>
  </si>
  <si>
    <t>Green</t>
  </si>
  <si>
    <t>Lyon</t>
  </si>
  <si>
    <t>FD08MTG004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</si>
  <si>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</si>
  <si>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</si>
  <si>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</si>
  <si>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</si>
  <si>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</si>
  <si>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</si>
  <si>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</si>
  <si>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</si>
  <si>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</si>
  <si>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</si>
  <si>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</si>
  <si>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</si>
  <si>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</si>
  <si>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</si>
  <si>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</si>
  <si>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</si>
  <si>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</si>
  <si>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</si>
  <si>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</si>
  <si>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</si>
  <si>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</si>
  <si>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</si>
  <si>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</si>
  <si>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</si>
  <si>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</si>
  <si>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</si>
  <si>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</si>
  <si>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</si>
  <si>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</si>
  <si>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</si>
  <si>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</si>
  <si>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</si>
  <si>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</si>
  <si>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</si>
  <si>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</si>
  <si>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</si>
  <si>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</si>
  <si>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</si>
  <si>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</si>
  <si>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</si>
  <si>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</si>
  <si>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</si>
  <si>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</si>
  <si>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</si>
  <si>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</si>
  <si>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</si>
  <si>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</si>
  <si>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</si>
  <si>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</si>
  <si>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</si>
  <si>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</si>
  <si>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</si>
  <si>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</si>
  <si>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</si>
  <si>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</si>
  <si>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</si>
  <si>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</si>
  <si>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</si>
  <si>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CR</t>
  </si>
  <si>
    <t>HY</t>
  </si>
  <si>
    <t>TY</t>
  </si>
  <si>
    <t>HO</t>
  </si>
  <si>
    <t>GM</t>
  </si>
  <si>
    <t>FD</t>
  </si>
  <si>
    <t>Chrysler</t>
  </si>
  <si>
    <t>Hundai</t>
  </si>
  <si>
    <t>Toyota</t>
  </si>
  <si>
    <t>Honda</t>
  </si>
  <si>
    <t>General Motors</t>
  </si>
  <si>
    <t>Ford</t>
  </si>
  <si>
    <t>CAM</t>
  </si>
  <si>
    <t>ELA</t>
  </si>
  <si>
    <t>FCS</t>
  </si>
  <si>
    <t>CMR</t>
  </si>
  <si>
    <t>COR</t>
  </si>
  <si>
    <t>CAR</t>
  </si>
  <si>
    <t>CIV</t>
  </si>
  <si>
    <t>MTG</t>
  </si>
  <si>
    <t>ODY</t>
  </si>
  <si>
    <t>PTC</t>
  </si>
  <si>
    <t>SLV</t>
  </si>
  <si>
    <t>Camrey</t>
  </si>
  <si>
    <t>Elantra</t>
  </si>
  <si>
    <t>Focus</t>
  </si>
  <si>
    <t>Camero</t>
  </si>
  <si>
    <t>Corola</t>
  </si>
  <si>
    <t>Caraven</t>
  </si>
  <si>
    <t>Civic</t>
  </si>
  <si>
    <t>Mustang</t>
  </si>
  <si>
    <t>Odyssey</t>
  </si>
  <si>
    <t>Silverado</t>
  </si>
  <si>
    <t>PT Cruiser</t>
  </si>
  <si>
    <t>HO01ODY040</t>
  </si>
  <si>
    <t>FD06FCS006</t>
  </si>
  <si>
    <t>GM09CMR014</t>
  </si>
  <si>
    <t>HO05ODY037</t>
  </si>
  <si>
    <t>Sum of Miles</t>
  </si>
  <si>
    <t xml:space="preserve">Principal </t>
  </si>
  <si>
    <t>Months</t>
  </si>
  <si>
    <t>Interest Rate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</si>
  <si>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</si>
  <si>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</si>
  <si>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</si>
  <si>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</si>
  <si>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</si>
  <si>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</si>
  <si>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</si>
  <si>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WallMart</t>
  </si>
  <si>
    <t>Dollar Trap</t>
  </si>
  <si>
    <t>Office Repo</t>
  </si>
  <si>
    <t>100 page notebook</t>
  </si>
  <si>
    <t>Ball point pen</t>
  </si>
  <si>
    <t>TI-35 calculator</t>
  </si>
  <si>
    <t>8 oz glue</t>
  </si>
  <si>
    <t>Clear tape</t>
  </si>
  <si>
    <t>Eraser</t>
  </si>
  <si>
    <t>10 no. 2 pencils</t>
  </si>
  <si>
    <t>2 inch binder</t>
  </si>
  <si>
    <t>USB stick 5gb</t>
  </si>
  <si>
    <t>8 color markers</t>
  </si>
  <si>
    <t>Stapler</t>
  </si>
  <si>
    <t>Planner book</t>
  </si>
  <si>
    <t>Protractor</t>
  </si>
  <si>
    <t>Compass</t>
  </si>
  <si>
    <t>Liquid paper</t>
  </si>
  <si>
    <t>Items</t>
  </si>
  <si>
    <t>Ken</t>
  </si>
  <si>
    <t>Barbie</t>
  </si>
  <si>
    <t>Dog</t>
  </si>
  <si>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</si>
  <si>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</si>
  <si>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</si>
  <si>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</si>
  <si>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</si>
  <si>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</si>
  <si>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</si>
  <si>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</si>
  <si>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Food</t>
  </si>
  <si>
    <t>Litter</t>
  </si>
  <si>
    <t>Treats</t>
  </si>
  <si>
    <t>Subtotal</t>
  </si>
  <si>
    <t>Montly Total</t>
  </si>
  <si>
    <t>Monthly</t>
  </si>
  <si>
    <t>1-year Costs</t>
  </si>
  <si>
    <t>Chicago Museum</t>
  </si>
  <si>
    <t>Orlando Theme Park</t>
  </si>
  <si>
    <t>Miami Cruise</t>
  </si>
  <si>
    <t>Per Person Expenses</t>
  </si>
  <si>
    <t>Air Fare</t>
  </si>
  <si>
    <t>Natural History</t>
  </si>
  <si>
    <t>Chicago Musum of Art</t>
  </si>
  <si>
    <t>Science Museum</t>
  </si>
  <si>
    <t>Museum of Boardcase History</t>
  </si>
  <si>
    <t>Disneyland</t>
  </si>
  <si>
    <t>Universal Studios</t>
  </si>
  <si>
    <t>Sea World</t>
  </si>
  <si>
    <t>Busch Gardens</t>
  </si>
  <si>
    <t>Cruise</t>
  </si>
  <si>
    <t>Hotel Expenses</t>
  </si>
  <si>
    <t>Hotel cost per night</t>
  </si>
  <si>
    <t>Number of nights</t>
  </si>
  <si>
    <t>Hotel total</t>
  </si>
  <si>
    <t>Car rental</t>
  </si>
  <si>
    <t>Car Expenses</t>
  </si>
  <si>
    <t>Car total</t>
  </si>
  <si>
    <t>Subtotal of tickets (per person)</t>
  </si>
  <si>
    <t>Number of people in a group</t>
  </si>
  <si>
    <t>Food estimate</t>
  </si>
  <si>
    <t>Food Expense</t>
  </si>
  <si>
    <t>Food Total</t>
  </si>
  <si>
    <t>People</t>
  </si>
  <si>
    <t>Nights</t>
  </si>
  <si>
    <t>Days</t>
  </si>
  <si>
    <t>Total expenses</t>
  </si>
  <si>
    <t>Charts</t>
  </si>
  <si>
    <t>Produced By: Ms. Das Gupta</t>
  </si>
  <si>
    <t>Purchase Price</t>
  </si>
  <si>
    <t>Expected Pages Per day</t>
  </si>
  <si>
    <t>Days in week</t>
  </si>
  <si>
    <t>Pages per year</t>
  </si>
  <si>
    <t>Weeks in year</t>
  </si>
  <si>
    <t>Total pages in year</t>
  </si>
  <si>
    <t>Printing cost per year</t>
  </si>
  <si>
    <t>Total printing cost</t>
  </si>
  <si>
    <t>Total cost</t>
  </si>
  <si>
    <t>Epsilon</t>
  </si>
  <si>
    <t>Zero</t>
  </si>
  <si>
    <t>HP</t>
  </si>
  <si>
    <t>Cost per page</t>
  </si>
  <si>
    <t>Pages cartridge can print</t>
  </si>
  <si>
    <t>Berbie</t>
  </si>
  <si>
    <t>Cost of set of a cartridges</t>
  </si>
  <si>
    <t>Expected pages per day</t>
  </si>
  <si>
    <t>2 years</t>
  </si>
  <si>
    <t>Note: Subtracting 2 weeks of vacation from the total of 52 weeks leaves 50 weeks remaining.</t>
  </si>
  <si>
    <t>Spark</t>
  </si>
  <si>
    <t>Escalade</t>
  </si>
  <si>
    <t>Initial Costs</t>
  </si>
  <si>
    <t>Taxes</t>
  </si>
  <si>
    <t>Yearly Cost</t>
  </si>
  <si>
    <t>Insurance</t>
  </si>
  <si>
    <t>License</t>
  </si>
  <si>
    <t>Gas</t>
  </si>
  <si>
    <t>Gas Cost Calculation</t>
  </si>
  <si>
    <t>Miles Per Year Driven</t>
  </si>
  <si>
    <t>MPG</t>
  </si>
  <si>
    <t>Price Per Gal of Gas</t>
  </si>
  <si>
    <t>Total Annual Gas Purchase</t>
  </si>
  <si>
    <t xml:space="preserve">Total Annual Cost </t>
  </si>
  <si>
    <t>Note: Total Annual Cost is calculate by adding insurance, license, and gas.</t>
  </si>
  <si>
    <t>Susan's Goal for Maximum Miles</t>
  </si>
  <si>
    <t>Miles to Drive Each Year</t>
  </si>
  <si>
    <t>Total Life of The Car</t>
  </si>
  <si>
    <t>Annual Costs X Years of Life</t>
  </si>
  <si>
    <t>Total Lifetime Costs</t>
  </si>
  <si>
    <t>Average(Cost/Year)</t>
  </si>
  <si>
    <r>
      <rPr>
        <b/>
        <sz val="11"/>
        <color theme="1"/>
        <rFont val="Calibri"/>
        <family val="2"/>
        <scheme val="minor"/>
      </rPr>
      <t xml:space="preserve">Created: </t>
    </r>
    <r>
      <rPr>
        <sz val="11"/>
        <color theme="1"/>
        <rFont val="Calibri"/>
        <family val="2"/>
        <scheme val="minor"/>
      </rPr>
      <t>7/11/2023</t>
    </r>
  </si>
  <si>
    <r>
      <rPr>
        <b/>
        <sz val="11"/>
        <color theme="1"/>
        <rFont val="Calibri"/>
        <family val="2"/>
        <scheme val="minor"/>
      </rPr>
      <t xml:space="preserve">Employee Payroll: </t>
    </r>
    <r>
      <rPr>
        <sz val="11"/>
        <color theme="1"/>
        <rFont val="Calibri"/>
        <family val="2"/>
        <scheme val="minor"/>
      </rPr>
      <t xml:space="preserve">Ms Nipa Das Gupta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</si>
</sst>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.0_);_(&quot;$&quot;* \(#,##0.0\);_(&quot;$&quot;* &quot;-&quot;??_);_(@_)"/>
    <numFmt numFmtId="166" formatCode="_(&quot;$&quot;* #,##0_);_(&quot;$&quot;* \(#,##0\);_(&quot;$&quot;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i/>
      <sz val="11"/>
      <color rgb="FFD620C0"/>
      <name val="Roboto"/>
    </font>
    <font>
      <b/>
      <sz val="11"/>
      <color theme="1"/>
      <name val="Roboto"/>
    </font>
    <font>
      <b/>
      <i/>
      <sz val="11"/>
      <color rgb="FFD620C0"/>
      <name val="Roboto"/>
    </font>
    <font>
      <b/>
      <sz val="12"/>
      <color theme="1"/>
      <name val="Roboto"/>
    </font>
    <font>
      <sz val="12"/>
      <color theme="1"/>
      <name val="Roboto"/>
    </font>
    <font>
      <b/>
      <i/>
      <sz val="12"/>
      <color rgb="FFD620C0"/>
      <name val="Roboto"/>
    </font>
    <font>
      <b/>
      <i/>
      <sz val="9"/>
      <color theme="1"/>
      <name val="Roboto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0">
    <xf numFmtId="0" fontId="0" fillId="0" borderId="0" xfId="0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9" fontId="0" fillId="0" borderId="0" xfId="2" applyFont="1"/>
    <xf numFmtId="0" fontId="2" fillId="0" borderId="0" xfId="3"/>
    <xf numFmtId="14" fontId="2" fillId="0" borderId="0" xfId="4" applyNumberFormat="1" applyFont="1"/>
    <xf numFmtId="164" fontId="2" fillId="0" borderId="0" xfId="4" applyNumberFormat="1" applyFont="1"/>
    <xf numFmtId="44" fontId="2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5" applyFont="1"/>
    <xf numFmtId="0" fontId="0" fillId="0" borderId="0" xfId="1" applyNumberFormat="1" applyFont="1"/>
    <xf numFmtId="0" fontId="4" fillId="0" borderId="0" xfId="0" applyFont="1"/>
    <xf numFmtId="44" fontId="4" fillId="0" borderId="0" xfId="0" applyNumberFormat="1" applyFont="1"/>
    <xf numFmtId="44" fontId="4" fillId="0" borderId="0" xfId="1" applyFont="1"/>
    <xf numFmtId="0" fontId="4" fillId="0" borderId="0" xfId="1" applyNumberFormat="1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44" fontId="5" fillId="0" borderId="0" xfId="1" applyFont="1"/>
    <xf numFmtId="0" fontId="7" fillId="4" borderId="0" xfId="0" applyFont="1" applyFill="1"/>
    <xf numFmtId="44" fontId="7" fillId="4" borderId="0" xfId="1" applyFont="1" applyFill="1"/>
    <xf numFmtId="0" fontId="8" fillId="0" borderId="0" xfId="0" applyFont="1"/>
    <xf numFmtId="0" fontId="7" fillId="0" borderId="0" xfId="0" applyFont="1"/>
    <xf numFmtId="44" fontId="7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1" xfId="0" applyFont="1" applyFill="1" applyBorder="1"/>
    <xf numFmtId="0" fontId="10" fillId="0" borderId="1" xfId="0" applyFont="1" applyBorder="1"/>
    <xf numFmtId="0" fontId="10" fillId="2" borderId="1" xfId="0" applyFont="1" applyFill="1" applyBorder="1"/>
    <xf numFmtId="166" fontId="9" fillId="0" borderId="0" xfId="1" applyNumberFormat="1" applyFont="1"/>
    <xf numFmtId="166" fontId="10" fillId="0" borderId="0" xfId="1" applyNumberFormat="1" applyFont="1"/>
    <xf numFmtId="166" fontId="10" fillId="2" borderId="2" xfId="1" applyNumberFormat="1" applyFont="1" applyFill="1" applyBorder="1"/>
    <xf numFmtId="166" fontId="10" fillId="2" borderId="3" xfId="1" applyNumberFormat="1" applyFont="1" applyFill="1" applyBorder="1"/>
    <xf numFmtId="166" fontId="10" fillId="0" borderId="2" xfId="1" applyNumberFormat="1" applyFont="1" applyBorder="1"/>
    <xf numFmtId="166" fontId="10" fillId="0" borderId="3" xfId="1" applyNumberFormat="1" applyFont="1" applyBorder="1"/>
    <xf numFmtId="166" fontId="10" fillId="0" borderId="0" xfId="0" applyNumberFormat="1" applyFont="1"/>
    <xf numFmtId="166" fontId="10" fillId="0" borderId="0" xfId="1" applyNumberFormat="1" applyFont="1" applyFill="1" applyBorder="1"/>
    <xf numFmtId="44" fontId="5" fillId="3" borderId="0" xfId="1" applyFont="1" applyFill="1"/>
    <xf numFmtId="43" fontId="5" fillId="0" borderId="0" xfId="5" applyFont="1"/>
    <xf numFmtId="43" fontId="5" fillId="0" borderId="0" xfId="0" applyNumberFormat="1" applyFont="1"/>
    <xf numFmtId="0" fontId="7" fillId="3" borderId="0" xfId="0" applyFont="1" applyFill="1"/>
    <xf numFmtId="44" fontId="7" fillId="3" borderId="0" xfId="1" applyFont="1" applyFill="1"/>
    <xf numFmtId="0" fontId="12" fillId="0" borderId="0" xfId="0" applyFont="1"/>
    <xf numFmtId="165" fontId="5" fillId="0" borderId="0" xfId="0" applyNumberFormat="1" applyFont="1"/>
    <xf numFmtId="165" fontId="5" fillId="0" borderId="0" xfId="1" applyNumberFormat="1" applyFont="1"/>
    <xf numFmtId="165" fontId="5" fillId="3" borderId="0" xfId="1" applyNumberFormat="1" applyFont="1" applyFill="1"/>
    <xf numFmtId="165" fontId="7" fillId="0" borderId="0" xfId="0" applyNumberFormat="1" applyFont="1"/>
    <xf numFmtId="44" fontId="5" fillId="3" borderId="0" xfId="0" applyNumberFormat="1" applyFont="1" applyFill="1"/>
    <xf numFmtId="165" fontId="7" fillId="0" borderId="0" xfId="1" applyNumberFormat="1" applyFont="1"/>
    <xf numFmtId="165" fontId="5" fillId="3" borderId="0" xfId="0" applyNumberFormat="1" applyFont="1" applyFill="1"/>
    <xf numFmtId="0" fontId="0" fillId="0" borderId="0" xfId="0"/>
    <xf numFmtId="2" fontId="0" fillId="0" borderId="0" xfId="0" applyNumberFormat="1"/>
    <xf numFmtId="0" fontId="2" fillId="0" borderId="0" xfId="3" applyFill="1"/>
    <xf numFmtId="0" fontId="13" fillId="0" borderId="0" xfId="3" applyFont="1" applyAlignment="1">
      <alignment wrapText="1"/>
    </xf>
    <xf numFmtId="44" fontId="13" fillId="0" borderId="0" xfId="1" applyFont="1" applyAlignment="1">
      <alignment wrapText="1"/>
    </xf>
    <xf numFmtId="0" fontId="4" fillId="0" borderId="0" xfId="0" applyFont="1" applyAlignment="1">
      <alignment textRotation="90"/>
    </xf>
    <xf numFmtId="0" fontId="14" fillId="0" borderId="0" xfId="0" applyFont="1"/>
  </cellXfs>
  <cellStyles count="6">
    <cellStyle name="Comma" xfId="5" builtinId="3"/>
    <cellStyle name="Comma 2" xfId="4" xr:uid="{350D070B-0D44-4132-AD5A-F1D1888DD573}"/>
    <cellStyle name="Currency" xfId="1" builtinId="4"/>
    <cellStyle name="Normal" xfId="0" builtinId="0"/>
    <cellStyle name="Normal 2" xfId="3" xr:uid="{23FBB743-6DCD-4DCC-B11B-5A860AF333CE}"/>
    <cellStyle name="Percent" xfId="2" builtinId="5"/>
  </cellStyles>
  <dxfs count="1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1" formatCode="d\-mmm"/>
    </dxf>
    <dxf>
      <numFmt numFmtId="21" formatCode="d\-mmm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  <numFmt numFmtId="165" formatCode="_(&quot;$&quot;* #,##0.0_);_(&quot;$&quot;* \(#,##0.0\);_(&quot;$&quot;* &quot;-&quot;??_);_(@_)"/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  <numFmt numFmtId="35" formatCode="_(* #,##0.00_);_(* \(#,##0.00\);_(* &quot;-&quot;??_);_(@_)"/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D62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D62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D62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  <numFmt numFmtId="166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D620C0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2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name val="Roboto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DDDDDD"/>
      <color rgb="FFD62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Safety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Gradebook!$C$4:$C$23</c:f>
              <c:numCache>
                <c:formatCode>General</c:formatCode>
                <c:ptCount val="20"/>
                <c:pt idx="0">
                  <c:v>7</c:v>
                </c:pt>
                <c:pt idx="1">
                  <c:v>9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10</c:v>
                </c:pt>
                <c:pt idx="6">
                  <c:v>6</c:v>
                </c:pt>
                <c:pt idx="7">
                  <c:v>9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5</c:v>
                </c:pt>
                <c:pt idx="13">
                  <c:v>7</c:v>
                </c:pt>
                <c:pt idx="14">
                  <c:v>10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0-4A4E-B6F9-36D2C1FE24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506336"/>
        <c:axId val="358502496"/>
      </c:barChart>
      <c:catAx>
        <c:axId val="35850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02496"/>
        <c:crosses val="autoZero"/>
        <c:auto val="1"/>
        <c:lblAlgn val="ctr"/>
        <c:lblOffset val="100"/>
        <c:noMultiLvlLbl val="0"/>
      </c:catAx>
      <c:valAx>
        <c:axId val="35850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Gradebook!$D$4:$D$23</c:f>
              <c:numCache>
                <c:formatCode>General</c:formatCode>
                <c:ptCount val="20"/>
                <c:pt idx="0">
                  <c:v>17</c:v>
                </c:pt>
                <c:pt idx="1">
                  <c:v>6</c:v>
                </c:pt>
                <c:pt idx="2">
                  <c:v>17</c:v>
                </c:pt>
                <c:pt idx="3">
                  <c:v>12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F-40BE-BB4D-C50E0BAC5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2576256"/>
        <c:axId val="573088928"/>
      </c:barChart>
      <c:catAx>
        <c:axId val="22257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88928"/>
        <c:crosses val="autoZero"/>
        <c:auto val="1"/>
        <c:lblAlgn val="ctr"/>
        <c:lblOffset val="100"/>
        <c:noMultiLvlLbl val="0"/>
      </c:catAx>
      <c:valAx>
        <c:axId val="5730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57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Financial</a:t>
            </a:r>
            <a:r>
              <a:rPr lang="en-MY" baseline="0"/>
              <a:t> Skill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Gradebook!$E$4:$E$23</c:f>
              <c:numCache>
                <c:formatCode>General</c:formatCode>
                <c:ptCount val="20"/>
                <c:pt idx="0">
                  <c:v>60</c:v>
                </c:pt>
                <c:pt idx="1">
                  <c:v>61</c:v>
                </c:pt>
                <c:pt idx="2">
                  <c:v>71</c:v>
                </c:pt>
                <c:pt idx="3">
                  <c:v>72</c:v>
                </c:pt>
                <c:pt idx="4">
                  <c:v>73</c:v>
                </c:pt>
                <c:pt idx="5">
                  <c:v>65</c:v>
                </c:pt>
                <c:pt idx="6">
                  <c:v>66</c:v>
                </c:pt>
                <c:pt idx="7">
                  <c:v>76</c:v>
                </c:pt>
                <c:pt idx="8">
                  <c:v>77</c:v>
                </c:pt>
                <c:pt idx="9">
                  <c:v>78</c:v>
                </c:pt>
                <c:pt idx="10">
                  <c:v>70</c:v>
                </c:pt>
                <c:pt idx="11">
                  <c:v>62</c:v>
                </c:pt>
                <c:pt idx="12">
                  <c:v>63</c:v>
                </c:pt>
                <c:pt idx="13">
                  <c:v>64</c:v>
                </c:pt>
                <c:pt idx="14">
                  <c:v>74</c:v>
                </c:pt>
                <c:pt idx="15">
                  <c:v>75</c:v>
                </c:pt>
                <c:pt idx="16">
                  <c:v>67</c:v>
                </c:pt>
                <c:pt idx="17">
                  <c:v>68</c:v>
                </c:pt>
                <c:pt idx="18">
                  <c:v>69</c:v>
                </c:pt>
                <c:pt idx="19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36-41EC-93D8-7F00FC8874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102848"/>
        <c:axId val="573096128"/>
      </c:barChart>
      <c:catAx>
        <c:axId val="57310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96128"/>
        <c:crosses val="autoZero"/>
        <c:auto val="1"/>
        <c:lblAlgn val="ctr"/>
        <c:lblOffset val="100"/>
        <c:noMultiLvlLbl val="0"/>
      </c:catAx>
      <c:valAx>
        <c:axId val="57309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102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[freecodingcamp.xlsx]Sales Report!PivotTable1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Report'!$B$3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E72-45CF-BACA-EAF82AE2F0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E72-45CF-BACA-EAF82AE2F0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E72-45CF-BACA-EAF82AE2F0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E72-45CF-BACA-EAF82AE2F00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Report'!$A$4:$A$8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'Sales Report'!$B$4:$B$8</c:f>
              <c:numCache>
                <c:formatCode>_("$"* #,##0.00_);_("$"* \(#,##0.00\);_("$"*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3-44F6-9103-6FFB47CD2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Inventory'!$H$1</c:f>
              <c:strCache>
                <c:ptCount val="1"/>
                <c:pt idx="0">
                  <c:v> Miles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Inventory'!$G$2:$G$66</c:f>
              <c:numCache>
                <c:formatCode>General</c:formatCode>
                <c:ptCount val="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Inventory'!$H$2:$H$66</c:f>
              <c:numCache>
                <c:formatCode>_(* #,##0.00_);_(* \(#,##0.00\);_(* "-"??_);_(@_)</c:formatCode>
                <c:ptCount val="65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27534.799999999999</c:v>
                </c:pt>
                <c:pt idx="4">
                  <c:v>22521.599999999999</c:v>
                </c:pt>
                <c:pt idx="5">
                  <c:v>22188.5</c:v>
                </c:pt>
                <c:pt idx="6">
                  <c:v>20223.900000000001</c:v>
                </c:pt>
                <c:pt idx="7">
                  <c:v>29601.9</c:v>
                </c:pt>
                <c:pt idx="8">
                  <c:v>24513.200000000001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19421.099999999999</c:v>
                </c:pt>
                <c:pt idx="18">
                  <c:v>19341.7</c:v>
                </c:pt>
                <c:pt idx="19">
                  <c:v>33477.199999999997</c:v>
                </c:pt>
                <c:pt idx="20">
                  <c:v>3708.1</c:v>
                </c:pt>
                <c:pt idx="21">
                  <c:v>31144.400000000001</c:v>
                </c:pt>
                <c:pt idx="22">
                  <c:v>44946.5</c:v>
                </c:pt>
                <c:pt idx="23">
                  <c:v>72527.199999999997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73444.399999999994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37558.800000000003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67829.100000000006</c:v>
                </c:pt>
                <c:pt idx="40">
                  <c:v>77243.100000000006</c:v>
                </c:pt>
                <c:pt idx="41">
                  <c:v>82374</c:v>
                </c:pt>
                <c:pt idx="42">
                  <c:v>44974.8</c:v>
                </c:pt>
                <c:pt idx="43">
                  <c:v>69891.899999999994</c:v>
                </c:pt>
                <c:pt idx="44">
                  <c:v>28464.799999999999</c:v>
                </c:pt>
                <c:pt idx="45">
                  <c:v>64467.4</c:v>
                </c:pt>
                <c:pt idx="46">
                  <c:v>79420.600000000006</c:v>
                </c:pt>
                <c:pt idx="47">
                  <c:v>68658.899999999994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4-4F06-9911-AD88ACD83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9792096"/>
        <c:axId val="1999794496"/>
      </c:scatterChart>
      <c:valAx>
        <c:axId val="199979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Age of the</a:t>
                </a:r>
                <a:r>
                  <a:rPr lang="en-MY" baseline="0"/>
                  <a:t> Car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94496"/>
        <c:crosses val="autoZero"/>
        <c:crossBetween val="midCat"/>
      </c:valAx>
      <c:valAx>
        <c:axId val="19997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Miles Driven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9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[freecodingcamp.xlsx]Inventory Report!PivotTable1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'Inventory Report'!$B$3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'Inventory Report'!$A$4:$A$21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'Inventory Report'!$B$4:$B$21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A-4D2A-B409-5EF321C66E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9805536"/>
        <c:axId val="1999798336"/>
      </c:barChart>
      <c:catAx>
        <c:axId val="199980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798336"/>
        <c:crosses val="autoZero"/>
        <c:auto val="1"/>
        <c:lblAlgn val="ctr"/>
        <c:lblOffset val="100"/>
        <c:noMultiLvlLbl val="0"/>
      </c:catAx>
      <c:valAx>
        <c:axId val="19997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98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Monthly</a:t>
            </a:r>
            <a:r>
              <a:rPr lang="en-MY" baseline="0"/>
              <a:t> Payments for $10K Loan</a:t>
            </a:r>
          </a:p>
          <a:p>
            <a:pPr>
              <a:defRPr/>
            </a:pPr>
            <a:endParaRPr lang="en-MY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'Loan Comparsion'!$C$2:$C$5</c:f>
              <c:numCache>
                <c:formatCode>0%</c:formatCode>
                <c:ptCount val="4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0.06</c:v>
                </c:pt>
              </c:numCache>
            </c:numRef>
          </c:cat>
          <c:val>
            <c:numRef>
              <c:f>'Loan Comparsion'!$G$2:$G$5</c:f>
              <c:numCache>
                <c:formatCode>_("$"* #,##0.00_);_("$"* \(#,##0.00\);_("$"* "-"??_);_(@_)</c:formatCode>
                <c:ptCount val="4"/>
                <c:pt idx="0">
                  <c:v>1816.6666666666667</c:v>
                </c:pt>
                <c:pt idx="1">
                  <c:v>1800</c:v>
                </c:pt>
                <c:pt idx="2">
                  <c:v>1783.3333333333333</c:v>
                </c:pt>
                <c:pt idx="3">
                  <c:v>1766.6666666666667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D-4977-B158-AE94805AF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9368128"/>
        <c:axId val="1077851216"/>
      </c:barChart>
      <c:catAx>
        <c:axId val="161936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Interest</a:t>
                </a:r>
                <a:r>
                  <a:rPr lang="en-MY" baseline="0"/>
                  <a:t> Rate</a:t>
                </a:r>
                <a:endParaRPr lang="en-MY"/>
              </a:p>
            </c:rich>
          </c:tx>
          <c:layout>
            <c:manualLayout>
              <c:xMode val="edge"/>
              <c:yMode val="edge"/>
              <c:x val="0.467964348206474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851216"/>
        <c:crosses val="autoZero"/>
        <c:auto val="1"/>
        <c:lblAlgn val="ctr"/>
        <c:lblOffset val="100"/>
        <c:noMultiLvlLbl val="0"/>
      </c:catAx>
      <c:valAx>
        <c:axId val="10778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Monthly Payment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936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Comparsion for</a:t>
            </a:r>
            <a:r>
              <a:rPr lang="en-US" baseline="0"/>
              <a:t> Barbie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 Comparsion'!$F$18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'Price Comparsion'!$B$1:$D$1</c:f>
              <c:strCache>
                <c:ptCount val="3"/>
                <c:pt idx="0">
                  <c:v> WallMart </c:v>
                </c:pt>
                <c:pt idx="1">
                  <c:v> Dollar Trap </c:v>
                </c:pt>
                <c:pt idx="2">
                  <c:v> Office Repo </c:v>
                </c:pt>
              </c:strCache>
            </c:strRef>
          </c:cat>
          <c:val>
            <c:numRef>
              <c:f>'Price Comparsion'!$G$18:$I$18</c:f>
              <c:numCache>
                <c:formatCode>_("$"* #,##0.00_);_("$"* \(#,##0.00\);_("$"* "-"??_);_(@_)</c:formatCode>
                <c:ptCount val="3"/>
                <c:pt idx="0">
                  <c:v>186.48000000000002</c:v>
                </c:pt>
                <c:pt idx="1">
                  <c:v>179.2</c:v>
                </c:pt>
                <c:pt idx="2">
                  <c:v>184.15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4-45E0-A4FD-1FAFA188D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26113088"/>
        <c:axId val="248207216"/>
      </c:barChart>
      <c:catAx>
        <c:axId val="226113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207216"/>
        <c:crosses val="autoZero"/>
        <c:auto val="1"/>
        <c:lblAlgn val="ctr"/>
        <c:lblOffset val="100"/>
        <c:noMultiLvlLbl val="0"/>
      </c:catAx>
      <c:valAx>
        <c:axId val="248207216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1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Comparsion For 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4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'Price Comparsion'!$L$18:$N$18</c:f>
              <c:numCache>
                <c:formatCode>_("$"* #,##0.00_);_("$"* \(#,##0.00\);_("$"* "-"??_);_(@_)</c:formatCode>
                <c:ptCount val="3"/>
                <c:pt idx="0">
                  <c:v>122.35000000000001</c:v>
                </c:pt>
                <c:pt idx="1">
                  <c:v>118.65</c:v>
                </c:pt>
                <c:pt idx="2">
                  <c:v>118.69999999999999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9C7-4660-9DE2-187E789943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701269968"/>
        <c:axId val="1701267568"/>
      </c:barChart>
      <c:catAx>
        <c:axId val="170126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267568"/>
        <c:crosses val="autoZero"/>
        <c:auto val="1"/>
        <c:lblAlgn val="ctr"/>
        <c:lblOffset val="100"/>
        <c:noMultiLvlLbl val="0"/>
      </c:catAx>
      <c:valAx>
        <c:axId val="1701267568"/>
        <c:scaling>
          <c:orientation val="minMax"/>
        </c:scaling>
        <c:delete val="0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126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1-Year Cost Comparison</a:t>
            </a:r>
            <a:r>
              <a:rPr lang="en-MY" baseline="0"/>
              <a:t> for pets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'Pet Comparsion'!$B$3:$C$3</c:f>
              <c:strCache>
                <c:ptCount val="2"/>
                <c:pt idx="0">
                  <c:v> Dog </c:v>
                </c:pt>
                <c:pt idx="1">
                  <c:v> Cat </c:v>
                </c:pt>
              </c:strCache>
            </c:strRef>
          </c:cat>
          <c:val>
            <c:numRef>
              <c:f>'Pet Comparsion'!$B$19:$C$19</c:f>
              <c:numCache>
                <c:formatCode>_("$"* #,##0.00_);_("$"* \(#,##0.00\);_("$"* "-"??_);_(@_)</c:formatCode>
                <c:ptCount val="2"/>
                <c:pt idx="0">
                  <c:v>576</c:v>
                </c:pt>
                <c:pt idx="1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3-4244-8C82-F4D930CC25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425275680"/>
        <c:axId val="425295840"/>
      </c:barChart>
      <c:catAx>
        <c:axId val="42527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Type of Pet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95840"/>
        <c:crosses val="autoZero"/>
        <c:auto val="1"/>
        <c:lblAlgn val="ctr"/>
        <c:lblOffset val="100"/>
        <c:noMultiLvlLbl val="0"/>
      </c:catAx>
      <c:valAx>
        <c:axId val="425295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Yearly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75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j-cs"/>
              </a:defRPr>
            </a:pPr>
            <a:r>
              <a:rPr lang="en-US"/>
              <a:t>Vacation Cost Comparsion for 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'Vacation Cost Comparsion'!$G$37:$I$37</c:f>
              <c:numCache>
                <c:formatCode>_("$"* #,##0_);_("$"* \(#,##0\);_("$"* "-"??_);_(@_)</c:formatCode>
                <c:ptCount val="3"/>
                <c:pt idx="0">
                  <c:v>2747</c:v>
                </c:pt>
                <c:pt idx="1">
                  <c:v>2089</c:v>
                </c:pt>
                <c:pt idx="2">
                  <c:v>1955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74CE-402C-B868-C015355E6A1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97745792"/>
        <c:axId val="497765952"/>
      </c:barChart>
      <c:catAx>
        <c:axId val="497745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MY"/>
                  <a:t>Destination</a:t>
                </a:r>
              </a:p>
            </c:rich>
          </c:tx>
          <c:layout>
            <c:manualLayout>
              <c:xMode val="edge"/>
              <c:yMode val="edge"/>
              <c:x val="0.46480446194225722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497765952"/>
        <c:crosses val="autoZero"/>
        <c:auto val="1"/>
        <c:lblAlgn val="ctr"/>
        <c:lblOffset val="100"/>
        <c:noMultiLvlLbl val="0"/>
      </c:catAx>
      <c:valAx>
        <c:axId val="4977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MY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49774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j-cs"/>
              </a:defRPr>
            </a:pPr>
            <a:r>
              <a:rPr lang="en-MY"/>
              <a:t>Vacation Cost Comparison for Barbie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Roboto" panose="02000000000000000000" pitchFamily="2" charset="0"/>
              <a:ea typeface="Roboto" panose="02000000000000000000" pitchFamily="2" charset="0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'Vacation Cost Comparsion'!$A$37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'Vacation Cost Comparsion'!$B$3:$D$3</c:f>
              <c:strCache>
                <c:ptCount val="3"/>
                <c:pt idx="0">
                  <c:v> Chicago Museum </c:v>
                </c:pt>
                <c:pt idx="1">
                  <c:v> Orlando Theme Park </c:v>
                </c:pt>
                <c:pt idx="2">
                  <c:v> Miami Cruise </c:v>
                </c:pt>
              </c:strCache>
            </c:strRef>
          </c:cat>
          <c:val>
            <c:numRef>
              <c:f>'Vacation Cost Comparsion'!$B$37:$D$37</c:f>
              <c:numCache>
                <c:formatCode>_("$"* #,##0_);_("$"* \(#,##0\);_("$"* "-"??_);_(@_)</c:formatCode>
                <c:ptCount val="3"/>
                <c:pt idx="0">
                  <c:v>1787</c:v>
                </c:pt>
                <c:pt idx="1">
                  <c:v>1489</c:v>
                </c:pt>
                <c:pt idx="2">
                  <c:v>1255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6-42C7-A0B7-6DBC428A48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25268480"/>
        <c:axId val="425296320"/>
      </c:barChart>
      <c:catAx>
        <c:axId val="42526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MY"/>
                  <a:t>Destination</a:t>
                </a:r>
              </a:p>
            </c:rich>
          </c:tx>
          <c:layout>
            <c:manualLayout>
              <c:xMode val="edge"/>
              <c:yMode val="edge"/>
              <c:x val="0.45963791346502342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425296320"/>
        <c:crosses val="autoZero"/>
        <c:auto val="1"/>
        <c:lblAlgn val="ctr"/>
        <c:lblOffset val="100"/>
        <c:noMultiLvlLbl val="0"/>
      </c:catAx>
      <c:valAx>
        <c:axId val="4252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Roboto" panose="02000000000000000000" pitchFamily="2" charset="0"/>
                    <a:ea typeface="Roboto" panose="02000000000000000000" pitchFamily="2" charset="0"/>
                    <a:cs typeface="+mn-cs"/>
                  </a:defRPr>
                </a:pPr>
                <a:r>
                  <a:rPr lang="en-MY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Roboto" panose="02000000000000000000" pitchFamily="2" charset="0"/>
                  <a:ea typeface="Roboto" panose="02000000000000000000" pitchFamily="2" charset="0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Roboto" panose="02000000000000000000" pitchFamily="2" charset="0"/>
                <a:ea typeface="Roboto" panose="02000000000000000000" pitchFamily="2" charset="0"/>
                <a:cs typeface="+mn-cs"/>
              </a:defRPr>
            </a:pPr>
            <a:endParaRPr lang="en-US"/>
          </a:p>
        </c:txPr>
        <c:crossAx val="42526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Roboto" panose="02000000000000000000" pitchFamily="2" charset="0"/>
          <a:ea typeface="Roboto" panose="02000000000000000000" pitchFamily="2" charset="0"/>
        </a:defRPr>
      </a:pPr>
      <a:endParaRPr lang="en-US"/>
    </a:p>
  </c:txPr>
  <c:printSettings>
    <c:headerFooter/>
    <c:pageMargins b="0.75" l="0.7" r="0.7" t="0.75" header="0.3" footer="0.3"/>
    <c:pageSetup paperSize="9"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for Barbie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'Printer Cost Compersion'!$B$19:$D$19</c:f>
              <c:numCache>
                <c:formatCode>_("$"* #,##0.00_);_("$"* \(#,##0.00\);_("$"* "-"??_);_(@_)</c:formatCode>
                <c:ptCount val="3"/>
                <c:pt idx="0">
                  <c:v>779</c:v>
                </c:pt>
                <c:pt idx="1">
                  <c:v>486.5</c:v>
                </c:pt>
                <c:pt idx="2">
                  <c:v>675.13636363636363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F592-4A09-80A8-D86CC29555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52385232"/>
        <c:axId val="552364592"/>
      </c:barChart>
      <c:catAx>
        <c:axId val="55238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64592"/>
        <c:crosses val="autoZero"/>
        <c:auto val="1"/>
        <c:lblAlgn val="ctr"/>
        <c:lblOffset val="100"/>
        <c:noMultiLvlLbl val="0"/>
      </c:catAx>
      <c:valAx>
        <c:axId val="552364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8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for 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'Printer Cost Compersion'!$G$19:$I$19</c:f>
              <c:numCache>
                <c:formatCode>_("$"* #,##0.00_);_("$"* \(#,##0.00\);_("$"* "-"??_);_(@_)</c:formatCode>
                <c:ptCount val="3"/>
                <c:pt idx="0">
                  <c:v>25029</c:v>
                </c:pt>
                <c:pt idx="1">
                  <c:v>11399</c:v>
                </c:pt>
                <c:pt idx="2">
                  <c:v>4753.545454545455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760-4259-925D-B5AB81AA28A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52363152"/>
        <c:axId val="552367952"/>
      </c:barChart>
      <c:catAx>
        <c:axId val="5523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67952"/>
        <c:crosses val="autoZero"/>
        <c:auto val="1"/>
        <c:lblAlgn val="ctr"/>
        <c:lblOffset val="100"/>
        <c:noMultiLvlLbl val="0"/>
      </c:catAx>
      <c:valAx>
        <c:axId val="5523679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for Barbie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Cost Comparsion'!$A$30</c:f>
              <c:strCache>
                <c:ptCount val="1"/>
                <c:pt idx="0">
                  <c:v>Average(Cost/Year)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'Car Cost Comparsion'!$B$29:$D$29</c:f>
              <c:strCache>
                <c:ptCount val="3"/>
                <c:pt idx="0">
                  <c:v> Spark </c:v>
                </c:pt>
                <c:pt idx="1">
                  <c:v> Mustang </c:v>
                </c:pt>
                <c:pt idx="2">
                  <c:v> Escalade </c:v>
                </c:pt>
              </c:strCache>
            </c:strRef>
          </c:cat>
          <c:val>
            <c:numRef>
              <c:f>'Car Cost Comparsion'!$B$30:$D$30</c:f>
              <c:numCache>
                <c:formatCode>_("$"* #,##0.0_);_("$"* \(#,##0.0\);_("$"* "-"??_);_(@_)</c:formatCode>
                <c:ptCount val="3"/>
                <c:pt idx="0">
                  <c:v>6578.5714285714284</c:v>
                </c:pt>
                <c:pt idx="1">
                  <c:v>12283.157894736843</c:v>
                </c:pt>
                <c:pt idx="2">
                  <c:v>18631.176470588234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E5-4BA4-8094-E8E38DBE55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552384752"/>
        <c:axId val="552370832"/>
      </c:barChart>
      <c:catAx>
        <c:axId val="55238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Type of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70832"/>
        <c:crosses val="autoZero"/>
        <c:auto val="1"/>
        <c:lblAlgn val="ctr"/>
        <c:lblOffset val="100"/>
        <c:noMultiLvlLbl val="0"/>
      </c:catAx>
      <c:valAx>
        <c:axId val="55237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Cost/Year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84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Average for Ken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'Car Cost Comparsion'!$F$30</c:f>
              <c:strCache>
                <c:ptCount val="1"/>
                <c:pt idx="0">
                  <c:v>Average(Cost/Year)</c:v>
                </c:pt>
              </c:strCache>
            </c:strRef>
          </c:tx>
          <c:spPr>
            <a:pattFill prst="ltUpDiag">
              <a:fgClr>
                <a:schemeClr val="accent4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'Car Cost Comparsion'!$G$29:$I$29</c:f>
              <c:strCache>
                <c:ptCount val="3"/>
                <c:pt idx="0">
                  <c:v> Spark </c:v>
                </c:pt>
                <c:pt idx="1">
                  <c:v> Mustang </c:v>
                </c:pt>
                <c:pt idx="2">
                  <c:v> Escalade </c:v>
                </c:pt>
              </c:strCache>
            </c:strRef>
          </c:cat>
          <c:val>
            <c:numRef>
              <c:f>'Car Cost Comparsion'!$G$30:$I$30</c:f>
              <c:numCache>
                <c:formatCode>_("$"* #,##0.0_);_("$"* \(#,##0.0\);_("$"* "-"??_);_(@_)</c:formatCode>
                <c:ptCount val="3"/>
                <c:pt idx="0">
                  <c:v>7274.5714285714284</c:v>
                </c:pt>
                <c:pt idx="1">
                  <c:v>13771.157894736843</c:v>
                </c:pt>
                <c:pt idx="2">
                  <c:v>22087.176470588231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0-41BC-B160-7F3B626867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552378032"/>
        <c:axId val="552380912"/>
      </c:barChart>
      <c:catAx>
        <c:axId val="552378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Type of Car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80912"/>
        <c:crosses val="autoZero"/>
        <c:auto val="1"/>
        <c:lblAlgn val="ctr"/>
        <c:lblOffset val="100"/>
        <c:noMultiLvlLbl val="0"/>
      </c:catAx>
      <c:valAx>
        <c:axId val="552380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MY"/>
                  <a:t>Cost/Year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37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22505</xdr:colOff>
      <xdr:row>0</xdr:row>
      <xdr:rowOff>207919</xdr:rowOff>
    </xdr:from>
    <xdr:to>
      <xdr:col>20</xdr:col>
      <xdr:colOff>608451</xdr:colOff>
      <xdr:row>8</xdr:row>
      <xdr:rowOff>31120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0D8F5D-4528-00A2-1D0E-EA6A237A7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22504</xdr:colOff>
      <xdr:row>8</xdr:row>
      <xdr:rowOff>165543</xdr:rowOff>
    </xdr:from>
    <xdr:to>
      <xdr:col>20</xdr:col>
      <xdr:colOff>608450</xdr:colOff>
      <xdr:row>23</xdr:row>
      <xdr:rowOff>39435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816280B-DC19-7CF8-5BB1-A231A50FD8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22505</xdr:colOff>
      <xdr:row>23</xdr:row>
      <xdr:rowOff>173857</xdr:rowOff>
    </xdr:from>
    <xdr:to>
      <xdr:col>20</xdr:col>
      <xdr:colOff>608451</xdr:colOff>
      <xdr:row>38</xdr:row>
      <xdr:rowOff>47746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67AAAB-F135-2546-4FF5-7EE8C322A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4156</xdr:colOff>
      <xdr:row>1</xdr:row>
      <xdr:rowOff>170411</xdr:rowOff>
    </xdr:from>
    <xdr:to>
      <xdr:col>9</xdr:col>
      <xdr:colOff>586047</xdr:colOff>
      <xdr:row>16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90B46E-85AF-C206-6844-F6E307F3E0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607175</xdr:colOff>
      <xdr:row>1</xdr:row>
      <xdr:rowOff>20782</xdr:rowOff>
    </xdr:from>
    <xdr:to>
      <xdr:col>22</xdr:col>
      <xdr:colOff>352425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5A8B7F-8F73-551E-4175-D6463E72E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394855</xdr:colOff>
      <xdr:row>1</xdr:row>
      <xdr:rowOff>187035</xdr:rowOff>
    </xdr:from>
    <xdr:to>
      <xdr:col>9</xdr:col>
      <xdr:colOff>311727</xdr:colOff>
      <xdr:row>16</xdr:row>
      <xdr:rowOff>62344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0F2AC6-7DED-E643-7716-2CAAAB9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49876</xdr:colOff>
      <xdr:row>6</xdr:row>
      <xdr:rowOff>87284</xdr:rowOff>
    </xdr:from>
    <xdr:to>
      <xdr:col>6</xdr:col>
      <xdr:colOff>689956</xdr:colOff>
      <xdr:row>20</xdr:row>
      <xdr:rowOff>153785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5A1468-0E2B-0224-CFB8-C3D4CCACD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45719</xdr:colOff>
      <xdr:row>20</xdr:row>
      <xdr:rowOff>20780</xdr:rowOff>
    </xdr:from>
    <xdr:to>
      <xdr:col>5</xdr:col>
      <xdr:colOff>436417</xdr:colOff>
      <xdr:row>34</xdr:row>
      <xdr:rowOff>87282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814058-CD36-FC73-FEDA-42E99ED9D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116378</xdr:colOff>
      <xdr:row>20</xdr:row>
      <xdr:rowOff>12468</xdr:rowOff>
    </xdr:from>
    <xdr:to>
      <xdr:col>13</xdr:col>
      <xdr:colOff>465512</xdr:colOff>
      <xdr:row>34</xdr:row>
      <xdr:rowOff>78970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3FB8D2-B344-B2A8-373F-45065B4CA1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8312</xdr:colOff>
      <xdr:row>2</xdr:row>
      <xdr:rowOff>4156</xdr:rowOff>
    </xdr:from>
    <xdr:to>
      <xdr:col>10</xdr:col>
      <xdr:colOff>590203</xdr:colOff>
      <xdr:row>17</xdr:row>
      <xdr:rowOff>4156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A8C180-5B3B-57D9-9AF3-D8AE3BDDE1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37928</xdr:colOff>
      <xdr:row>22</xdr:row>
      <xdr:rowOff>84688</xdr:rowOff>
    </xdr:from>
    <xdr:to>
      <xdr:col>16</xdr:col>
      <xdr:colOff>628132</xdr:colOff>
      <xdr:row>36</xdr:row>
      <xdr:rowOff>130405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0E69DD-92D0-FDFA-9C4A-01CB00DF0B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54554</xdr:colOff>
      <xdr:row>7</xdr:row>
      <xdr:rowOff>38967</xdr:rowOff>
    </xdr:from>
    <xdr:to>
      <xdr:col>16</xdr:col>
      <xdr:colOff>636446</xdr:colOff>
      <xdr:row>21</xdr:row>
      <xdr:rowOff>105469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023306-8AAC-4AE2-AFFB-DBA3E9DAB2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266006</xdr:colOff>
      <xdr:row>0</xdr:row>
      <xdr:rowOff>12469</xdr:rowOff>
    </xdr:from>
    <xdr:to>
      <xdr:col>16</xdr:col>
      <xdr:colOff>182878</xdr:colOff>
      <xdr:row>15</xdr:row>
      <xdr:rowOff>12469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91EAD-054F-6FA0-849F-0D7ABFF27C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274319</xdr:colOff>
      <xdr:row>15</xdr:row>
      <xdr:rowOff>87284</xdr:rowOff>
    </xdr:from>
    <xdr:to>
      <xdr:col>16</xdr:col>
      <xdr:colOff>191191</xdr:colOff>
      <xdr:row>30</xdr:row>
      <xdr:rowOff>87284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0C2D0-A17F-2C9C-5244-6FA26B782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20782</xdr:colOff>
      <xdr:row>0</xdr:row>
      <xdr:rowOff>4156</xdr:rowOff>
    </xdr:from>
    <xdr:to>
      <xdr:col>16</xdr:col>
      <xdr:colOff>602673</xdr:colOff>
      <xdr:row>14</xdr:row>
      <xdr:rowOff>70658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BD0C8-B4B6-2DF9-1704-A0B9912A9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29094</xdr:colOff>
      <xdr:row>15</xdr:row>
      <xdr:rowOff>20780</xdr:rowOff>
    </xdr:from>
    <xdr:to>
      <xdr:col>16</xdr:col>
      <xdr:colOff>610985</xdr:colOff>
      <xdr:row>29</xdr:row>
      <xdr:rowOff>87282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EB180-89FF-3BFF-D356-307FF804C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pa Das Gupta" refreshedDate="45122.879442592595" createdVersion="8" refreshedVersion="8" minRefreshableVersion="3" recordCount="171" xr:uid="{F34515CE-45F7-45B7-A283-392FFB3212E0}">
  <cacheSource type="worksheet">
    <worksheetSource ref="A1:K172" sheet="Sales Database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44">
      <sharedItems containsSemiMixedTypes="0" containsString="0" containsNumber="1" minValue="3" maxValue="344"/>
    </cacheField>
    <cacheField name="Sale Price" numFmtId="44">
      <sharedItems containsSemiMixedTypes="0" containsString="0" containsNumber="1" minValue="7" maxValue="502"/>
    </cacheField>
    <cacheField name="Profit" numFmtId="44">
      <sharedItems containsSemiMixedTypes="0" containsString="0" containsNumber="1" minValue="2.9999999999999991" maxValue="158"/>
    </cacheField>
    <cacheField name="Commision 10%, if sale price is less than 50. Otherwise, 20%" numFmtId="44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pa Das Gupta" refreshedDate="45122.95661666667" createdVersion="8" refreshedVersion="8" minRefreshableVersion="3" recordCount="52" xr:uid="{197AD3F3-B3D1-4AC8-A196-4C8FE3CDAAF1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0" maxValue="18"/>
    </cacheField>
    <cacheField name="Miles" numFmtId="43">
      <sharedItems containsSemiMixedTypes="0" containsString="0" containsNumber="1" minValue="3708.1" maxValue="114660.6"/>
    </cacheField>
    <cacheField name="Miles / Year" numFmtId="43">
      <sharedItems containsSemiMixedTypes="0" containsString="0" containsNumber="1" minValue="4744.3294117647065" maxValue="35112.6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n v="1001"/>
    <n v="9822"/>
    <s v="Pool Cover"/>
    <n v="58.3"/>
    <n v="98.4"/>
    <n v="40.100000000000009"/>
    <n v="8.0200000000000014"/>
    <s v="Chalie"/>
    <x v="0"/>
    <s v="NM"/>
  </r>
  <r>
    <s v="Jan"/>
    <n v="1002"/>
    <n v="2877"/>
    <s v="Net"/>
    <n v="11.4"/>
    <n v="16.3"/>
    <n v="4.9000000000000004"/>
    <n v="0.49000000000000005"/>
    <s v="Juan"/>
    <x v="1"/>
    <s v="CA"/>
  </r>
  <r>
    <s v="Jan"/>
    <n v="1003"/>
    <n v="2499"/>
    <s v="8 ft Hose"/>
    <n v="6.2"/>
    <n v="9.1999999999999993"/>
    <n v="2.9999999999999991"/>
    <n v="0.29999999999999993"/>
    <s v="Doug"/>
    <x v="2"/>
    <s v="AZ"/>
  </r>
  <r>
    <s v="Jan"/>
    <n v="1004"/>
    <n v="8722"/>
    <s v="Water Pump"/>
    <n v="344"/>
    <n v="502"/>
    <n v="158"/>
    <n v="31.6"/>
    <s v="Chalie"/>
    <x v="0"/>
    <s v="AZ"/>
  </r>
  <r>
    <s v="Jan"/>
    <n v="1005"/>
    <n v="1109"/>
    <s v="Chlorine Test Kit"/>
    <n v="3"/>
    <n v="8"/>
    <n v="5"/>
    <n v="0.5"/>
    <s v="Doug"/>
    <x v="2"/>
    <s v="AZ"/>
  </r>
  <r>
    <s v="Jan"/>
    <n v="1006"/>
    <n v="9822"/>
    <s v="Pool Cover"/>
    <n v="58.3"/>
    <n v="98.4"/>
    <n v="40.100000000000009"/>
    <n v="8.0200000000000014"/>
    <s v="Doug"/>
    <x v="2"/>
    <s v="AZ"/>
  </r>
  <r>
    <s v="Jan"/>
    <n v="1007"/>
    <n v="1109"/>
    <s v="Chlorine Test Kit"/>
    <n v="3"/>
    <n v="8"/>
    <n v="5"/>
    <n v="0.5"/>
    <s v="Hellen"/>
    <x v="3"/>
    <s v="NM"/>
  </r>
  <r>
    <s v="Jan"/>
    <n v="1008"/>
    <n v="2877"/>
    <s v="Net"/>
    <n v="11.4"/>
    <n v="16.3"/>
    <n v="4.9000000000000004"/>
    <n v="0.49000000000000005"/>
    <s v="Doug"/>
    <x v="2"/>
    <s v="NM"/>
  </r>
  <r>
    <s v="Jan"/>
    <n v="1009"/>
    <n v="1109"/>
    <s v="Chlorine Test Kit"/>
    <n v="3"/>
    <n v="8"/>
    <n v="5"/>
    <n v="0.5"/>
    <s v="Doug"/>
    <x v="2"/>
    <s v="AZ"/>
  </r>
  <r>
    <s v="Jan"/>
    <n v="1010"/>
    <n v="2877"/>
    <s v="Net"/>
    <n v="11.4"/>
    <n v="16.3"/>
    <n v="4.9000000000000004"/>
    <n v="0.49000000000000005"/>
    <s v="Juan"/>
    <x v="1"/>
    <s v="CO"/>
  </r>
  <r>
    <s v="Jan"/>
    <n v="1011"/>
    <n v="2877"/>
    <s v="Net"/>
    <n v="11.4"/>
    <n v="16.3"/>
    <n v="4.9000000000000004"/>
    <n v="0.49000000000000005"/>
    <s v="Juan"/>
    <x v="1"/>
    <s v="AZ"/>
  </r>
  <r>
    <s v="Jan"/>
    <n v="1012"/>
    <n v="4421"/>
    <s v="Skimmer"/>
    <n v="45"/>
    <n v="87"/>
    <n v="42"/>
    <n v="8.4"/>
    <s v="Doug"/>
    <x v="2"/>
    <s v="NM"/>
  </r>
  <r>
    <s v="Jan"/>
    <n v="1013"/>
    <n v="9212"/>
    <s v="1 Gal Muratic Acid"/>
    <n v="4"/>
    <n v="7"/>
    <n v="3"/>
    <n v="0.30000000000000004"/>
    <s v="Hellen"/>
    <x v="3"/>
    <s v="CO"/>
  </r>
  <r>
    <s v="Jan"/>
    <n v="1014"/>
    <n v="8722"/>
    <s v="Water Pump"/>
    <n v="344"/>
    <n v="502"/>
    <n v="158"/>
    <n v="31.6"/>
    <s v="Chalie"/>
    <x v="0"/>
    <s v="CA"/>
  </r>
  <r>
    <s v="Jan"/>
    <n v="1015"/>
    <n v="2877"/>
    <s v="Net"/>
    <n v="11.4"/>
    <n v="16.3"/>
    <n v="4.9000000000000004"/>
    <n v="0.49000000000000005"/>
    <s v="Hellen"/>
    <x v="3"/>
    <s v="AZ"/>
  </r>
  <r>
    <s v="Jan"/>
    <n v="1016"/>
    <n v="2499"/>
    <s v="8 ft Hose"/>
    <n v="6.2"/>
    <n v="9.1999999999999993"/>
    <n v="2.9999999999999991"/>
    <n v="0.29999999999999993"/>
    <s v="Doug"/>
    <x v="2"/>
    <s v="CA"/>
  </r>
  <r>
    <s v="Feb"/>
    <n v="1017"/>
    <n v="2242"/>
    <s v="AutoVac"/>
    <n v="60"/>
    <n v="124"/>
    <n v="64"/>
    <n v="12.8"/>
    <s v="Juan"/>
    <x v="1"/>
    <s v="NM"/>
  </r>
  <r>
    <s v="Feb"/>
    <n v="1018"/>
    <n v="1109"/>
    <s v="Chlorine Test Kit"/>
    <n v="3"/>
    <n v="8"/>
    <n v="5"/>
    <n v="0.5"/>
    <s v="Doug"/>
    <x v="2"/>
    <s v="CA"/>
  </r>
  <r>
    <s v="Feb"/>
    <n v="1019"/>
    <n v="2499"/>
    <s v="8 ft Hose"/>
    <n v="6.2"/>
    <n v="9.1999999999999993"/>
    <n v="2.9999999999999991"/>
    <n v="0.29999999999999993"/>
    <s v="Doug"/>
    <x v="2"/>
    <s v="CO"/>
  </r>
  <r>
    <s v="Feb"/>
    <n v="1020"/>
    <n v="2499"/>
    <s v="8 ft Hose"/>
    <n v="6.2"/>
    <n v="9.1999999999999993"/>
    <n v="2.9999999999999991"/>
    <n v="0.29999999999999993"/>
    <s v="Doug"/>
    <x v="2"/>
    <s v="NV"/>
  </r>
  <r>
    <s v="Feb"/>
    <n v="1021"/>
    <n v="1109"/>
    <s v="Chlorine Test Kit"/>
    <n v="3"/>
    <n v="8"/>
    <n v="5"/>
    <n v="0.5"/>
    <s v="Juan"/>
    <x v="1"/>
    <s v="CO"/>
  </r>
  <r>
    <s v="Feb"/>
    <n v="1022"/>
    <n v="2877"/>
    <s v="Net"/>
    <n v="11.4"/>
    <n v="16.3"/>
    <n v="4.9000000000000004"/>
    <n v="0.49000000000000005"/>
    <s v="Doug"/>
    <x v="2"/>
    <s v="UT"/>
  </r>
  <r>
    <s v="Feb"/>
    <n v="1023"/>
    <n v="1109"/>
    <s v="Chlorine Test Kit"/>
    <n v="3"/>
    <n v="8"/>
    <n v="5"/>
    <n v="0.5"/>
    <s v="Hellen"/>
    <x v="3"/>
    <s v="NM"/>
  </r>
  <r>
    <s v="Feb"/>
    <n v="1024"/>
    <n v="9212"/>
    <s v="1 Gal Muratic Acid"/>
    <n v="4"/>
    <n v="7"/>
    <n v="3"/>
    <n v="0.30000000000000004"/>
    <s v="Juan"/>
    <x v="1"/>
    <s v="UT"/>
  </r>
  <r>
    <s v="Feb"/>
    <n v="1025"/>
    <n v="2877"/>
    <s v="Net"/>
    <n v="11.4"/>
    <n v="16.3"/>
    <n v="4.9000000000000004"/>
    <n v="0.49000000000000005"/>
    <s v="Hellen"/>
    <x v="3"/>
    <s v="NV"/>
  </r>
  <r>
    <s v="Feb"/>
    <n v="1026"/>
    <n v="6119"/>
    <s v="Algea Killer 8 oz"/>
    <n v="9"/>
    <n v="14"/>
    <n v="5"/>
    <n v="0.5"/>
    <s v="Hellen"/>
    <x v="3"/>
    <s v="NM"/>
  </r>
  <r>
    <s v="Feb"/>
    <n v="1027"/>
    <n v="6119"/>
    <s v="Algea Killer 8 oz"/>
    <n v="9"/>
    <n v="14"/>
    <n v="5"/>
    <n v="0.5"/>
    <s v="Chalie"/>
    <x v="0"/>
    <s v="NV"/>
  </r>
  <r>
    <s v="Feb"/>
    <n v="1028"/>
    <n v="8722"/>
    <s v="Water Pump"/>
    <n v="344"/>
    <n v="502"/>
    <n v="158"/>
    <n v="31.6"/>
    <s v="Chalie"/>
    <x v="0"/>
    <s v="AZ"/>
  </r>
  <r>
    <s v="Feb"/>
    <n v="1029"/>
    <n v="2499"/>
    <s v="8 ft Hose"/>
    <n v="6.2"/>
    <n v="9.1999999999999993"/>
    <n v="2.9999999999999991"/>
    <n v="0.29999999999999993"/>
    <s v="Juan"/>
    <x v="1"/>
    <s v="AZ"/>
  </r>
  <r>
    <s v="Feb"/>
    <n v="1030"/>
    <n v="4421"/>
    <s v="Skimmer"/>
    <n v="45"/>
    <n v="87"/>
    <n v="42"/>
    <n v="8.4"/>
    <s v="Juan"/>
    <x v="1"/>
    <s v="NV"/>
  </r>
  <r>
    <s v="Feb"/>
    <n v="1031"/>
    <n v="1109"/>
    <s v="Chlorine Test Kit"/>
    <n v="3"/>
    <n v="8"/>
    <n v="5"/>
    <n v="0.5"/>
    <s v="Juan"/>
    <x v="1"/>
    <s v="CA"/>
  </r>
  <r>
    <s v="Feb"/>
    <n v="1032"/>
    <n v="2877"/>
    <s v="Net"/>
    <n v="11.4"/>
    <n v="16.3"/>
    <n v="4.9000000000000004"/>
    <n v="0.49000000000000005"/>
    <s v="Chalie"/>
    <x v="0"/>
    <s v="AZ"/>
  </r>
  <r>
    <s v="Feb"/>
    <n v="1033"/>
    <n v="9822"/>
    <s v="Pool Cover"/>
    <n v="58.3"/>
    <n v="98.4"/>
    <n v="40.100000000000009"/>
    <n v="8.0200000000000014"/>
    <s v="Juan"/>
    <x v="1"/>
    <s v="CA"/>
  </r>
  <r>
    <s v="Feb"/>
    <n v="1034"/>
    <n v="2877"/>
    <s v="Net"/>
    <n v="11.4"/>
    <n v="16.3"/>
    <n v="4.9000000000000004"/>
    <n v="0.49000000000000005"/>
    <s v="Juan"/>
    <x v="1"/>
    <s v="CO"/>
  </r>
  <r>
    <s v="Mar"/>
    <n v="1035"/>
    <n v="2499"/>
    <s v="8 ft Hose"/>
    <n v="6.2"/>
    <n v="9.1999999999999993"/>
    <n v="2.9999999999999991"/>
    <n v="0.29999999999999993"/>
    <s v="Hellen"/>
    <x v="3"/>
    <s v="CA"/>
  </r>
  <r>
    <s v="Mar"/>
    <n v="1036"/>
    <n v="2499"/>
    <s v="8 ft Hose"/>
    <n v="6.2"/>
    <n v="9.1999999999999993"/>
    <n v="2.9999999999999991"/>
    <n v="0.29999999999999993"/>
    <s v="Juan"/>
    <x v="1"/>
    <s v="NV"/>
  </r>
  <r>
    <s v="Mar"/>
    <n v="1037"/>
    <n v="6622"/>
    <s v="5 Gal Chlorine"/>
    <n v="42"/>
    <n v="77"/>
    <n v="35"/>
    <n v="7"/>
    <s v="Juan"/>
    <x v="1"/>
    <s v="NV"/>
  </r>
  <r>
    <s v="Mar"/>
    <n v="1038"/>
    <n v="2499"/>
    <s v="8 ft Hose"/>
    <n v="6.2"/>
    <n v="9.1999999999999993"/>
    <n v="2.9999999999999991"/>
    <n v="0.29999999999999993"/>
    <s v="Juan"/>
    <x v="1"/>
    <s v="NV"/>
  </r>
  <r>
    <s v="Mar"/>
    <n v="1039"/>
    <n v="2877"/>
    <s v="Net"/>
    <n v="11.4"/>
    <n v="16.3"/>
    <n v="4.9000000000000004"/>
    <n v="0.49000000000000005"/>
    <s v="Juan"/>
    <x v="1"/>
    <s v="CA"/>
  </r>
  <r>
    <s v="Mar"/>
    <n v="1040"/>
    <n v="1109"/>
    <s v="Chlorine Test Kit"/>
    <n v="3"/>
    <n v="8"/>
    <n v="5"/>
    <n v="0.5"/>
    <s v="Juan"/>
    <x v="1"/>
    <s v="AZ"/>
  </r>
  <r>
    <s v="Mar"/>
    <n v="1041"/>
    <n v="2499"/>
    <s v="8 ft Hose"/>
    <n v="6.2"/>
    <n v="9.1999999999999993"/>
    <n v="2.9999999999999991"/>
    <n v="0.29999999999999993"/>
    <s v="Chalie"/>
    <x v="0"/>
    <s v="NM"/>
  </r>
  <r>
    <s v="Mar"/>
    <n v="1042"/>
    <n v="8722"/>
    <s v="Water Pump"/>
    <n v="344"/>
    <n v="502"/>
    <n v="158"/>
    <n v="31.6"/>
    <s v="Doug"/>
    <x v="2"/>
    <s v="NM"/>
  </r>
  <r>
    <s v="Mar"/>
    <n v="1043"/>
    <n v="2242"/>
    <s v="AutoVac"/>
    <n v="60"/>
    <n v="124"/>
    <n v="64"/>
    <n v="12.8"/>
    <s v="Doug"/>
    <x v="2"/>
    <s v="CA"/>
  </r>
  <r>
    <s v="Mar"/>
    <n v="1044"/>
    <n v="2877"/>
    <s v="Net"/>
    <n v="11.4"/>
    <n v="16.3"/>
    <n v="4.9000000000000004"/>
    <n v="0.49000000000000005"/>
    <s v="Doug"/>
    <x v="2"/>
    <s v="CA"/>
  </r>
  <r>
    <s v="Mar"/>
    <n v="1045"/>
    <n v="8722"/>
    <s v="Water Pump"/>
    <n v="344"/>
    <n v="502"/>
    <n v="158"/>
    <n v="31.6"/>
    <s v="Hellen"/>
    <x v="3"/>
    <s v="AZ"/>
  </r>
  <r>
    <s v="Mar"/>
    <n v="1046"/>
    <n v="6119"/>
    <s v="Algea Killer 8 oz"/>
    <n v="9"/>
    <n v="14"/>
    <n v="5"/>
    <n v="0.5"/>
    <s v="Juan"/>
    <x v="1"/>
    <s v="UT"/>
  </r>
  <r>
    <s v="Mar"/>
    <n v="1047"/>
    <n v="6622"/>
    <s v="5 Gal Chlorine"/>
    <n v="42"/>
    <n v="77"/>
    <n v="35"/>
    <n v="7"/>
    <s v="Hellen"/>
    <x v="3"/>
    <s v="AZ"/>
  </r>
  <r>
    <s v="Mar"/>
    <n v="1048"/>
    <n v="8722"/>
    <s v="Water Pump"/>
    <n v="344"/>
    <n v="502"/>
    <n v="158"/>
    <n v="31.6"/>
    <s v="Chalie"/>
    <x v="0"/>
    <s v="AZ"/>
  </r>
  <r>
    <s v="April"/>
    <n v="1049"/>
    <n v="2499"/>
    <s v="8 ft Hose"/>
    <n v="6.2"/>
    <n v="9.1999999999999993"/>
    <n v="2.9999999999999991"/>
    <n v="0.29999999999999993"/>
    <s v="Chalie"/>
    <x v="0"/>
    <s v="CO"/>
  </r>
  <r>
    <s v="April"/>
    <n v="1050"/>
    <n v="2877"/>
    <s v="Net"/>
    <n v="11.4"/>
    <n v="16.3"/>
    <n v="4.9000000000000004"/>
    <n v="0.49000000000000005"/>
    <s v="Chalie"/>
    <x v="0"/>
    <s v="AZ"/>
  </r>
  <r>
    <s v="April"/>
    <n v="1051"/>
    <n v="6119"/>
    <s v="Algea Killer 8 oz"/>
    <n v="9"/>
    <n v="14"/>
    <n v="5"/>
    <n v="0.5"/>
    <s v="Doug"/>
    <x v="2"/>
    <s v="UT"/>
  </r>
  <r>
    <s v="April"/>
    <n v="1052"/>
    <n v="6622"/>
    <s v="5 Gal Chlorine"/>
    <n v="42"/>
    <n v="77"/>
    <n v="35"/>
    <n v="7"/>
    <s v="Doug"/>
    <x v="2"/>
    <s v="AZ"/>
  </r>
  <r>
    <s v="April"/>
    <n v="1053"/>
    <n v="2242"/>
    <s v="AutoVac"/>
    <n v="60"/>
    <n v="124"/>
    <n v="64"/>
    <n v="12.8"/>
    <s v="Chalie"/>
    <x v="0"/>
    <s v="CA"/>
  </r>
  <r>
    <s v="April"/>
    <n v="1054"/>
    <n v="4421"/>
    <s v="Skimmer"/>
    <n v="45"/>
    <n v="87"/>
    <n v="42"/>
    <n v="8.4"/>
    <s v="Doug"/>
    <x v="2"/>
    <s v="NV"/>
  </r>
  <r>
    <s v="April"/>
    <n v="1055"/>
    <n v="6119"/>
    <s v="Algea Killer 8 oz"/>
    <n v="9"/>
    <n v="14"/>
    <n v="5"/>
    <n v="0.5"/>
    <s v="Juan"/>
    <x v="1"/>
    <s v="NV"/>
  </r>
  <r>
    <s v="April"/>
    <n v="1056"/>
    <n v="1109"/>
    <s v="Chlorine Test Kit"/>
    <n v="3"/>
    <n v="8"/>
    <n v="5"/>
    <n v="0.5"/>
    <s v="Doug"/>
    <x v="2"/>
    <s v="CA"/>
  </r>
  <r>
    <s v="April"/>
    <n v="1057"/>
    <n v="2499"/>
    <s v="8 ft Hose"/>
    <n v="6.2"/>
    <n v="9.1999999999999993"/>
    <n v="2.9999999999999991"/>
    <n v="0.29999999999999993"/>
    <s v="Juan"/>
    <x v="1"/>
    <s v="CA"/>
  </r>
  <r>
    <s v="April"/>
    <n v="1058"/>
    <n v="6119"/>
    <s v="Algea Killer 8 oz"/>
    <n v="9"/>
    <n v="14"/>
    <n v="5"/>
    <n v="0.5"/>
    <s v="Hellen"/>
    <x v="3"/>
    <s v="AZ"/>
  </r>
  <r>
    <s v="April"/>
    <n v="1059"/>
    <n v="2242"/>
    <s v="AutoVac"/>
    <n v="60"/>
    <n v="124"/>
    <n v="64"/>
    <n v="12.8"/>
    <s v="Doug"/>
    <x v="2"/>
    <s v="AZ"/>
  </r>
  <r>
    <s v="April"/>
    <n v="1060"/>
    <n v="6119"/>
    <s v="Algea Killer 8 oz"/>
    <n v="9"/>
    <n v="14"/>
    <n v="5"/>
    <n v="0.5"/>
    <s v="Doug"/>
    <x v="2"/>
    <s v="NV"/>
  </r>
  <r>
    <s v="May"/>
    <n v="1061"/>
    <n v="1109"/>
    <s v="Chlorine Test Kit"/>
    <n v="3"/>
    <n v="8"/>
    <n v="5"/>
    <n v="0.5"/>
    <s v="Doug"/>
    <x v="2"/>
    <s v="NV"/>
  </r>
  <r>
    <s v="May"/>
    <n v="1062"/>
    <n v="2499"/>
    <s v="8 ft Hose"/>
    <n v="6.2"/>
    <n v="9.1999999999999993"/>
    <n v="2.9999999999999991"/>
    <n v="0.29999999999999993"/>
    <s v="Chalie"/>
    <x v="0"/>
    <s v="AZ"/>
  </r>
  <r>
    <s v="May"/>
    <n v="1063"/>
    <n v="1109"/>
    <s v="Chlorine Test Kit"/>
    <n v="3"/>
    <n v="8"/>
    <n v="5"/>
    <n v="0.5"/>
    <s v="Doug"/>
    <x v="2"/>
    <s v="CA"/>
  </r>
  <r>
    <s v="May"/>
    <n v="1064"/>
    <n v="2499"/>
    <s v="8 ft Hose"/>
    <n v="6.2"/>
    <n v="9.1999999999999993"/>
    <n v="2.9999999999999991"/>
    <n v="0.29999999999999993"/>
    <s v="Hellen"/>
    <x v="3"/>
    <s v="AZ"/>
  </r>
  <r>
    <s v="May"/>
    <n v="1065"/>
    <n v="2499"/>
    <s v="8 ft Hose"/>
    <n v="6.2"/>
    <n v="9.1999999999999993"/>
    <n v="2.9999999999999991"/>
    <n v="0.29999999999999993"/>
    <s v="Doug"/>
    <x v="2"/>
    <s v="NM"/>
  </r>
  <r>
    <s v="May"/>
    <n v="1066"/>
    <n v="2877"/>
    <s v="Net"/>
    <n v="11.4"/>
    <n v="16.3"/>
    <n v="4.9000000000000004"/>
    <n v="0.49000000000000005"/>
    <s v="Doug"/>
    <x v="2"/>
    <s v="NV"/>
  </r>
  <r>
    <s v="May"/>
    <n v="1067"/>
    <n v="2877"/>
    <s v="Net"/>
    <n v="11.4"/>
    <n v="16.3"/>
    <n v="4.9000000000000004"/>
    <n v="0.49000000000000005"/>
    <s v="Doug"/>
    <x v="2"/>
    <s v="UT"/>
  </r>
  <r>
    <s v="May"/>
    <n v="1068"/>
    <n v="6119"/>
    <s v="Algea Killer 8 oz"/>
    <n v="9"/>
    <n v="14"/>
    <n v="5"/>
    <n v="0.5"/>
    <s v="Juan"/>
    <x v="1"/>
    <s v="CA"/>
  </r>
  <r>
    <s v="May"/>
    <n v="1069"/>
    <n v="1109"/>
    <s v="Chlorine Test Kit"/>
    <n v="3"/>
    <n v="8"/>
    <n v="5"/>
    <n v="0.5"/>
    <s v="Doug"/>
    <x v="2"/>
    <s v="AZ"/>
  </r>
  <r>
    <s v="May"/>
    <n v="1070"/>
    <n v="2499"/>
    <s v="8 ft Hose"/>
    <n v="6.2"/>
    <n v="9.1999999999999993"/>
    <n v="2.9999999999999991"/>
    <n v="0.29999999999999993"/>
    <s v="Hellen"/>
    <x v="3"/>
    <s v="AZ"/>
  </r>
  <r>
    <s v="May"/>
    <n v="1071"/>
    <n v="1109"/>
    <s v="Chlorine Test Kit"/>
    <n v="3"/>
    <n v="8"/>
    <n v="5"/>
    <n v="0.5"/>
    <s v="Chalie"/>
    <x v="0"/>
    <s v="AZ"/>
  </r>
  <r>
    <s v="May"/>
    <n v="1072"/>
    <n v="1109"/>
    <s v="Chlorine Test Kit"/>
    <n v="3"/>
    <n v="8"/>
    <n v="5"/>
    <n v="0.5"/>
    <s v="Doug"/>
    <x v="2"/>
    <s v="NV"/>
  </r>
  <r>
    <s v="May"/>
    <n v="1073"/>
    <n v="6622"/>
    <s v="5 Gal Chlorine"/>
    <n v="42"/>
    <n v="77"/>
    <n v="35"/>
    <n v="7"/>
    <s v="Doug"/>
    <x v="2"/>
    <s v="CA"/>
  </r>
  <r>
    <s v="May"/>
    <n v="1074"/>
    <n v="2877"/>
    <s v="Net"/>
    <n v="11.4"/>
    <n v="16.3"/>
    <n v="4.9000000000000004"/>
    <n v="0.49000000000000005"/>
    <s v="Doug"/>
    <x v="2"/>
    <s v="AZ"/>
  </r>
  <r>
    <s v="May"/>
    <n v="1075"/>
    <n v="1109"/>
    <s v="Chlorine Test Kit"/>
    <n v="3"/>
    <n v="8"/>
    <n v="5"/>
    <n v="0.5"/>
    <s v="Hellen"/>
    <x v="3"/>
    <s v="CA"/>
  </r>
  <r>
    <s v="May"/>
    <n v="1076"/>
    <n v="1109"/>
    <s v="Chlorine Test Kit"/>
    <n v="3"/>
    <n v="8"/>
    <n v="5"/>
    <n v="0.5"/>
    <s v="Juan"/>
    <x v="1"/>
    <s v="AZ"/>
  </r>
  <r>
    <s v="May"/>
    <n v="1077"/>
    <n v="9822"/>
    <s v="Pool Cover"/>
    <n v="58.3"/>
    <n v="98.4"/>
    <n v="40.100000000000009"/>
    <n v="8.0200000000000014"/>
    <s v="Hellen"/>
    <x v="3"/>
    <s v="AZ"/>
  </r>
  <r>
    <s v="May"/>
    <n v="1078"/>
    <n v="2877"/>
    <s v="Net"/>
    <n v="11.4"/>
    <n v="16.3"/>
    <n v="4.9000000000000004"/>
    <n v="0.49000000000000005"/>
    <s v="Juan"/>
    <x v="1"/>
    <s v="NV"/>
  </r>
  <r>
    <s v="June"/>
    <n v="1079"/>
    <n v="2877"/>
    <s v="Net"/>
    <n v="11.4"/>
    <n v="16.3"/>
    <n v="4.9000000000000004"/>
    <n v="0.49000000000000005"/>
    <s v="Juan"/>
    <x v="1"/>
    <s v="NM"/>
  </r>
  <r>
    <s v="June"/>
    <n v="1080"/>
    <n v="4421"/>
    <s v="Skimmer"/>
    <n v="45"/>
    <n v="87"/>
    <n v="42"/>
    <n v="8.4"/>
    <s v="Doug"/>
    <x v="2"/>
    <s v="CA"/>
  </r>
  <r>
    <s v="June"/>
    <n v="1081"/>
    <n v="6119"/>
    <s v="Algea Killer 8 oz"/>
    <n v="9"/>
    <n v="14"/>
    <n v="5"/>
    <n v="0.5"/>
    <s v="Doug"/>
    <x v="2"/>
    <s v="UT"/>
  </r>
  <r>
    <s v="June"/>
    <n v="1082"/>
    <n v="1109"/>
    <s v="Chlorine Test Kit"/>
    <n v="3"/>
    <n v="8"/>
    <n v="5"/>
    <n v="0.5"/>
    <s v="Chalie"/>
    <x v="0"/>
    <s v="CA"/>
  </r>
  <r>
    <s v="June"/>
    <n v="1083"/>
    <n v="1109"/>
    <s v="Chlorine Test Kit"/>
    <n v="3"/>
    <n v="8"/>
    <n v="5"/>
    <n v="0.5"/>
    <s v="Chalie"/>
    <x v="0"/>
    <s v="NV"/>
  </r>
  <r>
    <s v="June"/>
    <n v="1084"/>
    <n v="6119"/>
    <s v="Algea Killer 8 oz"/>
    <n v="9"/>
    <n v="14"/>
    <n v="5"/>
    <n v="0.5"/>
    <s v="Chalie"/>
    <x v="0"/>
    <s v="AZ"/>
  </r>
  <r>
    <s v="June"/>
    <n v="1085"/>
    <n v="9822"/>
    <s v="Pool Cover"/>
    <n v="58.3"/>
    <n v="98.4"/>
    <n v="40.100000000000009"/>
    <n v="8.0200000000000014"/>
    <s v="Doug"/>
    <x v="2"/>
    <s v="NV"/>
  </r>
  <r>
    <s v="June"/>
    <n v="1086"/>
    <n v="1109"/>
    <s v="Chlorine Test Kit"/>
    <n v="3"/>
    <n v="8"/>
    <n v="5"/>
    <n v="0.5"/>
    <s v="Hellen"/>
    <x v="3"/>
    <s v="AZ"/>
  </r>
  <r>
    <s v="June"/>
    <n v="1087"/>
    <n v="2499"/>
    <s v="8 ft Hose"/>
    <n v="6.2"/>
    <n v="9.1999999999999993"/>
    <n v="2.9999999999999991"/>
    <n v="0.29999999999999993"/>
    <s v="Chalie"/>
    <x v="0"/>
    <s v="CA"/>
  </r>
  <r>
    <s v="June"/>
    <n v="1088"/>
    <n v="2499"/>
    <s v="8 ft Hose"/>
    <n v="6.2"/>
    <n v="9.1999999999999993"/>
    <n v="2.9999999999999991"/>
    <n v="0.29999999999999993"/>
    <s v="Chalie"/>
    <x v="0"/>
    <s v="NM"/>
  </r>
  <r>
    <s v="June"/>
    <n v="1089"/>
    <n v="6119"/>
    <s v="Algea Killer 8 oz"/>
    <n v="9"/>
    <n v="14"/>
    <n v="5"/>
    <n v="0.5"/>
    <s v="Doug"/>
    <x v="2"/>
    <s v="NV"/>
  </r>
  <r>
    <s v="June"/>
    <n v="1090"/>
    <n v="2877"/>
    <s v="Net"/>
    <n v="11.4"/>
    <n v="16.3"/>
    <n v="4.9000000000000004"/>
    <n v="0.49000000000000005"/>
    <s v="Chalie"/>
    <x v="0"/>
    <s v="CA"/>
  </r>
  <r>
    <s v="June"/>
    <n v="1091"/>
    <n v="2877"/>
    <s v="Net"/>
    <n v="11.4"/>
    <n v="16.3"/>
    <n v="4.9000000000000004"/>
    <n v="0.49000000000000005"/>
    <s v="Hellen"/>
    <x v="3"/>
    <s v="NV"/>
  </r>
  <r>
    <s v="June"/>
    <n v="1092"/>
    <n v="2877"/>
    <s v="Net"/>
    <n v="11.4"/>
    <n v="16.3"/>
    <n v="4.9000000000000004"/>
    <n v="0.49000000000000005"/>
    <s v="Doug"/>
    <x v="2"/>
    <s v="CA"/>
  </r>
  <r>
    <s v="June"/>
    <n v="1093"/>
    <n v="6119"/>
    <s v="Algea Killer 8 oz"/>
    <n v="9"/>
    <n v="14"/>
    <n v="5"/>
    <n v="0.5"/>
    <s v="Juan"/>
    <x v="1"/>
    <s v="AZ"/>
  </r>
  <r>
    <s v="June"/>
    <n v="1094"/>
    <n v="6119"/>
    <s v="Algea Killer 8 oz"/>
    <n v="9"/>
    <n v="14"/>
    <n v="5"/>
    <n v="0.5"/>
    <s v="Doug"/>
    <x v="2"/>
    <s v="CA"/>
  </r>
  <r>
    <s v="June"/>
    <n v="1095"/>
    <n v="2499"/>
    <s v="8 ft Hose"/>
    <n v="6.2"/>
    <n v="9.1999999999999993"/>
    <n v="2.9999999999999991"/>
    <n v="0.29999999999999993"/>
    <s v="Hellen"/>
    <x v="3"/>
    <s v="AZ"/>
  </r>
  <r>
    <s v="June"/>
    <n v="1096"/>
    <n v="6119"/>
    <s v="Algea Killer 8 oz"/>
    <n v="9"/>
    <n v="14"/>
    <n v="5"/>
    <n v="0.5"/>
    <s v="Doug"/>
    <x v="2"/>
    <s v="AZ"/>
  </r>
  <r>
    <s v="June"/>
    <n v="1097"/>
    <n v="9212"/>
    <s v="1 Gal Muratic Acid"/>
    <n v="4"/>
    <n v="7"/>
    <n v="3"/>
    <n v="0.30000000000000004"/>
    <s v="Hellen"/>
    <x v="3"/>
    <s v="NV"/>
  </r>
  <r>
    <s v="June"/>
    <n v="1098"/>
    <n v="2877"/>
    <s v="Net"/>
    <n v="11.4"/>
    <n v="16.3"/>
    <n v="4.9000000000000004"/>
    <n v="0.49000000000000005"/>
    <s v="Juan"/>
    <x v="1"/>
    <s v="NM"/>
  </r>
  <r>
    <s v="July"/>
    <n v="1099"/>
    <n v="2877"/>
    <s v="Net"/>
    <n v="11.4"/>
    <n v="16.3"/>
    <n v="4.9000000000000004"/>
    <n v="0.49000000000000005"/>
    <s v="Doug"/>
    <x v="2"/>
    <s v="CA"/>
  </r>
  <r>
    <s v="July"/>
    <n v="1100"/>
    <n v="6119"/>
    <s v="Algea Killer 8 oz"/>
    <n v="9"/>
    <n v="14"/>
    <n v="5"/>
    <n v="0.5"/>
    <s v="Chalie"/>
    <x v="0"/>
    <s v="UT"/>
  </r>
  <r>
    <s v="July"/>
    <n v="1101"/>
    <n v="2499"/>
    <s v="8 ft Hose"/>
    <n v="6.2"/>
    <n v="9.1999999999999993"/>
    <n v="2.9999999999999991"/>
    <n v="0.29999999999999993"/>
    <s v="Doug"/>
    <x v="2"/>
    <s v="CA"/>
  </r>
  <r>
    <s v="July"/>
    <n v="1102"/>
    <n v="2242"/>
    <s v="AutoVac"/>
    <n v="60"/>
    <n v="124"/>
    <n v="64"/>
    <n v="12.8"/>
    <s v="Juan"/>
    <x v="1"/>
    <s v="NV"/>
  </r>
  <r>
    <s v="July"/>
    <n v="1103"/>
    <n v="2877"/>
    <s v="Net"/>
    <n v="11.4"/>
    <n v="16.3"/>
    <n v="4.9000000000000004"/>
    <n v="0.49000000000000005"/>
    <s v="Juan"/>
    <x v="1"/>
    <s v="AZ"/>
  </r>
  <r>
    <s v="July"/>
    <n v="1104"/>
    <n v="2877"/>
    <s v="Net"/>
    <n v="11.4"/>
    <n v="16.3"/>
    <n v="4.9000000000000004"/>
    <n v="0.49000000000000005"/>
    <s v="Doug"/>
    <x v="2"/>
    <s v="NV"/>
  </r>
  <r>
    <s v="July"/>
    <n v="1105"/>
    <n v="2499"/>
    <s v="8 ft Hose"/>
    <n v="6.2"/>
    <n v="9.1999999999999993"/>
    <n v="2.9999999999999991"/>
    <n v="0.29999999999999993"/>
    <s v="Juan"/>
    <x v="1"/>
    <s v="AZ"/>
  </r>
  <r>
    <s v="July"/>
    <n v="1106"/>
    <n v="9822"/>
    <s v="Pool Cover"/>
    <n v="58.3"/>
    <n v="98.4"/>
    <n v="40.100000000000009"/>
    <n v="8.0200000000000014"/>
    <s v="Juan"/>
    <x v="1"/>
    <s v="CA"/>
  </r>
  <r>
    <s v="July"/>
    <n v="1107"/>
    <n v="1109"/>
    <s v="Chlorine Test Kit"/>
    <n v="3"/>
    <n v="8"/>
    <n v="5"/>
    <n v="0.5"/>
    <s v="Hellen"/>
    <x v="3"/>
    <s v="NM"/>
  </r>
  <r>
    <s v="July"/>
    <n v="1108"/>
    <n v="9822"/>
    <s v="Pool Cover"/>
    <n v="58.3"/>
    <n v="98.4"/>
    <n v="40.100000000000009"/>
    <n v="8.0200000000000014"/>
    <s v="Doug"/>
    <x v="2"/>
    <s v="NV"/>
  </r>
  <r>
    <s v="July"/>
    <n v="1109"/>
    <n v="8722"/>
    <s v="Water Pump"/>
    <n v="344"/>
    <n v="502"/>
    <n v="158"/>
    <n v="31.6"/>
    <s v="Juan"/>
    <x v="1"/>
    <s v="CA"/>
  </r>
  <r>
    <s v="July"/>
    <n v="1110"/>
    <n v="8722"/>
    <s v="Water Pump"/>
    <n v="344"/>
    <n v="502"/>
    <n v="158"/>
    <n v="31.6"/>
    <s v="Hellen"/>
    <x v="3"/>
    <s v="NV"/>
  </r>
  <r>
    <s v="July"/>
    <n v="1111"/>
    <n v="6622"/>
    <s v="5 Gal Chlorine"/>
    <n v="42"/>
    <n v="77"/>
    <n v="35"/>
    <n v="7"/>
    <s v="Hellen"/>
    <x v="3"/>
    <s v="CA"/>
  </r>
  <r>
    <s v="July"/>
    <n v="1112"/>
    <n v="6622"/>
    <s v="5 Gal Chlorine"/>
    <n v="42"/>
    <n v="77"/>
    <n v="35"/>
    <n v="7"/>
    <s v="Doug"/>
    <x v="2"/>
    <s v="AZ"/>
  </r>
  <r>
    <s v="July"/>
    <n v="1113"/>
    <n v="9822"/>
    <s v="Pool Cover"/>
    <n v="58.3"/>
    <n v="98.4"/>
    <n v="40.100000000000009"/>
    <n v="8.0200000000000014"/>
    <s v="Chalie"/>
    <x v="0"/>
    <s v="CA"/>
  </r>
  <r>
    <s v="July"/>
    <n v="1114"/>
    <n v="2242"/>
    <s v="AutoVac"/>
    <n v="60"/>
    <n v="124"/>
    <n v="64"/>
    <n v="12.8"/>
    <s v="Juan"/>
    <x v="1"/>
    <s v="AZ"/>
  </r>
  <r>
    <s v="July"/>
    <n v="1115"/>
    <n v="8722"/>
    <s v="Water Pump"/>
    <n v="344"/>
    <n v="502"/>
    <n v="158"/>
    <n v="31.6"/>
    <s v="Chalie"/>
    <x v="0"/>
    <s v="AZ"/>
  </r>
  <r>
    <s v="July"/>
    <n v="1116"/>
    <n v="6622"/>
    <s v="5 Gal Chlorine"/>
    <n v="42"/>
    <n v="77"/>
    <n v="35"/>
    <n v="7"/>
    <s v="Doug"/>
    <x v="2"/>
    <s v="NV"/>
  </r>
  <r>
    <s v="July"/>
    <n v="1117"/>
    <n v="8722"/>
    <s v="Water Pump"/>
    <n v="344"/>
    <n v="502"/>
    <n v="158"/>
    <n v="31.6"/>
    <s v="Hellen"/>
    <x v="3"/>
    <s v="NM"/>
  </r>
  <r>
    <s v="July"/>
    <n v="1118"/>
    <n v="9822"/>
    <s v="Pool Cover"/>
    <n v="58.3"/>
    <n v="98.4"/>
    <n v="40.100000000000009"/>
    <n v="8.0200000000000014"/>
    <s v="Juan"/>
    <x v="1"/>
    <s v="CA"/>
  </r>
  <r>
    <s v="July"/>
    <n v="1119"/>
    <n v="2242"/>
    <s v="AutoVac"/>
    <n v="60"/>
    <n v="124"/>
    <n v="64"/>
    <n v="12.8"/>
    <s v="Chalie"/>
    <x v="0"/>
    <s v="UT"/>
  </r>
  <r>
    <s v="July"/>
    <n v="1120"/>
    <n v="2242"/>
    <s v="AutoVac"/>
    <n v="60"/>
    <n v="124"/>
    <n v="64"/>
    <n v="12.8"/>
    <s v="Doug"/>
    <x v="2"/>
    <s v="CA"/>
  </r>
  <r>
    <s v="July"/>
    <n v="1121"/>
    <n v="4421"/>
    <s v="Skimmer"/>
    <n v="45"/>
    <n v="87"/>
    <n v="42"/>
    <n v="8.4"/>
    <s v="Doug"/>
    <x v="2"/>
    <s v="NV"/>
  </r>
  <r>
    <s v="July"/>
    <n v="1122"/>
    <n v="8722"/>
    <s v="Water Pump"/>
    <n v="344"/>
    <n v="502"/>
    <n v="158"/>
    <n v="31.6"/>
    <s v="Doug"/>
    <x v="2"/>
    <s v="AZ"/>
  </r>
  <r>
    <s v="July"/>
    <n v="1123"/>
    <n v="9822"/>
    <s v="Pool Cover"/>
    <n v="58.3"/>
    <n v="98.4"/>
    <n v="40.100000000000009"/>
    <n v="8.0200000000000014"/>
    <s v="Doug"/>
    <x v="2"/>
    <s v="NV"/>
  </r>
  <r>
    <s v="July"/>
    <n v="1124"/>
    <n v="4421"/>
    <s v="Skimmer"/>
    <n v="45"/>
    <n v="87"/>
    <n v="42"/>
    <n v="8.4"/>
    <s v="Doug"/>
    <x v="2"/>
    <s v="AZ"/>
  </r>
  <r>
    <s v="Aug"/>
    <n v="1125"/>
    <n v="2242"/>
    <s v="AutoVac"/>
    <n v="60"/>
    <n v="124"/>
    <n v="64"/>
    <n v="12.8"/>
    <s v="Doug"/>
    <x v="2"/>
    <s v="CA"/>
  </r>
  <r>
    <s v="Aug"/>
    <n v="1126"/>
    <n v="9212"/>
    <s v="1 Gal Muratic Acid"/>
    <n v="4"/>
    <n v="7"/>
    <n v="3"/>
    <n v="0.30000000000000004"/>
    <s v="Doug"/>
    <x v="2"/>
    <s v="NM"/>
  </r>
  <r>
    <s v="Aug"/>
    <n v="1127"/>
    <n v="8722"/>
    <s v="Water Pump"/>
    <n v="344"/>
    <n v="502"/>
    <n v="158"/>
    <n v="31.6"/>
    <s v="Chalie"/>
    <x v="0"/>
    <s v="NV"/>
  </r>
  <r>
    <s v="Aug"/>
    <n v="1128"/>
    <n v="6622"/>
    <s v="5 Gal Chlorine"/>
    <n v="42"/>
    <n v="77"/>
    <n v="35"/>
    <n v="7"/>
    <s v="Juan"/>
    <x v="1"/>
    <s v="CA"/>
  </r>
  <r>
    <s v="Aug"/>
    <n v="1129"/>
    <n v="9822"/>
    <s v="Pool Cover"/>
    <n v="58.3"/>
    <n v="98.4"/>
    <n v="40.100000000000009"/>
    <n v="8.0200000000000014"/>
    <s v="Hellen"/>
    <x v="3"/>
    <s v="NV"/>
  </r>
  <r>
    <s v="Aug"/>
    <n v="1130"/>
    <n v="4421"/>
    <s v="Skimmer"/>
    <n v="45"/>
    <n v="87"/>
    <n v="42"/>
    <n v="8.4"/>
    <s v="Hellen"/>
    <x v="3"/>
    <s v="CA"/>
  </r>
  <r>
    <s v="Aug"/>
    <n v="1131"/>
    <n v="9212"/>
    <s v="1 Gal Muratic Acid"/>
    <n v="4"/>
    <n v="7"/>
    <n v="3"/>
    <n v="0.30000000000000004"/>
    <s v="Hellen"/>
    <x v="3"/>
    <s v="AZ"/>
  </r>
  <r>
    <s v="Aug"/>
    <n v="1132"/>
    <n v="9212"/>
    <s v="1 Gal Muratic Acid"/>
    <n v="4"/>
    <n v="7"/>
    <n v="3"/>
    <n v="0.30000000000000004"/>
    <s v="Hellen"/>
    <x v="3"/>
    <s v="CA"/>
  </r>
  <r>
    <s v="Aug"/>
    <n v="1133"/>
    <n v="9822"/>
    <s v="Pool Cover"/>
    <n v="58.3"/>
    <n v="98.4"/>
    <n v="40.100000000000009"/>
    <n v="8.0200000000000014"/>
    <s v="Chalie"/>
    <x v="0"/>
    <s v="AZ"/>
  </r>
  <r>
    <s v="Aug"/>
    <n v="1134"/>
    <n v="9822"/>
    <s v="Pool Cover"/>
    <n v="58.3"/>
    <n v="98.4"/>
    <n v="40.100000000000009"/>
    <n v="8.0200000000000014"/>
    <s v="Doug"/>
    <x v="2"/>
    <s v="AZ"/>
  </r>
  <r>
    <s v="Aug"/>
    <n v="1135"/>
    <n v="8722"/>
    <s v="Water Pump"/>
    <n v="344"/>
    <n v="502"/>
    <n v="158"/>
    <n v="31.6"/>
    <s v="Chalie"/>
    <x v="0"/>
    <s v="NV"/>
  </r>
  <r>
    <s v="Aug"/>
    <n v="1136"/>
    <n v="2242"/>
    <s v="AutoVac"/>
    <n v="60"/>
    <n v="124"/>
    <n v="64"/>
    <n v="12.8"/>
    <s v="Doug"/>
    <x v="2"/>
    <s v="NM"/>
  </r>
  <r>
    <s v="Aug"/>
    <n v="1137"/>
    <n v="9822"/>
    <s v="Pool Cover"/>
    <n v="58.3"/>
    <n v="98.4"/>
    <n v="40.100000000000009"/>
    <n v="8.0200000000000014"/>
    <s v="Juan"/>
    <x v="1"/>
    <s v="CA"/>
  </r>
  <r>
    <s v="Aug"/>
    <n v="1138"/>
    <n v="8722"/>
    <s v="Water Pump"/>
    <n v="344"/>
    <n v="502"/>
    <n v="158"/>
    <n v="31.6"/>
    <s v="Chalie"/>
    <x v="0"/>
    <s v="UT"/>
  </r>
  <r>
    <s v="Aug"/>
    <n v="1139"/>
    <n v="4421"/>
    <s v="Skimmer"/>
    <n v="45"/>
    <n v="87"/>
    <n v="42"/>
    <n v="8.4"/>
    <s v="Doug"/>
    <x v="2"/>
    <s v="CA"/>
  </r>
  <r>
    <s v="Aug"/>
    <n v="1140"/>
    <n v="4421"/>
    <s v="Skimmer"/>
    <n v="45"/>
    <n v="87"/>
    <n v="42"/>
    <n v="8.4"/>
    <s v="Juan"/>
    <x v="1"/>
    <s v="NV"/>
  </r>
  <r>
    <s v="Aug"/>
    <n v="1141"/>
    <n v="9212"/>
    <s v="1 Gal Muratic Acid"/>
    <n v="4"/>
    <n v="7"/>
    <n v="3"/>
    <n v="0.30000000000000004"/>
    <s v="Juan"/>
    <x v="1"/>
    <s v="AZ"/>
  </r>
  <r>
    <s v="Sept"/>
    <n v="1142"/>
    <n v="2242"/>
    <s v="AutoVac"/>
    <n v="60"/>
    <n v="124"/>
    <n v="64"/>
    <n v="12.8"/>
    <s v="Juan"/>
    <x v="1"/>
    <s v="NV"/>
  </r>
  <r>
    <s v="Sept"/>
    <n v="1143"/>
    <n v="9822"/>
    <s v="Pool Cover"/>
    <n v="58.3"/>
    <n v="98.4"/>
    <n v="40.100000000000009"/>
    <n v="8.0200000000000014"/>
    <s v="Hellen"/>
    <x v="3"/>
    <s v="AZ"/>
  </r>
  <r>
    <s v="Sept"/>
    <n v="1144"/>
    <n v="2242"/>
    <s v="AutoVac"/>
    <n v="60"/>
    <n v="124"/>
    <n v="64"/>
    <n v="12.8"/>
    <s v="Hellen"/>
    <x v="3"/>
    <s v="CA"/>
  </r>
  <r>
    <s v="Sept"/>
    <n v="1145"/>
    <n v="4421"/>
    <s v="Skimmer"/>
    <n v="45"/>
    <n v="87"/>
    <n v="42"/>
    <n v="8.4"/>
    <s v="Hellen"/>
    <x v="3"/>
    <s v="NM"/>
  </r>
  <r>
    <s v="Sept"/>
    <n v="1146"/>
    <n v="8722"/>
    <s v="Water Pump"/>
    <n v="344"/>
    <n v="502"/>
    <n v="158"/>
    <n v="31.6"/>
    <s v="Hellen"/>
    <x v="3"/>
    <s v="NV"/>
  </r>
  <r>
    <s v="Sept"/>
    <n v="1147"/>
    <n v="9822"/>
    <s v="Pool Cover"/>
    <n v="58.3"/>
    <n v="98.4"/>
    <n v="40.100000000000009"/>
    <n v="8.0200000000000014"/>
    <s v="Chalie"/>
    <x v="0"/>
    <s v="CA"/>
  </r>
  <r>
    <s v="Sept"/>
    <n v="1148"/>
    <n v="9212"/>
    <s v="1 Gal Muratic Acid"/>
    <n v="4"/>
    <n v="7"/>
    <n v="3"/>
    <n v="0.30000000000000004"/>
    <s v="Doug"/>
    <x v="2"/>
    <s v="AZ"/>
  </r>
  <r>
    <s v="Sept"/>
    <n v="1149"/>
    <n v="8722"/>
    <s v="Water Pump"/>
    <n v="344"/>
    <n v="502"/>
    <n v="158"/>
    <n v="31.6"/>
    <s v="Chalie"/>
    <x v="0"/>
    <s v="AZ"/>
  </r>
  <r>
    <s v="Oct"/>
    <n v="1150"/>
    <n v="2242"/>
    <s v="AutoVac"/>
    <n v="60"/>
    <n v="124"/>
    <n v="64"/>
    <n v="12.8"/>
    <s v="Doug"/>
    <x v="2"/>
    <s v="UT"/>
  </r>
  <r>
    <s v="Oct"/>
    <n v="1151"/>
    <n v="2242"/>
    <s v="AutoVac"/>
    <n v="60"/>
    <n v="124"/>
    <n v="64"/>
    <n v="12.8"/>
    <s v="Juan"/>
    <x v="1"/>
    <s v="CA"/>
  </r>
  <r>
    <s v="Oct"/>
    <n v="1152"/>
    <n v="4421"/>
    <s v="Skimmer"/>
    <n v="45"/>
    <n v="87"/>
    <n v="42"/>
    <n v="8.4"/>
    <s v="Chalie"/>
    <x v="0"/>
    <s v="NV"/>
  </r>
  <r>
    <s v="Oct"/>
    <n v="1153"/>
    <n v="8722"/>
    <s v="Water Pump"/>
    <n v="344"/>
    <n v="502"/>
    <n v="158"/>
    <n v="31.6"/>
    <s v="Doug"/>
    <x v="2"/>
    <s v="AZ"/>
  </r>
  <r>
    <s v="Oct"/>
    <n v="1154"/>
    <n v="9822"/>
    <s v="Pool Cover"/>
    <n v="58.3"/>
    <n v="98.4"/>
    <n v="40.100000000000009"/>
    <n v="8.0200000000000014"/>
    <s v="Juan"/>
    <x v="1"/>
    <s v="NV"/>
  </r>
  <r>
    <s v="Oct"/>
    <n v="1155"/>
    <n v="4421"/>
    <s v="Skimmer"/>
    <n v="45"/>
    <n v="87"/>
    <n v="42"/>
    <n v="8.4"/>
    <s v="Doug"/>
    <x v="2"/>
    <s v="AZ"/>
  </r>
  <r>
    <s v="Oct"/>
    <n v="1156"/>
    <n v="2242"/>
    <s v="AutoVac"/>
    <n v="60"/>
    <n v="124"/>
    <n v="64"/>
    <n v="12.8"/>
    <s v="Doug"/>
    <x v="2"/>
    <s v="CA"/>
  </r>
  <r>
    <s v="Oct"/>
    <n v="1157"/>
    <n v="9212"/>
    <s v="1 Gal Muratic Acid"/>
    <n v="4"/>
    <n v="7"/>
    <n v="3"/>
    <n v="0.30000000000000004"/>
    <s v="Doug"/>
    <x v="2"/>
    <s v="NM"/>
  </r>
  <r>
    <s v="Nov"/>
    <n v="1158"/>
    <n v="8722"/>
    <s v="Water Pump"/>
    <n v="344"/>
    <n v="502"/>
    <n v="158"/>
    <n v="31.6"/>
    <s v="Chalie"/>
    <x v="0"/>
    <s v="NV"/>
  </r>
  <r>
    <s v="Nov"/>
    <n v="1159"/>
    <n v="6622"/>
    <s v="5 Gal Chlorine"/>
    <n v="42"/>
    <n v="77"/>
    <n v="35"/>
    <n v="7"/>
    <s v="Doug"/>
    <x v="2"/>
    <s v="CA"/>
  </r>
  <r>
    <s v="Nov"/>
    <n v="1160"/>
    <n v="9822"/>
    <s v="Pool Cover"/>
    <n v="58.3"/>
    <n v="98.4"/>
    <n v="40.100000000000009"/>
    <n v="8.0200000000000014"/>
    <s v="Hellen"/>
    <x v="3"/>
    <s v="NV"/>
  </r>
  <r>
    <s v="Nov"/>
    <n v="1161"/>
    <n v="4421"/>
    <s v="Skimmer"/>
    <n v="45"/>
    <n v="87"/>
    <n v="42"/>
    <n v="8.4"/>
    <s v="Juan"/>
    <x v="1"/>
    <s v="CA"/>
  </r>
  <r>
    <s v="Nov"/>
    <n v="1162"/>
    <n v="9212"/>
    <s v="1 Gal Muratic Acid"/>
    <n v="4"/>
    <n v="7"/>
    <n v="3"/>
    <n v="0.30000000000000004"/>
    <s v="Chalie"/>
    <x v="0"/>
    <s v="AZ"/>
  </r>
  <r>
    <s v="Nov"/>
    <n v="1163"/>
    <n v="9212"/>
    <s v="1 Gal Muratic Acid"/>
    <n v="4"/>
    <n v="7"/>
    <n v="3"/>
    <n v="0.30000000000000004"/>
    <s v="Doug"/>
    <x v="2"/>
    <s v="CA"/>
  </r>
  <r>
    <s v="Nov"/>
    <n v="1164"/>
    <n v="9822"/>
    <s v="Pool Cover"/>
    <n v="58.3"/>
    <n v="98.4"/>
    <n v="40.100000000000009"/>
    <n v="8.0200000000000014"/>
    <s v="Doug"/>
    <x v="2"/>
    <s v="AZ"/>
  </r>
  <r>
    <s v="Nov"/>
    <n v="1165"/>
    <n v="9822"/>
    <s v="Pool Cover"/>
    <n v="58.3"/>
    <n v="98.4"/>
    <n v="40.100000000000009"/>
    <n v="8.0200000000000014"/>
    <s v="Doug"/>
    <x v="2"/>
    <s v="AZ"/>
  </r>
  <r>
    <s v="Nov"/>
    <n v="1166"/>
    <n v="8722"/>
    <s v="Water Pump"/>
    <n v="344"/>
    <n v="502"/>
    <n v="158"/>
    <n v="31.6"/>
    <s v="Doug"/>
    <x v="2"/>
    <s v="NV"/>
  </r>
  <r>
    <s v="Dec"/>
    <n v="1167"/>
    <n v="2242"/>
    <s v="AutoVac"/>
    <n v="60"/>
    <n v="124"/>
    <n v="64"/>
    <n v="12.8"/>
    <s v="Doug"/>
    <x v="2"/>
    <s v="NM"/>
  </r>
  <r>
    <s v="Dec"/>
    <n v="1168"/>
    <n v="9822"/>
    <s v="Pool Cover"/>
    <n v="58.3"/>
    <n v="98.4"/>
    <n v="40.100000000000009"/>
    <n v="8.0200000000000014"/>
    <s v="Doug"/>
    <x v="2"/>
    <s v="CA"/>
  </r>
  <r>
    <s v="Dec"/>
    <n v="1169"/>
    <n v="8722"/>
    <s v="Water Pump"/>
    <n v="344"/>
    <n v="502"/>
    <n v="158"/>
    <n v="31.6"/>
    <s v="Doug"/>
    <x v="2"/>
    <s v="UT"/>
  </r>
  <r>
    <s v="Dec"/>
    <n v="1170"/>
    <n v="4421"/>
    <s v="Skimmer"/>
    <n v="45"/>
    <n v="87"/>
    <n v="42"/>
    <n v="8.4"/>
    <s v="Chalie"/>
    <x v="0"/>
    <s v="CA"/>
  </r>
  <r>
    <s v="Dec"/>
    <n v="1171"/>
    <n v="4421"/>
    <s v="Skimmer"/>
    <n v="45"/>
    <n v="87"/>
    <n v="42"/>
    <n v="8.4"/>
    <s v="Juan"/>
    <x v="1"/>
    <s v="NV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s v="FD06MTG001"/>
    <s v="FD"/>
    <s v="Ford"/>
    <s v="MTG"/>
    <s v="Mustang"/>
    <s v="06"/>
    <n v="8"/>
    <n v="40326.800000000003"/>
    <n v="4744.3294117647065"/>
    <s v="Black"/>
    <x v="0"/>
    <n v="50000"/>
    <s v="Yes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es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es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es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es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es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es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es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es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es"/>
    <s v="FD13FCSWHI010"/>
  </r>
  <r>
    <s v="FD12FCS011"/>
    <s v="FD"/>
    <s v="Ford"/>
    <s v="FCS"/>
    <s v="Focus"/>
    <s v="12"/>
    <n v="2"/>
    <n v="19341.7"/>
    <n v="7736.68"/>
    <s v="White"/>
    <x v="7"/>
    <n v="75000"/>
    <s v="Yes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es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es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es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es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es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es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es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es"/>
    <s v="GM00SLVBLU019"/>
  </r>
  <r>
    <s v="TY96CAM020"/>
    <s v="TY"/>
    <s v="Toyota"/>
    <s v="CAM"/>
    <s v="Camre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ey"/>
    <s v="98"/>
    <n v="16"/>
    <n v="93382.6"/>
    <n v="5659.5515151515156"/>
    <s v="Black"/>
    <x v="15"/>
    <n v="100000"/>
    <s v="Yes"/>
    <s v="TY98CAMBLA021"/>
  </r>
  <r>
    <s v="TY00CAM022"/>
    <s v="TY"/>
    <s v="Toyota"/>
    <s v="CAM"/>
    <s v="Camrey"/>
    <s v="00"/>
    <n v="14"/>
    <n v="85928"/>
    <n v="5926.0689655172409"/>
    <s v="Green"/>
    <x v="4"/>
    <n v="100000"/>
    <s v="Yes"/>
    <s v="TY00CAMGRE022"/>
  </r>
  <r>
    <s v="TY02CAM023"/>
    <s v="TY"/>
    <s v="Toyota"/>
    <s v="CAM"/>
    <s v="Camrey"/>
    <s v="02"/>
    <n v="12"/>
    <n v="67829.100000000006"/>
    <n v="5426.3280000000004"/>
    <s v="Black"/>
    <x v="0"/>
    <n v="100000"/>
    <s v="Yes"/>
    <s v="TY02CAMBLA023"/>
  </r>
  <r>
    <s v="TY09CAM024"/>
    <s v="TY"/>
    <s v="Toyota"/>
    <s v="CAM"/>
    <s v="Camrey"/>
    <s v="09"/>
    <n v="5"/>
    <n v="48114.2"/>
    <n v="8748.0363636363636"/>
    <s v="White"/>
    <x v="5"/>
    <n v="100000"/>
    <s v="Yes"/>
    <s v="TY09CAMWHI024"/>
  </r>
  <r>
    <s v="TY02COR025"/>
    <s v="TY"/>
    <s v="Toyota"/>
    <s v="COR"/>
    <s v="Corola"/>
    <s v="02"/>
    <n v="12"/>
    <n v="64467.4"/>
    <n v="5157.3919999999998"/>
    <s v="Red"/>
    <x v="16"/>
    <n v="100000"/>
    <s v="Yes"/>
    <s v="TY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es"/>
    <s v="TY03CORBLA026"/>
  </r>
  <r>
    <s v="TY14COR027"/>
    <s v="TY"/>
    <s v="Toyota"/>
    <s v="COR"/>
    <s v="Corola"/>
    <s v="14"/>
    <n v="0"/>
    <n v="17556.3"/>
    <n v="35112.6"/>
    <s v="Blue"/>
    <x v="6"/>
    <n v="100000"/>
    <s v="Yes"/>
    <s v="TY14CORBLU027"/>
  </r>
  <r>
    <s v="TY12COR028"/>
    <s v="TY"/>
    <s v="Toyota"/>
    <s v="COR"/>
    <s v="Corola"/>
    <s v="12"/>
    <n v="2"/>
    <n v="29601.9"/>
    <n v="11840.76"/>
    <s v="Black"/>
    <x v="10"/>
    <n v="100000"/>
    <s v="Yes"/>
    <s v="TY12CORBLA028"/>
  </r>
  <r>
    <s v="TY12CAM029"/>
    <s v="TY"/>
    <s v="Toyota"/>
    <s v="CAM"/>
    <s v="Camrey"/>
    <s v="12"/>
    <n v="2"/>
    <n v="22128.2"/>
    <n v="8851.2800000000007"/>
    <s v="Blue"/>
    <x v="14"/>
    <n v="100000"/>
    <s v="Yes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es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es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es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es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es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es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es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es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es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es"/>
    <s v="HO01ODYBLA040"/>
  </r>
  <r>
    <s v="HO14ODY041"/>
    <s v="HO"/>
    <s v="Honda"/>
    <s v="ODY"/>
    <s v="Odyssey"/>
    <s v="14"/>
    <n v="0"/>
    <n v="3708.1"/>
    <n v="7416.2"/>
    <s v="Black"/>
    <x v="1"/>
    <n v="100000"/>
    <s v="Yes"/>
    <s v="HO14ODYBLA041"/>
  </r>
  <r>
    <s v="CR04PTC042"/>
    <s v="CR"/>
    <s v="Chrysler"/>
    <s v="PTC"/>
    <s v="PT Cruiser"/>
    <s v="04"/>
    <n v="10"/>
    <n v="64542"/>
    <n v="6146.8571428571431"/>
    <s v="Blue"/>
    <x v="0"/>
    <n v="75000"/>
    <s v="Yes"/>
    <s v="CR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es"/>
    <s v="CR07PTCGRE043"/>
  </r>
  <r>
    <s v="CR11PTC044"/>
    <s v="CR"/>
    <s v="Chrysler"/>
    <s v="PTC"/>
    <s v="PT Cruiser"/>
    <s v="11"/>
    <n v="3"/>
    <n v="27394.2"/>
    <n v="7826.9142857142861"/>
    <s v="Black"/>
    <x v="8"/>
    <n v="75000"/>
    <s v="Yes"/>
    <s v="CR11PTCBLA044"/>
  </r>
  <r>
    <s v="CR99CAR045"/>
    <s v="CR"/>
    <s v="Chrysler"/>
    <s v="CAR"/>
    <s v="Caraven"/>
    <s v="99"/>
    <n v="15"/>
    <n v="79420.600000000006"/>
    <n v="5123.9096774193549"/>
    <s v="Green"/>
    <x v="13"/>
    <n v="75000"/>
    <s v="Not Covered"/>
    <s v="CR99CARGRE045"/>
  </r>
  <r>
    <s v="CR00CAR046"/>
    <s v="CR"/>
    <s v="Chrysler"/>
    <s v="CAR"/>
    <s v="Caraven"/>
    <s v="00"/>
    <n v="14"/>
    <n v="77243.100000000006"/>
    <n v="5327.1103448275862"/>
    <s v="Black"/>
    <x v="3"/>
    <n v="75000"/>
    <s v="Not Covered"/>
    <s v="CR00CARBLA046"/>
  </r>
  <r>
    <s v="CR04CAR047"/>
    <s v="CR"/>
    <s v="Chrysler"/>
    <s v="CAR"/>
    <s v="Caraven"/>
    <s v="04"/>
    <n v="10"/>
    <n v="72527.199999999997"/>
    <n v="6907.3523809523804"/>
    <s v="White"/>
    <x v="11"/>
    <n v="75000"/>
    <s v="Yes"/>
    <s v="CR04CARWHI047"/>
  </r>
  <r>
    <s v="CR04CAR048"/>
    <s v="CR"/>
    <s v="Chrysler"/>
    <s v="CAR"/>
    <s v="Caraven"/>
    <s v="04"/>
    <n v="10"/>
    <n v="52699.4"/>
    <n v="5018.9904761904763"/>
    <s v="Red"/>
    <x v="11"/>
    <n v="75000"/>
    <s v="Yes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es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es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es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es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7DF2BE-C039-45CA-BBE6-6084F7A6064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8" firstHeaderRow="1" firstDataRow="1" firstDataCol="1"/>
  <pivotFields count="11">
    <pivotField showAll="0"/>
    <pivotField numFmtId="164" showAll="0"/>
    <pivotField showAll="0"/>
    <pivotField showAll="0"/>
    <pivotField numFmtId="44" showAll="0"/>
    <pivotField dataField="1" numFmtId="44" showAll="0"/>
    <pivotField numFmtId="44" showAll="0"/>
    <pivotField numFmtId="44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/>
  </dataFields>
  <chartFormats count="5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17CEE-DECB-4726-A115-8206404515B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AEB27-C26A-4DEF-BB4A-DC1E175826D3}" name="Table1" displayName="Table1" ref="D5:H25" totalsRowShown="0" headerRowDxfId="10">
  <autoFilter ref="D5:H25" xr:uid="{784AEB27-C26A-4DEF-BB4A-DC1E175826D3}"/>
  <tableColumns count="5">
    <tableColumn id="1" xr3:uid="{54884564-7B9D-4A7C-A416-0533D8D65BAE}" name="1-Jan"/>
    <tableColumn id="2" xr3:uid="{2F1130B5-8333-4513-88E7-E59C9C7DB4AC}" name="8-Jan"/>
    <tableColumn id="3" xr3:uid="{88F383D0-B449-4C6D-91E5-DC7D69E9ABD2}" name="15-Jan"/>
    <tableColumn id="4" xr3:uid="{02406662-F3C8-457C-AEEF-492FF45A5736}" name="22-Jan"/>
    <tableColumn id="5" xr3:uid="{E8789093-62C5-42E5-AFC6-46405A662A37}" name="29-J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FD4F6D-C8FA-4579-B02C-E6CC95C63384}" name="Table2" displayName="Table2" ref="I5:M25" totalsRowShown="0" headerRowDxfId="9">
  <autoFilter ref="I5:M25" xr:uid="{6FFD4F6D-C8FA-4579-B02C-E6CC95C63384}"/>
  <tableColumns count="5">
    <tableColumn id="1" xr3:uid="{AE51CBE3-E1F0-4C07-BC46-76C5DFC722D4}" name="1-Jan">
      <calculatedColumnFormula>IF(D6&gt;40, D6-40, 0)</calculatedColumnFormula>
    </tableColumn>
    <tableColumn id="2" xr3:uid="{FE8F991E-7B82-48D8-BAF5-BF4C414F9872}" name="8-Jan">
      <calculatedColumnFormula>IF(E6&gt;40, E6-40, 0)</calculatedColumnFormula>
    </tableColumn>
    <tableColumn id="3" xr3:uid="{483A4E9F-E7DA-4875-A2D8-BC5EA449C987}" name="15-Jan">
      <calculatedColumnFormula>IF(F6&gt;40, F6-40, 0)</calculatedColumnFormula>
    </tableColumn>
    <tableColumn id="4" xr3:uid="{FA326FB8-006F-4121-BB11-C67A27462CC2}" name="22-Jan">
      <calculatedColumnFormula>IF(G6&gt;40, G6-40, 0)</calculatedColumnFormula>
    </tableColumn>
    <tableColumn id="5" xr3:uid="{26D83EB6-35F9-4B59-BF27-A27DA25C9F79}" name="29-Jan">
      <calculatedColumnFormula>IF(H6&gt;40, H6-40, 0)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76D342-CBAC-4558-AB5F-D053815E1F7E}" name="Table3" displayName="Table3" ref="N5:R25" totalsRowShown="0" headerRowCellStyle="Currency" dataCellStyle="Currency">
  <autoFilter ref="N5:R25" xr:uid="{2876D342-CBAC-4558-AB5F-D053815E1F7E}"/>
  <tableColumns count="5">
    <tableColumn id="1" xr3:uid="{ED301C32-7683-42DD-BB77-58C0120695EB}" name="1-Jan" dataCellStyle="Currency">
      <calculatedColumnFormula>$C6*D6</calculatedColumnFormula>
    </tableColumn>
    <tableColumn id="2" xr3:uid="{5AAA624A-0CA7-4FCF-BED0-A1B9D9A12BCC}" name="8-Jan" dataCellStyle="Currency">
      <calculatedColumnFormula>$C6*E6</calculatedColumnFormula>
    </tableColumn>
    <tableColumn id="3" xr3:uid="{DD75B28E-142C-42B8-BAE0-719E9F65AF43}" name="15-Jan" dataCellStyle="Currency">
      <calculatedColumnFormula>$C6*F6</calculatedColumnFormula>
    </tableColumn>
    <tableColumn id="4" xr3:uid="{84E2FB25-DA08-40A9-BA10-1971815F71E2}" name="22-Jan" dataCellStyle="Currency">
      <calculatedColumnFormula>$C6*G6</calculatedColumnFormula>
    </tableColumn>
    <tableColumn id="5" xr3:uid="{719431BE-250C-407B-97CD-1D665C0E511B}" name="29-Jan" dataCellStyle="Currency">
      <calculatedColumnFormula>$C6*H6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61CC72-1A7E-4AE9-BD07-59AD67EE47EF}" name="Table4" displayName="Table4" ref="S5:W25" totalsRowShown="0" dataDxfId="8" headerRowCellStyle="Currency" dataCellStyle="Currency">
  <autoFilter ref="S5:W25" xr:uid="{1B61CC72-1A7E-4AE9-BD07-59AD67EE47EF}"/>
  <tableColumns count="5">
    <tableColumn id="1" xr3:uid="{593F5E7D-1AD3-4EBE-97DF-875BE3F2A10E}" name="1-Jan" dataDxfId="7" dataCellStyle="Currency">
      <calculatedColumnFormula>0.5*$D6*I6</calculatedColumnFormula>
    </tableColumn>
    <tableColumn id="2" xr3:uid="{8C36D6BE-EBE1-40D2-B66F-A9CD6A0F545E}" name="8-Jan" dataDxfId="6" dataCellStyle="Currency">
      <calculatedColumnFormula>0.5*$D6*J6</calculatedColumnFormula>
    </tableColumn>
    <tableColumn id="3" xr3:uid="{76441B83-D34A-41AC-B4B8-27BD8B1AEFEB}" name="15-Jan" dataDxfId="5" dataCellStyle="Currency">
      <calculatedColumnFormula>0.5*$D6*K6</calculatedColumnFormula>
    </tableColumn>
    <tableColumn id="4" xr3:uid="{924EE1D2-F24F-4746-B2D7-6B6331C98C25}" name="22-Jan" dataDxfId="4" dataCellStyle="Currency">
      <calculatedColumnFormula>0.5*$D6*L6</calculatedColumnFormula>
    </tableColumn>
    <tableColumn id="5" xr3:uid="{3A8EBF89-EB7F-4B6A-86CE-78C597FAC8AC}" name="29-Jan" dataDxfId="3" dataCellStyle="Currency">
      <calculatedColumnFormula>0.5*$D6*M6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BECEF1-1FA6-48E7-80A9-FE3F32927F4C}" name="Table5" displayName="Table5" ref="X5:AB25" totalsRowShown="0" headerRowCellStyle="Currency" dataCellStyle="Currency">
  <autoFilter ref="X5:AB25" xr:uid="{89BECEF1-1FA6-48E7-80A9-FE3F32927F4C}"/>
  <tableColumns count="5">
    <tableColumn id="1" xr3:uid="{A8DBEAE9-BE16-4FAE-B98B-6F6C7CC53668}" name="1-Jan" dataCellStyle="Currency">
      <calculatedColumnFormula>N6+S6</calculatedColumnFormula>
    </tableColumn>
    <tableColumn id="2" xr3:uid="{5D527A19-63BA-4013-9299-012963F038DD}" name="8-Jan" dataCellStyle="Currency">
      <calculatedColumnFormula>O6+T6</calculatedColumnFormula>
    </tableColumn>
    <tableColumn id="3" xr3:uid="{9FD06F6A-164E-40D8-8977-0F97C8D7CFDD}" name="15-Jan" dataCellStyle="Currency">
      <calculatedColumnFormula>P6+U6</calculatedColumnFormula>
    </tableColumn>
    <tableColumn id="4" xr3:uid="{8A6CEDE4-2BD3-4652-B9FB-00C8C61C58AD}" name="22-Jan" dataCellStyle="Currency">
      <calculatedColumnFormula>Q6+V6</calculatedColumnFormula>
    </tableColumn>
    <tableColumn id="5" xr3:uid="{569A7814-61E7-4B78-B73E-358E5767550C}" name="29-Jan" dataCellStyle="Currency">
      <calculatedColumnFormula>R6+W6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77EE4D-5DDF-44A2-BE89-6208D4BB0312}" name="Table6" displayName="Table6" ref="B4:C14" totalsRowShown="0">
  <autoFilter ref="B4:C14" xr:uid="{0777EE4D-5DDF-44A2-BE89-6208D4BB0312}"/>
  <tableColumns count="2">
    <tableColumn id="1" xr3:uid="{0D878E94-352A-4A2B-938B-8FFE45261F6E}" name="Pay"/>
    <tableColumn id="2" xr3:uid="{6FBB98B9-27F9-479C-851B-82E14A1825D7}" name="3">
      <calculatedColumnFormula>C$4*B5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A33AFF-85ED-4C33-A576-414FC80412F3}" name="Table7" displayName="Table7" ref="D4:E14" totalsRowShown="0">
  <autoFilter ref="D4:E14" xr:uid="{13A33AFF-85ED-4C33-A576-414FC80412F3}"/>
  <tableColumns count="2">
    <tableColumn id="1" xr3:uid="{DDB63ADD-0798-4975-B9D2-F263ABE652B1}" name="Job Market"/>
    <tableColumn id="2" xr3:uid="{F1DECBDE-8DD7-4652-940E-52D6C871838F}" name="5">
      <calculatedColumnFormula>E$4*D5</calculatedColumnFormula>
    </tableColumn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4007FAF-97AA-4915-94EB-808CC36CE645}" name="Table8" displayName="Table8" ref="F4:G14" totalsRowShown="0">
  <autoFilter ref="F4:G14" xr:uid="{74007FAF-97AA-4915-94EB-808CC36CE645}"/>
  <tableColumns count="2">
    <tableColumn id="1" xr3:uid="{CBCE622A-232E-4C1E-91E3-829E40CF11CA}" name="Enjoyment"/>
    <tableColumn id="2" xr3:uid="{6E185614-9E4C-452D-972C-74693307A370}" name="4">
      <calculatedColumnFormula>G$4*F5</calculatedColumnFormula>
    </tableColumn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003A5EA-6747-423C-B359-6BCA238C93FD}" name="Table9" displayName="Table9" ref="H4:I14" totalsRowShown="0">
  <autoFilter ref="H4:I14" xr:uid="{D003A5EA-6747-423C-B359-6BCA238C93FD}"/>
  <tableColumns count="2">
    <tableColumn id="1" xr3:uid="{F5A41B1E-1564-4410-878C-9D19D89E4716}" name="My Talent"/>
    <tableColumn id="2" xr3:uid="{94CA7BC1-D15A-4499-93B3-7726745A6A74}" name="3">
      <calculatedColumnFormula>I$4*H5</calculatedColumn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155EB8-8EC1-4FCC-AD05-B61561385862}" name="Table10" displayName="Table10" ref="J4:K14" totalsRowShown="0">
  <autoFilter ref="J4:K14" xr:uid="{BD155EB8-8EC1-4FCC-AD05-B61561385862}"/>
  <tableColumns count="2">
    <tableColumn id="1" xr3:uid="{E48F413A-58E6-4BE2-905A-D7E0E5D038EC}" name="Schooling"/>
    <tableColumn id="2" xr3:uid="{E5BA0341-87F3-41E5-9FA9-FCF3957AF156}" name="1">
      <calculatedColumnFormula>K$4*J5</calculatedColumnFormula>
    </tableColumn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A23B52-130E-4826-9576-8537B14DAE3F}" name="Table11" displayName="Table11" ref="A1:D16" totalsRowShown="0" headerRowDxfId="173" dataDxfId="172" headerRowCellStyle="Currency" dataCellStyle="Currency">
  <autoFilter ref="A1:D16" xr:uid="{40A23B52-130E-4826-9576-8537B14DAE3F}"/>
  <tableColumns count="4">
    <tableColumn id="1" xr3:uid="{0110D28E-5029-4726-BF9D-E74AB814FFFE}" name="Items"/>
    <tableColumn id="2" xr3:uid="{879DBA08-D116-40EC-A307-451E5CCB72D9}" name="WallMart" dataDxfId="171" dataCellStyle="Currency"/>
    <tableColumn id="3" xr3:uid="{FF8EB175-86EB-4EC4-9EFC-E6AEEC3DE92D}" name="Dollar Trap" dataDxfId="170" dataCellStyle="Currency"/>
    <tableColumn id="4" xr3:uid="{A72130ED-3439-45CE-839B-C28FAC661587}" name="Office Repo" dataDxfId="169" dataCellStyle="Currency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4147CAC-B807-4174-975E-7EDF1BAD94B4}" name="Table12" displayName="Table12" ref="F1:I16" totalsRowShown="0" headerRowDxfId="168" headerRowCellStyle="Currency">
  <autoFilter ref="F1:I16" xr:uid="{64147CAC-B807-4174-975E-7EDF1BAD94B4}"/>
  <tableColumns count="4">
    <tableColumn id="1" xr3:uid="{35263656-E0F1-4F5D-806E-0DF693B68FF2}" name="Barbie" dataDxfId="167" dataCellStyle="Currency"/>
    <tableColumn id="2" xr3:uid="{093FE71D-340F-4F0C-AA0C-DEE4A9469D9C}" name="WallMart" dataDxfId="166">
      <calculatedColumnFormula>$F2*B2</calculatedColumnFormula>
    </tableColumn>
    <tableColumn id="3" xr3:uid="{4F6B623F-E4E6-40A4-8785-BF3E156B25DC}" name="Dollar Trap" dataDxfId="165">
      <calculatedColumnFormula>$F2*C2</calculatedColumnFormula>
    </tableColumn>
    <tableColumn id="4" xr3:uid="{BDE3ED1A-6AF0-4459-BF03-53A9759EF172}" name="Office Repo" dataDxfId="164">
      <calculatedColumnFormula>$F2*D2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30DFBD0-9666-4F0F-A358-251FE1E1BDD5}" name="Table13" displayName="Table13" ref="K1:N16" totalsRowShown="0" headerRowDxfId="163" dataDxfId="162" headerRowCellStyle="Currency" dataCellStyle="Currency">
  <autoFilter ref="K1:N16" xr:uid="{B30DFBD0-9666-4F0F-A358-251FE1E1BDD5}"/>
  <tableColumns count="4">
    <tableColumn id="1" xr3:uid="{91A35BDD-CFD0-453D-9BEF-2F21DBBA4BFB}" name="Ken" dataDxfId="161" dataCellStyle="Currency"/>
    <tableColumn id="2" xr3:uid="{B0CDF477-8F4D-42E9-9977-22652C1036A3}" name="WallMart" dataDxfId="160" dataCellStyle="Currency">
      <calculatedColumnFormula>$K2*B2</calculatedColumnFormula>
    </tableColumn>
    <tableColumn id="3" xr3:uid="{B79379B9-D669-4BEC-A927-98F4B6B90502}" name="Dollar Trap" dataDxfId="159" dataCellStyle="Currency">
      <calculatedColumnFormula>$K2*C2</calculatedColumnFormula>
    </tableColumn>
    <tableColumn id="4" xr3:uid="{0A1848D3-1F77-41E2-A384-66A97DAF3AE8}" name="Office Repo" dataDxfId="158" dataCellStyle="Currency">
      <calculatedColumnFormula>$K2*D2</calculatedColumnFormula>
    </tableColumn>
  </tableColumns>
  <tableStyleInfo name="TableStyleMedium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089DF1E-6306-4E69-8F50-D9D9EFE08DC4}" name="Table16" displayName="Table16" ref="A4:C10" headerRowCount="0" totalsRowShown="0" headerRowDxfId="157" dataDxfId="156">
  <tableColumns count="3">
    <tableColumn id="1" xr3:uid="{2EBD891E-B588-4AF0-90BB-C247A89F16C3}" name="Column1" dataDxfId="155"/>
    <tableColumn id="2" xr3:uid="{A2F0E296-B756-4B8C-A125-CFC094CB4291}" name="Column2" dataDxfId="154" dataCellStyle="Currency"/>
    <tableColumn id="3" xr3:uid="{2E5B3151-5B9E-46AB-8439-40FE3B7DFD3B}" name="Column3" dataDxfId="153" dataCellStyle="Currency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708FB5E-19FF-4CFB-9FE8-9F3EE5E0D6F2}" name="Table17" displayName="Table17" ref="A12:C17" headerRowCount="0" totalsRowShown="0" headerRowDxfId="152" dataDxfId="151">
  <tableColumns count="3">
    <tableColumn id="1" xr3:uid="{8945EF8B-DBC5-462A-8804-889AC3827C86}" name="Column1" dataDxfId="150"/>
    <tableColumn id="2" xr3:uid="{60EBA283-F866-42A2-B23B-49D1F869ED07}" name="Column2" dataDxfId="149" dataCellStyle="Currency"/>
    <tableColumn id="3" xr3:uid="{BB7B3687-A31D-432F-8E80-5DFF736CCFA6}" name="Column3" dataDxfId="148" dataCellStyle="Currency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36FB37D-1B6B-46C2-B486-CCF6C356BF66}" name="Table18" displayName="Table18" ref="A8:D19" headerRowCount="0" totalsRowShown="0" headerRowDxfId="147" dataDxfId="146">
  <tableColumns count="4">
    <tableColumn id="1" xr3:uid="{859DE0BB-CAB1-47EC-B139-397F9C66EC56}" name="Column1" headerRowDxfId="145" dataDxfId="144"/>
    <tableColumn id="2" xr3:uid="{08C5C950-6E58-4F24-925F-B3D799F5765E}" name="Column2" dataDxfId="143" dataCellStyle="Currency"/>
    <tableColumn id="3" xr3:uid="{54B5738A-5497-421F-9B76-CE006CCD4F6D}" name="Column3" dataDxfId="142" dataCellStyle="Currency"/>
    <tableColumn id="4" xr3:uid="{63B3F4BF-2238-467D-8199-076278667A89}" name="Column4" dataDxfId="141" dataCellStyle="Currency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07FA51-526D-40E6-B8F7-73794B53525D}" name="Table19" displayName="Table19" ref="A20:D22" headerRowCount="0" totalsRowShown="0" headerRowDxfId="140" dataDxfId="139">
  <tableColumns count="4">
    <tableColumn id="1" xr3:uid="{1B1A9132-D308-44D5-8E8C-DE702F961C84}" name="Column1" dataDxfId="138"/>
    <tableColumn id="2" xr3:uid="{0E14C8F4-5560-4D02-9C21-449F73F4738C}" name="Column2" dataDxfId="137" dataCellStyle="Currency">
      <calculatedColumnFormula>B9</calculatedColumnFormula>
    </tableColumn>
    <tableColumn id="3" xr3:uid="{D442C76B-8D01-4E01-AD74-C975CD86281F}" name="Column3" dataDxfId="136" dataCellStyle="Currency"/>
    <tableColumn id="4" xr3:uid="{2791221A-1F3D-4A2C-AF55-E97F243B075D}" name="Column4" dataDxfId="135" dataCellStyle="Currency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E133DFA-3C12-494E-BF6A-A36CBACC199D}" name="Table20" displayName="Table20" ref="A24:D27" headerRowCount="0" totalsRowShown="0" headerRowDxfId="134" dataDxfId="133">
  <tableColumns count="4">
    <tableColumn id="1" xr3:uid="{35E21979-9810-4E84-BBDB-BB3C6A648F29}" name="Column1" headerRowDxfId="132" dataDxfId="131"/>
    <tableColumn id="2" xr3:uid="{12BF375F-0E13-492D-AD87-BFD42135B268}" name="Column2" dataDxfId="130" dataCellStyle="Currency"/>
    <tableColumn id="3" xr3:uid="{E2CCC8A9-435F-45BE-88BD-B2FC91E0A549}" name="Column3" dataDxfId="129" dataCellStyle="Currency"/>
    <tableColumn id="4" xr3:uid="{E61A2939-6589-403E-BFE0-8CAB981496AF}" name="Column4" dataDxfId="128" dataCellStyle="Currency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B0167B2-E2D0-4D42-8D8B-FA1124E6FD66}" name="Table21" displayName="Table21" ref="A41:B44" headerRowCount="0" totalsRowShown="0" headerRowDxfId="127" dataDxfId="126">
  <tableColumns count="2">
    <tableColumn id="1" xr3:uid="{BAC68762-CC8A-4B6B-8E31-DF87051A21EF}" name="Column1" headerRowDxfId="125" dataDxfId="124"/>
    <tableColumn id="2" xr3:uid="{A0A21276-3FB5-4EEE-B9D7-9F275FA82AC4}" name="Column2" dataDxfId="123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4B9111D-5F35-417B-8A8A-890D569EC8DA}" name="Table1823" displayName="Table1823" ref="F8:I19" headerRowCount="0" totalsRowShown="0" headerRowDxfId="122" dataDxfId="121">
  <tableColumns count="4">
    <tableColumn id="1" xr3:uid="{7F5EC564-AC47-4D1B-BBD5-47C5D4D5FEAA}" name="Column1" headerRowDxfId="120" dataDxfId="119"/>
    <tableColumn id="2" xr3:uid="{CF012D38-BD53-49C4-B6F4-71CA7E13DD4F}" name="Column2" dataDxfId="118" dataCellStyle="Currency"/>
    <tableColumn id="3" xr3:uid="{E3095F42-1BBB-47F8-AD3A-2D3FED65DAB8}" name="Column3" dataDxfId="117" dataCellStyle="Currency"/>
    <tableColumn id="4" xr3:uid="{8DDA469C-A4E8-4633-BA9B-4FC648196858}" name="Column4" dataDxfId="116" dataCellStyle="Currency"/>
  </tableColumns>
  <tableStyleInfo name="TableStyleMedium4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3619D3-354C-4F1E-9FA7-37F078330DB3}" name="Table1924" displayName="Table1924" ref="F20:I22" headerRowCount="0" totalsRowShown="0" headerRowDxfId="115" dataDxfId="114">
  <tableColumns count="4">
    <tableColumn id="1" xr3:uid="{5BFF9737-EF98-4D0F-91A4-E247AA705EF4}" name="Column1" dataDxfId="113"/>
    <tableColumn id="2" xr3:uid="{FED2BA79-0F99-447A-B3C7-74E2CB61C994}" name="Column2" dataDxfId="112" dataCellStyle="Currency">
      <calculatedColumnFormula>G9</calculatedColumnFormula>
    </tableColumn>
    <tableColumn id="3" xr3:uid="{308FDCDE-509F-4EF4-B83A-7DDC89E9A98A}" name="Column3" dataDxfId="111" dataCellStyle="Currency"/>
    <tableColumn id="4" xr3:uid="{812AB2C3-2A40-42DD-8540-419D9DF79204}" name="Column4" dataDxfId="110" dataCellStyle="Currency"/>
  </tableColumns>
  <tableStyleInfo name="TableStyleMedium4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D3AD849-F35E-4937-9B77-0D94883218C8}" name="Table2025" displayName="Table2025" ref="F24:I27" headerRowCount="0" totalsRowShown="0" headerRowDxfId="109" dataDxfId="108">
  <tableColumns count="4">
    <tableColumn id="1" xr3:uid="{6C1254C6-6133-44CD-907F-2C182A3747C0}" name="Column1" headerRowDxfId="107" dataDxfId="106"/>
    <tableColumn id="2" xr3:uid="{38E68AA8-C47B-4F42-B83A-5E730B698D99}" name="Column2" dataDxfId="105" dataCellStyle="Currency"/>
    <tableColumn id="3" xr3:uid="{2A94CB97-DE6F-4827-9809-EFD17D13313B}" name="Column3" dataDxfId="104" dataCellStyle="Currency"/>
    <tableColumn id="4" xr3:uid="{A0A72B6C-2A10-4AB1-8F8F-CE63A008CA51}" name="Column4" dataDxfId="103" dataCellStyle="Currency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B6928C-2D26-4443-BC15-AC790310CDF4}" name="Table2126" displayName="Table2126" ref="F41:G44" headerRowCount="0" totalsRowShown="0" headerRowDxfId="102" dataDxfId="101">
  <tableColumns count="2">
    <tableColumn id="1" xr3:uid="{89ADFB3B-FA02-4F8E-9580-D47EBF14D69E}" name="Column1" headerRowDxfId="100" dataDxfId="99"/>
    <tableColumn id="2" xr3:uid="{AC18E4DB-923F-4B5E-9D77-48919B5841E9}" name="Column2" dataDxfId="98"/>
  </tableColumns>
  <tableStyleInfo name="TableStyleMedium4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944A657E-A9E0-4555-A79E-B71A65980A26}" name="Table26" displayName="Table26" ref="A4:D6" headerRowCount="0" totalsRowShown="0" headerRowDxfId="97" dataDxfId="96" headerRowCellStyle="Comma" dataCellStyle="Comma">
  <tableColumns count="4">
    <tableColumn id="1" xr3:uid="{A2CC1A1D-5275-4DEB-BBF9-7297E8D4392F}" name="Column1" dataDxfId="95"/>
    <tableColumn id="2" xr3:uid="{AF8600A9-C1F8-4AEB-B6D2-4E786140380C}" name="Column2" headerRowDxfId="94" dataDxfId="93" headerRowCellStyle="Comma" dataCellStyle="Comma"/>
    <tableColumn id="3" xr3:uid="{2B72DDA1-1C53-4EB2-BB26-0FC82F20D435}" name="Column3" headerRowDxfId="92" dataDxfId="91" headerRowCellStyle="Comma" dataCellStyle="Comma"/>
    <tableColumn id="4" xr3:uid="{6A1DD480-CFE0-400F-874F-22F76C4971CE}" name="Column4" headerRowDxfId="90" dataDxfId="89" headerRowCellStyle="Comma" dataCellStyle="Comma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59C61C3-47F7-4ED9-99F6-76604600516D}" name="Table27" displayName="Table27" ref="A8:B11" headerRowCount="0" totalsRowShown="0" headerRowDxfId="88" dataDxfId="87">
  <tableColumns count="2">
    <tableColumn id="1" xr3:uid="{9F67F82B-ABC1-4B04-A9D8-528FD660467E}" name="Column1" dataDxfId="86"/>
    <tableColumn id="2" xr3:uid="{8CA07DDF-117F-45EB-902D-0184BFF0FDE7}" name="Column2" headerRowDxfId="85" dataDxfId="84" headerRowCellStyle="Comma" dataCellStyle="Comma"/>
  </tableColumns>
  <tableStyleInfo name="TableStyleMedium3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2D7789-2D03-401A-959B-51D33D527C64}" name="Table28" displayName="Table28" ref="A13:D15" headerRowCount="0" totalsRowShown="0" headerRowDxfId="83" dataDxfId="82">
  <tableColumns count="4">
    <tableColumn id="1" xr3:uid="{8366513A-AC33-45D0-95FC-67DA2190D190}" name="Column1" dataDxfId="81"/>
    <tableColumn id="2" xr3:uid="{DE4DDECA-A987-4289-9A6A-E08AA3E3958B}" name="Column2" dataDxfId="80">
      <calculatedColumnFormula>$B11</calculatedColumnFormula>
    </tableColumn>
    <tableColumn id="3" xr3:uid="{478FF9C0-C0F1-4F0F-B449-075977E7C6B3}" name="Column3" dataDxfId="79"/>
    <tableColumn id="4" xr3:uid="{1DEB0993-E931-4B62-A288-93D285F6E468}" name="Column4" dataDxfId="78">
      <calculatedColumnFormula>$B11/D5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1FB97C0-46AF-4B70-B734-2F2F54E99576}" name="Table2630" displayName="Table2630" ref="F4:I6" headerRowCount="0" totalsRowShown="0" headerRowDxfId="77" dataDxfId="76" headerRowCellStyle="Comma" dataCellStyle="Comma">
  <tableColumns count="4">
    <tableColumn id="1" xr3:uid="{B450ACF3-484C-4398-A9A8-74FDCEEAC53F}" name="Column1" dataDxfId="75"/>
    <tableColumn id="2" xr3:uid="{DAE534E0-5CB7-43BA-A483-A4D2904146D3}" name="Column2" headerRowDxfId="74" dataDxfId="73" headerRowCellStyle="Comma" dataCellStyle="Comma"/>
    <tableColumn id="3" xr3:uid="{185C042E-9786-47E9-A86B-BDB66926235E}" name="Column3" headerRowDxfId="72" dataDxfId="71" headerRowCellStyle="Comma" dataCellStyle="Comma"/>
    <tableColumn id="4" xr3:uid="{7482C708-6BC0-47AC-83B6-23C4C1509957}" name="Column4" headerRowDxfId="70" dataDxfId="69" headerRowCellStyle="Comma" dataCellStyle="Comma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F0096FA-D6B3-4C41-B9A4-56F6242840EE}" name="Table2731" displayName="Table2731" ref="F8:G11" headerRowCount="0" totalsRowShown="0" headerRowDxfId="68">
  <tableColumns count="2">
    <tableColumn id="1" xr3:uid="{2A47F119-C44E-4FEB-A6D4-F269CA48D78D}" name="Column1" dataDxfId="67"/>
    <tableColumn id="2" xr3:uid="{FC39345A-1CA4-4826-8F9E-E88966F8011C}" name="Column2" headerRowDxfId="66" dataDxfId="65" headerRowCellStyle="Comma" dataCellStyle="Comma"/>
  </tableColumns>
  <tableStyleInfo name="TableStyleMedium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4A150E1-8477-4940-BF95-93E051F49178}" name="Table2832" displayName="Table2832" ref="F13:I15" headerRowCount="0" totalsRowShown="0" headerRowDxfId="64" dataDxfId="63">
  <tableColumns count="4">
    <tableColumn id="1" xr3:uid="{0019C1AE-B834-4D6B-B398-D36BD304DB37}" name="Column1" dataDxfId="62"/>
    <tableColumn id="2" xr3:uid="{958CACA6-BA0D-457A-BA91-94A485A447BA}" name="Column2" dataDxfId="61">
      <calculatedColumnFormula>$B11</calculatedColumnFormula>
    </tableColumn>
    <tableColumn id="3" xr3:uid="{A6E96DBC-E3B6-4A47-A5E5-DCC069520914}" name="Column3" dataDxfId="60"/>
    <tableColumn id="4" xr3:uid="{AA87AA22-0ABF-4A7D-81D9-DB4B3A8EE622}" name="Column4" dataDxfId="59">
      <calculatedColumnFormula>$B11/I5</calculatedColumnFormula>
    </tableColumn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B90B792-06B9-434F-B83A-EF55CF7518B9}" name="Table32" displayName="Table32" ref="A2:D4" headerRowCount="0" totalsRowShown="0" headerRowDxfId="58" dataDxfId="57">
  <tableColumns count="4">
    <tableColumn id="1" xr3:uid="{0A228EDB-B554-47D9-BF25-4942ACEC4974}" name="Column1" dataDxfId="56"/>
    <tableColumn id="2" xr3:uid="{D6E618BC-D211-4123-9A76-2B39324B3CFF}" name="Column2" dataDxfId="55" dataCellStyle="Currency"/>
    <tableColumn id="3" xr3:uid="{CAE957B1-905C-4079-ADC9-E299EEAE49E7}" name="Column3" dataDxfId="54" dataCellStyle="Currency"/>
    <tableColumn id="4" xr3:uid="{7677D66B-9B4E-4634-8CD4-EED35AA8EFE4}" name="Column4" dataDxfId="53" dataCellStyle="Currency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CD19C82-AF09-4B8A-B099-E6816DBC01FF}" name="Table33" displayName="Table33" ref="A7:D10" headerRowCount="0" totalsRowShown="0" headerRowDxfId="52" dataDxfId="51">
  <tableColumns count="4">
    <tableColumn id="1" xr3:uid="{1991BAAF-A05D-4A87-9234-C11AC9F471C5}" name="Column1" dataDxfId="50"/>
    <tableColumn id="2" xr3:uid="{AC42229D-F4B9-4B69-91A9-8871FC5CBDE5}" name="Column2" dataDxfId="49"/>
    <tableColumn id="3" xr3:uid="{7557B59E-724B-4A2A-ADFC-457555A54357}" name="Column3" dataDxfId="48"/>
    <tableColumn id="4" xr3:uid="{98B02229-B70B-430F-BB0B-D9EBDBFFE38B}" name="Column4" dataDxfId="47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537F6EE-4582-49F2-BA09-3F302C9F10C5}" name="Table34" displayName="Table34" ref="A12:D16" headerRowCount="0" totalsRowShown="0" headerRowDxfId="46" dataDxfId="45">
  <tableColumns count="4">
    <tableColumn id="1" xr3:uid="{5C669988-8908-48E8-AEF9-429011F469FE}" name="Column1" dataDxfId="44"/>
    <tableColumn id="2" xr3:uid="{C6CD3FBE-6310-4937-A864-8250B1658544}" name="Column2" dataDxfId="43"/>
    <tableColumn id="3" xr3:uid="{70795C85-51DF-4C9C-8DA0-CF1DD1DF05FE}" name="Column3" dataDxfId="42"/>
    <tableColumn id="4" xr3:uid="{6DC5C9CB-C961-4260-A398-4410505D0973}" name="Column4" dataDxfId="41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BDE4A54-CCA6-4345-9136-787EA8590DD7}" name="Table35" displayName="Table35" ref="A21:D23" headerRowCount="0" totalsRowShown="0" headerRowDxfId="40" dataDxfId="39">
  <tableColumns count="4">
    <tableColumn id="1" xr3:uid="{E7D1CAD0-F367-4551-B267-0EDEEC92C3D4}" name="Column1" dataDxfId="38"/>
    <tableColumn id="2" xr3:uid="{50F09BD6-16E5-4B9B-A80E-7C15EE0A8678}" name="Column2" dataDxfId="37"/>
    <tableColumn id="3" xr3:uid="{2A239E77-4212-4810-A523-A7F6974F88B3}" name="Column3" dataDxfId="36"/>
    <tableColumn id="4" xr3:uid="{BC0166A8-0EF3-4598-ADEB-0ACBAF6FB5C1}" name="Column4" dataDxfId="35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07D2605-EEBE-4DD6-A02B-019F90215675}" name="Table3245" displayName="Table3245" ref="F2:I4" headerRowCount="0" totalsRowShown="0" headerRowDxfId="34" dataDxfId="33">
  <tableColumns count="4">
    <tableColumn id="1" xr3:uid="{C038073E-DD85-495C-AB83-8A9E6ECE7148}" name="Column1" dataDxfId="32"/>
    <tableColumn id="2" xr3:uid="{97203253-8980-4F99-9450-6C09CB1C20BB}" name="Column2" dataDxfId="31" dataCellStyle="Currency"/>
    <tableColumn id="3" xr3:uid="{66100C8D-2C79-4477-A4D0-43837E05698C}" name="Column3" dataDxfId="30" dataCellStyle="Currency"/>
    <tableColumn id="4" xr3:uid="{F3563843-8FAB-4AB5-A36F-C7C191A35B28}" name="Column4" dataDxfId="29" dataCellStyle="Currency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AF9FAF5C-FC5D-4F8C-89FC-189C8E5C5A77}" name="Table3348" displayName="Table3348" ref="F7:I10" headerRowCount="0" totalsRowShown="0" headerRowDxfId="28" dataDxfId="27">
  <tableColumns count="4">
    <tableColumn id="1" xr3:uid="{FBA14088-C282-4F51-9375-884F7BCD9E0F}" name="Column1" dataDxfId="26"/>
    <tableColumn id="2" xr3:uid="{13D348A4-DFAA-4FAA-B165-151340C1D7BE}" name="Column2" dataDxfId="25"/>
    <tableColumn id="3" xr3:uid="{FED14D02-C4E8-46F4-8F4F-2F4A53DBBF81}" name="Column3" dataDxfId="24"/>
    <tableColumn id="4" xr3:uid="{92551D01-F5B9-4FEC-996F-4E7827CE7206}" name="Column4" dataDxfId="23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A52A216B-C857-419E-A654-34A6EC606778}" name="Table3449" displayName="Table3449" ref="F12:I16" headerRowCount="0" totalsRowShown="0" headerRowDxfId="22" dataDxfId="21">
  <tableColumns count="4">
    <tableColumn id="1" xr3:uid="{1D78BF8F-96B7-400B-BE0E-ACB11E546D9C}" name="Column1" dataDxfId="20"/>
    <tableColumn id="2" xr3:uid="{360D20AF-E5F4-4F6A-A300-98A536F9EF39}" name="Column2" dataDxfId="19"/>
    <tableColumn id="3" xr3:uid="{73488CE6-3321-4DDA-91EF-9B3958E0701C}" name="Column3" dataDxfId="18"/>
    <tableColumn id="4" xr3:uid="{7E009501-0973-40E9-A5A1-047ABABF8293}" name="Column4" dataDxfId="17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9402BC3-0E0B-4EFF-8061-880690F5D0D7}" name="Table3551" displayName="Table3551" ref="F21:I23" headerRowCount="0" totalsRowShown="0" headerRowDxfId="16" dataDxfId="15">
  <tableColumns count="4">
    <tableColumn id="1" xr3:uid="{A75FFA06-9A11-4627-A29B-07D562FC561D}" name="Column1" dataDxfId="14"/>
    <tableColumn id="2" xr3:uid="{42D714C5-182B-438E-BA7D-664C2EFF7226}" name="Column2" dataDxfId="13"/>
    <tableColumn id="3" xr3:uid="{444106FC-20F6-4700-945D-57C78186FAAF}" name="Column3" dataDxfId="12"/>
    <tableColumn id="4" xr3:uid="{108AC3B6-BB02-4FE3-8982-7051AA074155}" name="Column4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5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1.xml"/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10" Type="http://schemas.openxmlformats.org/officeDocument/2006/relationships/table" Target="../tables/table23.xml"/><Relationship Id="rId4" Type="http://schemas.openxmlformats.org/officeDocument/2006/relationships/table" Target="../tables/table17.xml"/><Relationship Id="rId9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table" Target="../tables/table24.xml"/><Relationship Id="rId7" Type="http://schemas.openxmlformats.org/officeDocument/2006/relationships/table" Target="../tables/table28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5.xml"/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10" Type="http://schemas.openxmlformats.org/officeDocument/2006/relationships/table" Target="../tables/table37.xml"/><Relationship Id="rId4" Type="http://schemas.openxmlformats.org/officeDocument/2006/relationships/table" Target="../tables/table31.xml"/><Relationship Id="rId9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0"/>
  <sheetViews>
    <sheetView zoomScaleNormal="100" workbookViewId="0">
      <selection activeCell="AD28" sqref="AD28"/>
    </sheetView>
  </sheetViews>
  <sheetFormatPr defaultRowHeight="15"/>
  <cols>
    <col min="1" max="1" width="10.140625" bestFit="1" customWidth="1"/>
    <col min="2" max="2" width="10.5703125" bestFit="1" customWidth="1"/>
    <col min="3" max="3" width="12.28515625" bestFit="1" customWidth="1"/>
    <col min="4" max="4" width="14.140625" bestFit="1" customWidth="1"/>
    <col min="5" max="5" width="7.85546875" bestFit="1" customWidth="1"/>
    <col min="6" max="8" width="8.85546875" bestFit="1" customWidth="1"/>
    <col min="9" max="9" width="15.140625" bestFit="1" customWidth="1"/>
    <col min="10" max="10" width="7.85546875" bestFit="1" customWidth="1"/>
    <col min="11" max="13" width="8.85546875" bestFit="1" customWidth="1"/>
    <col min="14" max="18" width="11.5703125" style="2" bestFit="1" customWidth="1"/>
    <col min="19" max="19" width="15.5703125" style="2" bestFit="1" customWidth="1"/>
    <col min="20" max="23" width="10.5703125" style="2" bestFit="1" customWidth="1"/>
    <col min="24" max="27" width="11.5703125" style="2" bestFit="1" customWidth="1"/>
    <col min="28" max="28" width="11.7109375" style="2" bestFit="1" customWidth="1"/>
    <col min="30" max="30" width="11.5703125" style="2" bestFit="1" customWidth="1"/>
  </cols>
  <sheetData>
    <row r="1" spans="1:30">
      <c r="A1" s="53" t="s">
        <v>376</v>
      </c>
      <c r="B1" s="53"/>
      <c r="C1" s="53"/>
      <c r="D1" s="53"/>
    </row>
    <row r="2" spans="1:30">
      <c r="A2" s="53" t="s">
        <v>375</v>
      </c>
      <c r="B2" s="53"/>
      <c r="C2" s="53"/>
      <c r="D2" s="53"/>
    </row>
    <row r="4" spans="1:30">
      <c r="A4" s="13"/>
      <c r="B4" s="13"/>
      <c r="C4" s="13"/>
      <c r="D4" s="13" t="s">
        <v>3</v>
      </c>
      <c r="E4" s="13"/>
      <c r="F4" s="13"/>
      <c r="G4" s="13"/>
      <c r="H4" s="13"/>
      <c r="I4" s="13" t="s">
        <v>51</v>
      </c>
      <c r="J4" s="13"/>
      <c r="K4" s="13"/>
      <c r="L4" s="13"/>
      <c r="M4" s="13"/>
      <c r="N4" s="15" t="s">
        <v>4</v>
      </c>
      <c r="O4" s="15"/>
      <c r="P4" s="15"/>
      <c r="Q4" s="15"/>
      <c r="R4" s="15"/>
      <c r="S4" s="15" t="s">
        <v>52</v>
      </c>
      <c r="T4" s="15"/>
      <c r="U4" s="15"/>
      <c r="V4" s="15"/>
      <c r="W4" s="15"/>
      <c r="X4" s="15" t="s">
        <v>48</v>
      </c>
      <c r="Y4" s="15"/>
      <c r="Z4" s="15"/>
      <c r="AA4" s="15"/>
      <c r="AB4" s="15"/>
      <c r="AC4" s="13"/>
      <c r="AD4" s="15" t="s">
        <v>58</v>
      </c>
    </row>
    <row r="5" spans="1:30">
      <c r="A5" s="13" t="s">
        <v>0</v>
      </c>
      <c r="B5" s="13" t="s">
        <v>1</v>
      </c>
      <c r="C5" s="13" t="s">
        <v>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53</v>
      </c>
      <c r="J5" s="1" t="s">
        <v>54</v>
      </c>
      <c r="K5" s="1" t="s">
        <v>55</v>
      </c>
      <c r="L5" s="1" t="s">
        <v>56</v>
      </c>
      <c r="M5" s="1" t="s">
        <v>57</v>
      </c>
      <c r="N5" s="2" t="s">
        <v>53</v>
      </c>
      <c r="O5" s="2" t="s">
        <v>54</v>
      </c>
      <c r="P5" s="2" t="s">
        <v>55</v>
      </c>
      <c r="Q5" s="2" t="s">
        <v>56</v>
      </c>
      <c r="R5" s="2" t="s">
        <v>57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57</v>
      </c>
      <c r="X5" s="2" t="s">
        <v>53</v>
      </c>
      <c r="Y5" s="2" t="s">
        <v>54</v>
      </c>
      <c r="Z5" s="2" t="s">
        <v>55</v>
      </c>
      <c r="AA5" s="2" t="s">
        <v>56</v>
      </c>
      <c r="AB5" s="2" t="s">
        <v>57</v>
      </c>
    </row>
    <row r="6" spans="1:30">
      <c r="A6" t="s">
        <v>5</v>
      </c>
      <c r="B6" t="s">
        <v>6</v>
      </c>
      <c r="C6" s="2">
        <v>15</v>
      </c>
      <c r="D6">
        <v>41</v>
      </c>
      <c r="E6">
        <v>35</v>
      </c>
      <c r="F6">
        <v>38</v>
      </c>
      <c r="G6">
        <v>42</v>
      </c>
      <c r="H6">
        <v>46</v>
      </c>
      <c r="I6">
        <f>IF(D6&gt;40, D6-40, 0)</f>
        <v>1</v>
      </c>
      <c r="J6">
        <f>IF(E6&gt;40, E6-40, 0)</f>
        <v>0</v>
      </c>
      <c r="K6">
        <f>IF(F6&gt;40, F6-40, 0)</f>
        <v>0</v>
      </c>
      <c r="L6">
        <f>IF(G6&gt;40, G6-40, 0)</f>
        <v>2</v>
      </c>
      <c r="M6">
        <f t="shared" ref="J6:M21" si="0">IF(H6&gt;40, H6-40, 0)</f>
        <v>6</v>
      </c>
      <c r="N6" s="2">
        <f>$C6*D6</f>
        <v>615</v>
      </c>
      <c r="O6" s="2">
        <f>$C6*E6</f>
        <v>525</v>
      </c>
      <c r="P6" s="2">
        <f>$C6*F6</f>
        <v>570</v>
      </c>
      <c r="Q6" s="2">
        <f>$C6*G6</f>
        <v>630</v>
      </c>
      <c r="R6" s="2">
        <f>$C6*H6</f>
        <v>690</v>
      </c>
      <c r="S6" s="2">
        <f>0.5*$D6*I6</f>
        <v>20.5</v>
      </c>
      <c r="T6" s="2">
        <f t="shared" ref="T6:T25" si="1">0.5*$D6*J6</f>
        <v>0</v>
      </c>
      <c r="U6" s="2">
        <f t="shared" ref="U6:U25" si="2">0.5*$D6*K6</f>
        <v>0</v>
      </c>
      <c r="V6" s="2">
        <f>0.5*$D6*L6</f>
        <v>41</v>
      </c>
      <c r="W6" s="2">
        <f t="shared" ref="W6:W25" si="3">0.5*$D6*M6</f>
        <v>123</v>
      </c>
      <c r="X6" s="2">
        <f>N6+S6</f>
        <v>635.5</v>
      </c>
      <c r="Y6" s="2">
        <f t="shared" ref="Y6:Y25" si="4">O6+T6</f>
        <v>525</v>
      </c>
      <c r="Z6" s="2">
        <f t="shared" ref="Z6:Z25" si="5">P6+U6</f>
        <v>570</v>
      </c>
      <c r="AA6" s="2">
        <f t="shared" ref="AA6:AA25" si="6">Q6+V6</f>
        <v>671</v>
      </c>
      <c r="AB6" s="2">
        <f t="shared" ref="AB6:AB25" si="7">R6+W6</f>
        <v>813</v>
      </c>
      <c r="AD6" s="2">
        <f>SUM(Table5[#This Row])</f>
        <v>3214.5</v>
      </c>
    </row>
    <row r="7" spans="1:30">
      <c r="A7" t="s">
        <v>7</v>
      </c>
      <c r="B7" t="s">
        <v>8</v>
      </c>
      <c r="C7" s="2">
        <v>20</v>
      </c>
      <c r="D7">
        <v>50</v>
      </c>
      <c r="E7">
        <v>45</v>
      </c>
      <c r="F7">
        <v>49</v>
      </c>
      <c r="G7">
        <v>55</v>
      </c>
      <c r="H7">
        <v>51</v>
      </c>
      <c r="I7">
        <f t="shared" ref="I7:I25" si="8">IF(D7&gt;40, D7-40, 0)</f>
        <v>10</v>
      </c>
      <c r="J7">
        <f t="shared" si="0"/>
        <v>5</v>
      </c>
      <c r="K7">
        <f t="shared" si="0"/>
        <v>9</v>
      </c>
      <c r="L7">
        <f t="shared" si="0"/>
        <v>15</v>
      </c>
      <c r="M7">
        <f t="shared" si="0"/>
        <v>11</v>
      </c>
      <c r="N7" s="2">
        <f>$C7*D7</f>
        <v>1000</v>
      </c>
      <c r="O7" s="2">
        <f>$C7*E7</f>
        <v>900</v>
      </c>
      <c r="P7" s="2">
        <f>$C7*F7</f>
        <v>980</v>
      </c>
      <c r="Q7" s="2">
        <f>$C7*G7</f>
        <v>1100</v>
      </c>
      <c r="R7" s="2">
        <f>$C7*H7</f>
        <v>1020</v>
      </c>
      <c r="S7" s="2">
        <f t="shared" ref="S7:S25" si="9">0.5*$D7*I7</f>
        <v>250</v>
      </c>
      <c r="T7" s="2">
        <f t="shared" si="1"/>
        <v>125</v>
      </c>
      <c r="U7" s="2">
        <f t="shared" si="2"/>
        <v>225</v>
      </c>
      <c r="V7" s="2">
        <f t="shared" ref="V7:V25" si="10">0.5*$D7*L7</f>
        <v>375</v>
      </c>
      <c r="W7" s="2">
        <f t="shared" si="3"/>
        <v>275</v>
      </c>
      <c r="X7" s="2">
        <f t="shared" ref="X6:X25" si="11">N7+S7</f>
        <v>1250</v>
      </c>
      <c r="Y7" s="2">
        <f t="shared" si="4"/>
        <v>1025</v>
      </c>
      <c r="Z7" s="2">
        <f t="shared" si="5"/>
        <v>1205</v>
      </c>
      <c r="AA7" s="2">
        <f t="shared" si="6"/>
        <v>1475</v>
      </c>
      <c r="AB7" s="2">
        <f t="shared" si="7"/>
        <v>1295</v>
      </c>
      <c r="AD7" s="2">
        <f>SUM(Table5[#This Row])</f>
        <v>6250</v>
      </c>
    </row>
    <row r="8" spans="1:30">
      <c r="A8" t="s">
        <v>9</v>
      </c>
      <c r="B8" t="s">
        <v>10</v>
      </c>
      <c r="C8" s="2">
        <v>18</v>
      </c>
      <c r="D8">
        <v>42</v>
      </c>
      <c r="E8">
        <v>36</v>
      </c>
      <c r="F8">
        <v>39</v>
      </c>
      <c r="G8">
        <v>43</v>
      </c>
      <c r="H8">
        <v>47</v>
      </c>
      <c r="I8">
        <f t="shared" si="8"/>
        <v>2</v>
      </c>
      <c r="J8">
        <f t="shared" si="0"/>
        <v>0</v>
      </c>
      <c r="K8">
        <f t="shared" si="0"/>
        <v>0</v>
      </c>
      <c r="L8">
        <f t="shared" si="0"/>
        <v>3</v>
      </c>
      <c r="M8">
        <f t="shared" si="0"/>
        <v>7</v>
      </c>
      <c r="N8" s="2">
        <f>$C8*D8</f>
        <v>756</v>
      </c>
      <c r="O8" s="2">
        <f>$C8*E8</f>
        <v>648</v>
      </c>
      <c r="P8" s="2">
        <f>$C8*F8</f>
        <v>702</v>
      </c>
      <c r="Q8" s="2">
        <f>$C8*G8</f>
        <v>774</v>
      </c>
      <c r="R8" s="2">
        <f>$C8*H8</f>
        <v>846</v>
      </c>
      <c r="S8" s="2">
        <f t="shared" si="9"/>
        <v>42</v>
      </c>
      <c r="T8" s="2">
        <f t="shared" si="1"/>
        <v>0</v>
      </c>
      <c r="U8" s="2">
        <f t="shared" si="2"/>
        <v>0</v>
      </c>
      <c r="V8" s="2">
        <f t="shared" si="10"/>
        <v>63</v>
      </c>
      <c r="W8" s="2">
        <f t="shared" si="3"/>
        <v>147</v>
      </c>
      <c r="X8" s="2">
        <f t="shared" si="11"/>
        <v>798</v>
      </c>
      <c r="Y8" s="2">
        <f t="shared" si="4"/>
        <v>648</v>
      </c>
      <c r="Z8" s="2">
        <f t="shared" si="5"/>
        <v>702</v>
      </c>
      <c r="AA8" s="2">
        <f t="shared" si="6"/>
        <v>837</v>
      </c>
      <c r="AB8" s="2">
        <f t="shared" si="7"/>
        <v>993</v>
      </c>
      <c r="AD8" s="2">
        <f>SUM(Table5[#This Row])</f>
        <v>3978</v>
      </c>
    </row>
    <row r="9" spans="1:30">
      <c r="A9" t="s">
        <v>11</v>
      </c>
      <c r="B9" t="s">
        <v>12</v>
      </c>
      <c r="C9" s="2">
        <v>16</v>
      </c>
      <c r="D9">
        <v>38</v>
      </c>
      <c r="E9">
        <v>32</v>
      </c>
      <c r="F9">
        <v>35</v>
      </c>
      <c r="G9">
        <v>39</v>
      </c>
      <c r="H9">
        <v>43</v>
      </c>
      <c r="I9">
        <f t="shared" si="8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3</v>
      </c>
      <c r="N9" s="2">
        <f>$C9*D9</f>
        <v>608</v>
      </c>
      <c r="O9" s="2">
        <f>$C9*E9</f>
        <v>512</v>
      </c>
      <c r="P9" s="2">
        <f>$C9*F9</f>
        <v>560</v>
      </c>
      <c r="Q9" s="2">
        <f>$C9*G9</f>
        <v>624</v>
      </c>
      <c r="R9" s="2">
        <f>$C9*H9</f>
        <v>688</v>
      </c>
      <c r="S9" s="2">
        <f t="shared" si="9"/>
        <v>0</v>
      </c>
      <c r="T9" s="2">
        <f t="shared" si="1"/>
        <v>0</v>
      </c>
      <c r="U9" s="2">
        <f t="shared" si="2"/>
        <v>0</v>
      </c>
      <c r="V9" s="2">
        <f t="shared" si="10"/>
        <v>0</v>
      </c>
      <c r="W9" s="2">
        <f t="shared" si="3"/>
        <v>57</v>
      </c>
      <c r="X9" s="2">
        <f t="shared" si="11"/>
        <v>608</v>
      </c>
      <c r="Y9" s="2">
        <f t="shared" si="4"/>
        <v>512</v>
      </c>
      <c r="Z9" s="2">
        <f t="shared" si="5"/>
        <v>560</v>
      </c>
      <c r="AA9" s="2">
        <f t="shared" si="6"/>
        <v>624</v>
      </c>
      <c r="AB9" s="2">
        <f t="shared" si="7"/>
        <v>745</v>
      </c>
      <c r="AD9" s="2">
        <f>SUM(Table5[#This Row])</f>
        <v>3049</v>
      </c>
    </row>
    <row r="10" spans="1:30">
      <c r="A10" t="s">
        <v>13</v>
      </c>
      <c r="B10" t="s">
        <v>14</v>
      </c>
      <c r="C10" s="2">
        <v>22</v>
      </c>
      <c r="D10">
        <v>55</v>
      </c>
      <c r="E10">
        <v>49</v>
      </c>
      <c r="F10">
        <v>53</v>
      </c>
      <c r="G10">
        <v>59</v>
      </c>
      <c r="H10">
        <v>56</v>
      </c>
      <c r="I10">
        <f t="shared" si="8"/>
        <v>15</v>
      </c>
      <c r="J10">
        <f t="shared" si="0"/>
        <v>9</v>
      </c>
      <c r="K10">
        <f t="shared" si="0"/>
        <v>13</v>
      </c>
      <c r="L10">
        <f t="shared" si="0"/>
        <v>19</v>
      </c>
      <c r="M10">
        <f t="shared" si="0"/>
        <v>16</v>
      </c>
      <c r="N10" s="2">
        <f>$C10*D10</f>
        <v>1210</v>
      </c>
      <c r="O10" s="2">
        <f>$C10*E10</f>
        <v>1078</v>
      </c>
      <c r="P10" s="2">
        <f>$C10*F10</f>
        <v>1166</v>
      </c>
      <c r="Q10" s="2">
        <f>$C10*G10</f>
        <v>1298</v>
      </c>
      <c r="R10" s="2">
        <f>$C10*H10</f>
        <v>1232</v>
      </c>
      <c r="S10" s="2">
        <f t="shared" si="9"/>
        <v>412.5</v>
      </c>
      <c r="T10" s="2">
        <f t="shared" si="1"/>
        <v>247.5</v>
      </c>
      <c r="U10" s="2">
        <f t="shared" si="2"/>
        <v>357.5</v>
      </c>
      <c r="V10" s="2">
        <f t="shared" si="10"/>
        <v>522.5</v>
      </c>
      <c r="W10" s="2">
        <f t="shared" si="3"/>
        <v>440</v>
      </c>
      <c r="X10" s="2">
        <f t="shared" si="11"/>
        <v>1622.5</v>
      </c>
      <c r="Y10" s="2">
        <f t="shared" si="4"/>
        <v>1325.5</v>
      </c>
      <c r="Z10" s="2">
        <f t="shared" si="5"/>
        <v>1523.5</v>
      </c>
      <c r="AA10" s="2">
        <f t="shared" si="6"/>
        <v>1820.5</v>
      </c>
      <c r="AB10" s="2">
        <f t="shared" si="7"/>
        <v>1672</v>
      </c>
      <c r="AD10" s="2">
        <f>SUM(Table5[#This Row])</f>
        <v>7964</v>
      </c>
    </row>
    <row r="11" spans="1:30">
      <c r="A11" t="s">
        <v>15</v>
      </c>
      <c r="B11" t="s">
        <v>16</v>
      </c>
      <c r="C11" s="2">
        <v>19</v>
      </c>
      <c r="D11">
        <v>43</v>
      </c>
      <c r="E11">
        <v>37</v>
      </c>
      <c r="F11">
        <v>40</v>
      </c>
      <c r="G11">
        <v>44</v>
      </c>
      <c r="H11">
        <v>48</v>
      </c>
      <c r="I11">
        <f t="shared" si="8"/>
        <v>3</v>
      </c>
      <c r="J11">
        <f t="shared" si="0"/>
        <v>0</v>
      </c>
      <c r="K11">
        <f t="shared" si="0"/>
        <v>0</v>
      </c>
      <c r="L11">
        <f t="shared" si="0"/>
        <v>4</v>
      </c>
      <c r="M11">
        <f t="shared" si="0"/>
        <v>8</v>
      </c>
      <c r="N11" s="2">
        <f>$C11*D11</f>
        <v>817</v>
      </c>
      <c r="O11" s="2">
        <f>$C11*E11</f>
        <v>703</v>
      </c>
      <c r="P11" s="2">
        <f>$C11*F11</f>
        <v>760</v>
      </c>
      <c r="Q11" s="2">
        <f>$C11*G11</f>
        <v>836</v>
      </c>
      <c r="R11" s="2">
        <f>$C11*H11</f>
        <v>912</v>
      </c>
      <c r="S11" s="2">
        <f t="shared" si="9"/>
        <v>64.5</v>
      </c>
      <c r="T11" s="2">
        <f t="shared" si="1"/>
        <v>0</v>
      </c>
      <c r="U11" s="2">
        <f t="shared" si="2"/>
        <v>0</v>
      </c>
      <c r="V11" s="2">
        <f t="shared" si="10"/>
        <v>86</v>
      </c>
      <c r="W11" s="2">
        <f t="shared" si="3"/>
        <v>172</v>
      </c>
      <c r="X11" s="2">
        <f t="shared" si="11"/>
        <v>881.5</v>
      </c>
      <c r="Y11" s="2">
        <f t="shared" si="4"/>
        <v>703</v>
      </c>
      <c r="Z11" s="2">
        <f t="shared" si="5"/>
        <v>760</v>
      </c>
      <c r="AA11" s="2">
        <f t="shared" si="6"/>
        <v>922</v>
      </c>
      <c r="AB11" s="2">
        <f t="shared" si="7"/>
        <v>1084</v>
      </c>
      <c r="AD11" s="2">
        <f>SUM(Table5[#This Row])</f>
        <v>4350.5</v>
      </c>
    </row>
    <row r="12" spans="1:30">
      <c r="A12" t="s">
        <v>17</v>
      </c>
      <c r="B12" t="s">
        <v>18</v>
      </c>
      <c r="C12" s="2">
        <v>17</v>
      </c>
      <c r="D12">
        <v>47</v>
      </c>
      <c r="E12">
        <v>41</v>
      </c>
      <c r="F12">
        <v>45</v>
      </c>
      <c r="G12">
        <v>51</v>
      </c>
      <c r="H12">
        <v>48</v>
      </c>
      <c r="I12">
        <f t="shared" si="8"/>
        <v>7</v>
      </c>
      <c r="J12">
        <f t="shared" si="0"/>
        <v>1</v>
      </c>
      <c r="K12">
        <f t="shared" si="0"/>
        <v>5</v>
      </c>
      <c r="L12">
        <f t="shared" si="0"/>
        <v>11</v>
      </c>
      <c r="M12">
        <f t="shared" si="0"/>
        <v>8</v>
      </c>
      <c r="N12" s="2">
        <f>$C12*D12</f>
        <v>799</v>
      </c>
      <c r="O12" s="2">
        <f>$C12*E12</f>
        <v>697</v>
      </c>
      <c r="P12" s="2">
        <f>$C12*F12</f>
        <v>765</v>
      </c>
      <c r="Q12" s="2">
        <f>$C12*G12</f>
        <v>867</v>
      </c>
      <c r="R12" s="2">
        <f>$C12*H12</f>
        <v>816</v>
      </c>
      <c r="S12" s="2">
        <f t="shared" si="9"/>
        <v>164.5</v>
      </c>
      <c r="T12" s="2">
        <f t="shared" si="1"/>
        <v>23.5</v>
      </c>
      <c r="U12" s="2">
        <f t="shared" si="2"/>
        <v>117.5</v>
      </c>
      <c r="V12" s="2">
        <f t="shared" si="10"/>
        <v>258.5</v>
      </c>
      <c r="W12" s="2">
        <f t="shared" si="3"/>
        <v>188</v>
      </c>
      <c r="X12" s="2">
        <f t="shared" si="11"/>
        <v>963.5</v>
      </c>
      <c r="Y12" s="2">
        <f t="shared" si="4"/>
        <v>720.5</v>
      </c>
      <c r="Z12" s="2">
        <f t="shared" si="5"/>
        <v>882.5</v>
      </c>
      <c r="AA12" s="2">
        <f t="shared" si="6"/>
        <v>1125.5</v>
      </c>
      <c r="AB12" s="2">
        <f t="shared" si="7"/>
        <v>1004</v>
      </c>
      <c r="AD12" s="2">
        <f>SUM(Table5[#This Row])</f>
        <v>4696</v>
      </c>
    </row>
    <row r="13" spans="1:30">
      <c r="A13" t="s">
        <v>19</v>
      </c>
      <c r="B13" t="s">
        <v>20</v>
      </c>
      <c r="C13" s="2">
        <v>21</v>
      </c>
      <c r="D13">
        <v>52</v>
      </c>
      <c r="E13">
        <v>46</v>
      </c>
      <c r="F13">
        <v>50</v>
      </c>
      <c r="G13">
        <v>56</v>
      </c>
      <c r="H13">
        <v>53</v>
      </c>
      <c r="I13">
        <f t="shared" si="8"/>
        <v>12</v>
      </c>
      <c r="J13">
        <f t="shared" si="0"/>
        <v>6</v>
      </c>
      <c r="K13">
        <f t="shared" si="0"/>
        <v>10</v>
      </c>
      <c r="L13">
        <f t="shared" si="0"/>
        <v>16</v>
      </c>
      <c r="M13">
        <f t="shared" si="0"/>
        <v>13</v>
      </c>
      <c r="N13" s="2">
        <f>$C13*D13</f>
        <v>1092</v>
      </c>
      <c r="O13" s="2">
        <f>$C13*E13</f>
        <v>966</v>
      </c>
      <c r="P13" s="2">
        <f>$C13*F13</f>
        <v>1050</v>
      </c>
      <c r="Q13" s="2">
        <f>$C13*G13</f>
        <v>1176</v>
      </c>
      <c r="R13" s="2">
        <f>$C13*H13</f>
        <v>1113</v>
      </c>
      <c r="S13" s="2">
        <f t="shared" si="9"/>
        <v>312</v>
      </c>
      <c r="T13" s="2">
        <f t="shared" si="1"/>
        <v>156</v>
      </c>
      <c r="U13" s="2">
        <f t="shared" si="2"/>
        <v>260</v>
      </c>
      <c r="V13" s="2">
        <f t="shared" si="10"/>
        <v>416</v>
      </c>
      <c r="W13" s="2">
        <f t="shared" si="3"/>
        <v>338</v>
      </c>
      <c r="X13" s="2">
        <f t="shared" si="11"/>
        <v>1404</v>
      </c>
      <c r="Y13" s="2">
        <f t="shared" si="4"/>
        <v>1122</v>
      </c>
      <c r="Z13" s="2">
        <f t="shared" si="5"/>
        <v>1310</v>
      </c>
      <c r="AA13" s="2">
        <f t="shared" si="6"/>
        <v>1592</v>
      </c>
      <c r="AB13" s="2">
        <f t="shared" si="7"/>
        <v>1451</v>
      </c>
      <c r="AD13" s="2">
        <f>SUM(Table5[#This Row])</f>
        <v>6879</v>
      </c>
    </row>
    <row r="14" spans="1:30">
      <c r="A14" t="s">
        <v>21</v>
      </c>
      <c r="B14" t="s">
        <v>22</v>
      </c>
      <c r="C14" s="2">
        <v>14</v>
      </c>
      <c r="D14">
        <v>41</v>
      </c>
      <c r="E14">
        <v>35</v>
      </c>
      <c r="F14">
        <v>38</v>
      </c>
      <c r="G14">
        <v>42</v>
      </c>
      <c r="H14">
        <v>46</v>
      </c>
      <c r="I14">
        <f t="shared" si="8"/>
        <v>1</v>
      </c>
      <c r="J14">
        <f t="shared" si="0"/>
        <v>0</v>
      </c>
      <c r="K14">
        <f t="shared" si="0"/>
        <v>0</v>
      </c>
      <c r="L14">
        <f t="shared" si="0"/>
        <v>2</v>
      </c>
      <c r="M14">
        <f t="shared" si="0"/>
        <v>6</v>
      </c>
      <c r="N14" s="2">
        <f>$C14*D14</f>
        <v>574</v>
      </c>
      <c r="O14" s="2">
        <f>$C14*E14</f>
        <v>490</v>
      </c>
      <c r="P14" s="2">
        <f>$C14*F14</f>
        <v>532</v>
      </c>
      <c r="Q14" s="2">
        <f>$C14*G14</f>
        <v>588</v>
      </c>
      <c r="R14" s="2">
        <f>$C14*H14</f>
        <v>644</v>
      </c>
      <c r="S14" s="2">
        <f t="shared" si="9"/>
        <v>20.5</v>
      </c>
      <c r="T14" s="2">
        <f t="shared" si="1"/>
        <v>0</v>
      </c>
      <c r="U14" s="2">
        <f t="shared" si="2"/>
        <v>0</v>
      </c>
      <c r="V14" s="2">
        <f t="shared" si="10"/>
        <v>41</v>
      </c>
      <c r="W14" s="2">
        <f t="shared" si="3"/>
        <v>123</v>
      </c>
      <c r="X14" s="2">
        <f t="shared" si="11"/>
        <v>594.5</v>
      </c>
      <c r="Y14" s="2">
        <f t="shared" si="4"/>
        <v>490</v>
      </c>
      <c r="Z14" s="2">
        <f t="shared" si="5"/>
        <v>532</v>
      </c>
      <c r="AA14" s="2">
        <f t="shared" si="6"/>
        <v>629</v>
      </c>
      <c r="AB14" s="2">
        <f t="shared" si="7"/>
        <v>767</v>
      </c>
      <c r="AD14" s="2">
        <f>SUM(Table5[#This Row])</f>
        <v>3012.5</v>
      </c>
    </row>
    <row r="15" spans="1:30">
      <c r="A15" t="s">
        <v>23</v>
      </c>
      <c r="B15" t="s">
        <v>24</v>
      </c>
      <c r="C15" s="2">
        <v>16</v>
      </c>
      <c r="D15">
        <v>44</v>
      </c>
      <c r="E15">
        <v>38</v>
      </c>
      <c r="F15">
        <v>41</v>
      </c>
      <c r="G15">
        <v>45</v>
      </c>
      <c r="H15">
        <v>49</v>
      </c>
      <c r="I15">
        <f t="shared" si="8"/>
        <v>4</v>
      </c>
      <c r="J15">
        <f t="shared" si="0"/>
        <v>0</v>
      </c>
      <c r="K15">
        <f t="shared" si="0"/>
        <v>1</v>
      </c>
      <c r="L15">
        <f t="shared" si="0"/>
        <v>5</v>
      </c>
      <c r="M15">
        <f t="shared" si="0"/>
        <v>9</v>
      </c>
      <c r="N15" s="2">
        <f>$C15*D15</f>
        <v>704</v>
      </c>
      <c r="O15" s="2">
        <f>$C15*E15</f>
        <v>608</v>
      </c>
      <c r="P15" s="2">
        <f>$C15*F15</f>
        <v>656</v>
      </c>
      <c r="Q15" s="2">
        <f>$C15*G15</f>
        <v>720</v>
      </c>
      <c r="R15" s="2">
        <f>$C15*H15</f>
        <v>784</v>
      </c>
      <c r="S15" s="2">
        <f t="shared" si="9"/>
        <v>88</v>
      </c>
      <c r="T15" s="2">
        <f t="shared" si="1"/>
        <v>0</v>
      </c>
      <c r="U15" s="2">
        <f t="shared" si="2"/>
        <v>22</v>
      </c>
      <c r="V15" s="2">
        <f t="shared" si="10"/>
        <v>110</v>
      </c>
      <c r="W15" s="2">
        <f t="shared" si="3"/>
        <v>198</v>
      </c>
      <c r="X15" s="2">
        <f t="shared" si="11"/>
        <v>792</v>
      </c>
      <c r="Y15" s="2">
        <f t="shared" si="4"/>
        <v>608</v>
      </c>
      <c r="Z15" s="2">
        <f t="shared" si="5"/>
        <v>678</v>
      </c>
      <c r="AA15" s="2">
        <f t="shared" si="6"/>
        <v>830</v>
      </c>
      <c r="AB15" s="2">
        <f t="shared" si="7"/>
        <v>982</v>
      </c>
      <c r="AD15" s="2">
        <f>SUM(Table5[#This Row])</f>
        <v>3890</v>
      </c>
    </row>
    <row r="16" spans="1:30">
      <c r="A16" t="s">
        <v>25</v>
      </c>
      <c r="B16" t="s">
        <v>26</v>
      </c>
      <c r="C16" s="2">
        <v>23</v>
      </c>
      <c r="D16">
        <v>38</v>
      </c>
      <c r="E16">
        <v>32</v>
      </c>
      <c r="F16">
        <v>35</v>
      </c>
      <c r="G16">
        <v>39</v>
      </c>
      <c r="H16">
        <v>43</v>
      </c>
      <c r="I16">
        <f t="shared" si="8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3</v>
      </c>
      <c r="N16" s="2">
        <f>$C16*D16</f>
        <v>874</v>
      </c>
      <c r="O16" s="2">
        <f>$C16*E16</f>
        <v>736</v>
      </c>
      <c r="P16" s="2">
        <f>$C16*F16</f>
        <v>805</v>
      </c>
      <c r="Q16" s="2">
        <f>$C16*G16</f>
        <v>897</v>
      </c>
      <c r="R16" s="2">
        <f>$C16*H16</f>
        <v>989</v>
      </c>
      <c r="S16" s="2">
        <f t="shared" si="9"/>
        <v>0</v>
      </c>
      <c r="T16" s="2">
        <f t="shared" si="1"/>
        <v>0</v>
      </c>
      <c r="U16" s="2">
        <f t="shared" si="2"/>
        <v>0</v>
      </c>
      <c r="V16" s="2">
        <f t="shared" si="10"/>
        <v>0</v>
      </c>
      <c r="W16" s="2">
        <f t="shared" si="3"/>
        <v>57</v>
      </c>
      <c r="X16" s="2">
        <f t="shared" si="11"/>
        <v>874</v>
      </c>
      <c r="Y16" s="2">
        <f t="shared" si="4"/>
        <v>736</v>
      </c>
      <c r="Z16" s="2">
        <f t="shared" si="5"/>
        <v>805</v>
      </c>
      <c r="AA16" s="2">
        <f t="shared" si="6"/>
        <v>897</v>
      </c>
      <c r="AB16" s="2">
        <f t="shared" si="7"/>
        <v>1046</v>
      </c>
      <c r="AD16" s="2">
        <f>SUM(Table5[#This Row])</f>
        <v>4358</v>
      </c>
    </row>
    <row r="17" spans="1:32">
      <c r="A17" t="s">
        <v>27</v>
      </c>
      <c r="B17" t="s">
        <v>28</v>
      </c>
      <c r="C17" s="2">
        <v>20</v>
      </c>
      <c r="D17">
        <v>49</v>
      </c>
      <c r="E17">
        <v>43</v>
      </c>
      <c r="F17">
        <v>47</v>
      </c>
      <c r="G17">
        <v>53</v>
      </c>
      <c r="H17">
        <v>50</v>
      </c>
      <c r="I17">
        <f t="shared" si="8"/>
        <v>9</v>
      </c>
      <c r="J17">
        <f t="shared" si="0"/>
        <v>3</v>
      </c>
      <c r="K17">
        <f t="shared" si="0"/>
        <v>7</v>
      </c>
      <c r="L17">
        <f t="shared" si="0"/>
        <v>13</v>
      </c>
      <c r="M17">
        <f t="shared" si="0"/>
        <v>10</v>
      </c>
      <c r="N17" s="2">
        <f>$C17*D17</f>
        <v>980</v>
      </c>
      <c r="O17" s="2">
        <f>$C17*E17</f>
        <v>860</v>
      </c>
      <c r="P17" s="2">
        <f>$C17*F17</f>
        <v>940</v>
      </c>
      <c r="Q17" s="2">
        <f>$C17*G17</f>
        <v>1060</v>
      </c>
      <c r="R17" s="2">
        <f>$C17*H17</f>
        <v>1000</v>
      </c>
      <c r="S17" s="2">
        <f t="shared" si="9"/>
        <v>220.5</v>
      </c>
      <c r="T17" s="2">
        <f t="shared" si="1"/>
        <v>73.5</v>
      </c>
      <c r="U17" s="2">
        <f t="shared" si="2"/>
        <v>171.5</v>
      </c>
      <c r="V17" s="2">
        <f t="shared" si="10"/>
        <v>318.5</v>
      </c>
      <c r="W17" s="2">
        <f t="shared" si="3"/>
        <v>245</v>
      </c>
      <c r="X17" s="2">
        <f t="shared" si="11"/>
        <v>1200.5</v>
      </c>
      <c r="Y17" s="2">
        <f t="shared" si="4"/>
        <v>933.5</v>
      </c>
      <c r="Z17" s="2">
        <f t="shared" si="5"/>
        <v>1111.5</v>
      </c>
      <c r="AA17" s="2">
        <f t="shared" si="6"/>
        <v>1378.5</v>
      </c>
      <c r="AB17" s="2">
        <f t="shared" si="7"/>
        <v>1245</v>
      </c>
      <c r="AD17" s="2">
        <f>SUM(Table5[#This Row])</f>
        <v>5869</v>
      </c>
    </row>
    <row r="18" spans="1:32">
      <c r="A18" t="s">
        <v>29</v>
      </c>
      <c r="B18" t="s">
        <v>30</v>
      </c>
      <c r="C18" s="2">
        <v>18</v>
      </c>
      <c r="D18">
        <v>42</v>
      </c>
      <c r="E18">
        <v>36</v>
      </c>
      <c r="F18">
        <v>39</v>
      </c>
      <c r="G18">
        <v>43</v>
      </c>
      <c r="H18">
        <v>47</v>
      </c>
      <c r="I18">
        <f t="shared" si="8"/>
        <v>2</v>
      </c>
      <c r="J18">
        <f t="shared" si="0"/>
        <v>0</v>
      </c>
      <c r="K18">
        <f t="shared" si="0"/>
        <v>0</v>
      </c>
      <c r="L18">
        <f t="shared" si="0"/>
        <v>3</v>
      </c>
      <c r="M18">
        <f t="shared" si="0"/>
        <v>7</v>
      </c>
      <c r="N18" s="2">
        <f>$C18*D18</f>
        <v>756</v>
      </c>
      <c r="O18" s="2">
        <f>$C18*E18</f>
        <v>648</v>
      </c>
      <c r="P18" s="2">
        <f>$C18*F18</f>
        <v>702</v>
      </c>
      <c r="Q18" s="2">
        <f>$C18*G18</f>
        <v>774</v>
      </c>
      <c r="R18" s="2">
        <f>$C18*H18</f>
        <v>846</v>
      </c>
      <c r="S18" s="2">
        <f t="shared" si="9"/>
        <v>42</v>
      </c>
      <c r="T18" s="2">
        <f t="shared" si="1"/>
        <v>0</v>
      </c>
      <c r="U18" s="2">
        <f t="shared" si="2"/>
        <v>0</v>
      </c>
      <c r="V18" s="2">
        <f t="shared" si="10"/>
        <v>63</v>
      </c>
      <c r="W18" s="2">
        <f t="shared" si="3"/>
        <v>147</v>
      </c>
      <c r="X18" s="2">
        <f t="shared" si="11"/>
        <v>798</v>
      </c>
      <c r="Y18" s="2">
        <f t="shared" si="4"/>
        <v>648</v>
      </c>
      <c r="Z18" s="2">
        <f t="shared" si="5"/>
        <v>702</v>
      </c>
      <c r="AA18" s="2">
        <f t="shared" si="6"/>
        <v>837</v>
      </c>
      <c r="AB18" s="2">
        <f t="shared" si="7"/>
        <v>993</v>
      </c>
      <c r="AD18" s="2">
        <f>SUM(Table5[#This Row])</f>
        <v>3978</v>
      </c>
    </row>
    <row r="19" spans="1:32">
      <c r="A19" t="s">
        <v>31</v>
      </c>
      <c r="B19" t="s">
        <v>32</v>
      </c>
      <c r="C19" s="2">
        <v>15</v>
      </c>
      <c r="D19">
        <v>35</v>
      </c>
      <c r="E19">
        <v>29</v>
      </c>
      <c r="F19">
        <v>32</v>
      </c>
      <c r="G19">
        <v>36</v>
      </c>
      <c r="H19">
        <v>40</v>
      </c>
      <c r="I19">
        <f t="shared" si="8"/>
        <v>0</v>
      </c>
      <c r="J19">
        <f t="shared" si="0"/>
        <v>0</v>
      </c>
      <c r="K19">
        <f t="shared" si="0"/>
        <v>0</v>
      </c>
      <c r="L19">
        <f t="shared" si="0"/>
        <v>0</v>
      </c>
      <c r="M19">
        <f t="shared" si="0"/>
        <v>0</v>
      </c>
      <c r="N19" s="2">
        <f>$C19*D19</f>
        <v>525</v>
      </c>
      <c r="O19" s="2">
        <f>$C19*E19</f>
        <v>435</v>
      </c>
      <c r="P19" s="2">
        <f>$C19*F19</f>
        <v>480</v>
      </c>
      <c r="Q19" s="2">
        <f>$C19*G19</f>
        <v>540</v>
      </c>
      <c r="R19" s="2">
        <f>$C19*H19</f>
        <v>600</v>
      </c>
      <c r="S19" s="2">
        <f t="shared" si="9"/>
        <v>0</v>
      </c>
      <c r="T19" s="2">
        <f t="shared" si="1"/>
        <v>0</v>
      </c>
      <c r="U19" s="2">
        <f t="shared" si="2"/>
        <v>0</v>
      </c>
      <c r="V19" s="2">
        <f t="shared" si="10"/>
        <v>0</v>
      </c>
      <c r="W19" s="2">
        <f t="shared" si="3"/>
        <v>0</v>
      </c>
      <c r="X19" s="2">
        <f t="shared" si="11"/>
        <v>525</v>
      </c>
      <c r="Y19" s="2">
        <f t="shared" si="4"/>
        <v>435</v>
      </c>
      <c r="Z19" s="2">
        <f t="shared" si="5"/>
        <v>480</v>
      </c>
      <c r="AA19" s="2">
        <f t="shared" si="6"/>
        <v>540</v>
      </c>
      <c r="AB19" s="2">
        <f t="shared" si="7"/>
        <v>600</v>
      </c>
      <c r="AD19" s="2">
        <f>SUM(Table5[#This Row])</f>
        <v>2580</v>
      </c>
      <c r="AF19" s="3"/>
    </row>
    <row r="20" spans="1:32">
      <c r="A20" t="s">
        <v>33</v>
      </c>
      <c r="B20" t="s">
        <v>34</v>
      </c>
      <c r="C20" s="2">
        <v>17</v>
      </c>
      <c r="D20">
        <v>47</v>
      </c>
      <c r="E20">
        <v>41</v>
      </c>
      <c r="F20">
        <v>45</v>
      </c>
      <c r="G20">
        <v>51</v>
      </c>
      <c r="H20">
        <v>48</v>
      </c>
      <c r="I20">
        <f t="shared" si="8"/>
        <v>7</v>
      </c>
      <c r="J20">
        <f t="shared" si="0"/>
        <v>1</v>
      </c>
      <c r="K20">
        <f t="shared" si="0"/>
        <v>5</v>
      </c>
      <c r="L20">
        <f t="shared" si="0"/>
        <v>11</v>
      </c>
      <c r="M20">
        <f t="shared" si="0"/>
        <v>8</v>
      </c>
      <c r="N20" s="2">
        <f>$C20*D20</f>
        <v>799</v>
      </c>
      <c r="O20" s="2">
        <f>$C20*E20</f>
        <v>697</v>
      </c>
      <c r="P20" s="2">
        <f>$C20*F20</f>
        <v>765</v>
      </c>
      <c r="Q20" s="2">
        <f>$C20*G20</f>
        <v>867</v>
      </c>
      <c r="R20" s="2">
        <f>$C20*H20</f>
        <v>816</v>
      </c>
      <c r="S20" s="2">
        <f t="shared" si="9"/>
        <v>164.5</v>
      </c>
      <c r="T20" s="2">
        <f t="shared" si="1"/>
        <v>23.5</v>
      </c>
      <c r="U20" s="2">
        <f t="shared" si="2"/>
        <v>117.5</v>
      </c>
      <c r="V20" s="2">
        <f t="shared" si="10"/>
        <v>258.5</v>
      </c>
      <c r="W20" s="2">
        <f t="shared" si="3"/>
        <v>188</v>
      </c>
      <c r="X20" s="2">
        <f t="shared" si="11"/>
        <v>963.5</v>
      </c>
      <c r="Y20" s="2">
        <f t="shared" si="4"/>
        <v>720.5</v>
      </c>
      <c r="Z20" s="2">
        <f t="shared" si="5"/>
        <v>882.5</v>
      </c>
      <c r="AA20" s="2">
        <f t="shared" si="6"/>
        <v>1125.5</v>
      </c>
      <c r="AB20" s="2">
        <f t="shared" si="7"/>
        <v>1004</v>
      </c>
      <c r="AD20" s="2">
        <f>SUM(Table5[#This Row])</f>
        <v>4696</v>
      </c>
      <c r="AF20" s="3"/>
    </row>
    <row r="21" spans="1:32">
      <c r="A21" t="s">
        <v>35</v>
      </c>
      <c r="B21" t="s">
        <v>36</v>
      </c>
      <c r="C21" s="2">
        <v>19</v>
      </c>
      <c r="D21">
        <v>43</v>
      </c>
      <c r="E21">
        <v>37</v>
      </c>
      <c r="F21">
        <v>40</v>
      </c>
      <c r="G21">
        <v>44</v>
      </c>
      <c r="H21">
        <v>48</v>
      </c>
      <c r="I21">
        <f t="shared" si="8"/>
        <v>3</v>
      </c>
      <c r="J21">
        <f t="shared" si="0"/>
        <v>0</v>
      </c>
      <c r="K21">
        <f t="shared" si="0"/>
        <v>0</v>
      </c>
      <c r="L21">
        <f t="shared" si="0"/>
        <v>4</v>
      </c>
      <c r="M21">
        <f t="shared" si="0"/>
        <v>8</v>
      </c>
      <c r="N21" s="2">
        <f>$C21*D21</f>
        <v>817</v>
      </c>
      <c r="O21" s="2">
        <f>$C21*E21</f>
        <v>703</v>
      </c>
      <c r="P21" s="2">
        <f>$C21*F21</f>
        <v>760</v>
      </c>
      <c r="Q21" s="2">
        <f>$C21*G21</f>
        <v>836</v>
      </c>
      <c r="R21" s="2">
        <f>$C21*H21</f>
        <v>912</v>
      </c>
      <c r="S21" s="2">
        <f t="shared" si="9"/>
        <v>64.5</v>
      </c>
      <c r="T21" s="2">
        <f t="shared" si="1"/>
        <v>0</v>
      </c>
      <c r="U21" s="2">
        <f t="shared" si="2"/>
        <v>0</v>
      </c>
      <c r="V21" s="2">
        <f t="shared" si="10"/>
        <v>86</v>
      </c>
      <c r="W21" s="2">
        <f t="shared" si="3"/>
        <v>172</v>
      </c>
      <c r="X21" s="2">
        <f t="shared" si="11"/>
        <v>881.5</v>
      </c>
      <c r="Y21" s="2">
        <f t="shared" si="4"/>
        <v>703</v>
      </c>
      <c r="Z21" s="2">
        <f t="shared" si="5"/>
        <v>760</v>
      </c>
      <c r="AA21" s="2">
        <f t="shared" si="6"/>
        <v>922</v>
      </c>
      <c r="AB21" s="2">
        <f t="shared" si="7"/>
        <v>1084</v>
      </c>
      <c r="AD21" s="2">
        <f>SUM(Table5[#This Row])</f>
        <v>4350.5</v>
      </c>
      <c r="AF21" s="3"/>
    </row>
    <row r="22" spans="1:32">
      <c r="A22" t="s">
        <v>37</v>
      </c>
      <c r="B22" t="s">
        <v>38</v>
      </c>
      <c r="C22" s="2">
        <v>22</v>
      </c>
      <c r="D22">
        <v>55</v>
      </c>
      <c r="E22">
        <v>49</v>
      </c>
      <c r="F22">
        <v>53</v>
      </c>
      <c r="G22">
        <v>59</v>
      </c>
      <c r="H22">
        <v>56</v>
      </c>
      <c r="I22">
        <f t="shared" si="8"/>
        <v>15</v>
      </c>
      <c r="J22">
        <f t="shared" ref="J22:M25" si="12">IF(E22&gt;40, E22-40, 0)</f>
        <v>9</v>
      </c>
      <c r="K22">
        <f t="shared" si="12"/>
        <v>13</v>
      </c>
      <c r="L22">
        <f t="shared" si="12"/>
        <v>19</v>
      </c>
      <c r="M22">
        <f t="shared" si="12"/>
        <v>16</v>
      </c>
      <c r="N22" s="2">
        <f>$C22*D22</f>
        <v>1210</v>
      </c>
      <c r="O22" s="2">
        <f>$C22*E22</f>
        <v>1078</v>
      </c>
      <c r="P22" s="2">
        <f>$C22*F22</f>
        <v>1166</v>
      </c>
      <c r="Q22" s="2">
        <f>$C22*G22</f>
        <v>1298</v>
      </c>
      <c r="R22" s="2">
        <f>$C22*H22</f>
        <v>1232</v>
      </c>
      <c r="S22" s="2">
        <f t="shared" si="9"/>
        <v>412.5</v>
      </c>
      <c r="T22" s="2">
        <f t="shared" si="1"/>
        <v>247.5</v>
      </c>
      <c r="U22" s="2">
        <f t="shared" si="2"/>
        <v>357.5</v>
      </c>
      <c r="V22" s="2">
        <f t="shared" si="10"/>
        <v>522.5</v>
      </c>
      <c r="W22" s="2">
        <f t="shared" si="3"/>
        <v>440</v>
      </c>
      <c r="X22" s="2">
        <f t="shared" si="11"/>
        <v>1622.5</v>
      </c>
      <c r="Y22" s="2">
        <f t="shared" si="4"/>
        <v>1325.5</v>
      </c>
      <c r="Z22" s="2">
        <f t="shared" si="5"/>
        <v>1523.5</v>
      </c>
      <c r="AA22" s="2">
        <f t="shared" si="6"/>
        <v>1820.5</v>
      </c>
      <c r="AB22" s="2">
        <f t="shared" si="7"/>
        <v>1672</v>
      </c>
      <c r="AD22" s="2">
        <f>SUM(Table5[#This Row])</f>
        <v>7964</v>
      </c>
      <c r="AF22" s="3"/>
    </row>
    <row r="23" spans="1:32">
      <c r="A23" t="s">
        <v>39</v>
      </c>
      <c r="B23" t="s">
        <v>40</v>
      </c>
      <c r="C23" s="2">
        <v>16</v>
      </c>
      <c r="D23">
        <v>48</v>
      </c>
      <c r="E23">
        <v>42</v>
      </c>
      <c r="F23">
        <v>46</v>
      </c>
      <c r="G23">
        <v>52</v>
      </c>
      <c r="H23">
        <v>49</v>
      </c>
      <c r="I23">
        <f t="shared" si="8"/>
        <v>8</v>
      </c>
      <c r="J23">
        <f t="shared" si="12"/>
        <v>2</v>
      </c>
      <c r="K23">
        <f t="shared" si="12"/>
        <v>6</v>
      </c>
      <c r="L23">
        <f t="shared" si="12"/>
        <v>12</v>
      </c>
      <c r="M23">
        <f t="shared" si="12"/>
        <v>9</v>
      </c>
      <c r="N23" s="2">
        <f>$C23*D23</f>
        <v>768</v>
      </c>
      <c r="O23" s="2">
        <f>$C23*E23</f>
        <v>672</v>
      </c>
      <c r="P23" s="2">
        <f>$C23*F23</f>
        <v>736</v>
      </c>
      <c r="Q23" s="2">
        <f>$C23*G23</f>
        <v>832</v>
      </c>
      <c r="R23" s="2">
        <f>$C23*H23</f>
        <v>784</v>
      </c>
      <c r="S23" s="2">
        <f t="shared" si="9"/>
        <v>192</v>
      </c>
      <c r="T23" s="2">
        <f t="shared" si="1"/>
        <v>48</v>
      </c>
      <c r="U23" s="2">
        <f t="shared" si="2"/>
        <v>144</v>
      </c>
      <c r="V23" s="2">
        <f t="shared" si="10"/>
        <v>288</v>
      </c>
      <c r="W23" s="2">
        <f t="shared" si="3"/>
        <v>216</v>
      </c>
      <c r="X23" s="2">
        <f t="shared" si="11"/>
        <v>960</v>
      </c>
      <c r="Y23" s="2">
        <f t="shared" si="4"/>
        <v>720</v>
      </c>
      <c r="Z23" s="2">
        <f t="shared" si="5"/>
        <v>880</v>
      </c>
      <c r="AA23" s="2">
        <f t="shared" si="6"/>
        <v>1120</v>
      </c>
      <c r="AB23" s="2">
        <f t="shared" si="7"/>
        <v>1000</v>
      </c>
      <c r="AD23" s="2">
        <f>SUM(Table5[#This Row])</f>
        <v>4680</v>
      </c>
    </row>
    <row r="24" spans="1:32">
      <c r="A24" t="s">
        <v>41</v>
      </c>
      <c r="B24" t="s">
        <v>42</v>
      </c>
      <c r="C24" s="2">
        <v>21</v>
      </c>
      <c r="D24">
        <v>52</v>
      </c>
      <c r="E24">
        <v>46</v>
      </c>
      <c r="F24">
        <v>50</v>
      </c>
      <c r="G24">
        <v>56</v>
      </c>
      <c r="H24">
        <v>53</v>
      </c>
      <c r="I24">
        <f t="shared" si="8"/>
        <v>12</v>
      </c>
      <c r="J24">
        <f t="shared" si="12"/>
        <v>6</v>
      </c>
      <c r="K24">
        <f t="shared" si="12"/>
        <v>10</v>
      </c>
      <c r="L24">
        <f t="shared" si="12"/>
        <v>16</v>
      </c>
      <c r="M24">
        <f t="shared" si="12"/>
        <v>13</v>
      </c>
      <c r="N24" s="2">
        <f>$C24*D24</f>
        <v>1092</v>
      </c>
      <c r="O24" s="2">
        <f>$C24*E24</f>
        <v>966</v>
      </c>
      <c r="P24" s="2">
        <f>$C24*F24</f>
        <v>1050</v>
      </c>
      <c r="Q24" s="2">
        <f>$C24*G24</f>
        <v>1176</v>
      </c>
      <c r="R24" s="2">
        <f>$C24*H24</f>
        <v>1113</v>
      </c>
      <c r="S24" s="2">
        <f t="shared" si="9"/>
        <v>312</v>
      </c>
      <c r="T24" s="2">
        <f t="shared" si="1"/>
        <v>156</v>
      </c>
      <c r="U24" s="2">
        <f t="shared" si="2"/>
        <v>260</v>
      </c>
      <c r="V24" s="2">
        <f t="shared" si="10"/>
        <v>416</v>
      </c>
      <c r="W24" s="2">
        <f t="shared" si="3"/>
        <v>338</v>
      </c>
      <c r="X24" s="2">
        <f t="shared" si="11"/>
        <v>1404</v>
      </c>
      <c r="Y24" s="2">
        <f t="shared" si="4"/>
        <v>1122</v>
      </c>
      <c r="Z24" s="2">
        <f t="shared" si="5"/>
        <v>1310</v>
      </c>
      <c r="AA24" s="2">
        <f t="shared" si="6"/>
        <v>1592</v>
      </c>
      <c r="AB24" s="2">
        <f t="shared" si="7"/>
        <v>1451</v>
      </c>
      <c r="AD24" s="2">
        <f>SUM(Table5[#This Row])</f>
        <v>6879</v>
      </c>
    </row>
    <row r="25" spans="1:32">
      <c r="A25" t="s">
        <v>43</v>
      </c>
      <c r="B25" t="s">
        <v>44</v>
      </c>
      <c r="C25" s="2">
        <v>14</v>
      </c>
      <c r="D25">
        <v>40</v>
      </c>
      <c r="E25">
        <v>29</v>
      </c>
      <c r="F25">
        <v>42</v>
      </c>
      <c r="G25">
        <v>36</v>
      </c>
      <c r="H25">
        <v>45</v>
      </c>
      <c r="I25">
        <f t="shared" si="8"/>
        <v>0</v>
      </c>
      <c r="J25">
        <f t="shared" si="12"/>
        <v>0</v>
      </c>
      <c r="K25">
        <f t="shared" si="12"/>
        <v>2</v>
      </c>
      <c r="L25">
        <f t="shared" si="12"/>
        <v>0</v>
      </c>
      <c r="M25">
        <f t="shared" si="12"/>
        <v>5</v>
      </c>
      <c r="N25" s="2">
        <f>$C25*D25</f>
        <v>560</v>
      </c>
      <c r="O25" s="2">
        <f>$C25*E25</f>
        <v>406</v>
      </c>
      <c r="P25" s="2">
        <f>$C25*F25</f>
        <v>588</v>
      </c>
      <c r="Q25" s="2">
        <f>$C25*G25</f>
        <v>504</v>
      </c>
      <c r="R25" s="2">
        <f>$C25*H25</f>
        <v>630</v>
      </c>
      <c r="S25" s="2">
        <f t="shared" si="9"/>
        <v>0</v>
      </c>
      <c r="T25" s="2">
        <f t="shared" si="1"/>
        <v>0</v>
      </c>
      <c r="U25" s="2">
        <f t="shared" si="2"/>
        <v>40</v>
      </c>
      <c r="V25" s="2">
        <f t="shared" si="10"/>
        <v>0</v>
      </c>
      <c r="W25" s="2">
        <f t="shared" si="3"/>
        <v>100</v>
      </c>
      <c r="X25" s="2">
        <f t="shared" si="11"/>
        <v>560</v>
      </c>
      <c r="Y25" s="2">
        <f t="shared" si="4"/>
        <v>406</v>
      </c>
      <c r="Z25" s="2">
        <f t="shared" si="5"/>
        <v>628</v>
      </c>
      <c r="AA25" s="2">
        <f t="shared" si="6"/>
        <v>504</v>
      </c>
      <c r="AB25" s="2">
        <f t="shared" si="7"/>
        <v>730</v>
      </c>
      <c r="AD25" s="2">
        <f>SUM(Table5[#This Row])</f>
        <v>2828</v>
      </c>
    </row>
    <row r="27" spans="1:32">
      <c r="A27" s="13" t="s">
        <v>45</v>
      </c>
      <c r="C27" s="3">
        <f>MAX(C6:C25)</f>
        <v>23</v>
      </c>
      <c r="D27">
        <f>MAX(D6:D25)</f>
        <v>55</v>
      </c>
      <c r="E27">
        <f t="shared" ref="E27:Z27" si="13">MAX(E6:E25)</f>
        <v>49</v>
      </c>
      <c r="F27">
        <f t="shared" si="13"/>
        <v>53</v>
      </c>
      <c r="G27">
        <f t="shared" si="13"/>
        <v>59</v>
      </c>
      <c r="H27">
        <f t="shared" si="13"/>
        <v>56</v>
      </c>
      <c r="I27">
        <f t="shared" si="13"/>
        <v>15</v>
      </c>
      <c r="J27">
        <f t="shared" si="13"/>
        <v>9</v>
      </c>
      <c r="K27">
        <f t="shared" si="13"/>
        <v>13</v>
      </c>
      <c r="L27">
        <f t="shared" si="13"/>
        <v>19</v>
      </c>
      <c r="M27">
        <f t="shared" si="13"/>
        <v>16</v>
      </c>
      <c r="N27" s="2">
        <f>MAX(N6:N25)</f>
        <v>1210</v>
      </c>
      <c r="O27" s="2">
        <f t="shared" si="13"/>
        <v>1078</v>
      </c>
      <c r="P27" s="2">
        <f t="shared" si="13"/>
        <v>1166</v>
      </c>
      <c r="Q27" s="2">
        <f t="shared" si="13"/>
        <v>1298</v>
      </c>
      <c r="R27" s="2">
        <f t="shared" si="13"/>
        <v>1232</v>
      </c>
      <c r="S27" s="2">
        <f t="shared" si="13"/>
        <v>412.5</v>
      </c>
      <c r="T27" s="2">
        <f t="shared" si="13"/>
        <v>247.5</v>
      </c>
      <c r="U27" s="2">
        <f t="shared" si="13"/>
        <v>357.5</v>
      </c>
      <c r="V27" s="2">
        <f t="shared" si="13"/>
        <v>522.5</v>
      </c>
      <c r="W27" s="2">
        <f t="shared" si="13"/>
        <v>440</v>
      </c>
      <c r="X27" s="2">
        <f t="shared" si="13"/>
        <v>1622.5</v>
      </c>
      <c r="Y27" s="2">
        <f t="shared" si="13"/>
        <v>1325.5</v>
      </c>
      <c r="Z27" s="2">
        <f t="shared" si="13"/>
        <v>1523.5</v>
      </c>
      <c r="AA27" s="2">
        <f>MAX(AA6:AA25)</f>
        <v>1820.5</v>
      </c>
      <c r="AB27" s="2">
        <f t="shared" ref="AB27:AD27" si="14">MAX(AB6:AB25)</f>
        <v>1672</v>
      </c>
      <c r="AD27" s="2">
        <f t="shared" si="14"/>
        <v>7964</v>
      </c>
    </row>
    <row r="28" spans="1:32">
      <c r="A28" s="13" t="s">
        <v>46</v>
      </c>
      <c r="C28" s="3">
        <f>MIN(C6:C25)</f>
        <v>14</v>
      </c>
      <c r="D28">
        <f>MIN(D7:D26)</f>
        <v>35</v>
      </c>
      <c r="E28">
        <f t="shared" ref="E28:Z28" si="15">MIN(E7:E26)</f>
        <v>29</v>
      </c>
      <c r="F28">
        <f t="shared" si="15"/>
        <v>32</v>
      </c>
      <c r="G28">
        <f t="shared" si="15"/>
        <v>36</v>
      </c>
      <c r="H28">
        <f t="shared" si="15"/>
        <v>40</v>
      </c>
      <c r="I28">
        <f t="shared" si="15"/>
        <v>0</v>
      </c>
      <c r="J28">
        <f t="shared" si="15"/>
        <v>0</v>
      </c>
      <c r="K28">
        <f t="shared" si="15"/>
        <v>0</v>
      </c>
      <c r="L28">
        <f t="shared" si="15"/>
        <v>0</v>
      </c>
      <c r="M28">
        <f t="shared" si="15"/>
        <v>0</v>
      </c>
      <c r="N28" s="2">
        <f t="shared" si="15"/>
        <v>525</v>
      </c>
      <c r="O28" s="2">
        <f t="shared" si="15"/>
        <v>406</v>
      </c>
      <c r="P28" s="2">
        <f t="shared" si="15"/>
        <v>480</v>
      </c>
      <c r="Q28" s="2">
        <f t="shared" si="15"/>
        <v>504</v>
      </c>
      <c r="R28" s="2">
        <f t="shared" si="15"/>
        <v>600</v>
      </c>
      <c r="S28" s="2">
        <f t="shared" si="15"/>
        <v>0</v>
      </c>
      <c r="T28" s="2">
        <f t="shared" si="15"/>
        <v>0</v>
      </c>
      <c r="U28" s="2">
        <f t="shared" si="15"/>
        <v>0</v>
      </c>
      <c r="V28" s="2">
        <f t="shared" si="15"/>
        <v>0</v>
      </c>
      <c r="W28" s="2">
        <f t="shared" si="15"/>
        <v>0</v>
      </c>
      <c r="X28" s="2">
        <f t="shared" si="15"/>
        <v>525</v>
      </c>
      <c r="Y28" s="2">
        <f t="shared" si="15"/>
        <v>406</v>
      </c>
      <c r="Z28" s="2">
        <f t="shared" si="15"/>
        <v>480</v>
      </c>
      <c r="AA28" s="2">
        <f>MIN(AA7:AA26)</f>
        <v>504</v>
      </c>
      <c r="AB28" s="2">
        <f t="shared" ref="AB28:AD28" si="16">MIN(AB7:AB26)</f>
        <v>600</v>
      </c>
      <c r="AD28" s="2">
        <f t="shared" si="16"/>
        <v>2580</v>
      </c>
    </row>
    <row r="29" spans="1:32">
      <c r="A29" s="13" t="s">
        <v>47</v>
      </c>
      <c r="C29" s="3">
        <f>AVERAGE(C6:C25)</f>
        <v>18.149999999999999</v>
      </c>
      <c r="D29" s="54">
        <f>AVERAGE(D8:D27)</f>
        <v>45.578947368421055</v>
      </c>
      <c r="E29" s="54">
        <f t="shared" ref="E29:Z29" si="17">AVERAGE(E8:E27)</f>
        <v>39.315789473684212</v>
      </c>
      <c r="F29" s="54">
        <f t="shared" si="17"/>
        <v>43.315789473684212</v>
      </c>
      <c r="G29" s="54">
        <f t="shared" si="17"/>
        <v>47.736842105263158</v>
      </c>
      <c r="H29" s="54">
        <f t="shared" si="17"/>
        <v>48.684210526315788</v>
      </c>
      <c r="I29" s="54">
        <f t="shared" si="17"/>
        <v>6.0526315789473681</v>
      </c>
      <c r="J29" s="54">
        <f t="shared" si="17"/>
        <v>2.4210526315789473</v>
      </c>
      <c r="K29" s="54">
        <f t="shared" si="17"/>
        <v>4.4736842105263159</v>
      </c>
      <c r="L29" s="54">
        <f t="shared" si="17"/>
        <v>8.2631578947368425</v>
      </c>
      <c r="M29" s="54">
        <f t="shared" si="17"/>
        <v>8.6842105263157894</v>
      </c>
      <c r="N29" s="2">
        <f t="shared" si="17"/>
        <v>850.0526315789474</v>
      </c>
      <c r="O29" s="2">
        <f t="shared" si="17"/>
        <v>735.84210526315792</v>
      </c>
      <c r="P29" s="2">
        <f t="shared" si="17"/>
        <v>807.84210526315792</v>
      </c>
      <c r="Q29" s="2">
        <f t="shared" si="17"/>
        <v>892.89473684210532</v>
      </c>
      <c r="R29" s="2">
        <f t="shared" si="17"/>
        <v>904.68421052631584</v>
      </c>
      <c r="S29" s="2">
        <f t="shared" si="17"/>
        <v>153.92105263157896</v>
      </c>
      <c r="T29" s="2">
        <f t="shared" si="17"/>
        <v>64.368421052631575</v>
      </c>
      <c r="U29" s="2">
        <f t="shared" si="17"/>
        <v>116.05263157894737</v>
      </c>
      <c r="V29" s="2">
        <f t="shared" si="17"/>
        <v>209.05263157894737</v>
      </c>
      <c r="W29" s="2">
        <f t="shared" si="17"/>
        <v>210.84210526315789</v>
      </c>
      <c r="X29" s="2">
        <f t="shared" si="17"/>
        <v>1003.9736842105264</v>
      </c>
      <c r="Y29" s="2">
        <f t="shared" si="17"/>
        <v>800.21052631578948</v>
      </c>
      <c r="Z29" s="2">
        <f t="shared" si="17"/>
        <v>923.89473684210532</v>
      </c>
      <c r="AA29" s="2">
        <f>AVERAGE(AA8:AA27)</f>
        <v>1101.9473684210527</v>
      </c>
      <c r="AB29" s="2">
        <f t="shared" ref="AB29:AD29" si="18">AVERAGE(AB8:AB27)</f>
        <v>1115.5263157894738</v>
      </c>
      <c r="AC29" s="54"/>
      <c r="AD29" s="2">
        <f t="shared" si="18"/>
        <v>4945.5526315789475</v>
      </c>
    </row>
    <row r="30" spans="1:32">
      <c r="A30" s="13" t="s">
        <v>48</v>
      </c>
      <c r="C30" t="s">
        <v>49</v>
      </c>
      <c r="D30">
        <f>SUM(D6:D25)</f>
        <v>902</v>
      </c>
      <c r="E30">
        <f>SUM(E6:E25)</f>
        <v>778</v>
      </c>
      <c r="F30">
        <f t="shared" ref="E30:AD30" si="19">SUM(F6:F25)</f>
        <v>857</v>
      </c>
      <c r="G30">
        <f t="shared" si="19"/>
        <v>945</v>
      </c>
      <c r="H30">
        <f t="shared" si="19"/>
        <v>966</v>
      </c>
      <c r="I30">
        <f t="shared" si="19"/>
        <v>111</v>
      </c>
      <c r="J30">
        <f t="shared" si="19"/>
        <v>42</v>
      </c>
      <c r="K30">
        <f t="shared" si="19"/>
        <v>81</v>
      </c>
      <c r="L30">
        <f t="shared" si="19"/>
        <v>155</v>
      </c>
      <c r="M30">
        <f t="shared" si="19"/>
        <v>166</v>
      </c>
      <c r="N30" s="2">
        <f t="shared" si="19"/>
        <v>16556</v>
      </c>
      <c r="O30" s="2">
        <f t="shared" si="19"/>
        <v>14328</v>
      </c>
      <c r="P30" s="2">
        <f t="shared" si="19"/>
        <v>15733</v>
      </c>
      <c r="Q30" s="2">
        <f t="shared" si="19"/>
        <v>17397</v>
      </c>
      <c r="R30" s="2">
        <f t="shared" si="19"/>
        <v>17667</v>
      </c>
      <c r="S30" s="2">
        <f t="shared" si="19"/>
        <v>2782.5</v>
      </c>
      <c r="T30" s="2">
        <f t="shared" si="19"/>
        <v>1100.5</v>
      </c>
      <c r="U30" s="2">
        <f t="shared" si="19"/>
        <v>2072.5</v>
      </c>
      <c r="V30" s="2">
        <f t="shared" si="19"/>
        <v>3865.5</v>
      </c>
      <c r="W30" s="2">
        <f t="shared" si="19"/>
        <v>3964</v>
      </c>
      <c r="X30" s="2">
        <f t="shared" si="19"/>
        <v>19338.5</v>
      </c>
      <c r="Y30" s="2">
        <f t="shared" si="19"/>
        <v>15428.5</v>
      </c>
      <c r="Z30" s="2">
        <f t="shared" si="19"/>
        <v>17805.5</v>
      </c>
      <c r="AA30" s="2">
        <f t="shared" si="19"/>
        <v>21262.5</v>
      </c>
      <c r="AB30" s="2">
        <f>SUM(AB6:AB25)</f>
        <v>21631</v>
      </c>
      <c r="AD30" s="2">
        <f>SUM(AD6:AD25)</f>
        <v>95466</v>
      </c>
    </row>
  </sheetData>
  <mergeCells count="2">
    <mergeCell ref="A1:D1"/>
    <mergeCell ref="A2:D2"/>
  </mergeCells>
  <pageMargins left="0.7" right="0.7" top="0.75" bottom="0.75" header="0.3" footer="0.3"/>
  <pageSetup paperSize="9" scale="46" orientation="landscape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79F4-7245-4BAA-9D3C-D9D1A01E7D4A}">
  <sheetPr>
    <pageSetUpPr fitToPage="1"/>
  </sheetPr>
  <dimension ref="A1:M28"/>
  <sheetViews>
    <sheetView zoomScaleNormal="100" workbookViewId="0">
      <selection activeCell="M5" sqref="M5"/>
    </sheetView>
  </sheetViews>
  <sheetFormatPr defaultRowHeight="15"/>
  <cols>
    <col min="1" max="1" width="11.5703125" bestFit="1" customWidth="1"/>
    <col min="2" max="2" width="16" bestFit="1" customWidth="1"/>
    <col min="3" max="5" width="5.42578125" bestFit="1" customWidth="1"/>
    <col min="6" max="6" width="4.42578125" bestFit="1" customWidth="1"/>
    <col min="8" max="9" width="5.85546875" bestFit="1" customWidth="1"/>
    <col min="10" max="10" width="4.85546875" bestFit="1" customWidth="1"/>
    <col min="11" max="11" width="5.85546875" bestFit="1" customWidth="1"/>
    <col min="13" max="13" width="6.42578125" bestFit="1" customWidth="1"/>
  </cols>
  <sheetData>
    <row r="1" spans="1:13" ht="127.5">
      <c r="A1" s="13" t="s">
        <v>59</v>
      </c>
      <c r="B1" s="13"/>
      <c r="C1" s="58" t="s">
        <v>60</v>
      </c>
      <c r="D1" s="58" t="s">
        <v>61</v>
      </c>
      <c r="E1" s="58" t="s">
        <v>62</v>
      </c>
      <c r="F1" s="58" t="s">
        <v>63</v>
      </c>
      <c r="G1" s="13"/>
      <c r="H1" s="58" t="s">
        <v>60</v>
      </c>
      <c r="I1" s="58" t="s">
        <v>61</v>
      </c>
      <c r="J1" s="58" t="s">
        <v>62</v>
      </c>
      <c r="K1" s="58" t="s">
        <v>63</v>
      </c>
      <c r="L1" s="13"/>
      <c r="M1" s="58" t="s">
        <v>65</v>
      </c>
    </row>
    <row r="2" spans="1:13">
      <c r="B2" s="59" t="s">
        <v>64</v>
      </c>
      <c r="C2" s="59">
        <v>10</v>
      </c>
      <c r="D2" s="59">
        <v>20</v>
      </c>
      <c r="E2" s="59">
        <v>100</v>
      </c>
      <c r="F2" s="59">
        <v>1</v>
      </c>
    </row>
    <row r="3" spans="1:13">
      <c r="A3" t="s">
        <v>0</v>
      </c>
      <c r="B3" t="s">
        <v>1</v>
      </c>
    </row>
    <row r="4" spans="1:13">
      <c r="A4" t="s">
        <v>5</v>
      </c>
      <c r="B4" t="s">
        <v>6</v>
      </c>
      <c r="C4">
        <v>7</v>
      </c>
      <c r="D4">
        <v>17</v>
      </c>
      <c r="E4">
        <v>60</v>
      </c>
      <c r="F4">
        <v>1</v>
      </c>
      <c r="H4" s="4">
        <f>C4/C$2</f>
        <v>0.7</v>
      </c>
      <c r="I4" s="4">
        <f>D4/D$2</f>
        <v>0.85</v>
      </c>
      <c r="J4" s="4">
        <f t="shared" ref="I4:K19" si="0">E4/E$2</f>
        <v>0.6</v>
      </c>
      <c r="K4" s="4">
        <f t="shared" si="0"/>
        <v>1</v>
      </c>
      <c r="M4" s="4" t="b">
        <f>OR(H4&lt;0.5,I4&lt;0.5,J4&lt;0.5,K4&lt;0.5)</f>
        <v>0</v>
      </c>
    </row>
    <row r="5" spans="1:13">
      <c r="A5" t="s">
        <v>7</v>
      </c>
      <c r="B5" t="s">
        <v>8</v>
      </c>
      <c r="C5">
        <v>9</v>
      </c>
      <c r="D5">
        <v>6</v>
      </c>
      <c r="E5">
        <v>61</v>
      </c>
      <c r="F5">
        <v>1</v>
      </c>
      <c r="H5" s="4">
        <f t="shared" ref="H5:H23" si="1">C5/C$2</f>
        <v>0.9</v>
      </c>
      <c r="I5" s="4">
        <f t="shared" si="0"/>
        <v>0.3</v>
      </c>
      <c r="J5" s="4">
        <f t="shared" si="0"/>
        <v>0.61</v>
      </c>
      <c r="K5" s="4">
        <f t="shared" si="0"/>
        <v>1</v>
      </c>
      <c r="M5" s="4" t="b">
        <f t="shared" ref="M5:M23" si="2">OR(H5&lt;0.5,I5&lt;0.5,J5&lt;0.5,K5&lt;0.5)</f>
        <v>1</v>
      </c>
    </row>
    <row r="6" spans="1:13">
      <c r="A6" t="s">
        <v>9</v>
      </c>
      <c r="B6" t="s">
        <v>10</v>
      </c>
      <c r="C6">
        <v>10</v>
      </c>
      <c r="D6">
        <v>17</v>
      </c>
      <c r="E6">
        <v>71</v>
      </c>
      <c r="F6">
        <v>1</v>
      </c>
      <c r="H6" s="4">
        <f t="shared" si="1"/>
        <v>1</v>
      </c>
      <c r="I6" s="4">
        <f t="shared" si="0"/>
        <v>0.85</v>
      </c>
      <c r="J6" s="4">
        <f t="shared" si="0"/>
        <v>0.71</v>
      </c>
      <c r="K6" s="4">
        <f t="shared" si="0"/>
        <v>1</v>
      </c>
      <c r="M6" s="4" t="b">
        <f t="shared" si="2"/>
        <v>0</v>
      </c>
    </row>
    <row r="7" spans="1:13">
      <c r="A7" t="s">
        <v>11</v>
      </c>
      <c r="B7" t="s">
        <v>12</v>
      </c>
      <c r="C7">
        <v>8</v>
      </c>
      <c r="D7">
        <v>12</v>
      </c>
      <c r="E7">
        <v>72</v>
      </c>
      <c r="F7">
        <v>1</v>
      </c>
      <c r="H7" s="4">
        <f t="shared" si="1"/>
        <v>0.8</v>
      </c>
      <c r="I7" s="4">
        <f t="shared" si="0"/>
        <v>0.6</v>
      </c>
      <c r="J7" s="4">
        <f t="shared" si="0"/>
        <v>0.72</v>
      </c>
      <c r="K7" s="4">
        <f t="shared" si="0"/>
        <v>1</v>
      </c>
      <c r="M7" s="4" t="b">
        <f t="shared" si="2"/>
        <v>0</v>
      </c>
    </row>
    <row r="8" spans="1:13">
      <c r="A8" t="s">
        <v>13</v>
      </c>
      <c r="B8" t="s">
        <v>14</v>
      </c>
      <c r="C8">
        <v>6</v>
      </c>
      <c r="D8">
        <v>9</v>
      </c>
      <c r="E8">
        <v>73</v>
      </c>
      <c r="F8">
        <v>1</v>
      </c>
      <c r="H8" s="4">
        <f t="shared" si="1"/>
        <v>0.6</v>
      </c>
      <c r="I8" s="4">
        <f t="shared" si="0"/>
        <v>0.45</v>
      </c>
      <c r="J8" s="4">
        <f t="shared" si="0"/>
        <v>0.73</v>
      </c>
      <c r="K8" s="4">
        <f t="shared" si="0"/>
        <v>1</v>
      </c>
      <c r="M8" s="4" t="b">
        <f t="shared" si="2"/>
        <v>1</v>
      </c>
    </row>
    <row r="9" spans="1:13">
      <c r="A9" t="s">
        <v>15</v>
      </c>
      <c r="B9" t="s">
        <v>16</v>
      </c>
      <c r="C9">
        <v>10</v>
      </c>
      <c r="D9">
        <v>10</v>
      </c>
      <c r="E9">
        <v>65</v>
      </c>
      <c r="F9">
        <v>1</v>
      </c>
      <c r="H9" s="4">
        <f t="shared" si="1"/>
        <v>1</v>
      </c>
      <c r="I9" s="4">
        <f t="shared" si="0"/>
        <v>0.5</v>
      </c>
      <c r="J9" s="4">
        <f t="shared" si="0"/>
        <v>0.65</v>
      </c>
      <c r="K9" s="4">
        <f t="shared" si="0"/>
        <v>1</v>
      </c>
      <c r="M9" s="4" t="b">
        <f t="shared" si="2"/>
        <v>0</v>
      </c>
    </row>
    <row r="10" spans="1:13">
      <c r="A10" t="s">
        <v>17</v>
      </c>
      <c r="B10" t="s">
        <v>18</v>
      </c>
      <c r="C10">
        <v>6</v>
      </c>
      <c r="D10">
        <v>11</v>
      </c>
      <c r="E10">
        <v>66</v>
      </c>
      <c r="F10">
        <v>1</v>
      </c>
      <c r="H10" s="4">
        <f t="shared" si="1"/>
        <v>0.6</v>
      </c>
      <c r="I10" s="4">
        <f t="shared" si="0"/>
        <v>0.55000000000000004</v>
      </c>
      <c r="J10" s="4">
        <f t="shared" si="0"/>
        <v>0.66</v>
      </c>
      <c r="K10" s="4">
        <f t="shared" si="0"/>
        <v>1</v>
      </c>
      <c r="M10" s="4" t="b">
        <f t="shared" si="2"/>
        <v>0</v>
      </c>
    </row>
    <row r="11" spans="1:13">
      <c r="A11" t="s">
        <v>19</v>
      </c>
      <c r="B11" t="s">
        <v>20</v>
      </c>
      <c r="C11">
        <v>9</v>
      </c>
      <c r="D11">
        <v>12</v>
      </c>
      <c r="E11">
        <v>76</v>
      </c>
      <c r="F11">
        <v>1</v>
      </c>
      <c r="H11" s="4">
        <f t="shared" si="1"/>
        <v>0.9</v>
      </c>
      <c r="I11" s="4">
        <f t="shared" si="0"/>
        <v>0.6</v>
      </c>
      <c r="J11" s="4">
        <f t="shared" si="0"/>
        <v>0.76</v>
      </c>
      <c r="K11" s="4">
        <f t="shared" si="0"/>
        <v>1</v>
      </c>
      <c r="M11" s="4" t="b">
        <f t="shared" si="2"/>
        <v>0</v>
      </c>
    </row>
    <row r="12" spans="1:13">
      <c r="A12" t="s">
        <v>21</v>
      </c>
      <c r="B12" t="s">
        <v>22</v>
      </c>
      <c r="C12">
        <v>8</v>
      </c>
      <c r="D12">
        <v>13</v>
      </c>
      <c r="E12">
        <v>77</v>
      </c>
      <c r="F12">
        <v>1</v>
      </c>
      <c r="H12" s="4">
        <f t="shared" si="1"/>
        <v>0.8</v>
      </c>
      <c r="I12" s="4">
        <f t="shared" si="0"/>
        <v>0.65</v>
      </c>
      <c r="J12" s="4">
        <f t="shared" si="0"/>
        <v>0.77</v>
      </c>
      <c r="K12" s="4">
        <f t="shared" si="0"/>
        <v>1</v>
      </c>
      <c r="M12" s="4" t="b">
        <f t="shared" si="2"/>
        <v>0</v>
      </c>
    </row>
    <row r="13" spans="1:13">
      <c r="A13" t="s">
        <v>23</v>
      </c>
      <c r="B13" t="s">
        <v>24</v>
      </c>
      <c r="C13">
        <v>8</v>
      </c>
      <c r="D13">
        <v>14</v>
      </c>
      <c r="E13">
        <v>78</v>
      </c>
      <c r="F13">
        <v>0</v>
      </c>
      <c r="H13" s="4">
        <f t="shared" si="1"/>
        <v>0.8</v>
      </c>
      <c r="I13" s="4">
        <f t="shared" si="0"/>
        <v>0.7</v>
      </c>
      <c r="J13" s="4">
        <f t="shared" si="0"/>
        <v>0.78</v>
      </c>
      <c r="K13" s="4">
        <f t="shared" si="0"/>
        <v>0</v>
      </c>
      <c r="M13" s="4" t="b">
        <f t="shared" si="2"/>
        <v>1</v>
      </c>
    </row>
    <row r="14" spans="1:13">
      <c r="A14" t="s">
        <v>25</v>
      </c>
      <c r="B14" t="s">
        <v>26</v>
      </c>
      <c r="C14">
        <v>9</v>
      </c>
      <c r="D14">
        <v>15</v>
      </c>
      <c r="E14">
        <v>70</v>
      </c>
      <c r="F14">
        <v>1</v>
      </c>
      <c r="H14" s="4">
        <f t="shared" si="1"/>
        <v>0.9</v>
      </c>
      <c r="I14" s="4">
        <f t="shared" si="0"/>
        <v>0.75</v>
      </c>
      <c r="J14" s="4">
        <f t="shared" si="0"/>
        <v>0.7</v>
      </c>
      <c r="K14" s="4">
        <f t="shared" si="0"/>
        <v>1</v>
      </c>
      <c r="M14" s="4" t="b">
        <f t="shared" si="2"/>
        <v>0</v>
      </c>
    </row>
    <row r="15" spans="1:13">
      <c r="A15" t="s">
        <v>27</v>
      </c>
      <c r="B15" t="s">
        <v>28</v>
      </c>
      <c r="C15">
        <v>10</v>
      </c>
      <c r="D15">
        <v>16</v>
      </c>
      <c r="E15">
        <v>62</v>
      </c>
      <c r="F15">
        <v>1</v>
      </c>
      <c r="H15" s="4">
        <f t="shared" si="1"/>
        <v>1</v>
      </c>
      <c r="I15" s="4">
        <f t="shared" si="0"/>
        <v>0.8</v>
      </c>
      <c r="J15" s="4">
        <f t="shared" si="0"/>
        <v>0.62</v>
      </c>
      <c r="K15" s="4">
        <f t="shared" si="0"/>
        <v>1</v>
      </c>
      <c r="M15" s="4" t="b">
        <f t="shared" si="2"/>
        <v>0</v>
      </c>
    </row>
    <row r="16" spans="1:13">
      <c r="A16" t="s">
        <v>29</v>
      </c>
      <c r="B16" t="s">
        <v>30</v>
      </c>
      <c r="C16">
        <v>5</v>
      </c>
      <c r="D16">
        <v>17</v>
      </c>
      <c r="E16">
        <v>63</v>
      </c>
      <c r="F16">
        <v>1</v>
      </c>
      <c r="H16" s="4">
        <f t="shared" si="1"/>
        <v>0.5</v>
      </c>
      <c r="I16" s="4">
        <f t="shared" si="0"/>
        <v>0.85</v>
      </c>
      <c r="J16" s="4">
        <f t="shared" si="0"/>
        <v>0.63</v>
      </c>
      <c r="K16" s="4">
        <f t="shared" si="0"/>
        <v>1</v>
      </c>
      <c r="M16" s="4" t="b">
        <f t="shared" si="2"/>
        <v>0</v>
      </c>
    </row>
    <row r="17" spans="1:13">
      <c r="A17" t="s">
        <v>31</v>
      </c>
      <c r="B17" t="s">
        <v>32</v>
      </c>
      <c r="C17">
        <v>7</v>
      </c>
      <c r="D17">
        <v>18</v>
      </c>
      <c r="E17">
        <v>64</v>
      </c>
      <c r="F17">
        <v>1</v>
      </c>
      <c r="H17" s="4">
        <f t="shared" si="1"/>
        <v>0.7</v>
      </c>
      <c r="I17" s="4">
        <f t="shared" si="0"/>
        <v>0.9</v>
      </c>
      <c r="J17" s="4">
        <f t="shared" si="0"/>
        <v>0.64</v>
      </c>
      <c r="K17" s="4">
        <f t="shared" si="0"/>
        <v>1</v>
      </c>
      <c r="M17" s="4" t="b">
        <f t="shared" si="2"/>
        <v>0</v>
      </c>
    </row>
    <row r="18" spans="1:13">
      <c r="A18" t="s">
        <v>33</v>
      </c>
      <c r="B18" t="s">
        <v>34</v>
      </c>
      <c r="C18">
        <v>10</v>
      </c>
      <c r="D18">
        <v>19</v>
      </c>
      <c r="E18">
        <v>74</v>
      </c>
      <c r="F18">
        <v>1</v>
      </c>
      <c r="H18" s="4">
        <f t="shared" si="1"/>
        <v>1</v>
      </c>
      <c r="I18" s="4">
        <f t="shared" si="0"/>
        <v>0.95</v>
      </c>
      <c r="J18" s="4">
        <f t="shared" si="0"/>
        <v>0.74</v>
      </c>
      <c r="K18" s="4">
        <f t="shared" si="0"/>
        <v>1</v>
      </c>
      <c r="M18" s="4" t="b">
        <f t="shared" si="2"/>
        <v>0</v>
      </c>
    </row>
    <row r="19" spans="1:13">
      <c r="A19" t="s">
        <v>35</v>
      </c>
      <c r="B19" t="s">
        <v>36</v>
      </c>
      <c r="C19">
        <v>8</v>
      </c>
      <c r="D19">
        <v>20</v>
      </c>
      <c r="E19">
        <v>75</v>
      </c>
      <c r="F19">
        <v>1</v>
      </c>
      <c r="H19" s="4">
        <f t="shared" si="1"/>
        <v>0.8</v>
      </c>
      <c r="I19" s="4">
        <f t="shared" si="0"/>
        <v>1</v>
      </c>
      <c r="J19" s="4">
        <f t="shared" si="0"/>
        <v>0.75</v>
      </c>
      <c r="K19" s="4">
        <f t="shared" si="0"/>
        <v>1</v>
      </c>
      <c r="M19" s="4" t="b">
        <f t="shared" si="2"/>
        <v>0</v>
      </c>
    </row>
    <row r="20" spans="1:13">
      <c r="A20" t="s">
        <v>37</v>
      </c>
      <c r="B20" t="s">
        <v>38</v>
      </c>
      <c r="C20">
        <v>9</v>
      </c>
      <c r="D20">
        <v>5</v>
      </c>
      <c r="E20">
        <v>67</v>
      </c>
      <c r="F20">
        <v>0</v>
      </c>
      <c r="H20" s="4">
        <f t="shared" si="1"/>
        <v>0.9</v>
      </c>
      <c r="I20" s="4">
        <f t="shared" ref="I20:I23" si="3">D20/D$2</f>
        <v>0.25</v>
      </c>
      <c r="J20" s="4">
        <f t="shared" ref="J20:J23" si="4">E20/E$2</f>
        <v>0.67</v>
      </c>
      <c r="K20" s="4">
        <f t="shared" ref="K20:K23" si="5">F20/F$2</f>
        <v>0</v>
      </c>
      <c r="M20" s="4" t="b">
        <f t="shared" si="2"/>
        <v>1</v>
      </c>
    </row>
    <row r="21" spans="1:13">
      <c r="A21" t="s">
        <v>39</v>
      </c>
      <c r="B21" t="s">
        <v>40</v>
      </c>
      <c r="C21">
        <v>10</v>
      </c>
      <c r="D21">
        <v>6</v>
      </c>
      <c r="E21">
        <v>68</v>
      </c>
      <c r="F21">
        <v>1</v>
      </c>
      <c r="H21" s="4">
        <f t="shared" si="1"/>
        <v>1</v>
      </c>
      <c r="I21" s="4">
        <f t="shared" si="3"/>
        <v>0.3</v>
      </c>
      <c r="J21" s="4">
        <f t="shared" si="4"/>
        <v>0.68</v>
      </c>
      <c r="K21" s="4">
        <f t="shared" si="5"/>
        <v>1</v>
      </c>
      <c r="M21" s="4" t="b">
        <f t="shared" si="2"/>
        <v>1</v>
      </c>
    </row>
    <row r="22" spans="1:13">
      <c r="A22" t="s">
        <v>41</v>
      </c>
      <c r="B22" t="s">
        <v>42</v>
      </c>
      <c r="C22">
        <v>7</v>
      </c>
      <c r="D22">
        <v>7</v>
      </c>
      <c r="E22">
        <v>69</v>
      </c>
      <c r="F22">
        <v>1</v>
      </c>
      <c r="H22" s="4">
        <f t="shared" si="1"/>
        <v>0.7</v>
      </c>
      <c r="I22" s="4">
        <f t="shared" si="3"/>
        <v>0.35</v>
      </c>
      <c r="J22" s="4">
        <f t="shared" si="4"/>
        <v>0.69</v>
      </c>
      <c r="K22" s="4">
        <f t="shared" si="5"/>
        <v>1</v>
      </c>
      <c r="M22" s="4" t="b">
        <f t="shared" si="2"/>
        <v>1</v>
      </c>
    </row>
    <row r="23" spans="1:13">
      <c r="A23" t="s">
        <v>43</v>
      </c>
      <c r="B23" t="s">
        <v>44</v>
      </c>
      <c r="C23">
        <v>8</v>
      </c>
      <c r="D23">
        <v>8</v>
      </c>
      <c r="E23">
        <v>79</v>
      </c>
      <c r="F23">
        <v>1</v>
      </c>
      <c r="H23" s="4">
        <f t="shared" si="1"/>
        <v>0.8</v>
      </c>
      <c r="I23" s="4">
        <f t="shared" si="3"/>
        <v>0.4</v>
      </c>
      <c r="J23" s="4">
        <f t="shared" si="4"/>
        <v>0.79</v>
      </c>
      <c r="K23" s="4">
        <f t="shared" si="5"/>
        <v>1</v>
      </c>
      <c r="M23" s="4" t="b">
        <f t="shared" si="2"/>
        <v>1</v>
      </c>
    </row>
    <row r="26" spans="1:13">
      <c r="A26" t="s">
        <v>45</v>
      </c>
      <c r="C26">
        <f>MAX(C4:C23)</f>
        <v>10</v>
      </c>
      <c r="D26">
        <f t="shared" ref="D26:F26" si="6">MAX(D4:D23)</f>
        <v>20</v>
      </c>
      <c r="E26">
        <f t="shared" si="6"/>
        <v>79</v>
      </c>
      <c r="F26">
        <f t="shared" si="6"/>
        <v>1</v>
      </c>
      <c r="H26" s="4">
        <f>MAX(H4:H23)</f>
        <v>1</v>
      </c>
      <c r="I26" s="4">
        <f t="shared" ref="I26:K26" si="7">MAX(I4:I23)</f>
        <v>1</v>
      </c>
      <c r="J26" s="4">
        <f t="shared" si="7"/>
        <v>0.79</v>
      </c>
      <c r="K26" s="4">
        <f t="shared" si="7"/>
        <v>1</v>
      </c>
    </row>
    <row r="27" spans="1:13">
      <c r="A27" t="s">
        <v>46</v>
      </c>
      <c r="C27">
        <f>MIN(C4:C23)</f>
        <v>5</v>
      </c>
      <c r="D27">
        <f t="shared" ref="D27:F27" si="8">MIN(D4:D23)</f>
        <v>5</v>
      </c>
      <c r="E27">
        <f t="shared" si="8"/>
        <v>60</v>
      </c>
      <c r="F27">
        <f t="shared" si="8"/>
        <v>0</v>
      </c>
      <c r="H27" s="4">
        <f>MIN(H4:H23)</f>
        <v>0.5</v>
      </c>
      <c r="I27" s="4">
        <f t="shared" ref="I27:K27" si="9">MIN(I4:I23)</f>
        <v>0.25</v>
      </c>
      <c r="J27" s="4">
        <f t="shared" si="9"/>
        <v>0.6</v>
      </c>
      <c r="K27" s="4">
        <f t="shared" si="9"/>
        <v>0</v>
      </c>
    </row>
    <row r="28" spans="1:13">
      <c r="A28" t="s">
        <v>47</v>
      </c>
      <c r="C28">
        <f>AVERAGE(C4:C23)</f>
        <v>8.1999999999999993</v>
      </c>
      <c r="D28">
        <f t="shared" ref="D28:F28" si="10">AVERAGE(D4:D23)</f>
        <v>12.6</v>
      </c>
      <c r="E28">
        <f t="shared" si="10"/>
        <v>69.5</v>
      </c>
      <c r="F28">
        <f t="shared" si="10"/>
        <v>0.9</v>
      </c>
      <c r="H28" s="4">
        <f>AVERAGE(H4:H23)</f>
        <v>0.82</v>
      </c>
      <c r="I28" s="4">
        <f t="shared" ref="I28:K28" si="11">AVERAGE(I4:I23)</f>
        <v>0.63000000000000012</v>
      </c>
      <c r="J28" s="4">
        <f t="shared" si="11"/>
        <v>0.69499999999999995</v>
      </c>
      <c r="K28" s="4">
        <f t="shared" si="11"/>
        <v>0.9</v>
      </c>
    </row>
  </sheetData>
  <conditionalFormatting sqref="C4:C23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3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3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:F23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H4:K23 M4:M23">
    <cfRule type="cellIs" dxfId="2" priority="2" operator="lessThan">
      <formula>0.5</formula>
    </cfRule>
  </conditionalFormatting>
  <conditionalFormatting sqref="M4:M23">
    <cfRule type="cellIs" dxfId="1" priority="1" operator="equal">
      <formula>TRUE</formula>
    </cfRule>
  </conditionalFormatting>
  <pageMargins left="0.7" right="0.7" top="0.75" bottom="0.75" header="0.3" footer="0.3"/>
  <pageSetup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A9C4-2107-4558-8932-5CFC3B6F14A7}">
  <dimension ref="A1:L18"/>
  <sheetViews>
    <sheetView zoomScaleNormal="100" workbookViewId="0">
      <selection activeCell="L9" sqref="L9"/>
    </sheetView>
  </sheetViews>
  <sheetFormatPr defaultRowHeight="15"/>
  <cols>
    <col min="1" max="1" width="31.42578125" bestFit="1" customWidth="1"/>
    <col min="2" max="2" width="5.42578125" customWidth="1"/>
    <col min="3" max="3" width="5.28515625" bestFit="1" customWidth="1"/>
    <col min="4" max="4" width="11.28515625" customWidth="1"/>
    <col min="5" max="5" width="3.7109375" customWidth="1"/>
    <col min="6" max="6" width="11" customWidth="1"/>
    <col min="7" max="7" width="5.28515625" bestFit="1" customWidth="1"/>
    <col min="8" max="8" width="10.28515625" customWidth="1"/>
    <col min="9" max="9" width="5.28515625" bestFit="1" customWidth="1"/>
    <col min="10" max="10" width="10.28515625" bestFit="1" customWidth="1"/>
    <col min="11" max="11" width="4.28515625" bestFit="1" customWidth="1"/>
    <col min="12" max="12" width="5.28515625" bestFit="1" customWidth="1"/>
    <col min="13" max="16384" width="9.140625"/>
  </cols>
  <sheetData>
    <row r="1" spans="1:12">
      <c r="A1" s="13" t="s">
        <v>66</v>
      </c>
      <c r="B1" s="13" t="s">
        <v>50</v>
      </c>
      <c r="C1" s="13"/>
      <c r="D1" s="13"/>
    </row>
    <row r="4" spans="1:12">
      <c r="A4" s="13" t="s">
        <v>67</v>
      </c>
      <c r="B4" t="s">
        <v>4</v>
      </c>
      <c r="C4" t="s">
        <v>82</v>
      </c>
      <c r="D4" t="s">
        <v>68</v>
      </c>
      <c r="E4" t="s">
        <v>83</v>
      </c>
      <c r="F4" t="s">
        <v>69</v>
      </c>
      <c r="G4" t="s">
        <v>84</v>
      </c>
      <c r="H4" t="s">
        <v>70</v>
      </c>
      <c r="I4" t="s">
        <v>82</v>
      </c>
      <c r="J4" t="s">
        <v>71</v>
      </c>
      <c r="K4" t="s">
        <v>85</v>
      </c>
    </row>
    <row r="5" spans="1:12">
      <c r="A5" t="s">
        <v>72</v>
      </c>
      <c r="B5">
        <v>5</v>
      </c>
      <c r="C5">
        <f>C$4*B5</f>
        <v>15</v>
      </c>
      <c r="D5">
        <v>5</v>
      </c>
      <c r="E5">
        <f>E$4*D5</f>
        <v>25</v>
      </c>
      <c r="F5">
        <v>3</v>
      </c>
      <c r="G5">
        <f>G$4*F5</f>
        <v>12</v>
      </c>
      <c r="H5">
        <v>3</v>
      </c>
      <c r="I5">
        <f>I$4*H5</f>
        <v>9</v>
      </c>
      <c r="J5">
        <v>3</v>
      </c>
      <c r="K5">
        <f>K$4*J5</f>
        <v>3</v>
      </c>
      <c r="L5">
        <f>SUM(K5,I5,G5,E5,C5)</f>
        <v>64</v>
      </c>
    </row>
    <row r="6" spans="1:12">
      <c r="A6" t="s">
        <v>73</v>
      </c>
      <c r="B6">
        <v>4</v>
      </c>
      <c r="C6">
        <f t="shared" ref="C6:E14" si="0">C$4*B6</f>
        <v>12</v>
      </c>
      <c r="D6">
        <v>4</v>
      </c>
      <c r="E6">
        <f t="shared" si="0"/>
        <v>20</v>
      </c>
      <c r="F6">
        <v>4</v>
      </c>
      <c r="G6">
        <f t="shared" ref="G6" si="1">G$4*F6</f>
        <v>16</v>
      </c>
      <c r="H6">
        <v>4</v>
      </c>
      <c r="I6">
        <f t="shared" ref="I6" si="2">I$4*H6</f>
        <v>12</v>
      </c>
      <c r="J6">
        <v>3</v>
      </c>
      <c r="K6">
        <f t="shared" ref="K6" si="3">K$4*J6</f>
        <v>3</v>
      </c>
      <c r="L6">
        <f>SUM(K6,I6,G6,E6,C6)</f>
        <v>63</v>
      </c>
    </row>
    <row r="7" spans="1:12">
      <c r="A7" t="s">
        <v>74</v>
      </c>
      <c r="B7">
        <v>4</v>
      </c>
      <c r="C7">
        <f t="shared" si="0"/>
        <v>12</v>
      </c>
      <c r="D7">
        <v>3</v>
      </c>
      <c r="E7">
        <f t="shared" si="0"/>
        <v>15</v>
      </c>
      <c r="F7">
        <v>2</v>
      </c>
      <c r="G7">
        <f t="shared" ref="G7" si="4">G$4*F7</f>
        <v>8</v>
      </c>
      <c r="H7">
        <v>2</v>
      </c>
      <c r="I7">
        <f t="shared" ref="I7" si="5">I$4*H7</f>
        <v>6</v>
      </c>
      <c r="J7">
        <v>3</v>
      </c>
      <c r="K7">
        <f t="shared" ref="K7" si="6">K$4*J7</f>
        <v>3</v>
      </c>
      <c r="L7">
        <f>SUM(K7,I7,G7,E7,C7)</f>
        <v>44</v>
      </c>
    </row>
    <row r="8" spans="1:12">
      <c r="A8" t="s">
        <v>75</v>
      </c>
      <c r="B8">
        <v>4</v>
      </c>
      <c r="C8">
        <f t="shared" si="0"/>
        <v>12</v>
      </c>
      <c r="D8">
        <v>4</v>
      </c>
      <c r="E8">
        <f t="shared" si="0"/>
        <v>20</v>
      </c>
      <c r="F8">
        <v>4</v>
      </c>
      <c r="G8">
        <f t="shared" ref="G8" si="7">G$4*F8</f>
        <v>16</v>
      </c>
      <c r="H8">
        <v>5</v>
      </c>
      <c r="I8">
        <f t="shared" ref="I8" si="8">I$4*H8</f>
        <v>15</v>
      </c>
      <c r="J8">
        <v>3</v>
      </c>
      <c r="K8">
        <f t="shared" ref="K8" si="9">K$4*J8</f>
        <v>3</v>
      </c>
      <c r="L8">
        <f>SUM(K8,I8,G8,E8,C8)</f>
        <v>66</v>
      </c>
    </row>
    <row r="9" spans="1:12">
      <c r="A9" t="s">
        <v>76</v>
      </c>
      <c r="B9">
        <v>5</v>
      </c>
      <c r="C9">
        <f t="shared" si="0"/>
        <v>15</v>
      </c>
      <c r="D9">
        <v>3</v>
      </c>
      <c r="E9">
        <f t="shared" si="0"/>
        <v>15</v>
      </c>
      <c r="F9">
        <v>2</v>
      </c>
      <c r="G9">
        <f t="shared" ref="G9" si="10">G$4*F9</f>
        <v>8</v>
      </c>
      <c r="H9">
        <v>2</v>
      </c>
      <c r="I9">
        <f t="shared" ref="I9" si="11">I$4*H9</f>
        <v>6</v>
      </c>
      <c r="J9">
        <v>3</v>
      </c>
      <c r="K9">
        <f t="shared" ref="K9" si="12">K$4*J9</f>
        <v>3</v>
      </c>
      <c r="L9">
        <f>SUM(K9,I9,G9,E9,C9)</f>
        <v>47</v>
      </c>
    </row>
    <row r="10" spans="1:12">
      <c r="A10" t="s">
        <v>77</v>
      </c>
      <c r="B10">
        <v>5</v>
      </c>
      <c r="C10">
        <f t="shared" si="0"/>
        <v>15</v>
      </c>
      <c r="D10">
        <v>5</v>
      </c>
      <c r="E10">
        <f t="shared" si="0"/>
        <v>25</v>
      </c>
      <c r="F10">
        <v>4</v>
      </c>
      <c r="G10">
        <f t="shared" ref="G10" si="13">G$4*F10</f>
        <v>16</v>
      </c>
      <c r="H10">
        <v>4</v>
      </c>
      <c r="I10">
        <f t="shared" ref="I10" si="14">I$4*H10</f>
        <v>12</v>
      </c>
      <c r="J10">
        <v>5</v>
      </c>
      <c r="K10">
        <f t="shared" ref="K10" si="15">K$4*J10</f>
        <v>5</v>
      </c>
      <c r="L10">
        <f>SUM(K10,I10,G10,E10,C10)</f>
        <v>73</v>
      </c>
    </row>
    <row r="11" spans="1:12">
      <c r="A11" t="s">
        <v>78</v>
      </c>
      <c r="B11">
        <v>5</v>
      </c>
      <c r="C11">
        <f t="shared" si="0"/>
        <v>15</v>
      </c>
      <c r="D11">
        <v>5</v>
      </c>
      <c r="E11">
        <f t="shared" si="0"/>
        <v>25</v>
      </c>
      <c r="F11">
        <v>5</v>
      </c>
      <c r="G11">
        <f t="shared" ref="G11" si="16">G$4*F11</f>
        <v>20</v>
      </c>
      <c r="H11">
        <v>5</v>
      </c>
      <c r="I11">
        <f t="shared" ref="I11" si="17">I$4*H11</f>
        <v>15</v>
      </c>
      <c r="J11">
        <v>5</v>
      </c>
      <c r="K11">
        <f t="shared" ref="K11" si="18">K$4*J11</f>
        <v>5</v>
      </c>
      <c r="L11">
        <f>SUM(K11,I11,G11,E11,C11)</f>
        <v>80</v>
      </c>
    </row>
    <row r="12" spans="1:12">
      <c r="A12" t="s">
        <v>79</v>
      </c>
      <c r="B12">
        <v>4</v>
      </c>
      <c r="C12">
        <f t="shared" si="0"/>
        <v>12</v>
      </c>
      <c r="D12">
        <v>3</v>
      </c>
      <c r="E12">
        <f t="shared" si="0"/>
        <v>15</v>
      </c>
      <c r="F12">
        <v>2</v>
      </c>
      <c r="G12">
        <f t="shared" ref="G12" si="19">G$4*F12</f>
        <v>8</v>
      </c>
      <c r="H12">
        <v>3</v>
      </c>
      <c r="I12">
        <f t="shared" ref="I12" si="20">I$4*H12</f>
        <v>9</v>
      </c>
      <c r="J12">
        <v>4</v>
      </c>
      <c r="K12">
        <f t="shared" ref="K12" si="21">K$4*J12</f>
        <v>4</v>
      </c>
      <c r="L12">
        <f>SUM(K12,I12,G12,E12,C12)</f>
        <v>48</v>
      </c>
    </row>
    <row r="13" spans="1:12">
      <c r="A13" t="s">
        <v>80</v>
      </c>
      <c r="B13">
        <v>5</v>
      </c>
      <c r="C13">
        <f t="shared" si="0"/>
        <v>15</v>
      </c>
      <c r="D13">
        <v>4</v>
      </c>
      <c r="E13">
        <f t="shared" si="0"/>
        <v>20</v>
      </c>
      <c r="F13">
        <v>3</v>
      </c>
      <c r="G13">
        <f t="shared" ref="G13" si="22">G$4*F13</f>
        <v>12</v>
      </c>
      <c r="H13">
        <v>5</v>
      </c>
      <c r="I13">
        <f t="shared" ref="I13" si="23">I$4*H13</f>
        <v>15</v>
      </c>
      <c r="J13">
        <v>3</v>
      </c>
      <c r="K13">
        <f t="shared" ref="K13" si="24">K$4*J13</f>
        <v>3</v>
      </c>
      <c r="L13">
        <f>SUM(K13,I13,G13,E13,C13)</f>
        <v>65</v>
      </c>
    </row>
    <row r="14" spans="1:12">
      <c r="A14" t="s">
        <v>81</v>
      </c>
      <c r="B14">
        <v>4</v>
      </c>
      <c r="C14">
        <f t="shared" si="0"/>
        <v>12</v>
      </c>
      <c r="D14">
        <v>2</v>
      </c>
      <c r="E14">
        <f t="shared" si="0"/>
        <v>10</v>
      </c>
      <c r="F14">
        <v>2</v>
      </c>
      <c r="G14">
        <f t="shared" ref="G14" si="25">G$4*F14</f>
        <v>8</v>
      </c>
      <c r="H14">
        <v>3</v>
      </c>
      <c r="I14">
        <f t="shared" ref="I14" si="26">I$4*H14</f>
        <v>9</v>
      </c>
      <c r="J14">
        <v>3</v>
      </c>
      <c r="K14">
        <f t="shared" ref="K14" si="27">K$4*J14</f>
        <v>3</v>
      </c>
      <c r="L14">
        <f>SUM(K14,I14,G14,E14,C14)</f>
        <v>42</v>
      </c>
    </row>
    <row r="16" spans="1:12">
      <c r="A16" s="13" t="s">
        <v>45</v>
      </c>
      <c r="B16">
        <f t="shared" ref="B16:J16" si="28">MAX(B5:B14)</f>
        <v>5</v>
      </c>
      <c r="C16">
        <f t="shared" si="28"/>
        <v>15</v>
      </c>
      <c r="D16">
        <f t="shared" si="28"/>
        <v>5</v>
      </c>
      <c r="E16">
        <f t="shared" si="28"/>
        <v>25</v>
      </c>
      <c r="F16">
        <f t="shared" si="28"/>
        <v>5</v>
      </c>
      <c r="G16">
        <f t="shared" si="28"/>
        <v>20</v>
      </c>
      <c r="H16">
        <f t="shared" si="28"/>
        <v>5</v>
      </c>
      <c r="I16">
        <f t="shared" si="28"/>
        <v>15</v>
      </c>
      <c r="J16">
        <f t="shared" si="28"/>
        <v>5</v>
      </c>
      <c r="K16">
        <f>MAX(K5:K14)</f>
        <v>5</v>
      </c>
      <c r="L16">
        <f>MAX(L5:L14)</f>
        <v>80</v>
      </c>
    </row>
    <row r="17" spans="1:12">
      <c r="A17" s="13" t="s">
        <v>46</v>
      </c>
      <c r="B17">
        <f t="shared" ref="B17:J17" si="29">MIN(B5:B14)</f>
        <v>4</v>
      </c>
      <c r="C17">
        <f t="shared" si="29"/>
        <v>12</v>
      </c>
      <c r="D17">
        <f t="shared" si="29"/>
        <v>2</v>
      </c>
      <c r="E17">
        <f t="shared" si="29"/>
        <v>10</v>
      </c>
      <c r="F17">
        <f t="shared" si="29"/>
        <v>2</v>
      </c>
      <c r="G17">
        <f t="shared" si="29"/>
        <v>8</v>
      </c>
      <c r="H17">
        <f t="shared" si="29"/>
        <v>2</v>
      </c>
      <c r="I17">
        <f t="shared" si="29"/>
        <v>6</v>
      </c>
      <c r="J17">
        <f t="shared" si="29"/>
        <v>3</v>
      </c>
      <c r="K17">
        <f>MIN(K5:K14)</f>
        <v>3</v>
      </c>
      <c r="L17">
        <f>MIN(L5:L14)</f>
        <v>42</v>
      </c>
    </row>
    <row r="18" spans="1:12">
      <c r="A18" s="13" t="s">
        <v>47</v>
      </c>
      <c r="B18">
        <f>AVERAGE(B5:B14)</f>
        <v>4.5</v>
      </c>
      <c r="C18">
        <f t="shared" ref="C18:J18" si="30">AVERAGE(C5:C14)</f>
        <v>13.5</v>
      </c>
      <c r="D18">
        <f t="shared" si="30"/>
        <v>3.8</v>
      </c>
      <c r="E18">
        <f t="shared" si="30"/>
        <v>19</v>
      </c>
      <c r="F18">
        <f t="shared" si="30"/>
        <v>3.1</v>
      </c>
      <c r="G18">
        <f t="shared" si="30"/>
        <v>12.4</v>
      </c>
      <c r="H18">
        <f t="shared" si="30"/>
        <v>3.6</v>
      </c>
      <c r="I18">
        <f t="shared" si="30"/>
        <v>10.8</v>
      </c>
      <c r="J18">
        <f t="shared" si="30"/>
        <v>3.5</v>
      </c>
      <c r="K18">
        <f>AVERAGE(K5:K14)</f>
        <v>3.5</v>
      </c>
      <c r="L18">
        <f>AVERAGE(L5:L14)</f>
        <v>59.2</v>
      </c>
    </row>
  </sheetData>
  <sortState xmlns:xlrd2="http://schemas.microsoft.com/office/spreadsheetml/2017/richdata2" ref="F27:G37">
    <sortCondition ref="F27:F37"/>
  </sortState>
  <conditionalFormatting sqref="L5:L14">
    <cfRule type="top10" dxfId="0" priority="1" percent="1" rank="10"/>
  </conditionalFormatting>
  <pageMargins left="0.7" right="0.7" top="0.75" bottom="0.75" header="0.3" footer="0.3"/>
  <pageSetup paperSize="9" orientation="landscape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F2A6-ED05-4D4C-ADA1-17FA82D681CB}">
  <dimension ref="A1:N176"/>
  <sheetViews>
    <sheetView topLeftCell="A155" workbookViewId="0">
      <selection activeCell="F177" sqref="F177"/>
    </sheetView>
  </sheetViews>
  <sheetFormatPr defaultRowHeight="15"/>
  <cols>
    <col min="1" max="1" width="8.140625" bestFit="1" customWidth="1"/>
    <col min="2" max="2" width="14.140625" bestFit="1" customWidth="1"/>
    <col min="3" max="3" width="10.28515625" bestFit="1" customWidth="1"/>
    <col min="4" max="4" width="18.42578125" bestFit="1" customWidth="1"/>
    <col min="5" max="5" width="9.85546875" style="2" bestFit="1" customWidth="1"/>
    <col min="6" max="6" width="12.85546875" style="2" bestFit="1" customWidth="1"/>
    <col min="7" max="7" width="9.85546875" style="2" bestFit="1" customWidth="1"/>
    <col min="8" max="8" width="14.28515625" style="2" bestFit="1" customWidth="1"/>
    <col min="9" max="9" width="13.28515625" bestFit="1" customWidth="1"/>
    <col min="10" max="10" width="13.140625" bestFit="1" customWidth="1"/>
    <col min="11" max="11" width="11.140625" bestFit="1" customWidth="1"/>
  </cols>
  <sheetData>
    <row r="1" spans="1:14" ht="94.5">
      <c r="A1" s="56" t="s">
        <v>86</v>
      </c>
      <c r="B1" s="56" t="s">
        <v>87</v>
      </c>
      <c r="C1" s="56" t="s">
        <v>88</v>
      </c>
      <c r="D1" s="56" t="s">
        <v>89</v>
      </c>
      <c r="E1" s="57" t="s">
        <v>90</v>
      </c>
      <c r="F1" s="57" t="s">
        <v>91</v>
      </c>
      <c r="G1" s="57" t="s">
        <v>92</v>
      </c>
      <c r="H1" s="57" t="s">
        <v>122</v>
      </c>
      <c r="I1" s="56" t="s">
        <v>1</v>
      </c>
      <c r="J1" s="56" t="s">
        <v>0</v>
      </c>
      <c r="K1" s="56" t="s">
        <v>93</v>
      </c>
    </row>
    <row r="2" spans="1:14" ht="15.75">
      <c r="A2" s="6" t="s">
        <v>94</v>
      </c>
      <c r="B2" s="7">
        <v>1001</v>
      </c>
      <c r="C2" s="5">
        <v>9822</v>
      </c>
      <c r="D2" s="5" t="s">
        <v>95</v>
      </c>
      <c r="E2" s="8">
        <v>58.3</v>
      </c>
      <c r="F2" s="8">
        <v>98.4</v>
      </c>
      <c r="G2" s="8">
        <f t="shared" ref="G2:G33" si="0">F2-E2</f>
        <v>40.100000000000009</v>
      </c>
      <c r="H2" s="8">
        <f>IF(F2&gt;50, G2*0.2,G2*0.1)</f>
        <v>8.0200000000000014</v>
      </c>
      <c r="I2" s="5" t="s">
        <v>123</v>
      </c>
      <c r="J2" s="5" t="s">
        <v>124</v>
      </c>
      <c r="K2" s="5" t="s">
        <v>96</v>
      </c>
    </row>
    <row r="3" spans="1:14" ht="15.75">
      <c r="A3" s="6" t="s">
        <v>94</v>
      </c>
      <c r="B3" s="7">
        <v>1002</v>
      </c>
      <c r="C3" s="5">
        <v>2877</v>
      </c>
      <c r="D3" s="5" t="s">
        <v>97</v>
      </c>
      <c r="E3" s="8">
        <v>11.4</v>
      </c>
      <c r="F3" s="8">
        <v>16.3</v>
      </c>
      <c r="G3" s="8">
        <f t="shared" si="0"/>
        <v>4.9000000000000004</v>
      </c>
      <c r="H3" s="8">
        <f t="shared" ref="H2:H33" si="1">IF(F3&gt;50, G3*0.2,G3*0.1)</f>
        <v>0.49000000000000005</v>
      </c>
      <c r="I3" s="5" t="s">
        <v>125</v>
      </c>
      <c r="J3" s="5" t="s">
        <v>126</v>
      </c>
      <c r="K3" s="5" t="s">
        <v>98</v>
      </c>
    </row>
    <row r="4" spans="1:14" ht="15.75">
      <c r="A4" s="6" t="s">
        <v>94</v>
      </c>
      <c r="B4" s="7">
        <v>1003</v>
      </c>
      <c r="C4" s="5">
        <v>2499</v>
      </c>
      <c r="D4" s="5" t="s">
        <v>99</v>
      </c>
      <c r="E4" s="8">
        <v>6.2</v>
      </c>
      <c r="F4" s="8">
        <v>9.1999999999999993</v>
      </c>
      <c r="G4" s="8">
        <f t="shared" si="0"/>
        <v>2.9999999999999991</v>
      </c>
      <c r="H4" s="8">
        <f t="shared" si="1"/>
        <v>0.29999999999999993</v>
      </c>
      <c r="I4" s="5" t="s">
        <v>127</v>
      </c>
      <c r="J4" s="5" t="s">
        <v>5</v>
      </c>
      <c r="K4" s="5" t="s">
        <v>100</v>
      </c>
      <c r="N4" s="55"/>
    </row>
    <row r="5" spans="1:14" ht="15.75">
      <c r="A5" s="6" t="s">
        <v>94</v>
      </c>
      <c r="B5" s="7">
        <v>1004</v>
      </c>
      <c r="C5" s="5">
        <v>8722</v>
      </c>
      <c r="D5" s="5" t="s">
        <v>101</v>
      </c>
      <c r="E5" s="8">
        <v>344</v>
      </c>
      <c r="F5" s="8">
        <v>502</v>
      </c>
      <c r="G5" s="8">
        <f t="shared" si="0"/>
        <v>158</v>
      </c>
      <c r="H5" s="8">
        <f t="shared" si="1"/>
        <v>31.6</v>
      </c>
      <c r="I5" s="5" t="s">
        <v>123</v>
      </c>
      <c r="J5" s="5" t="s">
        <v>124</v>
      </c>
      <c r="K5" s="5" t="s">
        <v>100</v>
      </c>
    </row>
    <row r="6" spans="1:14" ht="15.75">
      <c r="A6" s="6" t="s">
        <v>94</v>
      </c>
      <c r="B6" s="7">
        <v>1005</v>
      </c>
      <c r="C6" s="5">
        <v>1109</v>
      </c>
      <c r="D6" s="5" t="s">
        <v>102</v>
      </c>
      <c r="E6" s="8">
        <v>3</v>
      </c>
      <c r="F6" s="8">
        <v>8</v>
      </c>
      <c r="G6" s="8">
        <f t="shared" si="0"/>
        <v>5</v>
      </c>
      <c r="H6" s="8">
        <f t="shared" si="1"/>
        <v>0.5</v>
      </c>
      <c r="I6" s="5" t="s">
        <v>127</v>
      </c>
      <c r="J6" s="5" t="s">
        <v>5</v>
      </c>
      <c r="K6" s="5" t="s">
        <v>100</v>
      </c>
    </row>
    <row r="7" spans="1:14" ht="15.75">
      <c r="A7" s="6" t="s">
        <v>94</v>
      </c>
      <c r="B7" s="7">
        <v>1006</v>
      </c>
      <c r="C7" s="5">
        <v>9822</v>
      </c>
      <c r="D7" s="5" t="s">
        <v>95</v>
      </c>
      <c r="E7" s="8">
        <v>58.3</v>
      </c>
      <c r="F7" s="8">
        <v>98.4</v>
      </c>
      <c r="G7" s="8">
        <f t="shared" si="0"/>
        <v>40.100000000000009</v>
      </c>
      <c r="H7" s="8">
        <f t="shared" si="1"/>
        <v>8.0200000000000014</v>
      </c>
      <c r="I7" s="5" t="s">
        <v>127</v>
      </c>
      <c r="J7" s="5" t="s">
        <v>5</v>
      </c>
      <c r="K7" s="5" t="s">
        <v>100</v>
      </c>
    </row>
    <row r="8" spans="1:14" ht="15.75">
      <c r="A8" s="6" t="s">
        <v>94</v>
      </c>
      <c r="B8" s="7">
        <v>1007</v>
      </c>
      <c r="C8" s="5">
        <v>1109</v>
      </c>
      <c r="D8" s="5" t="s">
        <v>102</v>
      </c>
      <c r="E8" s="8">
        <v>3</v>
      </c>
      <c r="F8" s="8">
        <v>8</v>
      </c>
      <c r="G8" s="8">
        <f t="shared" si="0"/>
        <v>5</v>
      </c>
      <c r="H8" s="8">
        <f t="shared" si="1"/>
        <v>0.5</v>
      </c>
      <c r="I8" s="5" t="s">
        <v>128</v>
      </c>
      <c r="J8" s="5" t="s">
        <v>7</v>
      </c>
      <c r="K8" s="5" t="s">
        <v>96</v>
      </c>
    </row>
    <row r="9" spans="1:14" ht="15.75">
      <c r="A9" s="6" t="s">
        <v>94</v>
      </c>
      <c r="B9" s="7">
        <v>1008</v>
      </c>
      <c r="C9" s="5">
        <v>2877</v>
      </c>
      <c r="D9" s="5" t="s">
        <v>97</v>
      </c>
      <c r="E9" s="8">
        <v>11.4</v>
      </c>
      <c r="F9" s="8">
        <v>16.3</v>
      </c>
      <c r="G9" s="8">
        <f t="shared" si="0"/>
        <v>4.9000000000000004</v>
      </c>
      <c r="H9" s="8">
        <f t="shared" si="1"/>
        <v>0.49000000000000005</v>
      </c>
      <c r="I9" s="5" t="s">
        <v>127</v>
      </c>
      <c r="J9" s="5" t="s">
        <v>5</v>
      </c>
      <c r="K9" s="5" t="s">
        <v>96</v>
      </c>
    </row>
    <row r="10" spans="1:14" ht="15.75">
      <c r="A10" s="6" t="s">
        <v>94</v>
      </c>
      <c r="B10" s="7">
        <v>1009</v>
      </c>
      <c r="C10" s="5">
        <v>1109</v>
      </c>
      <c r="D10" s="5" t="s">
        <v>102</v>
      </c>
      <c r="E10" s="8">
        <v>3</v>
      </c>
      <c r="F10" s="8">
        <v>8</v>
      </c>
      <c r="G10" s="8">
        <f t="shared" si="0"/>
        <v>5</v>
      </c>
      <c r="H10" s="8">
        <f t="shared" si="1"/>
        <v>0.5</v>
      </c>
      <c r="I10" s="5" t="s">
        <v>127</v>
      </c>
      <c r="J10" s="5" t="s">
        <v>5</v>
      </c>
      <c r="K10" s="5" t="s">
        <v>100</v>
      </c>
    </row>
    <row r="11" spans="1:14" ht="15.75">
      <c r="A11" s="6" t="s">
        <v>94</v>
      </c>
      <c r="B11" s="7">
        <v>1010</v>
      </c>
      <c r="C11" s="5">
        <v>2877</v>
      </c>
      <c r="D11" s="5" t="s">
        <v>97</v>
      </c>
      <c r="E11" s="8">
        <v>11.4</v>
      </c>
      <c r="F11" s="8">
        <v>16.3</v>
      </c>
      <c r="G11" s="8">
        <f t="shared" si="0"/>
        <v>4.9000000000000004</v>
      </c>
      <c r="H11" s="8">
        <f t="shared" si="1"/>
        <v>0.49000000000000005</v>
      </c>
      <c r="I11" s="5" t="s">
        <v>125</v>
      </c>
      <c r="J11" s="5" t="s">
        <v>126</v>
      </c>
      <c r="K11" s="5" t="s">
        <v>103</v>
      </c>
    </row>
    <row r="12" spans="1:14" ht="15.75">
      <c r="A12" s="6" t="s">
        <v>94</v>
      </c>
      <c r="B12" s="7">
        <v>1011</v>
      </c>
      <c r="C12" s="5">
        <v>2877</v>
      </c>
      <c r="D12" s="5" t="s">
        <v>97</v>
      </c>
      <c r="E12" s="8">
        <v>11.4</v>
      </c>
      <c r="F12" s="8">
        <v>16.3</v>
      </c>
      <c r="G12" s="8">
        <f t="shared" si="0"/>
        <v>4.9000000000000004</v>
      </c>
      <c r="H12" s="8">
        <f t="shared" si="1"/>
        <v>0.49000000000000005</v>
      </c>
      <c r="I12" s="5" t="s">
        <v>125</v>
      </c>
      <c r="J12" s="5" t="s">
        <v>126</v>
      </c>
      <c r="K12" s="5" t="s">
        <v>100</v>
      </c>
    </row>
    <row r="13" spans="1:14" ht="15.75">
      <c r="A13" s="6" t="s">
        <v>94</v>
      </c>
      <c r="B13" s="7">
        <v>1012</v>
      </c>
      <c r="C13" s="5">
        <v>4421</v>
      </c>
      <c r="D13" s="5" t="s">
        <v>104</v>
      </c>
      <c r="E13" s="8">
        <v>45</v>
      </c>
      <c r="F13" s="8">
        <v>87</v>
      </c>
      <c r="G13" s="8">
        <f t="shared" si="0"/>
        <v>42</v>
      </c>
      <c r="H13" s="8">
        <f t="shared" si="1"/>
        <v>8.4</v>
      </c>
      <c r="I13" s="5" t="s">
        <v>127</v>
      </c>
      <c r="J13" s="5" t="s">
        <v>5</v>
      </c>
      <c r="K13" s="5" t="s">
        <v>96</v>
      </c>
    </row>
    <row r="14" spans="1:14" ht="15.75">
      <c r="A14" s="6" t="s">
        <v>94</v>
      </c>
      <c r="B14" s="7">
        <v>1013</v>
      </c>
      <c r="C14" s="5">
        <v>9212</v>
      </c>
      <c r="D14" s="5" t="s">
        <v>105</v>
      </c>
      <c r="E14" s="8">
        <v>4</v>
      </c>
      <c r="F14" s="8">
        <v>7</v>
      </c>
      <c r="G14" s="8">
        <f t="shared" si="0"/>
        <v>3</v>
      </c>
      <c r="H14" s="8">
        <f t="shared" si="1"/>
        <v>0.30000000000000004</v>
      </c>
      <c r="I14" s="5" t="s">
        <v>128</v>
      </c>
      <c r="J14" s="5" t="s">
        <v>7</v>
      </c>
      <c r="K14" s="5" t="s">
        <v>103</v>
      </c>
    </row>
    <row r="15" spans="1:14" ht="15.75">
      <c r="A15" s="6" t="s">
        <v>94</v>
      </c>
      <c r="B15" s="7">
        <v>1014</v>
      </c>
      <c r="C15" s="5">
        <v>8722</v>
      </c>
      <c r="D15" s="5" t="s">
        <v>101</v>
      </c>
      <c r="E15" s="8">
        <v>344</v>
      </c>
      <c r="F15" s="8">
        <v>502</v>
      </c>
      <c r="G15" s="8">
        <f t="shared" si="0"/>
        <v>158</v>
      </c>
      <c r="H15" s="8">
        <f t="shared" si="1"/>
        <v>31.6</v>
      </c>
      <c r="I15" s="5" t="s">
        <v>123</v>
      </c>
      <c r="J15" s="5" t="s">
        <v>124</v>
      </c>
      <c r="K15" s="5" t="s">
        <v>98</v>
      </c>
    </row>
    <row r="16" spans="1:14" ht="15.75">
      <c r="A16" s="6" t="s">
        <v>94</v>
      </c>
      <c r="B16" s="7">
        <v>1015</v>
      </c>
      <c r="C16" s="5">
        <v>2877</v>
      </c>
      <c r="D16" s="5" t="s">
        <v>97</v>
      </c>
      <c r="E16" s="8">
        <v>11.4</v>
      </c>
      <c r="F16" s="8">
        <v>16.3</v>
      </c>
      <c r="G16" s="8">
        <f t="shared" si="0"/>
        <v>4.9000000000000004</v>
      </c>
      <c r="H16" s="8">
        <f t="shared" si="1"/>
        <v>0.49000000000000005</v>
      </c>
      <c r="I16" s="5" t="s">
        <v>128</v>
      </c>
      <c r="J16" s="5" t="s">
        <v>7</v>
      </c>
      <c r="K16" s="5" t="s">
        <v>100</v>
      </c>
    </row>
    <row r="17" spans="1:11" ht="15.75">
      <c r="A17" s="6" t="s">
        <v>94</v>
      </c>
      <c r="B17" s="7">
        <v>1016</v>
      </c>
      <c r="C17" s="5">
        <v>2499</v>
      </c>
      <c r="D17" s="5" t="s">
        <v>99</v>
      </c>
      <c r="E17" s="8">
        <v>6.2</v>
      </c>
      <c r="F17" s="8">
        <v>9.1999999999999993</v>
      </c>
      <c r="G17" s="8">
        <f t="shared" si="0"/>
        <v>2.9999999999999991</v>
      </c>
      <c r="H17" s="8">
        <f t="shared" si="1"/>
        <v>0.29999999999999993</v>
      </c>
      <c r="I17" s="5" t="s">
        <v>127</v>
      </c>
      <c r="J17" s="5" t="s">
        <v>5</v>
      </c>
      <c r="K17" s="5" t="s">
        <v>98</v>
      </c>
    </row>
    <row r="18" spans="1:11" ht="15.75">
      <c r="A18" s="6" t="s">
        <v>106</v>
      </c>
      <c r="B18" s="7">
        <v>1017</v>
      </c>
      <c r="C18" s="5">
        <v>2242</v>
      </c>
      <c r="D18" s="5" t="s">
        <v>107</v>
      </c>
      <c r="E18" s="8">
        <v>60</v>
      </c>
      <c r="F18" s="8">
        <v>124</v>
      </c>
      <c r="G18" s="8">
        <f t="shared" si="0"/>
        <v>64</v>
      </c>
      <c r="H18" s="8">
        <f t="shared" si="1"/>
        <v>12.8</v>
      </c>
      <c r="I18" s="5" t="s">
        <v>125</v>
      </c>
      <c r="J18" s="5" t="s">
        <v>126</v>
      </c>
      <c r="K18" s="5" t="s">
        <v>96</v>
      </c>
    </row>
    <row r="19" spans="1:11" ht="15.75">
      <c r="A19" s="6" t="s">
        <v>106</v>
      </c>
      <c r="B19" s="7">
        <v>1018</v>
      </c>
      <c r="C19" s="5">
        <v>1109</v>
      </c>
      <c r="D19" s="5" t="s">
        <v>102</v>
      </c>
      <c r="E19" s="8">
        <v>3</v>
      </c>
      <c r="F19" s="8">
        <v>8</v>
      </c>
      <c r="G19" s="8">
        <f t="shared" si="0"/>
        <v>5</v>
      </c>
      <c r="H19" s="8">
        <f t="shared" si="1"/>
        <v>0.5</v>
      </c>
      <c r="I19" s="5" t="s">
        <v>127</v>
      </c>
      <c r="J19" s="5" t="s">
        <v>5</v>
      </c>
      <c r="K19" s="5" t="s">
        <v>98</v>
      </c>
    </row>
    <row r="20" spans="1:11" ht="15.75">
      <c r="A20" s="6" t="s">
        <v>106</v>
      </c>
      <c r="B20" s="7">
        <v>1019</v>
      </c>
      <c r="C20" s="5">
        <v>2499</v>
      </c>
      <c r="D20" s="5" t="s">
        <v>99</v>
      </c>
      <c r="E20" s="8">
        <v>6.2</v>
      </c>
      <c r="F20" s="8">
        <v>9.1999999999999993</v>
      </c>
      <c r="G20" s="8">
        <f t="shared" si="0"/>
        <v>2.9999999999999991</v>
      </c>
      <c r="H20" s="8">
        <f t="shared" si="1"/>
        <v>0.29999999999999993</v>
      </c>
      <c r="I20" s="5" t="s">
        <v>127</v>
      </c>
      <c r="J20" s="5" t="s">
        <v>5</v>
      </c>
      <c r="K20" s="5" t="s">
        <v>103</v>
      </c>
    </row>
    <row r="21" spans="1:11" ht="15.75">
      <c r="A21" s="6" t="s">
        <v>106</v>
      </c>
      <c r="B21" s="7">
        <v>1020</v>
      </c>
      <c r="C21" s="5">
        <v>2499</v>
      </c>
      <c r="D21" s="5" t="s">
        <v>99</v>
      </c>
      <c r="E21" s="8">
        <v>6.2</v>
      </c>
      <c r="F21" s="8">
        <v>9.1999999999999993</v>
      </c>
      <c r="G21" s="8">
        <f t="shared" si="0"/>
        <v>2.9999999999999991</v>
      </c>
      <c r="H21" s="8">
        <f t="shared" si="1"/>
        <v>0.29999999999999993</v>
      </c>
      <c r="I21" s="5" t="s">
        <v>127</v>
      </c>
      <c r="J21" s="5" t="s">
        <v>5</v>
      </c>
      <c r="K21" s="5" t="s">
        <v>108</v>
      </c>
    </row>
    <row r="22" spans="1:11" ht="15.75">
      <c r="A22" s="6" t="s">
        <v>106</v>
      </c>
      <c r="B22" s="7">
        <v>1021</v>
      </c>
      <c r="C22" s="5">
        <v>1109</v>
      </c>
      <c r="D22" s="5" t="s">
        <v>102</v>
      </c>
      <c r="E22" s="8">
        <v>3</v>
      </c>
      <c r="F22" s="8">
        <v>8</v>
      </c>
      <c r="G22" s="8">
        <f t="shared" si="0"/>
        <v>5</v>
      </c>
      <c r="H22" s="8">
        <f t="shared" si="1"/>
        <v>0.5</v>
      </c>
      <c r="I22" s="5" t="s">
        <v>125</v>
      </c>
      <c r="J22" s="5" t="s">
        <v>126</v>
      </c>
      <c r="K22" s="5" t="s">
        <v>103</v>
      </c>
    </row>
    <row r="23" spans="1:11" ht="15.75">
      <c r="A23" s="6" t="s">
        <v>106</v>
      </c>
      <c r="B23" s="7">
        <v>1022</v>
      </c>
      <c r="C23" s="5">
        <v>2877</v>
      </c>
      <c r="D23" s="5" t="s">
        <v>97</v>
      </c>
      <c r="E23" s="8">
        <v>11.4</v>
      </c>
      <c r="F23" s="8">
        <v>16.3</v>
      </c>
      <c r="G23" s="8">
        <f t="shared" si="0"/>
        <v>4.9000000000000004</v>
      </c>
      <c r="H23" s="8">
        <f t="shared" si="1"/>
        <v>0.49000000000000005</v>
      </c>
      <c r="I23" s="5" t="s">
        <v>127</v>
      </c>
      <c r="J23" s="5" t="s">
        <v>5</v>
      </c>
      <c r="K23" s="5" t="s">
        <v>109</v>
      </c>
    </row>
    <row r="24" spans="1:11" ht="15.75">
      <c r="A24" s="6" t="s">
        <v>106</v>
      </c>
      <c r="B24" s="7">
        <v>1023</v>
      </c>
      <c r="C24" s="5">
        <v>1109</v>
      </c>
      <c r="D24" s="5" t="s">
        <v>102</v>
      </c>
      <c r="E24" s="8">
        <v>3</v>
      </c>
      <c r="F24" s="8">
        <v>8</v>
      </c>
      <c r="G24" s="8">
        <f t="shared" si="0"/>
        <v>5</v>
      </c>
      <c r="H24" s="8">
        <f t="shared" si="1"/>
        <v>0.5</v>
      </c>
      <c r="I24" s="5" t="s">
        <v>128</v>
      </c>
      <c r="J24" s="5" t="s">
        <v>7</v>
      </c>
      <c r="K24" s="5" t="s">
        <v>96</v>
      </c>
    </row>
    <row r="25" spans="1:11" ht="15.75">
      <c r="A25" s="6" t="s">
        <v>106</v>
      </c>
      <c r="B25" s="7">
        <v>1024</v>
      </c>
      <c r="C25" s="5">
        <v>9212</v>
      </c>
      <c r="D25" s="5" t="s">
        <v>105</v>
      </c>
      <c r="E25" s="8">
        <v>4</v>
      </c>
      <c r="F25" s="8">
        <v>7</v>
      </c>
      <c r="G25" s="8">
        <f t="shared" si="0"/>
        <v>3</v>
      </c>
      <c r="H25" s="8">
        <f t="shared" si="1"/>
        <v>0.30000000000000004</v>
      </c>
      <c r="I25" s="5" t="s">
        <v>125</v>
      </c>
      <c r="J25" s="5" t="s">
        <v>126</v>
      </c>
      <c r="K25" s="5" t="s">
        <v>109</v>
      </c>
    </row>
    <row r="26" spans="1:11" ht="15.75">
      <c r="A26" s="6" t="s">
        <v>106</v>
      </c>
      <c r="B26" s="7">
        <v>1025</v>
      </c>
      <c r="C26" s="5">
        <v>2877</v>
      </c>
      <c r="D26" s="5" t="s">
        <v>97</v>
      </c>
      <c r="E26" s="8">
        <v>11.4</v>
      </c>
      <c r="F26" s="8">
        <v>16.3</v>
      </c>
      <c r="G26" s="8">
        <f t="shared" si="0"/>
        <v>4.9000000000000004</v>
      </c>
      <c r="H26" s="8">
        <f t="shared" si="1"/>
        <v>0.49000000000000005</v>
      </c>
      <c r="I26" s="5" t="s">
        <v>128</v>
      </c>
      <c r="J26" s="5" t="s">
        <v>7</v>
      </c>
      <c r="K26" s="5" t="s">
        <v>108</v>
      </c>
    </row>
    <row r="27" spans="1:11" ht="15.75">
      <c r="A27" s="6" t="s">
        <v>106</v>
      </c>
      <c r="B27" s="7">
        <v>1026</v>
      </c>
      <c r="C27" s="5">
        <v>6119</v>
      </c>
      <c r="D27" s="5" t="s">
        <v>110</v>
      </c>
      <c r="E27" s="8">
        <v>9</v>
      </c>
      <c r="F27" s="8">
        <v>14</v>
      </c>
      <c r="G27" s="8">
        <f t="shared" si="0"/>
        <v>5</v>
      </c>
      <c r="H27" s="8">
        <f t="shared" si="1"/>
        <v>0.5</v>
      </c>
      <c r="I27" s="5" t="s">
        <v>128</v>
      </c>
      <c r="J27" s="5" t="s">
        <v>7</v>
      </c>
      <c r="K27" s="5" t="s">
        <v>96</v>
      </c>
    </row>
    <row r="28" spans="1:11" ht="15.75">
      <c r="A28" s="6" t="s">
        <v>106</v>
      </c>
      <c r="B28" s="7">
        <v>1027</v>
      </c>
      <c r="C28" s="5">
        <v>6119</v>
      </c>
      <c r="D28" s="5" t="s">
        <v>110</v>
      </c>
      <c r="E28" s="8">
        <v>9</v>
      </c>
      <c r="F28" s="8">
        <v>14</v>
      </c>
      <c r="G28" s="8">
        <f t="shared" si="0"/>
        <v>5</v>
      </c>
      <c r="H28" s="8">
        <f t="shared" si="1"/>
        <v>0.5</v>
      </c>
      <c r="I28" s="5" t="s">
        <v>123</v>
      </c>
      <c r="J28" s="5" t="s">
        <v>124</v>
      </c>
      <c r="K28" s="5" t="s">
        <v>108</v>
      </c>
    </row>
    <row r="29" spans="1:11" ht="15.75">
      <c r="A29" s="6" t="s">
        <v>106</v>
      </c>
      <c r="B29" s="7">
        <v>1028</v>
      </c>
      <c r="C29" s="5">
        <v>8722</v>
      </c>
      <c r="D29" s="5" t="s">
        <v>101</v>
      </c>
      <c r="E29" s="8">
        <v>344</v>
      </c>
      <c r="F29" s="8">
        <v>502</v>
      </c>
      <c r="G29" s="8">
        <f t="shared" si="0"/>
        <v>158</v>
      </c>
      <c r="H29" s="8">
        <f t="shared" si="1"/>
        <v>31.6</v>
      </c>
      <c r="I29" s="5" t="s">
        <v>123</v>
      </c>
      <c r="J29" s="5" t="s">
        <v>124</v>
      </c>
      <c r="K29" s="5" t="s">
        <v>100</v>
      </c>
    </row>
    <row r="30" spans="1:11" ht="15.75">
      <c r="A30" s="6" t="s">
        <v>106</v>
      </c>
      <c r="B30" s="7">
        <v>1029</v>
      </c>
      <c r="C30" s="5">
        <v>2499</v>
      </c>
      <c r="D30" s="5" t="s">
        <v>99</v>
      </c>
      <c r="E30" s="8">
        <v>6.2</v>
      </c>
      <c r="F30" s="8">
        <v>9.1999999999999993</v>
      </c>
      <c r="G30" s="8">
        <f t="shared" si="0"/>
        <v>2.9999999999999991</v>
      </c>
      <c r="H30" s="8">
        <f t="shared" si="1"/>
        <v>0.29999999999999993</v>
      </c>
      <c r="I30" s="5" t="s">
        <v>125</v>
      </c>
      <c r="J30" s="5" t="s">
        <v>126</v>
      </c>
      <c r="K30" s="5" t="s">
        <v>100</v>
      </c>
    </row>
    <row r="31" spans="1:11" ht="15.75">
      <c r="A31" s="6" t="s">
        <v>106</v>
      </c>
      <c r="B31" s="7">
        <v>1030</v>
      </c>
      <c r="C31" s="5">
        <v>4421</v>
      </c>
      <c r="D31" s="5" t="s">
        <v>104</v>
      </c>
      <c r="E31" s="8">
        <v>45</v>
      </c>
      <c r="F31" s="8">
        <v>87</v>
      </c>
      <c r="G31" s="8">
        <f t="shared" si="0"/>
        <v>42</v>
      </c>
      <c r="H31" s="8">
        <f t="shared" si="1"/>
        <v>8.4</v>
      </c>
      <c r="I31" s="5" t="s">
        <v>125</v>
      </c>
      <c r="J31" s="5" t="s">
        <v>126</v>
      </c>
      <c r="K31" s="5" t="s">
        <v>108</v>
      </c>
    </row>
    <row r="32" spans="1:11" ht="15.75">
      <c r="A32" s="6" t="s">
        <v>106</v>
      </c>
      <c r="B32" s="7">
        <v>1031</v>
      </c>
      <c r="C32" s="5">
        <v>1109</v>
      </c>
      <c r="D32" s="5" t="s">
        <v>102</v>
      </c>
      <c r="E32" s="8">
        <v>3</v>
      </c>
      <c r="F32" s="8">
        <v>8</v>
      </c>
      <c r="G32" s="8">
        <f t="shared" si="0"/>
        <v>5</v>
      </c>
      <c r="H32" s="8">
        <f t="shared" si="1"/>
        <v>0.5</v>
      </c>
      <c r="I32" s="5" t="s">
        <v>125</v>
      </c>
      <c r="J32" s="5" t="s">
        <v>126</v>
      </c>
      <c r="K32" s="5" t="s">
        <v>98</v>
      </c>
    </row>
    <row r="33" spans="1:11" ht="15.75">
      <c r="A33" s="6" t="s">
        <v>106</v>
      </c>
      <c r="B33" s="7">
        <v>1032</v>
      </c>
      <c r="C33" s="5">
        <v>2877</v>
      </c>
      <c r="D33" s="5" t="s">
        <v>97</v>
      </c>
      <c r="E33" s="8">
        <v>11.4</v>
      </c>
      <c r="F33" s="8">
        <v>16.3</v>
      </c>
      <c r="G33" s="8">
        <f t="shared" si="0"/>
        <v>4.9000000000000004</v>
      </c>
      <c r="H33" s="8">
        <f t="shared" si="1"/>
        <v>0.49000000000000005</v>
      </c>
      <c r="I33" s="5" t="s">
        <v>123</v>
      </c>
      <c r="J33" s="5" t="s">
        <v>124</v>
      </c>
      <c r="K33" s="5" t="s">
        <v>100</v>
      </c>
    </row>
    <row r="34" spans="1:11" ht="15.75">
      <c r="A34" s="6" t="s">
        <v>106</v>
      </c>
      <c r="B34" s="7">
        <v>1033</v>
      </c>
      <c r="C34" s="5">
        <v>9822</v>
      </c>
      <c r="D34" s="5" t="s">
        <v>95</v>
      </c>
      <c r="E34" s="8">
        <v>58.3</v>
      </c>
      <c r="F34" s="8">
        <v>98.4</v>
      </c>
      <c r="G34" s="8">
        <f t="shared" ref="G34:G65" si="2">F34-E34</f>
        <v>40.100000000000009</v>
      </c>
      <c r="H34" s="8">
        <f t="shared" ref="H34:H65" si="3">IF(F34&gt;50, G34*0.2,G34*0.1)</f>
        <v>8.0200000000000014</v>
      </c>
      <c r="I34" s="5" t="s">
        <v>125</v>
      </c>
      <c r="J34" s="5" t="s">
        <v>126</v>
      </c>
      <c r="K34" s="5" t="s">
        <v>98</v>
      </c>
    </row>
    <row r="35" spans="1:11" ht="15.75">
      <c r="A35" s="6" t="s">
        <v>106</v>
      </c>
      <c r="B35" s="7">
        <v>1034</v>
      </c>
      <c r="C35" s="5">
        <v>2877</v>
      </c>
      <c r="D35" s="5" t="s">
        <v>97</v>
      </c>
      <c r="E35" s="8">
        <v>11.4</v>
      </c>
      <c r="F35" s="8">
        <v>16.3</v>
      </c>
      <c r="G35" s="8">
        <f t="shared" si="2"/>
        <v>4.9000000000000004</v>
      </c>
      <c r="H35" s="8">
        <f t="shared" si="3"/>
        <v>0.49000000000000005</v>
      </c>
      <c r="I35" s="5" t="s">
        <v>125</v>
      </c>
      <c r="J35" s="5" t="s">
        <v>126</v>
      </c>
      <c r="K35" s="5" t="s">
        <v>103</v>
      </c>
    </row>
    <row r="36" spans="1:11" ht="15.75">
      <c r="A36" s="6" t="s">
        <v>111</v>
      </c>
      <c r="B36" s="7">
        <v>1035</v>
      </c>
      <c r="C36" s="5">
        <v>2499</v>
      </c>
      <c r="D36" s="5" t="s">
        <v>99</v>
      </c>
      <c r="E36" s="8">
        <v>6.2</v>
      </c>
      <c r="F36" s="8">
        <v>9.1999999999999993</v>
      </c>
      <c r="G36" s="8">
        <f t="shared" si="2"/>
        <v>2.9999999999999991</v>
      </c>
      <c r="H36" s="8">
        <f t="shared" si="3"/>
        <v>0.29999999999999993</v>
      </c>
      <c r="I36" s="5" t="s">
        <v>128</v>
      </c>
      <c r="J36" s="5" t="s">
        <v>7</v>
      </c>
      <c r="K36" s="5" t="s">
        <v>98</v>
      </c>
    </row>
    <row r="37" spans="1:11" ht="15.75">
      <c r="A37" s="6" t="s">
        <v>111</v>
      </c>
      <c r="B37" s="7">
        <v>1036</v>
      </c>
      <c r="C37" s="5">
        <v>2499</v>
      </c>
      <c r="D37" s="5" t="s">
        <v>99</v>
      </c>
      <c r="E37" s="8">
        <v>6.2</v>
      </c>
      <c r="F37" s="8">
        <v>9.1999999999999993</v>
      </c>
      <c r="G37" s="8">
        <f t="shared" si="2"/>
        <v>2.9999999999999991</v>
      </c>
      <c r="H37" s="8">
        <f t="shared" si="3"/>
        <v>0.29999999999999993</v>
      </c>
      <c r="I37" s="5" t="s">
        <v>125</v>
      </c>
      <c r="J37" s="5" t="s">
        <v>126</v>
      </c>
      <c r="K37" s="5" t="s">
        <v>108</v>
      </c>
    </row>
    <row r="38" spans="1:11" ht="15.75">
      <c r="A38" s="6" t="s">
        <v>111</v>
      </c>
      <c r="B38" s="7">
        <v>1037</v>
      </c>
      <c r="C38" s="5">
        <v>6622</v>
      </c>
      <c r="D38" s="5" t="s">
        <v>112</v>
      </c>
      <c r="E38" s="8">
        <v>42</v>
      </c>
      <c r="F38" s="8">
        <v>77</v>
      </c>
      <c r="G38" s="8">
        <f t="shared" si="2"/>
        <v>35</v>
      </c>
      <c r="H38" s="8">
        <f t="shared" si="3"/>
        <v>7</v>
      </c>
      <c r="I38" s="5" t="s">
        <v>125</v>
      </c>
      <c r="J38" s="5" t="s">
        <v>126</v>
      </c>
      <c r="K38" s="5" t="s">
        <v>108</v>
      </c>
    </row>
    <row r="39" spans="1:11" ht="15.75">
      <c r="A39" s="6" t="s">
        <v>111</v>
      </c>
      <c r="B39" s="7">
        <v>1038</v>
      </c>
      <c r="C39" s="5">
        <v>2499</v>
      </c>
      <c r="D39" s="5" t="s">
        <v>99</v>
      </c>
      <c r="E39" s="8">
        <v>6.2</v>
      </c>
      <c r="F39" s="8">
        <v>9.1999999999999993</v>
      </c>
      <c r="G39" s="8">
        <f t="shared" si="2"/>
        <v>2.9999999999999991</v>
      </c>
      <c r="H39" s="8">
        <f t="shared" si="3"/>
        <v>0.29999999999999993</v>
      </c>
      <c r="I39" s="5" t="s">
        <v>125</v>
      </c>
      <c r="J39" s="5" t="s">
        <v>126</v>
      </c>
      <c r="K39" s="5" t="s">
        <v>108</v>
      </c>
    </row>
    <row r="40" spans="1:11" ht="15.75">
      <c r="A40" s="6" t="s">
        <v>111</v>
      </c>
      <c r="B40" s="7">
        <v>1039</v>
      </c>
      <c r="C40" s="5">
        <v>2877</v>
      </c>
      <c r="D40" s="5" t="s">
        <v>97</v>
      </c>
      <c r="E40" s="8">
        <v>11.4</v>
      </c>
      <c r="F40" s="8">
        <v>16.3</v>
      </c>
      <c r="G40" s="8">
        <f t="shared" si="2"/>
        <v>4.9000000000000004</v>
      </c>
      <c r="H40" s="8">
        <f t="shared" si="3"/>
        <v>0.49000000000000005</v>
      </c>
      <c r="I40" s="5" t="s">
        <v>125</v>
      </c>
      <c r="J40" s="5" t="s">
        <v>126</v>
      </c>
      <c r="K40" s="5" t="s">
        <v>98</v>
      </c>
    </row>
    <row r="41" spans="1:11" ht="15.75">
      <c r="A41" s="6" t="s">
        <v>111</v>
      </c>
      <c r="B41" s="7">
        <v>1040</v>
      </c>
      <c r="C41" s="5">
        <v>1109</v>
      </c>
      <c r="D41" s="5" t="s">
        <v>102</v>
      </c>
      <c r="E41" s="8">
        <v>3</v>
      </c>
      <c r="F41" s="8">
        <v>8</v>
      </c>
      <c r="G41" s="8">
        <f t="shared" si="2"/>
        <v>5</v>
      </c>
      <c r="H41" s="8">
        <f t="shared" si="3"/>
        <v>0.5</v>
      </c>
      <c r="I41" s="5" t="s">
        <v>125</v>
      </c>
      <c r="J41" s="5" t="s">
        <v>126</v>
      </c>
      <c r="K41" s="5" t="s">
        <v>100</v>
      </c>
    </row>
    <row r="42" spans="1:11" ht="15.75">
      <c r="A42" s="6" t="s">
        <v>111</v>
      </c>
      <c r="B42" s="7">
        <v>1041</v>
      </c>
      <c r="C42" s="5">
        <v>2499</v>
      </c>
      <c r="D42" s="5" t="s">
        <v>99</v>
      </c>
      <c r="E42" s="8">
        <v>6.2</v>
      </c>
      <c r="F42" s="8">
        <v>9.1999999999999993</v>
      </c>
      <c r="G42" s="8">
        <f t="shared" si="2"/>
        <v>2.9999999999999991</v>
      </c>
      <c r="H42" s="8">
        <f t="shared" si="3"/>
        <v>0.29999999999999993</v>
      </c>
      <c r="I42" s="5" t="s">
        <v>123</v>
      </c>
      <c r="J42" s="5" t="s">
        <v>124</v>
      </c>
      <c r="K42" s="5" t="s">
        <v>96</v>
      </c>
    </row>
    <row r="43" spans="1:11" ht="15.75">
      <c r="A43" s="6" t="s">
        <v>111</v>
      </c>
      <c r="B43" s="7">
        <v>1042</v>
      </c>
      <c r="C43" s="5">
        <v>8722</v>
      </c>
      <c r="D43" s="5" t="s">
        <v>101</v>
      </c>
      <c r="E43" s="8">
        <v>344</v>
      </c>
      <c r="F43" s="8">
        <v>502</v>
      </c>
      <c r="G43" s="8">
        <f t="shared" si="2"/>
        <v>158</v>
      </c>
      <c r="H43" s="8">
        <f t="shared" si="3"/>
        <v>31.6</v>
      </c>
      <c r="I43" s="5" t="s">
        <v>127</v>
      </c>
      <c r="J43" s="5" t="s">
        <v>5</v>
      </c>
      <c r="K43" s="5" t="s">
        <v>96</v>
      </c>
    </row>
    <row r="44" spans="1:11" ht="15.75">
      <c r="A44" s="6" t="s">
        <v>111</v>
      </c>
      <c r="B44" s="7">
        <v>1043</v>
      </c>
      <c r="C44" s="5">
        <v>2242</v>
      </c>
      <c r="D44" s="5" t="s">
        <v>107</v>
      </c>
      <c r="E44" s="8">
        <v>60</v>
      </c>
      <c r="F44" s="8">
        <v>124</v>
      </c>
      <c r="G44" s="8">
        <f t="shared" si="2"/>
        <v>64</v>
      </c>
      <c r="H44" s="8">
        <f t="shared" si="3"/>
        <v>12.8</v>
      </c>
      <c r="I44" s="5" t="s">
        <v>127</v>
      </c>
      <c r="J44" s="5" t="s">
        <v>5</v>
      </c>
      <c r="K44" s="5" t="s">
        <v>98</v>
      </c>
    </row>
    <row r="45" spans="1:11" ht="15.75">
      <c r="A45" s="6" t="s">
        <v>111</v>
      </c>
      <c r="B45" s="7">
        <v>1044</v>
      </c>
      <c r="C45" s="5">
        <v>2877</v>
      </c>
      <c r="D45" s="5" t="s">
        <v>97</v>
      </c>
      <c r="E45" s="8">
        <v>11.4</v>
      </c>
      <c r="F45" s="8">
        <v>16.3</v>
      </c>
      <c r="G45" s="8">
        <f t="shared" si="2"/>
        <v>4.9000000000000004</v>
      </c>
      <c r="H45" s="8">
        <f t="shared" si="3"/>
        <v>0.49000000000000005</v>
      </c>
      <c r="I45" s="5" t="s">
        <v>127</v>
      </c>
      <c r="J45" s="5" t="s">
        <v>5</v>
      </c>
      <c r="K45" s="5" t="s">
        <v>98</v>
      </c>
    </row>
    <row r="46" spans="1:11" ht="15.75">
      <c r="A46" s="6" t="s">
        <v>111</v>
      </c>
      <c r="B46" s="7">
        <v>1045</v>
      </c>
      <c r="C46" s="5">
        <v>8722</v>
      </c>
      <c r="D46" s="5" t="s">
        <v>101</v>
      </c>
      <c r="E46" s="8">
        <v>344</v>
      </c>
      <c r="F46" s="8">
        <v>502</v>
      </c>
      <c r="G46" s="8">
        <f t="shared" si="2"/>
        <v>158</v>
      </c>
      <c r="H46" s="8">
        <f t="shared" si="3"/>
        <v>31.6</v>
      </c>
      <c r="I46" s="5" t="s">
        <v>128</v>
      </c>
      <c r="J46" s="5" t="s">
        <v>7</v>
      </c>
      <c r="K46" s="5" t="s">
        <v>100</v>
      </c>
    </row>
    <row r="47" spans="1:11" ht="15.75">
      <c r="A47" s="6" t="s">
        <v>111</v>
      </c>
      <c r="B47" s="7">
        <v>1046</v>
      </c>
      <c r="C47" s="5">
        <v>6119</v>
      </c>
      <c r="D47" s="5" t="s">
        <v>110</v>
      </c>
      <c r="E47" s="8">
        <v>9</v>
      </c>
      <c r="F47" s="8">
        <v>14</v>
      </c>
      <c r="G47" s="8">
        <f t="shared" si="2"/>
        <v>5</v>
      </c>
      <c r="H47" s="8">
        <f t="shared" si="3"/>
        <v>0.5</v>
      </c>
      <c r="I47" s="5" t="s">
        <v>125</v>
      </c>
      <c r="J47" s="5" t="s">
        <v>126</v>
      </c>
      <c r="K47" s="5" t="s">
        <v>109</v>
      </c>
    </row>
    <row r="48" spans="1:11" ht="15.75">
      <c r="A48" s="6" t="s">
        <v>111</v>
      </c>
      <c r="B48" s="7">
        <v>1047</v>
      </c>
      <c r="C48" s="5">
        <v>6622</v>
      </c>
      <c r="D48" s="5" t="s">
        <v>112</v>
      </c>
      <c r="E48" s="8">
        <v>42</v>
      </c>
      <c r="F48" s="8">
        <v>77</v>
      </c>
      <c r="G48" s="8">
        <f t="shared" si="2"/>
        <v>35</v>
      </c>
      <c r="H48" s="8">
        <f t="shared" si="3"/>
        <v>7</v>
      </c>
      <c r="I48" s="5" t="s">
        <v>128</v>
      </c>
      <c r="J48" s="5" t="s">
        <v>7</v>
      </c>
      <c r="K48" s="5" t="s">
        <v>100</v>
      </c>
    </row>
    <row r="49" spans="1:11" ht="15.75">
      <c r="A49" s="6" t="s">
        <v>111</v>
      </c>
      <c r="B49" s="7">
        <v>1048</v>
      </c>
      <c r="C49" s="5">
        <v>8722</v>
      </c>
      <c r="D49" s="5" t="s">
        <v>101</v>
      </c>
      <c r="E49" s="8">
        <v>344</v>
      </c>
      <c r="F49" s="8">
        <v>502</v>
      </c>
      <c r="G49" s="8">
        <f t="shared" si="2"/>
        <v>158</v>
      </c>
      <c r="H49" s="8">
        <f t="shared" si="3"/>
        <v>31.6</v>
      </c>
      <c r="I49" s="5" t="s">
        <v>123</v>
      </c>
      <c r="J49" s="5" t="s">
        <v>124</v>
      </c>
      <c r="K49" s="5" t="s">
        <v>100</v>
      </c>
    </row>
    <row r="50" spans="1:11" ht="15.75">
      <c r="A50" s="6" t="s">
        <v>113</v>
      </c>
      <c r="B50" s="7">
        <v>1049</v>
      </c>
      <c r="C50" s="5">
        <v>2499</v>
      </c>
      <c r="D50" s="5" t="s">
        <v>99</v>
      </c>
      <c r="E50" s="8">
        <v>6.2</v>
      </c>
      <c r="F50" s="8">
        <v>9.1999999999999993</v>
      </c>
      <c r="G50" s="8">
        <f t="shared" si="2"/>
        <v>2.9999999999999991</v>
      </c>
      <c r="H50" s="8">
        <f t="shared" si="3"/>
        <v>0.29999999999999993</v>
      </c>
      <c r="I50" s="5" t="s">
        <v>123</v>
      </c>
      <c r="J50" s="5" t="s">
        <v>124</v>
      </c>
      <c r="K50" s="5" t="s">
        <v>103</v>
      </c>
    </row>
    <row r="51" spans="1:11" ht="15.75">
      <c r="A51" s="6" t="s">
        <v>113</v>
      </c>
      <c r="B51" s="7">
        <v>1050</v>
      </c>
      <c r="C51" s="5">
        <v>2877</v>
      </c>
      <c r="D51" s="5" t="s">
        <v>97</v>
      </c>
      <c r="E51" s="8">
        <v>11.4</v>
      </c>
      <c r="F51" s="8">
        <v>16.3</v>
      </c>
      <c r="G51" s="8">
        <f t="shared" si="2"/>
        <v>4.9000000000000004</v>
      </c>
      <c r="H51" s="8">
        <f t="shared" si="3"/>
        <v>0.49000000000000005</v>
      </c>
      <c r="I51" s="5" t="s">
        <v>123</v>
      </c>
      <c r="J51" s="5" t="s">
        <v>124</v>
      </c>
      <c r="K51" s="5" t="s">
        <v>100</v>
      </c>
    </row>
    <row r="52" spans="1:11" ht="15.75">
      <c r="A52" s="6" t="s">
        <v>113</v>
      </c>
      <c r="B52" s="7">
        <v>1051</v>
      </c>
      <c r="C52" s="5">
        <v>6119</v>
      </c>
      <c r="D52" s="5" t="s">
        <v>110</v>
      </c>
      <c r="E52" s="8">
        <v>9</v>
      </c>
      <c r="F52" s="8">
        <v>14</v>
      </c>
      <c r="G52" s="8">
        <f t="shared" si="2"/>
        <v>5</v>
      </c>
      <c r="H52" s="8">
        <f t="shared" si="3"/>
        <v>0.5</v>
      </c>
      <c r="I52" s="5" t="s">
        <v>127</v>
      </c>
      <c r="J52" s="5" t="s">
        <v>5</v>
      </c>
      <c r="K52" s="5" t="s">
        <v>109</v>
      </c>
    </row>
    <row r="53" spans="1:11" ht="15.75">
      <c r="A53" s="6" t="s">
        <v>113</v>
      </c>
      <c r="B53" s="7">
        <v>1052</v>
      </c>
      <c r="C53" s="5">
        <v>6622</v>
      </c>
      <c r="D53" s="5" t="s">
        <v>112</v>
      </c>
      <c r="E53" s="8">
        <v>42</v>
      </c>
      <c r="F53" s="8">
        <v>77</v>
      </c>
      <c r="G53" s="8">
        <f t="shared" si="2"/>
        <v>35</v>
      </c>
      <c r="H53" s="8">
        <f t="shared" si="3"/>
        <v>7</v>
      </c>
      <c r="I53" s="5" t="s">
        <v>127</v>
      </c>
      <c r="J53" s="5" t="s">
        <v>5</v>
      </c>
      <c r="K53" s="5" t="s">
        <v>100</v>
      </c>
    </row>
    <row r="54" spans="1:11" ht="15.75">
      <c r="A54" s="6" t="s">
        <v>113</v>
      </c>
      <c r="B54" s="7">
        <v>1053</v>
      </c>
      <c r="C54" s="5">
        <v>2242</v>
      </c>
      <c r="D54" s="5" t="s">
        <v>107</v>
      </c>
      <c r="E54" s="8">
        <v>60</v>
      </c>
      <c r="F54" s="8">
        <v>124</v>
      </c>
      <c r="G54" s="8">
        <f t="shared" si="2"/>
        <v>64</v>
      </c>
      <c r="H54" s="8">
        <f t="shared" si="3"/>
        <v>12.8</v>
      </c>
      <c r="I54" s="5" t="s">
        <v>123</v>
      </c>
      <c r="J54" s="5" t="s">
        <v>124</v>
      </c>
      <c r="K54" s="5" t="s">
        <v>98</v>
      </c>
    </row>
    <row r="55" spans="1:11" ht="15.75">
      <c r="A55" s="6" t="s">
        <v>113</v>
      </c>
      <c r="B55" s="7">
        <v>1054</v>
      </c>
      <c r="C55" s="5">
        <v>4421</v>
      </c>
      <c r="D55" s="5" t="s">
        <v>104</v>
      </c>
      <c r="E55" s="8">
        <v>45</v>
      </c>
      <c r="F55" s="8">
        <v>87</v>
      </c>
      <c r="G55" s="8">
        <f t="shared" si="2"/>
        <v>42</v>
      </c>
      <c r="H55" s="8">
        <f t="shared" si="3"/>
        <v>8.4</v>
      </c>
      <c r="I55" s="5" t="s">
        <v>127</v>
      </c>
      <c r="J55" s="5" t="s">
        <v>5</v>
      </c>
      <c r="K55" s="5" t="s">
        <v>108</v>
      </c>
    </row>
    <row r="56" spans="1:11" ht="15.75">
      <c r="A56" s="6" t="s">
        <v>113</v>
      </c>
      <c r="B56" s="7">
        <v>1055</v>
      </c>
      <c r="C56" s="5">
        <v>6119</v>
      </c>
      <c r="D56" s="5" t="s">
        <v>110</v>
      </c>
      <c r="E56" s="8">
        <v>9</v>
      </c>
      <c r="F56" s="8">
        <v>14</v>
      </c>
      <c r="G56" s="8">
        <f t="shared" si="2"/>
        <v>5</v>
      </c>
      <c r="H56" s="8">
        <f t="shared" si="3"/>
        <v>0.5</v>
      </c>
      <c r="I56" s="5" t="s">
        <v>125</v>
      </c>
      <c r="J56" s="5" t="s">
        <v>126</v>
      </c>
      <c r="K56" s="5" t="s">
        <v>108</v>
      </c>
    </row>
    <row r="57" spans="1:11" ht="15.75">
      <c r="A57" s="6" t="s">
        <v>113</v>
      </c>
      <c r="B57" s="7">
        <v>1056</v>
      </c>
      <c r="C57" s="5">
        <v>1109</v>
      </c>
      <c r="D57" s="5" t="s">
        <v>102</v>
      </c>
      <c r="E57" s="8">
        <v>3</v>
      </c>
      <c r="F57" s="8">
        <v>8</v>
      </c>
      <c r="G57" s="8">
        <f t="shared" si="2"/>
        <v>5</v>
      </c>
      <c r="H57" s="8">
        <f t="shared" si="3"/>
        <v>0.5</v>
      </c>
      <c r="I57" s="5" t="s">
        <v>127</v>
      </c>
      <c r="J57" s="5" t="s">
        <v>5</v>
      </c>
      <c r="K57" s="5" t="s">
        <v>98</v>
      </c>
    </row>
    <row r="58" spans="1:11" ht="15.75">
      <c r="A58" s="6" t="s">
        <v>113</v>
      </c>
      <c r="B58" s="7">
        <v>1057</v>
      </c>
      <c r="C58" s="5">
        <v>2499</v>
      </c>
      <c r="D58" s="5" t="s">
        <v>99</v>
      </c>
      <c r="E58" s="8">
        <v>6.2</v>
      </c>
      <c r="F58" s="8">
        <v>9.1999999999999993</v>
      </c>
      <c r="G58" s="8">
        <f t="shared" si="2"/>
        <v>2.9999999999999991</v>
      </c>
      <c r="H58" s="8">
        <f t="shared" si="3"/>
        <v>0.29999999999999993</v>
      </c>
      <c r="I58" s="5" t="s">
        <v>125</v>
      </c>
      <c r="J58" s="5" t="s">
        <v>126</v>
      </c>
      <c r="K58" s="5" t="s">
        <v>98</v>
      </c>
    </row>
    <row r="59" spans="1:11" ht="15.75">
      <c r="A59" s="6" t="s">
        <v>113</v>
      </c>
      <c r="B59" s="7">
        <v>1058</v>
      </c>
      <c r="C59" s="5">
        <v>6119</v>
      </c>
      <c r="D59" s="5" t="s">
        <v>110</v>
      </c>
      <c r="E59" s="8">
        <v>9</v>
      </c>
      <c r="F59" s="8">
        <v>14</v>
      </c>
      <c r="G59" s="8">
        <f t="shared" si="2"/>
        <v>5</v>
      </c>
      <c r="H59" s="8">
        <f t="shared" si="3"/>
        <v>0.5</v>
      </c>
      <c r="I59" s="5" t="s">
        <v>128</v>
      </c>
      <c r="J59" s="5" t="s">
        <v>7</v>
      </c>
      <c r="K59" s="5" t="s">
        <v>100</v>
      </c>
    </row>
    <row r="60" spans="1:11" ht="15.75">
      <c r="A60" s="6" t="s">
        <v>113</v>
      </c>
      <c r="B60" s="7">
        <v>1059</v>
      </c>
      <c r="C60" s="5">
        <v>2242</v>
      </c>
      <c r="D60" s="5" t="s">
        <v>107</v>
      </c>
      <c r="E60" s="8">
        <v>60</v>
      </c>
      <c r="F60" s="8">
        <v>124</v>
      </c>
      <c r="G60" s="8">
        <f t="shared" si="2"/>
        <v>64</v>
      </c>
      <c r="H60" s="8">
        <f t="shared" si="3"/>
        <v>12.8</v>
      </c>
      <c r="I60" s="5" t="s">
        <v>127</v>
      </c>
      <c r="J60" s="5" t="s">
        <v>5</v>
      </c>
      <c r="K60" s="5" t="s">
        <v>100</v>
      </c>
    </row>
    <row r="61" spans="1:11" ht="15.75">
      <c r="A61" s="6" t="s">
        <v>113</v>
      </c>
      <c r="B61" s="7">
        <v>1060</v>
      </c>
      <c r="C61" s="5">
        <v>6119</v>
      </c>
      <c r="D61" s="5" t="s">
        <v>110</v>
      </c>
      <c r="E61" s="8">
        <v>9</v>
      </c>
      <c r="F61" s="8">
        <v>14</v>
      </c>
      <c r="G61" s="8">
        <f t="shared" si="2"/>
        <v>5</v>
      </c>
      <c r="H61" s="8">
        <f t="shared" si="3"/>
        <v>0.5</v>
      </c>
      <c r="I61" s="5" t="s">
        <v>127</v>
      </c>
      <c r="J61" s="5" t="s">
        <v>5</v>
      </c>
      <c r="K61" s="5" t="s">
        <v>108</v>
      </c>
    </row>
    <row r="62" spans="1:11" ht="15.75">
      <c r="A62" s="6" t="s">
        <v>114</v>
      </c>
      <c r="B62" s="7">
        <v>1061</v>
      </c>
      <c r="C62" s="5">
        <v>1109</v>
      </c>
      <c r="D62" s="5" t="s">
        <v>102</v>
      </c>
      <c r="E62" s="8">
        <v>3</v>
      </c>
      <c r="F62" s="8">
        <v>8</v>
      </c>
      <c r="G62" s="8">
        <f t="shared" si="2"/>
        <v>5</v>
      </c>
      <c r="H62" s="8">
        <f t="shared" si="3"/>
        <v>0.5</v>
      </c>
      <c r="I62" s="5" t="s">
        <v>127</v>
      </c>
      <c r="J62" s="5" t="s">
        <v>5</v>
      </c>
      <c r="K62" s="5" t="s">
        <v>108</v>
      </c>
    </row>
    <row r="63" spans="1:11" ht="15.75">
      <c r="A63" s="6" t="s">
        <v>114</v>
      </c>
      <c r="B63" s="7">
        <v>1062</v>
      </c>
      <c r="C63" s="5">
        <v>2499</v>
      </c>
      <c r="D63" s="5" t="s">
        <v>99</v>
      </c>
      <c r="E63" s="8">
        <v>6.2</v>
      </c>
      <c r="F63" s="8">
        <v>9.1999999999999993</v>
      </c>
      <c r="G63" s="8">
        <f t="shared" si="2"/>
        <v>2.9999999999999991</v>
      </c>
      <c r="H63" s="8">
        <f t="shared" si="3"/>
        <v>0.29999999999999993</v>
      </c>
      <c r="I63" s="5" t="s">
        <v>123</v>
      </c>
      <c r="J63" s="5" t="s">
        <v>124</v>
      </c>
      <c r="K63" s="5" t="s">
        <v>100</v>
      </c>
    </row>
    <row r="64" spans="1:11" ht="15.75">
      <c r="A64" s="6" t="s">
        <v>114</v>
      </c>
      <c r="B64" s="7">
        <v>1063</v>
      </c>
      <c r="C64" s="5">
        <v>1109</v>
      </c>
      <c r="D64" s="5" t="s">
        <v>102</v>
      </c>
      <c r="E64" s="8">
        <v>3</v>
      </c>
      <c r="F64" s="8">
        <v>8</v>
      </c>
      <c r="G64" s="8">
        <f t="shared" si="2"/>
        <v>5</v>
      </c>
      <c r="H64" s="8">
        <f t="shared" si="3"/>
        <v>0.5</v>
      </c>
      <c r="I64" s="5" t="s">
        <v>127</v>
      </c>
      <c r="J64" s="5" t="s">
        <v>5</v>
      </c>
      <c r="K64" s="5" t="s">
        <v>98</v>
      </c>
    </row>
    <row r="65" spans="1:11" ht="15.75">
      <c r="A65" s="6" t="s">
        <v>114</v>
      </c>
      <c r="B65" s="7">
        <v>1064</v>
      </c>
      <c r="C65" s="5">
        <v>2499</v>
      </c>
      <c r="D65" s="5" t="s">
        <v>99</v>
      </c>
      <c r="E65" s="8">
        <v>6.2</v>
      </c>
      <c r="F65" s="8">
        <v>9.1999999999999993</v>
      </c>
      <c r="G65" s="8">
        <f t="shared" si="2"/>
        <v>2.9999999999999991</v>
      </c>
      <c r="H65" s="8">
        <f t="shared" si="3"/>
        <v>0.29999999999999993</v>
      </c>
      <c r="I65" s="5" t="s">
        <v>128</v>
      </c>
      <c r="J65" s="5" t="s">
        <v>7</v>
      </c>
      <c r="K65" s="5" t="s">
        <v>100</v>
      </c>
    </row>
    <row r="66" spans="1:11" ht="15.75">
      <c r="A66" s="6" t="s">
        <v>114</v>
      </c>
      <c r="B66" s="7">
        <v>1065</v>
      </c>
      <c r="C66" s="5">
        <v>2499</v>
      </c>
      <c r="D66" s="5" t="s">
        <v>99</v>
      </c>
      <c r="E66" s="8">
        <v>6.2</v>
      </c>
      <c r="F66" s="8">
        <v>9.1999999999999993</v>
      </c>
      <c r="G66" s="8">
        <f t="shared" ref="G66:G97" si="4">F66-E66</f>
        <v>2.9999999999999991</v>
      </c>
      <c r="H66" s="8">
        <f t="shared" ref="H66:H97" si="5">IF(F66&gt;50, G66*0.2,G66*0.1)</f>
        <v>0.29999999999999993</v>
      </c>
      <c r="I66" s="5" t="s">
        <v>127</v>
      </c>
      <c r="J66" s="5" t="s">
        <v>5</v>
      </c>
      <c r="K66" s="5" t="s">
        <v>96</v>
      </c>
    </row>
    <row r="67" spans="1:11" ht="15.75">
      <c r="A67" s="6" t="s">
        <v>114</v>
      </c>
      <c r="B67" s="7">
        <v>1066</v>
      </c>
      <c r="C67" s="5">
        <v>2877</v>
      </c>
      <c r="D67" s="5" t="s">
        <v>97</v>
      </c>
      <c r="E67" s="8">
        <v>11.4</v>
      </c>
      <c r="F67" s="8">
        <v>16.3</v>
      </c>
      <c r="G67" s="8">
        <f t="shared" si="4"/>
        <v>4.9000000000000004</v>
      </c>
      <c r="H67" s="8">
        <f t="shared" si="5"/>
        <v>0.49000000000000005</v>
      </c>
      <c r="I67" s="5" t="s">
        <v>127</v>
      </c>
      <c r="J67" s="5" t="s">
        <v>5</v>
      </c>
      <c r="K67" s="5" t="s">
        <v>108</v>
      </c>
    </row>
    <row r="68" spans="1:11" ht="15.75">
      <c r="A68" s="6" t="s">
        <v>114</v>
      </c>
      <c r="B68" s="7">
        <v>1067</v>
      </c>
      <c r="C68" s="5">
        <v>2877</v>
      </c>
      <c r="D68" s="5" t="s">
        <v>97</v>
      </c>
      <c r="E68" s="8">
        <v>11.4</v>
      </c>
      <c r="F68" s="8">
        <v>16.3</v>
      </c>
      <c r="G68" s="8">
        <f t="shared" si="4"/>
        <v>4.9000000000000004</v>
      </c>
      <c r="H68" s="8">
        <f t="shared" si="5"/>
        <v>0.49000000000000005</v>
      </c>
      <c r="I68" s="5" t="s">
        <v>127</v>
      </c>
      <c r="J68" s="5" t="s">
        <v>5</v>
      </c>
      <c r="K68" s="5" t="s">
        <v>109</v>
      </c>
    </row>
    <row r="69" spans="1:11" ht="15.75">
      <c r="A69" s="6" t="s">
        <v>114</v>
      </c>
      <c r="B69" s="7">
        <v>1068</v>
      </c>
      <c r="C69" s="5">
        <v>6119</v>
      </c>
      <c r="D69" s="5" t="s">
        <v>110</v>
      </c>
      <c r="E69" s="8">
        <v>9</v>
      </c>
      <c r="F69" s="8">
        <v>14</v>
      </c>
      <c r="G69" s="8">
        <f t="shared" si="4"/>
        <v>5</v>
      </c>
      <c r="H69" s="8">
        <f t="shared" si="5"/>
        <v>0.5</v>
      </c>
      <c r="I69" s="5" t="s">
        <v>125</v>
      </c>
      <c r="J69" s="5" t="s">
        <v>126</v>
      </c>
      <c r="K69" s="5" t="s">
        <v>98</v>
      </c>
    </row>
    <row r="70" spans="1:11" ht="15.75">
      <c r="A70" s="6" t="s">
        <v>114</v>
      </c>
      <c r="B70" s="7">
        <v>1069</v>
      </c>
      <c r="C70" s="5">
        <v>1109</v>
      </c>
      <c r="D70" s="5" t="s">
        <v>102</v>
      </c>
      <c r="E70" s="8">
        <v>3</v>
      </c>
      <c r="F70" s="8">
        <v>8</v>
      </c>
      <c r="G70" s="8">
        <f t="shared" si="4"/>
        <v>5</v>
      </c>
      <c r="H70" s="8">
        <f t="shared" si="5"/>
        <v>0.5</v>
      </c>
      <c r="I70" s="5" t="s">
        <v>127</v>
      </c>
      <c r="J70" s="5" t="s">
        <v>5</v>
      </c>
      <c r="K70" s="5" t="s">
        <v>100</v>
      </c>
    </row>
    <row r="71" spans="1:11" ht="15.75">
      <c r="A71" s="6" t="s">
        <v>114</v>
      </c>
      <c r="B71" s="7">
        <v>1070</v>
      </c>
      <c r="C71" s="5">
        <v>2499</v>
      </c>
      <c r="D71" s="5" t="s">
        <v>99</v>
      </c>
      <c r="E71" s="8">
        <v>6.2</v>
      </c>
      <c r="F71" s="8">
        <v>9.1999999999999993</v>
      </c>
      <c r="G71" s="8">
        <f t="shared" si="4"/>
        <v>2.9999999999999991</v>
      </c>
      <c r="H71" s="8">
        <f t="shared" si="5"/>
        <v>0.29999999999999993</v>
      </c>
      <c r="I71" s="5" t="s">
        <v>128</v>
      </c>
      <c r="J71" s="5" t="s">
        <v>7</v>
      </c>
      <c r="K71" s="5" t="s">
        <v>100</v>
      </c>
    </row>
    <row r="72" spans="1:11" ht="15.75">
      <c r="A72" s="6" t="s">
        <v>114</v>
      </c>
      <c r="B72" s="7">
        <v>1071</v>
      </c>
      <c r="C72" s="5">
        <v>1109</v>
      </c>
      <c r="D72" s="5" t="s">
        <v>102</v>
      </c>
      <c r="E72" s="8">
        <v>3</v>
      </c>
      <c r="F72" s="8">
        <v>8</v>
      </c>
      <c r="G72" s="8">
        <f t="shared" si="4"/>
        <v>5</v>
      </c>
      <c r="H72" s="8">
        <f t="shared" si="5"/>
        <v>0.5</v>
      </c>
      <c r="I72" s="5" t="s">
        <v>123</v>
      </c>
      <c r="J72" s="5" t="s">
        <v>124</v>
      </c>
      <c r="K72" s="5" t="s">
        <v>100</v>
      </c>
    </row>
    <row r="73" spans="1:11" ht="15.75">
      <c r="A73" s="6" t="s">
        <v>114</v>
      </c>
      <c r="B73" s="7">
        <v>1072</v>
      </c>
      <c r="C73" s="5">
        <v>1109</v>
      </c>
      <c r="D73" s="5" t="s">
        <v>102</v>
      </c>
      <c r="E73" s="8">
        <v>3</v>
      </c>
      <c r="F73" s="8">
        <v>8</v>
      </c>
      <c r="G73" s="8">
        <f t="shared" si="4"/>
        <v>5</v>
      </c>
      <c r="H73" s="8">
        <f t="shared" si="5"/>
        <v>0.5</v>
      </c>
      <c r="I73" s="5" t="s">
        <v>127</v>
      </c>
      <c r="J73" s="5" t="s">
        <v>5</v>
      </c>
      <c r="K73" s="5" t="s">
        <v>108</v>
      </c>
    </row>
    <row r="74" spans="1:11" ht="15.75">
      <c r="A74" s="6" t="s">
        <v>114</v>
      </c>
      <c r="B74" s="7">
        <v>1073</v>
      </c>
      <c r="C74" s="5">
        <v>6622</v>
      </c>
      <c r="D74" s="5" t="s">
        <v>112</v>
      </c>
      <c r="E74" s="8">
        <v>42</v>
      </c>
      <c r="F74" s="8">
        <v>77</v>
      </c>
      <c r="G74" s="8">
        <f t="shared" si="4"/>
        <v>35</v>
      </c>
      <c r="H74" s="8">
        <f t="shared" si="5"/>
        <v>7</v>
      </c>
      <c r="I74" s="5" t="s">
        <v>127</v>
      </c>
      <c r="J74" s="5" t="s">
        <v>5</v>
      </c>
      <c r="K74" s="5" t="s">
        <v>98</v>
      </c>
    </row>
    <row r="75" spans="1:11" ht="15.75">
      <c r="A75" s="6" t="s">
        <v>114</v>
      </c>
      <c r="B75" s="7">
        <v>1074</v>
      </c>
      <c r="C75" s="5">
        <v>2877</v>
      </c>
      <c r="D75" s="5" t="s">
        <v>97</v>
      </c>
      <c r="E75" s="8">
        <v>11.4</v>
      </c>
      <c r="F75" s="8">
        <v>16.3</v>
      </c>
      <c r="G75" s="8">
        <f t="shared" si="4"/>
        <v>4.9000000000000004</v>
      </c>
      <c r="H75" s="8">
        <f t="shared" si="5"/>
        <v>0.49000000000000005</v>
      </c>
      <c r="I75" s="5" t="s">
        <v>127</v>
      </c>
      <c r="J75" s="5" t="s">
        <v>5</v>
      </c>
      <c r="K75" s="5" t="s">
        <v>100</v>
      </c>
    </row>
    <row r="76" spans="1:11" ht="15.75">
      <c r="A76" s="6" t="s">
        <v>114</v>
      </c>
      <c r="B76" s="7">
        <v>1075</v>
      </c>
      <c r="C76" s="5">
        <v>1109</v>
      </c>
      <c r="D76" s="5" t="s">
        <v>102</v>
      </c>
      <c r="E76" s="8">
        <v>3</v>
      </c>
      <c r="F76" s="8">
        <v>8</v>
      </c>
      <c r="G76" s="8">
        <f t="shared" si="4"/>
        <v>5</v>
      </c>
      <c r="H76" s="8">
        <f t="shared" si="5"/>
        <v>0.5</v>
      </c>
      <c r="I76" s="5" t="s">
        <v>128</v>
      </c>
      <c r="J76" s="5" t="s">
        <v>7</v>
      </c>
      <c r="K76" s="5" t="s">
        <v>98</v>
      </c>
    </row>
    <row r="77" spans="1:11" ht="15.75">
      <c r="A77" s="6" t="s">
        <v>114</v>
      </c>
      <c r="B77" s="7">
        <v>1076</v>
      </c>
      <c r="C77" s="5">
        <v>1109</v>
      </c>
      <c r="D77" s="5" t="s">
        <v>102</v>
      </c>
      <c r="E77" s="8">
        <v>3</v>
      </c>
      <c r="F77" s="8">
        <v>8</v>
      </c>
      <c r="G77" s="8">
        <f t="shared" si="4"/>
        <v>5</v>
      </c>
      <c r="H77" s="8">
        <f t="shared" si="5"/>
        <v>0.5</v>
      </c>
      <c r="I77" s="5" t="s">
        <v>125</v>
      </c>
      <c r="J77" s="5" t="s">
        <v>126</v>
      </c>
      <c r="K77" s="5" t="s">
        <v>100</v>
      </c>
    </row>
    <row r="78" spans="1:11" ht="15.75">
      <c r="A78" s="6" t="s">
        <v>114</v>
      </c>
      <c r="B78" s="7">
        <v>1077</v>
      </c>
      <c r="C78" s="5">
        <v>9822</v>
      </c>
      <c r="D78" s="5" t="s">
        <v>95</v>
      </c>
      <c r="E78" s="8">
        <v>58.3</v>
      </c>
      <c r="F78" s="8">
        <v>98.4</v>
      </c>
      <c r="G78" s="8">
        <f t="shared" si="4"/>
        <v>40.100000000000009</v>
      </c>
      <c r="H78" s="8">
        <f t="shared" si="5"/>
        <v>8.0200000000000014</v>
      </c>
      <c r="I78" s="5" t="s">
        <v>128</v>
      </c>
      <c r="J78" s="5" t="s">
        <v>7</v>
      </c>
      <c r="K78" s="5" t="s">
        <v>100</v>
      </c>
    </row>
    <row r="79" spans="1:11" ht="15.75">
      <c r="A79" s="6" t="s">
        <v>114</v>
      </c>
      <c r="B79" s="7">
        <v>1078</v>
      </c>
      <c r="C79" s="5">
        <v>2877</v>
      </c>
      <c r="D79" s="5" t="s">
        <v>97</v>
      </c>
      <c r="E79" s="8">
        <v>11.4</v>
      </c>
      <c r="F79" s="8">
        <v>16.3</v>
      </c>
      <c r="G79" s="8">
        <f t="shared" si="4"/>
        <v>4.9000000000000004</v>
      </c>
      <c r="H79" s="8">
        <f t="shared" si="5"/>
        <v>0.49000000000000005</v>
      </c>
      <c r="I79" s="5" t="s">
        <v>125</v>
      </c>
      <c r="J79" s="5" t="s">
        <v>126</v>
      </c>
      <c r="K79" s="5" t="s">
        <v>108</v>
      </c>
    </row>
    <row r="80" spans="1:11" ht="15.75">
      <c r="A80" s="6" t="s">
        <v>115</v>
      </c>
      <c r="B80" s="7">
        <v>1079</v>
      </c>
      <c r="C80" s="5">
        <v>2877</v>
      </c>
      <c r="D80" s="5" t="s">
        <v>97</v>
      </c>
      <c r="E80" s="8">
        <v>11.4</v>
      </c>
      <c r="F80" s="8">
        <v>16.3</v>
      </c>
      <c r="G80" s="8">
        <f t="shared" si="4"/>
        <v>4.9000000000000004</v>
      </c>
      <c r="H80" s="8">
        <f t="shared" si="5"/>
        <v>0.49000000000000005</v>
      </c>
      <c r="I80" s="5" t="s">
        <v>125</v>
      </c>
      <c r="J80" s="5" t="s">
        <v>126</v>
      </c>
      <c r="K80" s="5" t="s">
        <v>96</v>
      </c>
    </row>
    <row r="81" spans="1:11" ht="15.75">
      <c r="A81" s="6" t="s">
        <v>115</v>
      </c>
      <c r="B81" s="7">
        <v>1080</v>
      </c>
      <c r="C81" s="5">
        <v>4421</v>
      </c>
      <c r="D81" s="5" t="s">
        <v>104</v>
      </c>
      <c r="E81" s="8">
        <v>45</v>
      </c>
      <c r="F81" s="8">
        <v>87</v>
      </c>
      <c r="G81" s="8">
        <f t="shared" si="4"/>
        <v>42</v>
      </c>
      <c r="H81" s="8">
        <f t="shared" si="5"/>
        <v>8.4</v>
      </c>
      <c r="I81" s="5" t="s">
        <v>127</v>
      </c>
      <c r="J81" s="5" t="s">
        <v>5</v>
      </c>
      <c r="K81" s="5" t="s">
        <v>98</v>
      </c>
    </row>
    <row r="82" spans="1:11" ht="15.75">
      <c r="A82" s="6" t="s">
        <v>115</v>
      </c>
      <c r="B82" s="7">
        <v>1081</v>
      </c>
      <c r="C82" s="5">
        <v>6119</v>
      </c>
      <c r="D82" s="5" t="s">
        <v>110</v>
      </c>
      <c r="E82" s="8">
        <v>9</v>
      </c>
      <c r="F82" s="8">
        <v>14</v>
      </c>
      <c r="G82" s="8">
        <f t="shared" si="4"/>
        <v>5</v>
      </c>
      <c r="H82" s="8">
        <f t="shared" si="5"/>
        <v>0.5</v>
      </c>
      <c r="I82" s="5" t="s">
        <v>127</v>
      </c>
      <c r="J82" s="5" t="s">
        <v>5</v>
      </c>
      <c r="K82" s="5" t="s">
        <v>109</v>
      </c>
    </row>
    <row r="83" spans="1:11" ht="15.75">
      <c r="A83" s="6" t="s">
        <v>115</v>
      </c>
      <c r="B83" s="7">
        <v>1082</v>
      </c>
      <c r="C83" s="5">
        <v>1109</v>
      </c>
      <c r="D83" s="5" t="s">
        <v>102</v>
      </c>
      <c r="E83" s="8">
        <v>3</v>
      </c>
      <c r="F83" s="8">
        <v>8</v>
      </c>
      <c r="G83" s="8">
        <f t="shared" si="4"/>
        <v>5</v>
      </c>
      <c r="H83" s="8">
        <f t="shared" si="5"/>
        <v>0.5</v>
      </c>
      <c r="I83" s="5" t="s">
        <v>123</v>
      </c>
      <c r="J83" s="5" t="s">
        <v>124</v>
      </c>
      <c r="K83" s="5" t="s">
        <v>98</v>
      </c>
    </row>
    <row r="84" spans="1:11" ht="15.75">
      <c r="A84" s="6" t="s">
        <v>115</v>
      </c>
      <c r="B84" s="7">
        <v>1083</v>
      </c>
      <c r="C84" s="5">
        <v>1109</v>
      </c>
      <c r="D84" s="5" t="s">
        <v>102</v>
      </c>
      <c r="E84" s="8">
        <v>3</v>
      </c>
      <c r="F84" s="8">
        <v>8</v>
      </c>
      <c r="G84" s="8">
        <f t="shared" si="4"/>
        <v>5</v>
      </c>
      <c r="H84" s="8">
        <f t="shared" si="5"/>
        <v>0.5</v>
      </c>
      <c r="I84" s="5" t="s">
        <v>123</v>
      </c>
      <c r="J84" s="5" t="s">
        <v>124</v>
      </c>
      <c r="K84" s="5" t="s">
        <v>108</v>
      </c>
    </row>
    <row r="85" spans="1:11" ht="15.75">
      <c r="A85" s="6" t="s">
        <v>115</v>
      </c>
      <c r="B85" s="7">
        <v>1084</v>
      </c>
      <c r="C85" s="5">
        <v>6119</v>
      </c>
      <c r="D85" s="5" t="s">
        <v>110</v>
      </c>
      <c r="E85" s="8">
        <v>9</v>
      </c>
      <c r="F85" s="8">
        <v>14</v>
      </c>
      <c r="G85" s="8">
        <f t="shared" si="4"/>
        <v>5</v>
      </c>
      <c r="H85" s="8">
        <f t="shared" si="5"/>
        <v>0.5</v>
      </c>
      <c r="I85" s="5" t="s">
        <v>123</v>
      </c>
      <c r="J85" s="5" t="s">
        <v>124</v>
      </c>
      <c r="K85" s="5" t="s">
        <v>100</v>
      </c>
    </row>
    <row r="86" spans="1:11" ht="15.75">
      <c r="A86" s="6" t="s">
        <v>115</v>
      </c>
      <c r="B86" s="7">
        <v>1085</v>
      </c>
      <c r="C86" s="5">
        <v>9822</v>
      </c>
      <c r="D86" s="5" t="s">
        <v>95</v>
      </c>
      <c r="E86" s="8">
        <v>58.3</v>
      </c>
      <c r="F86" s="8">
        <v>98.4</v>
      </c>
      <c r="G86" s="8">
        <f t="shared" si="4"/>
        <v>40.100000000000009</v>
      </c>
      <c r="H86" s="8">
        <f t="shared" si="5"/>
        <v>8.0200000000000014</v>
      </c>
      <c r="I86" s="5" t="s">
        <v>127</v>
      </c>
      <c r="J86" s="5" t="s">
        <v>5</v>
      </c>
      <c r="K86" s="5" t="s">
        <v>108</v>
      </c>
    </row>
    <row r="87" spans="1:11" ht="15.75">
      <c r="A87" s="6" t="s">
        <v>115</v>
      </c>
      <c r="B87" s="7">
        <v>1086</v>
      </c>
      <c r="C87" s="5">
        <v>1109</v>
      </c>
      <c r="D87" s="5" t="s">
        <v>102</v>
      </c>
      <c r="E87" s="8">
        <v>3</v>
      </c>
      <c r="F87" s="8">
        <v>8</v>
      </c>
      <c r="G87" s="8">
        <f t="shared" si="4"/>
        <v>5</v>
      </c>
      <c r="H87" s="8">
        <f t="shared" si="5"/>
        <v>0.5</v>
      </c>
      <c r="I87" s="5" t="s">
        <v>128</v>
      </c>
      <c r="J87" s="5" t="s">
        <v>7</v>
      </c>
      <c r="K87" s="5" t="s">
        <v>100</v>
      </c>
    </row>
    <row r="88" spans="1:11" ht="15.75">
      <c r="A88" s="6" t="s">
        <v>115</v>
      </c>
      <c r="B88" s="7">
        <v>1087</v>
      </c>
      <c r="C88" s="5">
        <v>2499</v>
      </c>
      <c r="D88" s="5" t="s">
        <v>99</v>
      </c>
      <c r="E88" s="8">
        <v>6.2</v>
      </c>
      <c r="F88" s="8">
        <v>9.1999999999999993</v>
      </c>
      <c r="G88" s="8">
        <f t="shared" si="4"/>
        <v>2.9999999999999991</v>
      </c>
      <c r="H88" s="8">
        <f t="shared" si="5"/>
        <v>0.29999999999999993</v>
      </c>
      <c r="I88" s="5" t="s">
        <v>123</v>
      </c>
      <c r="J88" s="5" t="s">
        <v>124</v>
      </c>
      <c r="K88" s="5" t="s">
        <v>98</v>
      </c>
    </row>
    <row r="89" spans="1:11" ht="15.75">
      <c r="A89" s="6" t="s">
        <v>115</v>
      </c>
      <c r="B89" s="7">
        <v>1088</v>
      </c>
      <c r="C89" s="5">
        <v>2499</v>
      </c>
      <c r="D89" s="5" t="s">
        <v>99</v>
      </c>
      <c r="E89" s="8">
        <v>6.2</v>
      </c>
      <c r="F89" s="8">
        <v>9.1999999999999993</v>
      </c>
      <c r="G89" s="8">
        <f t="shared" si="4"/>
        <v>2.9999999999999991</v>
      </c>
      <c r="H89" s="8">
        <f t="shared" si="5"/>
        <v>0.29999999999999993</v>
      </c>
      <c r="I89" s="5" t="s">
        <v>123</v>
      </c>
      <c r="J89" s="5" t="s">
        <v>124</v>
      </c>
      <c r="K89" s="5" t="s">
        <v>96</v>
      </c>
    </row>
    <row r="90" spans="1:11" ht="15.75">
      <c r="A90" s="6" t="s">
        <v>115</v>
      </c>
      <c r="B90" s="7">
        <v>1089</v>
      </c>
      <c r="C90" s="5">
        <v>6119</v>
      </c>
      <c r="D90" s="5" t="s">
        <v>110</v>
      </c>
      <c r="E90" s="8">
        <v>9</v>
      </c>
      <c r="F90" s="8">
        <v>14</v>
      </c>
      <c r="G90" s="8">
        <f t="shared" si="4"/>
        <v>5</v>
      </c>
      <c r="H90" s="8">
        <f t="shared" si="5"/>
        <v>0.5</v>
      </c>
      <c r="I90" s="5" t="s">
        <v>127</v>
      </c>
      <c r="J90" s="5" t="s">
        <v>5</v>
      </c>
      <c r="K90" s="5" t="s">
        <v>108</v>
      </c>
    </row>
    <row r="91" spans="1:11" ht="15.75">
      <c r="A91" s="6" t="s">
        <v>115</v>
      </c>
      <c r="B91" s="7">
        <v>1090</v>
      </c>
      <c r="C91" s="5">
        <v>2877</v>
      </c>
      <c r="D91" s="5" t="s">
        <v>97</v>
      </c>
      <c r="E91" s="8">
        <v>11.4</v>
      </c>
      <c r="F91" s="8">
        <v>16.3</v>
      </c>
      <c r="G91" s="8">
        <f t="shared" si="4"/>
        <v>4.9000000000000004</v>
      </c>
      <c r="H91" s="8">
        <f t="shared" si="5"/>
        <v>0.49000000000000005</v>
      </c>
      <c r="I91" s="5" t="s">
        <v>123</v>
      </c>
      <c r="J91" s="5" t="s">
        <v>124</v>
      </c>
      <c r="K91" s="5" t="s">
        <v>98</v>
      </c>
    </row>
    <row r="92" spans="1:11" ht="15.75">
      <c r="A92" s="6" t="s">
        <v>115</v>
      </c>
      <c r="B92" s="7">
        <v>1091</v>
      </c>
      <c r="C92" s="5">
        <v>2877</v>
      </c>
      <c r="D92" s="5" t="s">
        <v>97</v>
      </c>
      <c r="E92" s="8">
        <v>11.4</v>
      </c>
      <c r="F92" s="8">
        <v>16.3</v>
      </c>
      <c r="G92" s="8">
        <f t="shared" si="4"/>
        <v>4.9000000000000004</v>
      </c>
      <c r="H92" s="8">
        <f t="shared" si="5"/>
        <v>0.49000000000000005</v>
      </c>
      <c r="I92" s="5" t="s">
        <v>128</v>
      </c>
      <c r="J92" s="5" t="s">
        <v>7</v>
      </c>
      <c r="K92" s="5" t="s">
        <v>108</v>
      </c>
    </row>
    <row r="93" spans="1:11" ht="15.75">
      <c r="A93" s="6" t="s">
        <v>115</v>
      </c>
      <c r="B93" s="7">
        <v>1092</v>
      </c>
      <c r="C93" s="5">
        <v>2877</v>
      </c>
      <c r="D93" s="5" t="s">
        <v>97</v>
      </c>
      <c r="E93" s="8">
        <v>11.4</v>
      </c>
      <c r="F93" s="8">
        <v>16.3</v>
      </c>
      <c r="G93" s="8">
        <f t="shared" si="4"/>
        <v>4.9000000000000004</v>
      </c>
      <c r="H93" s="8">
        <f t="shared" si="5"/>
        <v>0.49000000000000005</v>
      </c>
      <c r="I93" s="5" t="s">
        <v>127</v>
      </c>
      <c r="J93" s="5" t="s">
        <v>5</v>
      </c>
      <c r="K93" s="5" t="s">
        <v>98</v>
      </c>
    </row>
    <row r="94" spans="1:11" ht="15.75">
      <c r="A94" s="6" t="s">
        <v>115</v>
      </c>
      <c r="B94" s="7">
        <v>1093</v>
      </c>
      <c r="C94" s="5">
        <v>6119</v>
      </c>
      <c r="D94" s="5" t="s">
        <v>110</v>
      </c>
      <c r="E94" s="8">
        <v>9</v>
      </c>
      <c r="F94" s="8">
        <v>14</v>
      </c>
      <c r="G94" s="8">
        <f t="shared" si="4"/>
        <v>5</v>
      </c>
      <c r="H94" s="8">
        <f t="shared" si="5"/>
        <v>0.5</v>
      </c>
      <c r="I94" s="5" t="s">
        <v>125</v>
      </c>
      <c r="J94" s="5" t="s">
        <v>126</v>
      </c>
      <c r="K94" s="5" t="s">
        <v>100</v>
      </c>
    </row>
    <row r="95" spans="1:11" ht="15.75">
      <c r="A95" s="6" t="s">
        <v>115</v>
      </c>
      <c r="B95" s="7">
        <v>1094</v>
      </c>
      <c r="C95" s="5">
        <v>6119</v>
      </c>
      <c r="D95" s="5" t="s">
        <v>110</v>
      </c>
      <c r="E95" s="8">
        <v>9</v>
      </c>
      <c r="F95" s="8">
        <v>14</v>
      </c>
      <c r="G95" s="8">
        <f t="shared" si="4"/>
        <v>5</v>
      </c>
      <c r="H95" s="8">
        <f t="shared" si="5"/>
        <v>0.5</v>
      </c>
      <c r="I95" s="5" t="s">
        <v>127</v>
      </c>
      <c r="J95" s="5" t="s">
        <v>5</v>
      </c>
      <c r="K95" s="5" t="s">
        <v>98</v>
      </c>
    </row>
    <row r="96" spans="1:11" ht="15.75">
      <c r="A96" s="6" t="s">
        <v>115</v>
      </c>
      <c r="B96" s="7">
        <v>1095</v>
      </c>
      <c r="C96" s="5">
        <v>2499</v>
      </c>
      <c r="D96" s="5" t="s">
        <v>99</v>
      </c>
      <c r="E96" s="8">
        <v>6.2</v>
      </c>
      <c r="F96" s="8">
        <v>9.1999999999999993</v>
      </c>
      <c r="G96" s="8">
        <f t="shared" si="4"/>
        <v>2.9999999999999991</v>
      </c>
      <c r="H96" s="8">
        <f t="shared" si="5"/>
        <v>0.29999999999999993</v>
      </c>
      <c r="I96" s="5" t="s">
        <v>128</v>
      </c>
      <c r="J96" s="5" t="s">
        <v>7</v>
      </c>
      <c r="K96" s="5" t="s">
        <v>100</v>
      </c>
    </row>
    <row r="97" spans="1:11" ht="15.75">
      <c r="A97" s="6" t="s">
        <v>115</v>
      </c>
      <c r="B97" s="7">
        <v>1096</v>
      </c>
      <c r="C97" s="5">
        <v>6119</v>
      </c>
      <c r="D97" s="5" t="s">
        <v>110</v>
      </c>
      <c r="E97" s="8">
        <v>9</v>
      </c>
      <c r="F97" s="8">
        <v>14</v>
      </c>
      <c r="G97" s="8">
        <f t="shared" si="4"/>
        <v>5</v>
      </c>
      <c r="H97" s="8">
        <f t="shared" si="5"/>
        <v>0.5</v>
      </c>
      <c r="I97" s="5" t="s">
        <v>127</v>
      </c>
      <c r="J97" s="5" t="s">
        <v>5</v>
      </c>
      <c r="K97" s="5" t="s">
        <v>100</v>
      </c>
    </row>
    <row r="98" spans="1:11" ht="15.75">
      <c r="A98" s="6" t="s">
        <v>115</v>
      </c>
      <c r="B98" s="7">
        <v>1097</v>
      </c>
      <c r="C98" s="5">
        <v>9212</v>
      </c>
      <c r="D98" s="5" t="s">
        <v>105</v>
      </c>
      <c r="E98" s="8">
        <v>4</v>
      </c>
      <c r="F98" s="8">
        <v>7</v>
      </c>
      <c r="G98" s="8">
        <f t="shared" ref="G98:G129" si="6">F98-E98</f>
        <v>3</v>
      </c>
      <c r="H98" s="8">
        <f t="shared" ref="H98:H129" si="7">IF(F98&gt;50, G98*0.2,G98*0.1)</f>
        <v>0.30000000000000004</v>
      </c>
      <c r="I98" s="5" t="s">
        <v>128</v>
      </c>
      <c r="J98" s="5" t="s">
        <v>7</v>
      </c>
      <c r="K98" s="5" t="s">
        <v>108</v>
      </c>
    </row>
    <row r="99" spans="1:11" ht="15.75">
      <c r="A99" s="6" t="s">
        <v>115</v>
      </c>
      <c r="B99" s="7">
        <v>1098</v>
      </c>
      <c r="C99" s="5">
        <v>2877</v>
      </c>
      <c r="D99" s="5" t="s">
        <v>97</v>
      </c>
      <c r="E99" s="8">
        <v>11.4</v>
      </c>
      <c r="F99" s="8">
        <v>16.3</v>
      </c>
      <c r="G99" s="8">
        <f t="shared" si="6"/>
        <v>4.9000000000000004</v>
      </c>
      <c r="H99" s="8">
        <f t="shared" si="7"/>
        <v>0.49000000000000005</v>
      </c>
      <c r="I99" s="5" t="s">
        <v>125</v>
      </c>
      <c r="J99" s="5" t="s">
        <v>126</v>
      </c>
      <c r="K99" s="5" t="s">
        <v>96</v>
      </c>
    </row>
    <row r="100" spans="1:11" ht="15.75">
      <c r="A100" s="6" t="s">
        <v>116</v>
      </c>
      <c r="B100" s="7">
        <v>1099</v>
      </c>
      <c r="C100" s="5">
        <v>2877</v>
      </c>
      <c r="D100" s="5" t="s">
        <v>97</v>
      </c>
      <c r="E100" s="8">
        <v>11.4</v>
      </c>
      <c r="F100" s="8">
        <v>16.3</v>
      </c>
      <c r="G100" s="8">
        <f t="shared" si="6"/>
        <v>4.9000000000000004</v>
      </c>
      <c r="H100" s="8">
        <f t="shared" si="7"/>
        <v>0.49000000000000005</v>
      </c>
      <c r="I100" s="5" t="s">
        <v>127</v>
      </c>
      <c r="J100" s="5" t="s">
        <v>5</v>
      </c>
      <c r="K100" s="5" t="s">
        <v>98</v>
      </c>
    </row>
    <row r="101" spans="1:11" ht="15.75">
      <c r="A101" s="6" t="s">
        <v>116</v>
      </c>
      <c r="B101" s="7">
        <v>1100</v>
      </c>
      <c r="C101" s="5">
        <v>6119</v>
      </c>
      <c r="D101" s="5" t="s">
        <v>110</v>
      </c>
      <c r="E101" s="8">
        <v>9</v>
      </c>
      <c r="F101" s="8">
        <v>14</v>
      </c>
      <c r="G101" s="8">
        <f t="shared" si="6"/>
        <v>5</v>
      </c>
      <c r="H101" s="8">
        <f t="shared" si="7"/>
        <v>0.5</v>
      </c>
      <c r="I101" s="5" t="s">
        <v>123</v>
      </c>
      <c r="J101" s="5" t="s">
        <v>124</v>
      </c>
      <c r="K101" s="5" t="s">
        <v>109</v>
      </c>
    </row>
    <row r="102" spans="1:11" ht="15.75">
      <c r="A102" s="6" t="s">
        <v>116</v>
      </c>
      <c r="B102" s="7">
        <v>1101</v>
      </c>
      <c r="C102" s="5">
        <v>2499</v>
      </c>
      <c r="D102" s="5" t="s">
        <v>99</v>
      </c>
      <c r="E102" s="8">
        <v>6.2</v>
      </c>
      <c r="F102" s="8">
        <v>9.1999999999999993</v>
      </c>
      <c r="G102" s="8">
        <f t="shared" si="6"/>
        <v>2.9999999999999991</v>
      </c>
      <c r="H102" s="8">
        <f t="shared" si="7"/>
        <v>0.29999999999999993</v>
      </c>
      <c r="I102" s="5" t="s">
        <v>127</v>
      </c>
      <c r="J102" s="5" t="s">
        <v>5</v>
      </c>
      <c r="K102" s="5" t="s">
        <v>98</v>
      </c>
    </row>
    <row r="103" spans="1:11" ht="15.75">
      <c r="A103" s="6" t="s">
        <v>116</v>
      </c>
      <c r="B103" s="7">
        <v>1102</v>
      </c>
      <c r="C103" s="5">
        <v>2242</v>
      </c>
      <c r="D103" s="5" t="s">
        <v>107</v>
      </c>
      <c r="E103" s="8">
        <v>60</v>
      </c>
      <c r="F103" s="8">
        <v>124</v>
      </c>
      <c r="G103" s="8">
        <f t="shared" si="6"/>
        <v>64</v>
      </c>
      <c r="H103" s="8">
        <f t="shared" si="7"/>
        <v>12.8</v>
      </c>
      <c r="I103" s="5" t="s">
        <v>125</v>
      </c>
      <c r="J103" s="5" t="s">
        <v>126</v>
      </c>
      <c r="K103" s="5" t="s">
        <v>108</v>
      </c>
    </row>
    <row r="104" spans="1:11" ht="15.75">
      <c r="A104" s="6" t="s">
        <v>116</v>
      </c>
      <c r="B104" s="7">
        <v>1103</v>
      </c>
      <c r="C104" s="5">
        <v>2877</v>
      </c>
      <c r="D104" s="5" t="s">
        <v>97</v>
      </c>
      <c r="E104" s="8">
        <v>11.4</v>
      </c>
      <c r="F104" s="8">
        <v>16.3</v>
      </c>
      <c r="G104" s="8">
        <f t="shared" si="6"/>
        <v>4.9000000000000004</v>
      </c>
      <c r="H104" s="8">
        <f t="shared" si="7"/>
        <v>0.49000000000000005</v>
      </c>
      <c r="I104" s="5" t="s">
        <v>125</v>
      </c>
      <c r="J104" s="5" t="s">
        <v>126</v>
      </c>
      <c r="K104" s="5" t="s">
        <v>100</v>
      </c>
    </row>
    <row r="105" spans="1:11" ht="15.75">
      <c r="A105" s="6" t="s">
        <v>116</v>
      </c>
      <c r="B105" s="7">
        <v>1104</v>
      </c>
      <c r="C105" s="5">
        <v>2877</v>
      </c>
      <c r="D105" s="5" t="s">
        <v>97</v>
      </c>
      <c r="E105" s="8">
        <v>11.4</v>
      </c>
      <c r="F105" s="8">
        <v>16.3</v>
      </c>
      <c r="G105" s="8">
        <f t="shared" si="6"/>
        <v>4.9000000000000004</v>
      </c>
      <c r="H105" s="8">
        <f t="shared" si="7"/>
        <v>0.49000000000000005</v>
      </c>
      <c r="I105" s="5" t="s">
        <v>127</v>
      </c>
      <c r="J105" s="5" t="s">
        <v>5</v>
      </c>
      <c r="K105" s="5" t="s">
        <v>108</v>
      </c>
    </row>
    <row r="106" spans="1:11" ht="15.75">
      <c r="A106" s="6" t="s">
        <v>116</v>
      </c>
      <c r="B106" s="7">
        <v>1105</v>
      </c>
      <c r="C106" s="5">
        <v>2499</v>
      </c>
      <c r="D106" s="5" t="s">
        <v>99</v>
      </c>
      <c r="E106" s="8">
        <v>6.2</v>
      </c>
      <c r="F106" s="8">
        <v>9.1999999999999993</v>
      </c>
      <c r="G106" s="8">
        <f t="shared" si="6"/>
        <v>2.9999999999999991</v>
      </c>
      <c r="H106" s="8">
        <f t="shared" si="7"/>
        <v>0.29999999999999993</v>
      </c>
      <c r="I106" s="5" t="s">
        <v>125</v>
      </c>
      <c r="J106" s="5" t="s">
        <v>126</v>
      </c>
      <c r="K106" s="5" t="s">
        <v>100</v>
      </c>
    </row>
    <row r="107" spans="1:11" ht="15.75">
      <c r="A107" s="6" t="s">
        <v>116</v>
      </c>
      <c r="B107" s="7">
        <v>1106</v>
      </c>
      <c r="C107" s="5">
        <v>9822</v>
      </c>
      <c r="D107" s="5" t="s">
        <v>95</v>
      </c>
      <c r="E107" s="8">
        <v>58.3</v>
      </c>
      <c r="F107" s="8">
        <v>98.4</v>
      </c>
      <c r="G107" s="8">
        <f t="shared" si="6"/>
        <v>40.100000000000009</v>
      </c>
      <c r="H107" s="8">
        <f t="shared" si="7"/>
        <v>8.0200000000000014</v>
      </c>
      <c r="I107" s="5" t="s">
        <v>125</v>
      </c>
      <c r="J107" s="5" t="s">
        <v>126</v>
      </c>
      <c r="K107" s="5" t="s">
        <v>98</v>
      </c>
    </row>
    <row r="108" spans="1:11" ht="15.75">
      <c r="A108" s="6" t="s">
        <v>116</v>
      </c>
      <c r="B108" s="7">
        <v>1107</v>
      </c>
      <c r="C108" s="5">
        <v>1109</v>
      </c>
      <c r="D108" s="5" t="s">
        <v>102</v>
      </c>
      <c r="E108" s="8">
        <v>3</v>
      </c>
      <c r="F108" s="8">
        <v>8</v>
      </c>
      <c r="G108" s="8">
        <f t="shared" si="6"/>
        <v>5</v>
      </c>
      <c r="H108" s="8">
        <f t="shared" si="7"/>
        <v>0.5</v>
      </c>
      <c r="I108" s="5" t="s">
        <v>128</v>
      </c>
      <c r="J108" s="5" t="s">
        <v>7</v>
      </c>
      <c r="K108" s="5" t="s">
        <v>96</v>
      </c>
    </row>
    <row r="109" spans="1:11" ht="15.75">
      <c r="A109" s="6" t="s">
        <v>116</v>
      </c>
      <c r="B109" s="7">
        <v>1108</v>
      </c>
      <c r="C109" s="5">
        <v>9822</v>
      </c>
      <c r="D109" s="5" t="s">
        <v>95</v>
      </c>
      <c r="E109" s="8">
        <v>58.3</v>
      </c>
      <c r="F109" s="8">
        <v>98.4</v>
      </c>
      <c r="G109" s="8">
        <f t="shared" si="6"/>
        <v>40.100000000000009</v>
      </c>
      <c r="H109" s="8">
        <f t="shared" si="7"/>
        <v>8.0200000000000014</v>
      </c>
      <c r="I109" s="5" t="s">
        <v>127</v>
      </c>
      <c r="J109" s="5" t="s">
        <v>5</v>
      </c>
      <c r="K109" s="5" t="s">
        <v>108</v>
      </c>
    </row>
    <row r="110" spans="1:11" ht="15.75">
      <c r="A110" s="6" t="s">
        <v>116</v>
      </c>
      <c r="B110" s="7">
        <v>1109</v>
      </c>
      <c r="C110" s="5">
        <v>8722</v>
      </c>
      <c r="D110" s="5" t="s">
        <v>101</v>
      </c>
      <c r="E110" s="8">
        <v>344</v>
      </c>
      <c r="F110" s="8">
        <v>502</v>
      </c>
      <c r="G110" s="8">
        <f t="shared" si="6"/>
        <v>158</v>
      </c>
      <c r="H110" s="8">
        <f t="shared" si="7"/>
        <v>31.6</v>
      </c>
      <c r="I110" s="5" t="s">
        <v>125</v>
      </c>
      <c r="J110" s="5" t="s">
        <v>126</v>
      </c>
      <c r="K110" s="5" t="s">
        <v>98</v>
      </c>
    </row>
    <row r="111" spans="1:11" ht="15.75">
      <c r="A111" s="6" t="s">
        <v>116</v>
      </c>
      <c r="B111" s="7">
        <v>1110</v>
      </c>
      <c r="C111" s="5">
        <v>8722</v>
      </c>
      <c r="D111" s="5" t="s">
        <v>101</v>
      </c>
      <c r="E111" s="8">
        <v>344</v>
      </c>
      <c r="F111" s="8">
        <v>502</v>
      </c>
      <c r="G111" s="8">
        <f t="shared" si="6"/>
        <v>158</v>
      </c>
      <c r="H111" s="8">
        <f t="shared" si="7"/>
        <v>31.6</v>
      </c>
      <c r="I111" s="5" t="s">
        <v>128</v>
      </c>
      <c r="J111" s="5" t="s">
        <v>7</v>
      </c>
      <c r="K111" s="5" t="s">
        <v>108</v>
      </c>
    </row>
    <row r="112" spans="1:11" ht="15.75">
      <c r="A112" s="6" t="s">
        <v>116</v>
      </c>
      <c r="B112" s="7">
        <v>1111</v>
      </c>
      <c r="C112" s="5">
        <v>6622</v>
      </c>
      <c r="D112" s="5" t="s">
        <v>112</v>
      </c>
      <c r="E112" s="8">
        <v>42</v>
      </c>
      <c r="F112" s="8">
        <v>77</v>
      </c>
      <c r="G112" s="8">
        <f t="shared" si="6"/>
        <v>35</v>
      </c>
      <c r="H112" s="8">
        <f t="shared" si="7"/>
        <v>7</v>
      </c>
      <c r="I112" s="5" t="s">
        <v>128</v>
      </c>
      <c r="J112" s="5" t="s">
        <v>7</v>
      </c>
      <c r="K112" s="5" t="s">
        <v>98</v>
      </c>
    </row>
    <row r="113" spans="1:11" ht="15.75">
      <c r="A113" s="6" t="s">
        <v>116</v>
      </c>
      <c r="B113" s="7">
        <v>1112</v>
      </c>
      <c r="C113" s="5">
        <v>6622</v>
      </c>
      <c r="D113" s="5" t="s">
        <v>112</v>
      </c>
      <c r="E113" s="8">
        <v>42</v>
      </c>
      <c r="F113" s="8">
        <v>77</v>
      </c>
      <c r="G113" s="8">
        <f t="shared" si="6"/>
        <v>35</v>
      </c>
      <c r="H113" s="8">
        <f t="shared" si="7"/>
        <v>7</v>
      </c>
      <c r="I113" s="5" t="s">
        <v>127</v>
      </c>
      <c r="J113" s="5" t="s">
        <v>5</v>
      </c>
      <c r="K113" s="5" t="s">
        <v>100</v>
      </c>
    </row>
    <row r="114" spans="1:11" ht="15.75">
      <c r="A114" s="6" t="s">
        <v>116</v>
      </c>
      <c r="B114" s="7">
        <v>1113</v>
      </c>
      <c r="C114" s="5">
        <v>9822</v>
      </c>
      <c r="D114" s="5" t="s">
        <v>95</v>
      </c>
      <c r="E114" s="8">
        <v>58.3</v>
      </c>
      <c r="F114" s="8">
        <v>98.4</v>
      </c>
      <c r="G114" s="8">
        <f t="shared" si="6"/>
        <v>40.100000000000009</v>
      </c>
      <c r="H114" s="8">
        <f t="shared" si="7"/>
        <v>8.0200000000000014</v>
      </c>
      <c r="I114" s="5" t="s">
        <v>123</v>
      </c>
      <c r="J114" s="5" t="s">
        <v>124</v>
      </c>
      <c r="K114" s="5" t="s">
        <v>98</v>
      </c>
    </row>
    <row r="115" spans="1:11" ht="15.75">
      <c r="A115" s="6" t="s">
        <v>116</v>
      </c>
      <c r="B115" s="7">
        <v>1114</v>
      </c>
      <c r="C115" s="5">
        <v>2242</v>
      </c>
      <c r="D115" s="5" t="s">
        <v>107</v>
      </c>
      <c r="E115" s="8">
        <v>60</v>
      </c>
      <c r="F115" s="8">
        <v>124</v>
      </c>
      <c r="G115" s="8">
        <f t="shared" si="6"/>
        <v>64</v>
      </c>
      <c r="H115" s="8">
        <f t="shared" si="7"/>
        <v>12.8</v>
      </c>
      <c r="I115" s="5" t="s">
        <v>125</v>
      </c>
      <c r="J115" s="5" t="s">
        <v>126</v>
      </c>
      <c r="K115" s="5" t="s">
        <v>100</v>
      </c>
    </row>
    <row r="116" spans="1:11" ht="15.75">
      <c r="A116" s="6" t="s">
        <v>116</v>
      </c>
      <c r="B116" s="7">
        <v>1115</v>
      </c>
      <c r="C116" s="5">
        <v>8722</v>
      </c>
      <c r="D116" s="5" t="s">
        <v>101</v>
      </c>
      <c r="E116" s="8">
        <v>344</v>
      </c>
      <c r="F116" s="8">
        <v>502</v>
      </c>
      <c r="G116" s="8">
        <f t="shared" si="6"/>
        <v>158</v>
      </c>
      <c r="H116" s="8">
        <f t="shared" si="7"/>
        <v>31.6</v>
      </c>
      <c r="I116" s="5" t="s">
        <v>123</v>
      </c>
      <c r="J116" s="5" t="s">
        <v>124</v>
      </c>
      <c r="K116" s="5" t="s">
        <v>100</v>
      </c>
    </row>
    <row r="117" spans="1:11" ht="15.75">
      <c r="A117" s="6" t="s">
        <v>116</v>
      </c>
      <c r="B117" s="7">
        <v>1116</v>
      </c>
      <c r="C117" s="5">
        <v>6622</v>
      </c>
      <c r="D117" s="5" t="s">
        <v>112</v>
      </c>
      <c r="E117" s="8">
        <v>42</v>
      </c>
      <c r="F117" s="8">
        <v>77</v>
      </c>
      <c r="G117" s="8">
        <f t="shared" si="6"/>
        <v>35</v>
      </c>
      <c r="H117" s="8">
        <f t="shared" si="7"/>
        <v>7</v>
      </c>
      <c r="I117" s="5" t="s">
        <v>127</v>
      </c>
      <c r="J117" s="5" t="s">
        <v>5</v>
      </c>
      <c r="K117" s="5" t="s">
        <v>108</v>
      </c>
    </row>
    <row r="118" spans="1:11" ht="15.75">
      <c r="A118" s="6" t="s">
        <v>116</v>
      </c>
      <c r="B118" s="7">
        <v>1117</v>
      </c>
      <c r="C118" s="5">
        <v>8722</v>
      </c>
      <c r="D118" s="5" t="s">
        <v>101</v>
      </c>
      <c r="E118" s="8">
        <v>344</v>
      </c>
      <c r="F118" s="8">
        <v>502</v>
      </c>
      <c r="G118" s="8">
        <f t="shared" si="6"/>
        <v>158</v>
      </c>
      <c r="H118" s="8">
        <f t="shared" si="7"/>
        <v>31.6</v>
      </c>
      <c r="I118" s="5" t="s">
        <v>128</v>
      </c>
      <c r="J118" s="5" t="s">
        <v>7</v>
      </c>
      <c r="K118" s="5" t="s">
        <v>96</v>
      </c>
    </row>
    <row r="119" spans="1:11" ht="15.75">
      <c r="A119" s="6" t="s">
        <v>116</v>
      </c>
      <c r="B119" s="7">
        <v>1118</v>
      </c>
      <c r="C119" s="5">
        <v>9822</v>
      </c>
      <c r="D119" s="5" t="s">
        <v>95</v>
      </c>
      <c r="E119" s="8">
        <v>58.3</v>
      </c>
      <c r="F119" s="8">
        <v>98.4</v>
      </c>
      <c r="G119" s="8">
        <f t="shared" si="6"/>
        <v>40.100000000000009</v>
      </c>
      <c r="H119" s="8">
        <f t="shared" si="7"/>
        <v>8.0200000000000014</v>
      </c>
      <c r="I119" s="5" t="s">
        <v>125</v>
      </c>
      <c r="J119" s="5" t="s">
        <v>126</v>
      </c>
      <c r="K119" s="5" t="s">
        <v>98</v>
      </c>
    </row>
    <row r="120" spans="1:11" ht="15.75">
      <c r="A120" s="6" t="s">
        <v>116</v>
      </c>
      <c r="B120" s="7">
        <v>1119</v>
      </c>
      <c r="C120" s="5">
        <v>2242</v>
      </c>
      <c r="D120" s="5" t="s">
        <v>107</v>
      </c>
      <c r="E120" s="8">
        <v>60</v>
      </c>
      <c r="F120" s="8">
        <v>124</v>
      </c>
      <c r="G120" s="8">
        <f t="shared" si="6"/>
        <v>64</v>
      </c>
      <c r="H120" s="8">
        <f t="shared" si="7"/>
        <v>12.8</v>
      </c>
      <c r="I120" s="5" t="s">
        <v>123</v>
      </c>
      <c r="J120" s="5" t="s">
        <v>124</v>
      </c>
      <c r="K120" s="5" t="s">
        <v>109</v>
      </c>
    </row>
    <row r="121" spans="1:11" ht="15.75">
      <c r="A121" s="6" t="s">
        <v>116</v>
      </c>
      <c r="B121" s="7">
        <v>1120</v>
      </c>
      <c r="C121" s="5">
        <v>2242</v>
      </c>
      <c r="D121" s="5" t="s">
        <v>107</v>
      </c>
      <c r="E121" s="8">
        <v>60</v>
      </c>
      <c r="F121" s="8">
        <v>124</v>
      </c>
      <c r="G121" s="8">
        <f t="shared" si="6"/>
        <v>64</v>
      </c>
      <c r="H121" s="8">
        <f t="shared" si="7"/>
        <v>12.8</v>
      </c>
      <c r="I121" s="5" t="s">
        <v>127</v>
      </c>
      <c r="J121" s="5" t="s">
        <v>5</v>
      </c>
      <c r="K121" s="5" t="s">
        <v>98</v>
      </c>
    </row>
    <row r="122" spans="1:11" ht="15.75">
      <c r="A122" s="6" t="s">
        <v>116</v>
      </c>
      <c r="B122" s="7">
        <v>1121</v>
      </c>
      <c r="C122" s="5">
        <v>4421</v>
      </c>
      <c r="D122" s="5" t="s">
        <v>104</v>
      </c>
      <c r="E122" s="8">
        <v>45</v>
      </c>
      <c r="F122" s="8">
        <v>87</v>
      </c>
      <c r="G122" s="8">
        <f t="shared" si="6"/>
        <v>42</v>
      </c>
      <c r="H122" s="8">
        <f t="shared" si="7"/>
        <v>8.4</v>
      </c>
      <c r="I122" s="5" t="s">
        <v>127</v>
      </c>
      <c r="J122" s="5" t="s">
        <v>5</v>
      </c>
      <c r="K122" s="5" t="s">
        <v>108</v>
      </c>
    </row>
    <row r="123" spans="1:11" ht="15.75">
      <c r="A123" s="6" t="s">
        <v>116</v>
      </c>
      <c r="B123" s="7">
        <v>1122</v>
      </c>
      <c r="C123" s="5">
        <v>8722</v>
      </c>
      <c r="D123" s="5" t="s">
        <v>101</v>
      </c>
      <c r="E123" s="8">
        <v>344</v>
      </c>
      <c r="F123" s="8">
        <v>502</v>
      </c>
      <c r="G123" s="8">
        <f t="shared" si="6"/>
        <v>158</v>
      </c>
      <c r="H123" s="8">
        <f t="shared" si="7"/>
        <v>31.6</v>
      </c>
      <c r="I123" s="5" t="s">
        <v>127</v>
      </c>
      <c r="J123" s="5" t="s">
        <v>5</v>
      </c>
      <c r="K123" s="5" t="s">
        <v>100</v>
      </c>
    </row>
    <row r="124" spans="1:11" ht="15.75">
      <c r="A124" s="6" t="s">
        <v>116</v>
      </c>
      <c r="B124" s="7">
        <v>1123</v>
      </c>
      <c r="C124" s="5">
        <v>9822</v>
      </c>
      <c r="D124" s="5" t="s">
        <v>95</v>
      </c>
      <c r="E124" s="8">
        <v>58.3</v>
      </c>
      <c r="F124" s="8">
        <v>98.4</v>
      </c>
      <c r="G124" s="8">
        <f t="shared" si="6"/>
        <v>40.100000000000009</v>
      </c>
      <c r="H124" s="8">
        <f t="shared" si="7"/>
        <v>8.0200000000000014</v>
      </c>
      <c r="I124" s="5" t="s">
        <v>127</v>
      </c>
      <c r="J124" s="5" t="s">
        <v>5</v>
      </c>
      <c r="K124" s="5" t="s">
        <v>108</v>
      </c>
    </row>
    <row r="125" spans="1:11" ht="15.75">
      <c r="A125" s="6" t="s">
        <v>116</v>
      </c>
      <c r="B125" s="7">
        <v>1124</v>
      </c>
      <c r="C125" s="5">
        <v>4421</v>
      </c>
      <c r="D125" s="5" t="s">
        <v>104</v>
      </c>
      <c r="E125" s="8">
        <v>45</v>
      </c>
      <c r="F125" s="8">
        <v>87</v>
      </c>
      <c r="G125" s="8">
        <f t="shared" si="6"/>
        <v>42</v>
      </c>
      <c r="H125" s="8">
        <f t="shared" si="7"/>
        <v>8.4</v>
      </c>
      <c r="I125" s="5" t="s">
        <v>127</v>
      </c>
      <c r="J125" s="5" t="s">
        <v>5</v>
      </c>
      <c r="K125" s="5" t="s">
        <v>100</v>
      </c>
    </row>
    <row r="126" spans="1:11" ht="15.75">
      <c r="A126" s="6" t="s">
        <v>117</v>
      </c>
      <c r="B126" s="7">
        <v>1125</v>
      </c>
      <c r="C126" s="5">
        <v>2242</v>
      </c>
      <c r="D126" s="5" t="s">
        <v>107</v>
      </c>
      <c r="E126" s="8">
        <v>60</v>
      </c>
      <c r="F126" s="8">
        <v>124</v>
      </c>
      <c r="G126" s="8">
        <f t="shared" si="6"/>
        <v>64</v>
      </c>
      <c r="H126" s="8">
        <f t="shared" si="7"/>
        <v>12.8</v>
      </c>
      <c r="I126" s="5" t="s">
        <v>127</v>
      </c>
      <c r="J126" s="5" t="s">
        <v>5</v>
      </c>
      <c r="K126" s="5" t="s">
        <v>98</v>
      </c>
    </row>
    <row r="127" spans="1:11" ht="15.75">
      <c r="A127" s="6" t="s">
        <v>117</v>
      </c>
      <c r="B127" s="7">
        <v>1126</v>
      </c>
      <c r="C127" s="5">
        <v>9212</v>
      </c>
      <c r="D127" s="5" t="s">
        <v>105</v>
      </c>
      <c r="E127" s="8">
        <v>4</v>
      </c>
      <c r="F127" s="8">
        <v>7</v>
      </c>
      <c r="G127" s="8">
        <f t="shared" si="6"/>
        <v>3</v>
      </c>
      <c r="H127" s="8">
        <f t="shared" si="7"/>
        <v>0.30000000000000004</v>
      </c>
      <c r="I127" s="5" t="s">
        <v>127</v>
      </c>
      <c r="J127" s="5" t="s">
        <v>5</v>
      </c>
      <c r="K127" s="5" t="s">
        <v>96</v>
      </c>
    </row>
    <row r="128" spans="1:11" ht="15.75">
      <c r="A128" s="6" t="s">
        <v>117</v>
      </c>
      <c r="B128" s="7">
        <v>1127</v>
      </c>
      <c r="C128" s="5">
        <v>8722</v>
      </c>
      <c r="D128" s="5" t="s">
        <v>101</v>
      </c>
      <c r="E128" s="8">
        <v>344</v>
      </c>
      <c r="F128" s="8">
        <v>502</v>
      </c>
      <c r="G128" s="8">
        <f t="shared" si="6"/>
        <v>158</v>
      </c>
      <c r="H128" s="8">
        <f t="shared" si="7"/>
        <v>31.6</v>
      </c>
      <c r="I128" s="5" t="s">
        <v>123</v>
      </c>
      <c r="J128" s="5" t="s">
        <v>124</v>
      </c>
      <c r="K128" s="5" t="s">
        <v>108</v>
      </c>
    </row>
    <row r="129" spans="1:11" ht="15.75">
      <c r="A129" s="6" t="s">
        <v>117</v>
      </c>
      <c r="B129" s="7">
        <v>1128</v>
      </c>
      <c r="C129" s="5">
        <v>6622</v>
      </c>
      <c r="D129" s="5" t="s">
        <v>112</v>
      </c>
      <c r="E129" s="8">
        <v>42</v>
      </c>
      <c r="F129" s="8">
        <v>77</v>
      </c>
      <c r="G129" s="8">
        <f t="shared" si="6"/>
        <v>35</v>
      </c>
      <c r="H129" s="8">
        <f t="shared" si="7"/>
        <v>7</v>
      </c>
      <c r="I129" s="5" t="s">
        <v>125</v>
      </c>
      <c r="J129" s="5" t="s">
        <v>126</v>
      </c>
      <c r="K129" s="5" t="s">
        <v>98</v>
      </c>
    </row>
    <row r="130" spans="1:11" ht="15.75">
      <c r="A130" s="6" t="s">
        <v>117</v>
      </c>
      <c r="B130" s="7">
        <v>1129</v>
      </c>
      <c r="C130" s="5">
        <v>9822</v>
      </c>
      <c r="D130" s="5" t="s">
        <v>95</v>
      </c>
      <c r="E130" s="8">
        <v>58.3</v>
      </c>
      <c r="F130" s="8">
        <v>98.4</v>
      </c>
      <c r="G130" s="8">
        <f t="shared" ref="G130:G161" si="8">F130-E130</f>
        <v>40.100000000000009</v>
      </c>
      <c r="H130" s="8">
        <f t="shared" ref="H130:H161" si="9">IF(F130&gt;50, G130*0.2,G130*0.1)</f>
        <v>8.0200000000000014</v>
      </c>
      <c r="I130" s="5" t="s">
        <v>128</v>
      </c>
      <c r="J130" s="5" t="s">
        <v>7</v>
      </c>
      <c r="K130" s="5" t="s">
        <v>108</v>
      </c>
    </row>
    <row r="131" spans="1:11" ht="15.75">
      <c r="A131" s="6" t="s">
        <v>117</v>
      </c>
      <c r="B131" s="7">
        <v>1130</v>
      </c>
      <c r="C131" s="5">
        <v>4421</v>
      </c>
      <c r="D131" s="5" t="s">
        <v>104</v>
      </c>
      <c r="E131" s="8">
        <v>45</v>
      </c>
      <c r="F131" s="8">
        <v>87</v>
      </c>
      <c r="G131" s="8">
        <f t="shared" si="8"/>
        <v>42</v>
      </c>
      <c r="H131" s="8">
        <f t="shared" si="9"/>
        <v>8.4</v>
      </c>
      <c r="I131" s="5" t="s">
        <v>128</v>
      </c>
      <c r="J131" s="5" t="s">
        <v>7</v>
      </c>
      <c r="K131" s="5" t="s">
        <v>98</v>
      </c>
    </row>
    <row r="132" spans="1:11" ht="15.75">
      <c r="A132" s="6" t="s">
        <v>117</v>
      </c>
      <c r="B132" s="7">
        <v>1131</v>
      </c>
      <c r="C132" s="5">
        <v>9212</v>
      </c>
      <c r="D132" s="5" t="s">
        <v>105</v>
      </c>
      <c r="E132" s="8">
        <v>4</v>
      </c>
      <c r="F132" s="8">
        <v>7</v>
      </c>
      <c r="G132" s="8">
        <f t="shared" si="8"/>
        <v>3</v>
      </c>
      <c r="H132" s="8">
        <f t="shared" si="9"/>
        <v>0.30000000000000004</v>
      </c>
      <c r="I132" s="5" t="s">
        <v>128</v>
      </c>
      <c r="J132" s="5" t="s">
        <v>7</v>
      </c>
      <c r="K132" s="5" t="s">
        <v>100</v>
      </c>
    </row>
    <row r="133" spans="1:11" ht="15.75">
      <c r="A133" s="6" t="s">
        <v>117</v>
      </c>
      <c r="B133" s="7">
        <v>1132</v>
      </c>
      <c r="C133" s="5">
        <v>9212</v>
      </c>
      <c r="D133" s="5" t="s">
        <v>105</v>
      </c>
      <c r="E133" s="8">
        <v>4</v>
      </c>
      <c r="F133" s="8">
        <v>7</v>
      </c>
      <c r="G133" s="8">
        <f t="shared" si="8"/>
        <v>3</v>
      </c>
      <c r="H133" s="8">
        <f t="shared" si="9"/>
        <v>0.30000000000000004</v>
      </c>
      <c r="I133" s="5" t="s">
        <v>128</v>
      </c>
      <c r="J133" s="5" t="s">
        <v>7</v>
      </c>
      <c r="K133" s="5" t="s">
        <v>98</v>
      </c>
    </row>
    <row r="134" spans="1:11" ht="15.75">
      <c r="A134" s="6" t="s">
        <v>117</v>
      </c>
      <c r="B134" s="7">
        <v>1133</v>
      </c>
      <c r="C134" s="5">
        <v>9822</v>
      </c>
      <c r="D134" s="5" t="s">
        <v>95</v>
      </c>
      <c r="E134" s="8">
        <v>58.3</v>
      </c>
      <c r="F134" s="8">
        <v>98.4</v>
      </c>
      <c r="G134" s="8">
        <f t="shared" si="8"/>
        <v>40.100000000000009</v>
      </c>
      <c r="H134" s="8">
        <f t="shared" si="9"/>
        <v>8.0200000000000014</v>
      </c>
      <c r="I134" s="5" t="s">
        <v>123</v>
      </c>
      <c r="J134" s="5" t="s">
        <v>124</v>
      </c>
      <c r="K134" s="5" t="s">
        <v>100</v>
      </c>
    </row>
    <row r="135" spans="1:11" ht="15.75">
      <c r="A135" s="6" t="s">
        <v>117</v>
      </c>
      <c r="B135" s="7">
        <v>1134</v>
      </c>
      <c r="C135" s="5">
        <v>9822</v>
      </c>
      <c r="D135" s="5" t="s">
        <v>95</v>
      </c>
      <c r="E135" s="8">
        <v>58.3</v>
      </c>
      <c r="F135" s="8">
        <v>98.4</v>
      </c>
      <c r="G135" s="8">
        <f t="shared" si="8"/>
        <v>40.100000000000009</v>
      </c>
      <c r="H135" s="8">
        <f t="shared" si="9"/>
        <v>8.0200000000000014</v>
      </c>
      <c r="I135" s="5" t="s">
        <v>127</v>
      </c>
      <c r="J135" s="5" t="s">
        <v>5</v>
      </c>
      <c r="K135" s="5" t="s">
        <v>100</v>
      </c>
    </row>
    <row r="136" spans="1:11" ht="15.75">
      <c r="A136" s="6" t="s">
        <v>117</v>
      </c>
      <c r="B136" s="7">
        <v>1135</v>
      </c>
      <c r="C136" s="5">
        <v>8722</v>
      </c>
      <c r="D136" s="5" t="s">
        <v>101</v>
      </c>
      <c r="E136" s="8">
        <v>344</v>
      </c>
      <c r="F136" s="8">
        <v>502</v>
      </c>
      <c r="G136" s="8">
        <f t="shared" si="8"/>
        <v>158</v>
      </c>
      <c r="H136" s="8">
        <f t="shared" si="9"/>
        <v>31.6</v>
      </c>
      <c r="I136" s="5" t="s">
        <v>123</v>
      </c>
      <c r="J136" s="5" t="s">
        <v>124</v>
      </c>
      <c r="K136" s="5" t="s">
        <v>108</v>
      </c>
    </row>
    <row r="137" spans="1:11" ht="15.75">
      <c r="A137" s="6" t="s">
        <v>117</v>
      </c>
      <c r="B137" s="7">
        <v>1136</v>
      </c>
      <c r="C137" s="5">
        <v>2242</v>
      </c>
      <c r="D137" s="5" t="s">
        <v>107</v>
      </c>
      <c r="E137" s="8">
        <v>60</v>
      </c>
      <c r="F137" s="8">
        <v>124</v>
      </c>
      <c r="G137" s="8">
        <f t="shared" si="8"/>
        <v>64</v>
      </c>
      <c r="H137" s="8">
        <f t="shared" si="9"/>
        <v>12.8</v>
      </c>
      <c r="I137" s="5" t="s">
        <v>127</v>
      </c>
      <c r="J137" s="5" t="s">
        <v>5</v>
      </c>
      <c r="K137" s="5" t="s">
        <v>96</v>
      </c>
    </row>
    <row r="138" spans="1:11" ht="15.75">
      <c r="A138" s="6" t="s">
        <v>117</v>
      </c>
      <c r="B138" s="7">
        <v>1137</v>
      </c>
      <c r="C138" s="5">
        <v>9822</v>
      </c>
      <c r="D138" s="5" t="s">
        <v>95</v>
      </c>
      <c r="E138" s="8">
        <v>58.3</v>
      </c>
      <c r="F138" s="8">
        <v>98.4</v>
      </c>
      <c r="G138" s="8">
        <f t="shared" si="8"/>
        <v>40.100000000000009</v>
      </c>
      <c r="H138" s="8">
        <f t="shared" si="9"/>
        <v>8.0200000000000014</v>
      </c>
      <c r="I138" s="5" t="s">
        <v>125</v>
      </c>
      <c r="J138" s="5" t="s">
        <v>126</v>
      </c>
      <c r="K138" s="5" t="s">
        <v>98</v>
      </c>
    </row>
    <row r="139" spans="1:11" ht="15.75">
      <c r="A139" s="6" t="s">
        <v>117</v>
      </c>
      <c r="B139" s="7">
        <v>1138</v>
      </c>
      <c r="C139" s="5">
        <v>8722</v>
      </c>
      <c r="D139" s="5" t="s">
        <v>101</v>
      </c>
      <c r="E139" s="8">
        <v>344</v>
      </c>
      <c r="F139" s="8">
        <v>502</v>
      </c>
      <c r="G139" s="8">
        <f t="shared" si="8"/>
        <v>158</v>
      </c>
      <c r="H139" s="8">
        <f t="shared" si="9"/>
        <v>31.6</v>
      </c>
      <c r="I139" s="5" t="s">
        <v>123</v>
      </c>
      <c r="J139" s="5" t="s">
        <v>124</v>
      </c>
      <c r="K139" s="5" t="s">
        <v>109</v>
      </c>
    </row>
    <row r="140" spans="1:11" ht="15.75">
      <c r="A140" s="6" t="s">
        <v>117</v>
      </c>
      <c r="B140" s="7">
        <v>1139</v>
      </c>
      <c r="C140" s="5">
        <v>4421</v>
      </c>
      <c r="D140" s="5" t="s">
        <v>104</v>
      </c>
      <c r="E140" s="8">
        <v>45</v>
      </c>
      <c r="F140" s="8">
        <v>87</v>
      </c>
      <c r="G140" s="8">
        <f t="shared" si="8"/>
        <v>42</v>
      </c>
      <c r="H140" s="8">
        <f t="shared" si="9"/>
        <v>8.4</v>
      </c>
      <c r="I140" s="5" t="s">
        <v>127</v>
      </c>
      <c r="J140" s="5" t="s">
        <v>5</v>
      </c>
      <c r="K140" s="5" t="s">
        <v>98</v>
      </c>
    </row>
    <row r="141" spans="1:11" ht="15.75">
      <c r="A141" s="6" t="s">
        <v>117</v>
      </c>
      <c r="B141" s="7">
        <v>1140</v>
      </c>
      <c r="C141" s="5">
        <v>4421</v>
      </c>
      <c r="D141" s="5" t="s">
        <v>104</v>
      </c>
      <c r="E141" s="8">
        <v>45</v>
      </c>
      <c r="F141" s="8">
        <v>87</v>
      </c>
      <c r="G141" s="8">
        <f t="shared" si="8"/>
        <v>42</v>
      </c>
      <c r="H141" s="8">
        <f t="shared" si="9"/>
        <v>8.4</v>
      </c>
      <c r="I141" s="5" t="s">
        <v>125</v>
      </c>
      <c r="J141" s="5" t="s">
        <v>126</v>
      </c>
      <c r="K141" s="5" t="s">
        <v>108</v>
      </c>
    </row>
    <row r="142" spans="1:11" ht="15.75">
      <c r="A142" s="6" t="s">
        <v>117</v>
      </c>
      <c r="B142" s="7">
        <v>1141</v>
      </c>
      <c r="C142" s="5">
        <v>9212</v>
      </c>
      <c r="D142" s="5" t="s">
        <v>105</v>
      </c>
      <c r="E142" s="8">
        <v>4</v>
      </c>
      <c r="F142" s="8">
        <v>7</v>
      </c>
      <c r="G142" s="8">
        <f t="shared" si="8"/>
        <v>3</v>
      </c>
      <c r="H142" s="8">
        <f t="shared" si="9"/>
        <v>0.30000000000000004</v>
      </c>
      <c r="I142" s="5" t="s">
        <v>125</v>
      </c>
      <c r="J142" s="5" t="s">
        <v>126</v>
      </c>
      <c r="K142" s="5" t="s">
        <v>100</v>
      </c>
    </row>
    <row r="143" spans="1:11" ht="15.75">
      <c r="A143" s="6" t="s">
        <v>118</v>
      </c>
      <c r="B143" s="7">
        <v>1142</v>
      </c>
      <c r="C143" s="5">
        <v>2242</v>
      </c>
      <c r="D143" s="5" t="s">
        <v>107</v>
      </c>
      <c r="E143" s="8">
        <v>60</v>
      </c>
      <c r="F143" s="8">
        <v>124</v>
      </c>
      <c r="G143" s="8">
        <f t="shared" si="8"/>
        <v>64</v>
      </c>
      <c r="H143" s="8">
        <f t="shared" si="9"/>
        <v>12.8</v>
      </c>
      <c r="I143" s="5" t="s">
        <v>125</v>
      </c>
      <c r="J143" s="5" t="s">
        <v>126</v>
      </c>
      <c r="K143" s="5" t="s">
        <v>108</v>
      </c>
    </row>
    <row r="144" spans="1:11" ht="15.75">
      <c r="A144" s="6" t="s">
        <v>118</v>
      </c>
      <c r="B144" s="7">
        <v>1143</v>
      </c>
      <c r="C144" s="5">
        <v>9822</v>
      </c>
      <c r="D144" s="5" t="s">
        <v>95</v>
      </c>
      <c r="E144" s="8">
        <v>58.3</v>
      </c>
      <c r="F144" s="8">
        <v>98.4</v>
      </c>
      <c r="G144" s="8">
        <f t="shared" si="8"/>
        <v>40.100000000000009</v>
      </c>
      <c r="H144" s="8">
        <f t="shared" si="9"/>
        <v>8.0200000000000014</v>
      </c>
      <c r="I144" s="5" t="s">
        <v>128</v>
      </c>
      <c r="J144" s="5" t="s">
        <v>7</v>
      </c>
      <c r="K144" s="5" t="s">
        <v>100</v>
      </c>
    </row>
    <row r="145" spans="1:11" ht="15.75">
      <c r="A145" s="6" t="s">
        <v>118</v>
      </c>
      <c r="B145" s="7">
        <v>1144</v>
      </c>
      <c r="C145" s="5">
        <v>2242</v>
      </c>
      <c r="D145" s="5" t="s">
        <v>107</v>
      </c>
      <c r="E145" s="8">
        <v>60</v>
      </c>
      <c r="F145" s="8">
        <v>124</v>
      </c>
      <c r="G145" s="8">
        <f t="shared" si="8"/>
        <v>64</v>
      </c>
      <c r="H145" s="8">
        <f t="shared" si="9"/>
        <v>12.8</v>
      </c>
      <c r="I145" s="5" t="s">
        <v>128</v>
      </c>
      <c r="J145" s="5" t="s">
        <v>7</v>
      </c>
      <c r="K145" s="5" t="s">
        <v>98</v>
      </c>
    </row>
    <row r="146" spans="1:11" ht="15.75">
      <c r="A146" s="6" t="s">
        <v>118</v>
      </c>
      <c r="B146" s="7">
        <v>1145</v>
      </c>
      <c r="C146" s="5">
        <v>4421</v>
      </c>
      <c r="D146" s="5" t="s">
        <v>104</v>
      </c>
      <c r="E146" s="8">
        <v>45</v>
      </c>
      <c r="F146" s="8">
        <v>87</v>
      </c>
      <c r="G146" s="8">
        <f t="shared" si="8"/>
        <v>42</v>
      </c>
      <c r="H146" s="8">
        <f t="shared" si="9"/>
        <v>8.4</v>
      </c>
      <c r="I146" s="5" t="s">
        <v>128</v>
      </c>
      <c r="J146" s="5" t="s">
        <v>7</v>
      </c>
      <c r="K146" s="5" t="s">
        <v>96</v>
      </c>
    </row>
    <row r="147" spans="1:11" ht="15.75">
      <c r="A147" s="6" t="s">
        <v>118</v>
      </c>
      <c r="B147" s="7">
        <v>1146</v>
      </c>
      <c r="C147" s="5">
        <v>8722</v>
      </c>
      <c r="D147" s="5" t="s">
        <v>101</v>
      </c>
      <c r="E147" s="8">
        <v>344</v>
      </c>
      <c r="F147" s="8">
        <v>502</v>
      </c>
      <c r="G147" s="8">
        <f t="shared" si="8"/>
        <v>158</v>
      </c>
      <c r="H147" s="8">
        <f t="shared" si="9"/>
        <v>31.6</v>
      </c>
      <c r="I147" s="5" t="s">
        <v>128</v>
      </c>
      <c r="J147" s="5" t="s">
        <v>7</v>
      </c>
      <c r="K147" s="5" t="s">
        <v>108</v>
      </c>
    </row>
    <row r="148" spans="1:11" ht="15.75">
      <c r="A148" s="6" t="s">
        <v>118</v>
      </c>
      <c r="B148" s="7">
        <v>1147</v>
      </c>
      <c r="C148" s="5">
        <v>9822</v>
      </c>
      <c r="D148" s="5" t="s">
        <v>95</v>
      </c>
      <c r="E148" s="8">
        <v>58.3</v>
      </c>
      <c r="F148" s="8">
        <v>98.4</v>
      </c>
      <c r="G148" s="8">
        <f t="shared" si="8"/>
        <v>40.100000000000009</v>
      </c>
      <c r="H148" s="8">
        <f t="shared" si="9"/>
        <v>8.0200000000000014</v>
      </c>
      <c r="I148" s="5" t="s">
        <v>123</v>
      </c>
      <c r="J148" s="5" t="s">
        <v>124</v>
      </c>
      <c r="K148" s="5" t="s">
        <v>98</v>
      </c>
    </row>
    <row r="149" spans="1:11" ht="15.75">
      <c r="A149" s="6" t="s">
        <v>118</v>
      </c>
      <c r="B149" s="7">
        <v>1148</v>
      </c>
      <c r="C149" s="5">
        <v>9212</v>
      </c>
      <c r="D149" s="5" t="s">
        <v>105</v>
      </c>
      <c r="E149" s="8">
        <v>4</v>
      </c>
      <c r="F149" s="8">
        <v>7</v>
      </c>
      <c r="G149" s="8">
        <f t="shared" si="8"/>
        <v>3</v>
      </c>
      <c r="H149" s="8">
        <f t="shared" si="9"/>
        <v>0.30000000000000004</v>
      </c>
      <c r="I149" s="5" t="s">
        <v>127</v>
      </c>
      <c r="J149" s="5" t="s">
        <v>5</v>
      </c>
      <c r="K149" s="5" t="s">
        <v>100</v>
      </c>
    </row>
    <row r="150" spans="1:11" ht="15.75">
      <c r="A150" s="6" t="s">
        <v>118</v>
      </c>
      <c r="B150" s="7">
        <v>1149</v>
      </c>
      <c r="C150" s="5">
        <v>8722</v>
      </c>
      <c r="D150" s="5" t="s">
        <v>101</v>
      </c>
      <c r="E150" s="8">
        <v>344</v>
      </c>
      <c r="F150" s="8">
        <v>502</v>
      </c>
      <c r="G150" s="8">
        <f t="shared" si="8"/>
        <v>158</v>
      </c>
      <c r="H150" s="8">
        <f t="shared" si="9"/>
        <v>31.6</v>
      </c>
      <c r="I150" s="5" t="s">
        <v>123</v>
      </c>
      <c r="J150" s="5" t="s">
        <v>124</v>
      </c>
      <c r="K150" s="5" t="s">
        <v>100</v>
      </c>
    </row>
    <row r="151" spans="1:11" ht="15.75">
      <c r="A151" s="6" t="s">
        <v>119</v>
      </c>
      <c r="B151" s="7">
        <v>1150</v>
      </c>
      <c r="C151" s="5">
        <v>2242</v>
      </c>
      <c r="D151" s="5" t="s">
        <v>107</v>
      </c>
      <c r="E151" s="8">
        <v>60</v>
      </c>
      <c r="F151" s="8">
        <v>124</v>
      </c>
      <c r="G151" s="8">
        <f t="shared" si="8"/>
        <v>64</v>
      </c>
      <c r="H151" s="8">
        <f t="shared" si="9"/>
        <v>12.8</v>
      </c>
      <c r="I151" s="5" t="s">
        <v>127</v>
      </c>
      <c r="J151" s="5" t="s">
        <v>5</v>
      </c>
      <c r="K151" s="5" t="s">
        <v>109</v>
      </c>
    </row>
    <row r="152" spans="1:11" ht="15.75">
      <c r="A152" s="6" t="s">
        <v>119</v>
      </c>
      <c r="B152" s="7">
        <v>1151</v>
      </c>
      <c r="C152" s="5">
        <v>2242</v>
      </c>
      <c r="D152" s="5" t="s">
        <v>107</v>
      </c>
      <c r="E152" s="8">
        <v>60</v>
      </c>
      <c r="F152" s="8">
        <v>124</v>
      </c>
      <c r="G152" s="8">
        <f t="shared" si="8"/>
        <v>64</v>
      </c>
      <c r="H152" s="8">
        <f t="shared" si="9"/>
        <v>12.8</v>
      </c>
      <c r="I152" s="5" t="s">
        <v>125</v>
      </c>
      <c r="J152" s="5" t="s">
        <v>126</v>
      </c>
      <c r="K152" s="5" t="s">
        <v>98</v>
      </c>
    </row>
    <row r="153" spans="1:11" ht="15.75">
      <c r="A153" s="6" t="s">
        <v>119</v>
      </c>
      <c r="B153" s="7">
        <v>1152</v>
      </c>
      <c r="C153" s="5">
        <v>4421</v>
      </c>
      <c r="D153" s="5" t="s">
        <v>104</v>
      </c>
      <c r="E153" s="8">
        <v>45</v>
      </c>
      <c r="F153" s="8">
        <v>87</v>
      </c>
      <c r="G153" s="8">
        <f t="shared" si="8"/>
        <v>42</v>
      </c>
      <c r="H153" s="8">
        <f t="shared" si="9"/>
        <v>8.4</v>
      </c>
      <c r="I153" s="5" t="s">
        <v>123</v>
      </c>
      <c r="J153" s="5" t="s">
        <v>124</v>
      </c>
      <c r="K153" s="5" t="s">
        <v>108</v>
      </c>
    </row>
    <row r="154" spans="1:11" ht="15.75">
      <c r="A154" s="6" t="s">
        <v>119</v>
      </c>
      <c r="B154" s="7">
        <v>1153</v>
      </c>
      <c r="C154" s="5">
        <v>8722</v>
      </c>
      <c r="D154" s="5" t="s">
        <v>101</v>
      </c>
      <c r="E154" s="8">
        <v>344</v>
      </c>
      <c r="F154" s="8">
        <v>502</v>
      </c>
      <c r="G154" s="8">
        <f t="shared" si="8"/>
        <v>158</v>
      </c>
      <c r="H154" s="8">
        <f t="shared" si="9"/>
        <v>31.6</v>
      </c>
      <c r="I154" s="5" t="s">
        <v>127</v>
      </c>
      <c r="J154" s="5" t="s">
        <v>5</v>
      </c>
      <c r="K154" s="5" t="s">
        <v>100</v>
      </c>
    </row>
    <row r="155" spans="1:11" ht="15.75">
      <c r="A155" s="6" t="s">
        <v>119</v>
      </c>
      <c r="B155" s="7">
        <v>1154</v>
      </c>
      <c r="C155" s="5">
        <v>9822</v>
      </c>
      <c r="D155" s="5" t="s">
        <v>95</v>
      </c>
      <c r="E155" s="8">
        <v>58.3</v>
      </c>
      <c r="F155" s="8">
        <v>98.4</v>
      </c>
      <c r="G155" s="8">
        <f t="shared" si="8"/>
        <v>40.100000000000009</v>
      </c>
      <c r="H155" s="8">
        <f t="shared" si="9"/>
        <v>8.0200000000000014</v>
      </c>
      <c r="I155" s="5" t="s">
        <v>125</v>
      </c>
      <c r="J155" s="5" t="s">
        <v>126</v>
      </c>
      <c r="K155" s="5" t="s">
        <v>108</v>
      </c>
    </row>
    <row r="156" spans="1:11" ht="15.75">
      <c r="A156" s="6" t="s">
        <v>119</v>
      </c>
      <c r="B156" s="7">
        <v>1155</v>
      </c>
      <c r="C156" s="5">
        <v>4421</v>
      </c>
      <c r="D156" s="5" t="s">
        <v>104</v>
      </c>
      <c r="E156" s="8">
        <v>45</v>
      </c>
      <c r="F156" s="8">
        <v>87</v>
      </c>
      <c r="G156" s="8">
        <f t="shared" si="8"/>
        <v>42</v>
      </c>
      <c r="H156" s="8">
        <f t="shared" si="9"/>
        <v>8.4</v>
      </c>
      <c r="I156" s="5" t="s">
        <v>127</v>
      </c>
      <c r="J156" s="5" t="s">
        <v>5</v>
      </c>
      <c r="K156" s="5" t="s">
        <v>100</v>
      </c>
    </row>
    <row r="157" spans="1:11" ht="15.75">
      <c r="A157" s="6" t="s">
        <v>119</v>
      </c>
      <c r="B157" s="7">
        <v>1156</v>
      </c>
      <c r="C157" s="5">
        <v>2242</v>
      </c>
      <c r="D157" s="5" t="s">
        <v>107</v>
      </c>
      <c r="E157" s="8">
        <v>60</v>
      </c>
      <c r="F157" s="8">
        <v>124</v>
      </c>
      <c r="G157" s="8">
        <f t="shared" si="8"/>
        <v>64</v>
      </c>
      <c r="H157" s="8">
        <f t="shared" si="9"/>
        <v>12.8</v>
      </c>
      <c r="I157" s="5" t="s">
        <v>127</v>
      </c>
      <c r="J157" s="5" t="s">
        <v>5</v>
      </c>
      <c r="K157" s="5" t="s">
        <v>98</v>
      </c>
    </row>
    <row r="158" spans="1:11" ht="15.75">
      <c r="A158" s="6" t="s">
        <v>119</v>
      </c>
      <c r="B158" s="7">
        <v>1157</v>
      </c>
      <c r="C158" s="5">
        <v>9212</v>
      </c>
      <c r="D158" s="5" t="s">
        <v>105</v>
      </c>
      <c r="E158" s="8">
        <v>4</v>
      </c>
      <c r="F158" s="8">
        <v>7</v>
      </c>
      <c r="G158" s="8">
        <f t="shared" si="8"/>
        <v>3</v>
      </c>
      <c r="H158" s="8">
        <f t="shared" si="9"/>
        <v>0.30000000000000004</v>
      </c>
      <c r="I158" s="5" t="s">
        <v>127</v>
      </c>
      <c r="J158" s="5" t="s">
        <v>5</v>
      </c>
      <c r="K158" s="5" t="s">
        <v>96</v>
      </c>
    </row>
    <row r="159" spans="1:11" ht="15.75">
      <c r="A159" s="6" t="s">
        <v>120</v>
      </c>
      <c r="B159" s="7">
        <v>1158</v>
      </c>
      <c r="C159" s="5">
        <v>8722</v>
      </c>
      <c r="D159" s="5" t="s">
        <v>101</v>
      </c>
      <c r="E159" s="8">
        <v>344</v>
      </c>
      <c r="F159" s="8">
        <v>502</v>
      </c>
      <c r="G159" s="8">
        <f t="shared" si="8"/>
        <v>158</v>
      </c>
      <c r="H159" s="8">
        <f t="shared" si="9"/>
        <v>31.6</v>
      </c>
      <c r="I159" s="5" t="s">
        <v>123</v>
      </c>
      <c r="J159" s="5" t="s">
        <v>124</v>
      </c>
      <c r="K159" s="5" t="s">
        <v>108</v>
      </c>
    </row>
    <row r="160" spans="1:11" ht="15.75">
      <c r="A160" s="6" t="s">
        <v>120</v>
      </c>
      <c r="B160" s="7">
        <v>1159</v>
      </c>
      <c r="C160" s="5">
        <v>6622</v>
      </c>
      <c r="D160" s="5" t="s">
        <v>112</v>
      </c>
      <c r="E160" s="8">
        <v>42</v>
      </c>
      <c r="F160" s="8">
        <v>77</v>
      </c>
      <c r="G160" s="8">
        <f t="shared" si="8"/>
        <v>35</v>
      </c>
      <c r="H160" s="8">
        <f t="shared" si="9"/>
        <v>7</v>
      </c>
      <c r="I160" s="5" t="s">
        <v>127</v>
      </c>
      <c r="J160" s="5" t="s">
        <v>5</v>
      </c>
      <c r="K160" s="5" t="s">
        <v>98</v>
      </c>
    </row>
    <row r="161" spans="1:11" ht="15.75">
      <c r="A161" s="6" t="s">
        <v>120</v>
      </c>
      <c r="B161" s="7">
        <v>1160</v>
      </c>
      <c r="C161" s="5">
        <v>9822</v>
      </c>
      <c r="D161" s="5" t="s">
        <v>95</v>
      </c>
      <c r="E161" s="8">
        <v>58.3</v>
      </c>
      <c r="F161" s="8">
        <v>98.4</v>
      </c>
      <c r="G161" s="8">
        <f t="shared" si="8"/>
        <v>40.100000000000009</v>
      </c>
      <c r="H161" s="8">
        <f t="shared" si="9"/>
        <v>8.0200000000000014</v>
      </c>
      <c r="I161" s="5" t="s">
        <v>128</v>
      </c>
      <c r="J161" s="5" t="s">
        <v>7</v>
      </c>
      <c r="K161" s="5" t="s">
        <v>108</v>
      </c>
    </row>
    <row r="162" spans="1:11" ht="15.75">
      <c r="A162" s="6" t="s">
        <v>120</v>
      </c>
      <c r="B162" s="7">
        <v>1161</v>
      </c>
      <c r="C162" s="5">
        <v>4421</v>
      </c>
      <c r="D162" s="5" t="s">
        <v>104</v>
      </c>
      <c r="E162" s="8">
        <v>45</v>
      </c>
      <c r="F162" s="8">
        <v>87</v>
      </c>
      <c r="G162" s="8">
        <f t="shared" ref="G162:G172" si="10">F162-E162</f>
        <v>42</v>
      </c>
      <c r="H162" s="8">
        <f t="shared" ref="H162:H172" si="11">IF(F162&gt;50, G162*0.2,G162*0.1)</f>
        <v>8.4</v>
      </c>
      <c r="I162" s="5" t="s">
        <v>125</v>
      </c>
      <c r="J162" s="5" t="s">
        <v>126</v>
      </c>
      <c r="K162" s="5" t="s">
        <v>98</v>
      </c>
    </row>
    <row r="163" spans="1:11" ht="15.75">
      <c r="A163" s="6" t="s">
        <v>120</v>
      </c>
      <c r="B163" s="7">
        <v>1162</v>
      </c>
      <c r="C163" s="5">
        <v>9212</v>
      </c>
      <c r="D163" s="5" t="s">
        <v>105</v>
      </c>
      <c r="E163" s="8">
        <v>4</v>
      </c>
      <c r="F163" s="8">
        <v>7</v>
      </c>
      <c r="G163" s="8">
        <f t="shared" si="10"/>
        <v>3</v>
      </c>
      <c r="H163" s="8">
        <f t="shared" si="11"/>
        <v>0.30000000000000004</v>
      </c>
      <c r="I163" s="5" t="s">
        <v>123</v>
      </c>
      <c r="J163" s="5" t="s">
        <v>124</v>
      </c>
      <c r="K163" s="5" t="s">
        <v>100</v>
      </c>
    </row>
    <row r="164" spans="1:11" ht="15.75">
      <c r="A164" s="6" t="s">
        <v>120</v>
      </c>
      <c r="B164" s="7">
        <v>1163</v>
      </c>
      <c r="C164" s="5">
        <v>9212</v>
      </c>
      <c r="D164" s="5" t="s">
        <v>105</v>
      </c>
      <c r="E164" s="8">
        <v>4</v>
      </c>
      <c r="F164" s="8">
        <v>7</v>
      </c>
      <c r="G164" s="8">
        <f t="shared" si="10"/>
        <v>3</v>
      </c>
      <c r="H164" s="8">
        <f t="shared" si="11"/>
        <v>0.30000000000000004</v>
      </c>
      <c r="I164" s="5" t="s">
        <v>127</v>
      </c>
      <c r="J164" s="5" t="s">
        <v>5</v>
      </c>
      <c r="K164" s="5" t="s">
        <v>98</v>
      </c>
    </row>
    <row r="165" spans="1:11" ht="15.75">
      <c r="A165" s="6" t="s">
        <v>120</v>
      </c>
      <c r="B165" s="7">
        <v>1164</v>
      </c>
      <c r="C165" s="5">
        <v>9822</v>
      </c>
      <c r="D165" s="5" t="s">
        <v>95</v>
      </c>
      <c r="E165" s="8">
        <v>58.3</v>
      </c>
      <c r="F165" s="8">
        <v>98.4</v>
      </c>
      <c r="G165" s="8">
        <f t="shared" si="10"/>
        <v>40.100000000000009</v>
      </c>
      <c r="H165" s="8">
        <f t="shared" si="11"/>
        <v>8.0200000000000014</v>
      </c>
      <c r="I165" s="5" t="s">
        <v>127</v>
      </c>
      <c r="J165" s="5" t="s">
        <v>5</v>
      </c>
      <c r="K165" s="5" t="s">
        <v>100</v>
      </c>
    </row>
    <row r="166" spans="1:11" ht="15.75">
      <c r="A166" s="6" t="s">
        <v>120</v>
      </c>
      <c r="B166" s="7">
        <v>1165</v>
      </c>
      <c r="C166" s="5">
        <v>9822</v>
      </c>
      <c r="D166" s="5" t="s">
        <v>95</v>
      </c>
      <c r="E166" s="8">
        <v>58.3</v>
      </c>
      <c r="F166" s="8">
        <v>98.4</v>
      </c>
      <c r="G166" s="8">
        <f t="shared" si="10"/>
        <v>40.100000000000009</v>
      </c>
      <c r="H166" s="8">
        <f t="shared" si="11"/>
        <v>8.0200000000000014</v>
      </c>
      <c r="I166" s="5" t="s">
        <v>127</v>
      </c>
      <c r="J166" s="5" t="s">
        <v>5</v>
      </c>
      <c r="K166" s="5" t="s">
        <v>100</v>
      </c>
    </row>
    <row r="167" spans="1:11" ht="15.75">
      <c r="A167" s="6" t="s">
        <v>120</v>
      </c>
      <c r="B167" s="7">
        <v>1166</v>
      </c>
      <c r="C167" s="5">
        <v>8722</v>
      </c>
      <c r="D167" s="5" t="s">
        <v>101</v>
      </c>
      <c r="E167" s="8">
        <v>344</v>
      </c>
      <c r="F167" s="8">
        <v>502</v>
      </c>
      <c r="G167" s="8">
        <f t="shared" si="10"/>
        <v>158</v>
      </c>
      <c r="H167" s="8">
        <f t="shared" si="11"/>
        <v>31.6</v>
      </c>
      <c r="I167" s="5" t="s">
        <v>127</v>
      </c>
      <c r="J167" s="5" t="s">
        <v>5</v>
      </c>
      <c r="K167" s="5" t="s">
        <v>108</v>
      </c>
    </row>
    <row r="168" spans="1:11" ht="15.75">
      <c r="A168" s="6" t="s">
        <v>121</v>
      </c>
      <c r="B168" s="7">
        <v>1167</v>
      </c>
      <c r="C168" s="5">
        <v>2242</v>
      </c>
      <c r="D168" s="5" t="s">
        <v>107</v>
      </c>
      <c r="E168" s="8">
        <v>60</v>
      </c>
      <c r="F168" s="8">
        <v>124</v>
      </c>
      <c r="G168" s="8">
        <f t="shared" si="10"/>
        <v>64</v>
      </c>
      <c r="H168" s="8">
        <f t="shared" si="11"/>
        <v>12.8</v>
      </c>
      <c r="I168" s="5" t="s">
        <v>127</v>
      </c>
      <c r="J168" s="5" t="s">
        <v>5</v>
      </c>
      <c r="K168" s="5" t="s">
        <v>96</v>
      </c>
    </row>
    <row r="169" spans="1:11" ht="15.75">
      <c r="A169" s="6" t="s">
        <v>121</v>
      </c>
      <c r="B169" s="7">
        <v>1168</v>
      </c>
      <c r="C169" s="5">
        <v>9822</v>
      </c>
      <c r="D169" s="5" t="s">
        <v>95</v>
      </c>
      <c r="E169" s="8">
        <v>58.3</v>
      </c>
      <c r="F169" s="8">
        <v>98.4</v>
      </c>
      <c r="G169" s="8">
        <f t="shared" si="10"/>
        <v>40.100000000000009</v>
      </c>
      <c r="H169" s="8">
        <f t="shared" si="11"/>
        <v>8.0200000000000014</v>
      </c>
      <c r="I169" s="5" t="s">
        <v>127</v>
      </c>
      <c r="J169" s="5" t="s">
        <v>5</v>
      </c>
      <c r="K169" s="5" t="s">
        <v>98</v>
      </c>
    </row>
    <row r="170" spans="1:11" ht="15.75">
      <c r="A170" s="6" t="s">
        <v>121</v>
      </c>
      <c r="B170" s="7">
        <v>1169</v>
      </c>
      <c r="C170" s="5">
        <v>8722</v>
      </c>
      <c r="D170" s="5" t="s">
        <v>101</v>
      </c>
      <c r="E170" s="8">
        <v>344</v>
      </c>
      <c r="F170" s="8">
        <v>502</v>
      </c>
      <c r="G170" s="8">
        <f t="shared" si="10"/>
        <v>158</v>
      </c>
      <c r="H170" s="8">
        <f t="shared" si="11"/>
        <v>31.6</v>
      </c>
      <c r="I170" s="5" t="s">
        <v>127</v>
      </c>
      <c r="J170" s="5" t="s">
        <v>5</v>
      </c>
      <c r="K170" s="5" t="s">
        <v>109</v>
      </c>
    </row>
    <row r="171" spans="1:11" ht="15.75">
      <c r="A171" s="6" t="s">
        <v>121</v>
      </c>
      <c r="B171" s="7">
        <v>1170</v>
      </c>
      <c r="C171" s="5">
        <v>4421</v>
      </c>
      <c r="D171" s="5" t="s">
        <v>104</v>
      </c>
      <c r="E171" s="8">
        <v>45</v>
      </c>
      <c r="F171" s="8">
        <v>87</v>
      </c>
      <c r="G171" s="8">
        <f t="shared" si="10"/>
        <v>42</v>
      </c>
      <c r="H171" s="8">
        <f t="shared" si="11"/>
        <v>8.4</v>
      </c>
      <c r="I171" s="5" t="s">
        <v>123</v>
      </c>
      <c r="J171" s="5" t="s">
        <v>124</v>
      </c>
      <c r="K171" s="5" t="s">
        <v>98</v>
      </c>
    </row>
    <row r="172" spans="1:11" ht="15.75">
      <c r="A172" s="6" t="s">
        <v>121</v>
      </c>
      <c r="B172" s="7">
        <v>1171</v>
      </c>
      <c r="C172" s="5">
        <v>4421</v>
      </c>
      <c r="D172" s="5" t="s">
        <v>104</v>
      </c>
      <c r="E172" s="8">
        <v>45</v>
      </c>
      <c r="F172" s="8">
        <v>87</v>
      </c>
      <c r="G172" s="8">
        <f t="shared" si="10"/>
        <v>42</v>
      </c>
      <c r="H172" s="8">
        <f t="shared" si="11"/>
        <v>8.4</v>
      </c>
      <c r="I172" s="5" t="s">
        <v>125</v>
      </c>
      <c r="J172" s="5" t="s">
        <v>126</v>
      </c>
      <c r="K172" s="5" t="s">
        <v>108</v>
      </c>
    </row>
    <row r="174" spans="1:11" ht="15.75">
      <c r="A174" s="6" t="s">
        <v>129</v>
      </c>
      <c r="F174" s="2">
        <f>SUM(F2:F172)</f>
        <v>17110.599999999995</v>
      </c>
    </row>
    <row r="175" spans="1:11" ht="15.75">
      <c r="A175" s="6" t="s">
        <v>130</v>
      </c>
      <c r="F175" s="2">
        <f>SUMIF(F2:F172, "&gt;50")</f>
        <v>16088.399999999994</v>
      </c>
    </row>
    <row r="176" spans="1:11" ht="15.75">
      <c r="A176" s="6" t="s">
        <v>131</v>
      </c>
      <c r="F176" s="2">
        <f>SUMIF(F2:F172, "&lt;=50")</f>
        <v>1022.1999999999997</v>
      </c>
    </row>
  </sheetData>
  <autoFilter ref="A1:K172" xr:uid="{C45DF2A6-ED05-4D4C-ADA1-17FA82D681CB}"/>
  <sortState xmlns:xlrd2="http://schemas.microsoft.com/office/spreadsheetml/2017/richdata2" ref="A2:K172">
    <sortCondition ref="B2:B1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8629-33EE-458A-AF1B-7A54974BF8AC}">
  <dimension ref="A1:B8"/>
  <sheetViews>
    <sheetView workbookViewId="0">
      <selection activeCell="E25" sqref="E25"/>
    </sheetView>
  </sheetViews>
  <sheetFormatPr defaultRowHeight="15"/>
  <cols>
    <col min="1" max="1" width="11.85546875" bestFit="1" customWidth="1"/>
    <col min="2" max="2" width="16.85546875" style="2" customWidth="1"/>
  </cols>
  <sheetData>
    <row r="1" spans="1:2">
      <c r="A1" t="s">
        <v>135</v>
      </c>
    </row>
    <row r="3" spans="1:2">
      <c r="A3" s="9" t="s">
        <v>132</v>
      </c>
      <c r="B3" s="2" t="s">
        <v>134</v>
      </c>
    </row>
    <row r="4" spans="1:2">
      <c r="A4" s="10" t="s">
        <v>124</v>
      </c>
      <c r="B4" s="2">
        <v>6003.5</v>
      </c>
    </row>
    <row r="5" spans="1:2">
      <c r="A5" s="10" t="s">
        <v>126</v>
      </c>
      <c r="B5" s="2">
        <v>2410.7000000000003</v>
      </c>
    </row>
    <row r="6" spans="1:2">
      <c r="A6" s="10" t="s">
        <v>7</v>
      </c>
      <c r="B6" s="2">
        <v>3035.3</v>
      </c>
    </row>
    <row r="7" spans="1:2">
      <c r="A7" s="10" t="s">
        <v>5</v>
      </c>
      <c r="B7" s="2">
        <v>5661.0999999999985</v>
      </c>
    </row>
    <row r="8" spans="1:2">
      <c r="A8" s="10" t="s">
        <v>133</v>
      </c>
      <c r="B8" s="2">
        <v>17110.599999999999</v>
      </c>
    </row>
  </sheetData>
  <sortState xmlns:xlrd2="http://schemas.microsoft.com/office/spreadsheetml/2017/richdata2" ref="C20:D30">
    <sortCondition ref="C20:C30"/>
  </sortState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CDAF-09E6-496A-BFCA-3A6373B7F1E7}">
  <dimension ref="A1:Q66"/>
  <sheetViews>
    <sheetView tabSelected="1" workbookViewId="0">
      <selection activeCell="V25" sqref="V25"/>
    </sheetView>
  </sheetViews>
  <sheetFormatPr defaultRowHeight="15"/>
  <cols>
    <col min="1" max="1" width="13.140625" bestFit="1" customWidth="1"/>
    <col min="2" max="2" width="5.85546875" bestFit="1" customWidth="1"/>
    <col min="3" max="3" width="16.85546875" bestFit="1" customWidth="1"/>
    <col min="4" max="4" width="6.7109375" bestFit="1" customWidth="1"/>
    <col min="5" max="5" width="17.85546875" bestFit="1" customWidth="1"/>
    <col min="6" max="6" width="16.7109375" bestFit="1" customWidth="1"/>
    <col min="7" max="7" width="4.42578125" bestFit="1" customWidth="1"/>
    <col min="8" max="8" width="11.5703125" style="11" bestFit="1" customWidth="1"/>
    <col min="9" max="9" width="12.85546875" style="11" bestFit="1" customWidth="1"/>
    <col min="10" max="10" width="6.42578125" bestFit="1" customWidth="1"/>
    <col min="11" max="11" width="9.85546875" bestFit="1" customWidth="1"/>
    <col min="12" max="12" width="15.140625" bestFit="1" customWidth="1"/>
    <col min="13" max="13" width="12.140625" bestFit="1" customWidth="1"/>
    <col min="14" max="14" width="16.85546875" bestFit="1" customWidth="1"/>
    <col min="16" max="16" width="4.7109375" bestFit="1" customWidth="1"/>
    <col min="17" max="17" width="13.28515625" bestFit="1" customWidth="1"/>
  </cols>
  <sheetData>
    <row r="1" spans="1:17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s="11" t="s">
        <v>143</v>
      </c>
      <c r="I1" s="1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</row>
    <row r="2" spans="1:17">
      <c r="A2" t="s">
        <v>193</v>
      </c>
      <c r="B2" t="str">
        <f t="shared" ref="B2:B33" si="0">LEFT(A2, 2)</f>
        <v>TY</v>
      </c>
      <c r="C2" t="str">
        <f t="shared" ref="C2:C33" si="1">VLOOKUP(B2,P$2:Q$7,2)</f>
        <v>Toyota</v>
      </c>
      <c r="D2" t="str">
        <f t="shared" ref="D2:D33" si="2">MID(A2,5,3)</f>
        <v>COR</v>
      </c>
      <c r="E2" t="str">
        <f t="shared" ref="E2:E33" si="3">VLOOKUP(D2,P$9:Q$19,2)</f>
        <v>Corola</v>
      </c>
      <c r="F2" t="str">
        <f t="shared" ref="F2:F33" si="4">MID(A2,3,2)</f>
        <v>14</v>
      </c>
      <c r="G2">
        <f t="shared" ref="G2:G33" si="5">IF(14-F2&lt;0,100-F2+14,14-F2)</f>
        <v>0</v>
      </c>
      <c r="H2" s="11">
        <v>17556.3</v>
      </c>
      <c r="I2" s="11">
        <f t="shared" ref="I2:I33" si="6">H2/(G2+0.5)</f>
        <v>35112.6</v>
      </c>
      <c r="J2" t="s">
        <v>181</v>
      </c>
      <c r="K2" t="s">
        <v>166</v>
      </c>
      <c r="L2">
        <v>100000</v>
      </c>
      <c r="M2" t="str">
        <f t="shared" ref="M2:M33" si="7">IF(H2&lt;=L2, "Yes", "Not Covered")</f>
        <v>Yes</v>
      </c>
      <c r="N2" t="str">
        <f t="shared" ref="N2:N33" si="8">CONCATENATE(B2,F2,D2,UPPER(LEFT(J2,3)),RIGHT(A2,3))</f>
        <v>TY14CORBLU027</v>
      </c>
      <c r="P2" t="s">
        <v>217</v>
      </c>
      <c r="Q2" t="s">
        <v>223</v>
      </c>
    </row>
    <row r="3" spans="1:17">
      <c r="A3" t="s">
        <v>175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t="str">
        <f t="shared" si="3"/>
        <v>Camero</v>
      </c>
      <c r="F3" t="str">
        <f t="shared" si="4"/>
        <v>14</v>
      </c>
      <c r="G3">
        <f t="shared" si="5"/>
        <v>0</v>
      </c>
      <c r="H3" s="11">
        <v>14289.6</v>
      </c>
      <c r="I3" s="11">
        <f t="shared" si="6"/>
        <v>28579.200000000001</v>
      </c>
      <c r="J3" t="s">
        <v>35</v>
      </c>
      <c r="K3" t="s">
        <v>176</v>
      </c>
      <c r="L3">
        <v>100000</v>
      </c>
      <c r="M3" t="str">
        <f t="shared" si="7"/>
        <v>Yes</v>
      </c>
      <c r="N3" t="str">
        <f t="shared" si="8"/>
        <v>GM14CMRWHI016</v>
      </c>
      <c r="P3" t="s">
        <v>222</v>
      </c>
      <c r="Q3" t="s">
        <v>228</v>
      </c>
    </row>
    <row r="4" spans="1:17">
      <c r="A4" t="s">
        <v>164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t="str">
        <f t="shared" si="3"/>
        <v>Focus</v>
      </c>
      <c r="F4" t="str">
        <f t="shared" si="4"/>
        <v>13</v>
      </c>
      <c r="G4">
        <f t="shared" si="5"/>
        <v>1</v>
      </c>
      <c r="H4" s="11">
        <v>27637.1</v>
      </c>
      <c r="I4" s="11">
        <f t="shared" si="6"/>
        <v>18424.733333333334</v>
      </c>
      <c r="J4" t="s">
        <v>152</v>
      </c>
      <c r="K4" t="s">
        <v>5</v>
      </c>
      <c r="L4">
        <v>75000</v>
      </c>
      <c r="M4" t="str">
        <f t="shared" si="7"/>
        <v>Yes</v>
      </c>
      <c r="N4" t="str">
        <f t="shared" si="8"/>
        <v>FD13FCSBLA009</v>
      </c>
      <c r="P4" t="s">
        <v>221</v>
      </c>
      <c r="Q4" t="s">
        <v>227</v>
      </c>
    </row>
    <row r="5" spans="1:17">
      <c r="A5" t="s">
        <v>165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t="str">
        <f t="shared" si="3"/>
        <v>Focus</v>
      </c>
      <c r="F5" t="str">
        <f t="shared" si="4"/>
        <v>13</v>
      </c>
      <c r="G5">
        <f t="shared" si="5"/>
        <v>1</v>
      </c>
      <c r="H5" s="11">
        <v>27534.799999999999</v>
      </c>
      <c r="I5" s="11">
        <f t="shared" si="6"/>
        <v>18356.533333333333</v>
      </c>
      <c r="J5" t="s">
        <v>35</v>
      </c>
      <c r="K5" t="s">
        <v>166</v>
      </c>
      <c r="L5">
        <v>75000</v>
      </c>
      <c r="M5" t="str">
        <f t="shared" si="7"/>
        <v>Yes</v>
      </c>
      <c r="N5" t="str">
        <f t="shared" si="8"/>
        <v>FD13FCSWHI010</v>
      </c>
      <c r="P5" t="s">
        <v>220</v>
      </c>
      <c r="Q5" t="s">
        <v>226</v>
      </c>
    </row>
    <row r="6" spans="1:17">
      <c r="A6" t="s">
        <v>169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t="str">
        <f t="shared" si="3"/>
        <v>Focus</v>
      </c>
      <c r="F6" t="str">
        <f t="shared" si="4"/>
        <v>13</v>
      </c>
      <c r="G6">
        <f t="shared" si="5"/>
        <v>1</v>
      </c>
      <c r="H6" s="11">
        <v>22521.599999999999</v>
      </c>
      <c r="I6" s="11">
        <f t="shared" si="6"/>
        <v>15014.4</v>
      </c>
      <c r="J6" t="s">
        <v>152</v>
      </c>
      <c r="K6" t="s">
        <v>170</v>
      </c>
      <c r="L6">
        <v>75000</v>
      </c>
      <c r="M6" t="str">
        <f t="shared" si="7"/>
        <v>Yes</v>
      </c>
      <c r="N6" t="str">
        <f t="shared" si="8"/>
        <v>FD13FCSBLA012</v>
      </c>
      <c r="P6" t="s">
        <v>218</v>
      </c>
      <c r="Q6" t="s">
        <v>224</v>
      </c>
    </row>
    <row r="7" spans="1:17">
      <c r="A7" t="s">
        <v>216</v>
      </c>
      <c r="B7" t="str">
        <f t="shared" si="0"/>
        <v>HY</v>
      </c>
      <c r="C7" t="str">
        <f t="shared" si="1"/>
        <v>Hundai</v>
      </c>
      <c r="D7" t="str">
        <f t="shared" si="2"/>
        <v>ELA</v>
      </c>
      <c r="E7" t="str">
        <f t="shared" si="3"/>
        <v>Elantra</v>
      </c>
      <c r="F7" t="str">
        <f t="shared" si="4"/>
        <v>13</v>
      </c>
      <c r="G7">
        <f t="shared" si="5"/>
        <v>1</v>
      </c>
      <c r="H7" s="11">
        <v>22188.5</v>
      </c>
      <c r="I7" s="11">
        <f t="shared" si="6"/>
        <v>14792.333333333334</v>
      </c>
      <c r="J7" t="s">
        <v>181</v>
      </c>
      <c r="K7" t="s">
        <v>160</v>
      </c>
      <c r="L7">
        <v>100000</v>
      </c>
      <c r="M7" t="str">
        <f t="shared" si="7"/>
        <v>Yes</v>
      </c>
      <c r="N7" t="str">
        <f t="shared" si="8"/>
        <v>HY13ELABLU052</v>
      </c>
      <c r="P7" t="s">
        <v>219</v>
      </c>
      <c r="Q7" t="s">
        <v>225</v>
      </c>
    </row>
    <row r="8" spans="1:17">
      <c r="A8" t="s">
        <v>215</v>
      </c>
      <c r="B8" t="str">
        <f t="shared" si="0"/>
        <v>HY</v>
      </c>
      <c r="C8" t="str">
        <f t="shared" si="1"/>
        <v>Hundai</v>
      </c>
      <c r="D8" t="str">
        <f t="shared" si="2"/>
        <v>ELA</v>
      </c>
      <c r="E8" t="str">
        <f t="shared" si="3"/>
        <v>Elantra</v>
      </c>
      <c r="F8" t="str">
        <f t="shared" si="4"/>
        <v>13</v>
      </c>
      <c r="G8">
        <f t="shared" si="5"/>
        <v>1</v>
      </c>
      <c r="H8" s="11">
        <v>20223.900000000001</v>
      </c>
      <c r="I8" s="11">
        <f t="shared" si="6"/>
        <v>13482.6</v>
      </c>
      <c r="J8" t="s">
        <v>152</v>
      </c>
      <c r="K8" t="s">
        <v>166</v>
      </c>
      <c r="L8">
        <v>100000</v>
      </c>
      <c r="M8" t="str">
        <f t="shared" si="7"/>
        <v>Yes</v>
      </c>
      <c r="N8" t="str">
        <f t="shared" si="8"/>
        <v>HY13ELABLA051</v>
      </c>
    </row>
    <row r="9" spans="1:17">
      <c r="A9" t="s">
        <v>194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t="str">
        <f t="shared" si="3"/>
        <v>Corola</v>
      </c>
      <c r="F9" t="str">
        <f t="shared" si="4"/>
        <v>12</v>
      </c>
      <c r="G9">
        <f t="shared" si="5"/>
        <v>2</v>
      </c>
      <c r="H9" s="11">
        <v>29601.9</v>
      </c>
      <c r="I9" s="11">
        <f t="shared" si="6"/>
        <v>11840.76</v>
      </c>
      <c r="J9" t="s">
        <v>152</v>
      </c>
      <c r="K9" t="s">
        <v>172</v>
      </c>
      <c r="L9">
        <v>100000</v>
      </c>
      <c r="M9" t="str">
        <f t="shared" si="7"/>
        <v>Yes</v>
      </c>
      <c r="N9" t="str">
        <f t="shared" si="8"/>
        <v>TY12CORBLA028</v>
      </c>
      <c r="P9" t="s">
        <v>229</v>
      </c>
      <c r="Q9" t="s">
        <v>240</v>
      </c>
    </row>
    <row r="10" spans="1:17">
      <c r="A10" t="s">
        <v>201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t="str">
        <f t="shared" si="3"/>
        <v>Civic</v>
      </c>
      <c r="F10" t="str">
        <f t="shared" si="4"/>
        <v>12</v>
      </c>
      <c r="G10">
        <f t="shared" si="5"/>
        <v>2</v>
      </c>
      <c r="H10" s="11">
        <v>24513.200000000001</v>
      </c>
      <c r="I10" s="11">
        <f t="shared" si="6"/>
        <v>9805.2800000000007</v>
      </c>
      <c r="J10" t="s">
        <v>152</v>
      </c>
      <c r="K10" t="s">
        <v>178</v>
      </c>
      <c r="L10">
        <v>75000</v>
      </c>
      <c r="M10" t="str">
        <f t="shared" si="7"/>
        <v>Yes</v>
      </c>
      <c r="N10" t="str">
        <f t="shared" si="8"/>
        <v>HO12CIVBLA035</v>
      </c>
      <c r="P10" t="s">
        <v>234</v>
      </c>
      <c r="Q10" t="s">
        <v>245</v>
      </c>
    </row>
    <row r="11" spans="1:17">
      <c r="A11" t="s">
        <v>202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t="str">
        <f t="shared" si="3"/>
        <v>Civic</v>
      </c>
      <c r="F11" t="str">
        <f t="shared" si="4"/>
        <v>13</v>
      </c>
      <c r="G11">
        <f t="shared" si="5"/>
        <v>1</v>
      </c>
      <c r="H11" s="11">
        <v>13867.6</v>
      </c>
      <c r="I11" s="11">
        <f t="shared" si="6"/>
        <v>9245.0666666666675</v>
      </c>
      <c r="J11" t="s">
        <v>152</v>
      </c>
      <c r="K11" t="s">
        <v>183</v>
      </c>
      <c r="L11">
        <v>75000</v>
      </c>
      <c r="M11" t="str">
        <f t="shared" si="7"/>
        <v>Yes</v>
      </c>
      <c r="N11" t="str">
        <f t="shared" si="8"/>
        <v>HO13CIVBLA036</v>
      </c>
      <c r="P11" t="s">
        <v>235</v>
      </c>
      <c r="Q11" t="s">
        <v>246</v>
      </c>
    </row>
    <row r="12" spans="1:17">
      <c r="A12" t="s">
        <v>171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t="str">
        <f t="shared" si="3"/>
        <v>Focus</v>
      </c>
      <c r="F12" t="str">
        <f t="shared" si="4"/>
        <v>13</v>
      </c>
      <c r="G12">
        <f t="shared" si="5"/>
        <v>1</v>
      </c>
      <c r="H12" s="11">
        <v>13682.9</v>
      </c>
      <c r="I12" s="11">
        <f t="shared" si="6"/>
        <v>9121.9333333333325</v>
      </c>
      <c r="J12" t="s">
        <v>152</v>
      </c>
      <c r="K12" t="s">
        <v>21</v>
      </c>
      <c r="L12">
        <v>75000</v>
      </c>
      <c r="M12" t="str">
        <f t="shared" si="7"/>
        <v>Yes</v>
      </c>
      <c r="N12" t="str">
        <f t="shared" si="8"/>
        <v>FD13FCSBLA013</v>
      </c>
      <c r="P12" t="s">
        <v>232</v>
      </c>
      <c r="Q12" t="s">
        <v>243</v>
      </c>
    </row>
    <row r="13" spans="1:17">
      <c r="A13" t="s">
        <v>214</v>
      </c>
      <c r="B13" t="str">
        <f t="shared" si="0"/>
        <v>HY</v>
      </c>
      <c r="C13" t="str">
        <f t="shared" si="1"/>
        <v>Hundai</v>
      </c>
      <c r="D13" t="str">
        <f t="shared" si="2"/>
        <v>ELA</v>
      </c>
      <c r="E13" t="str">
        <f t="shared" si="3"/>
        <v>Elantra</v>
      </c>
      <c r="F13" t="str">
        <f t="shared" si="4"/>
        <v>12</v>
      </c>
      <c r="G13">
        <f t="shared" si="5"/>
        <v>2</v>
      </c>
      <c r="H13" s="11">
        <v>22282</v>
      </c>
      <c r="I13" s="11">
        <f t="shared" si="6"/>
        <v>8912.7999999999993</v>
      </c>
      <c r="J13" t="s">
        <v>181</v>
      </c>
      <c r="K13" t="s">
        <v>154</v>
      </c>
      <c r="L13">
        <v>100000</v>
      </c>
      <c r="M13" t="str">
        <f t="shared" si="7"/>
        <v>Yes</v>
      </c>
      <c r="N13" t="str">
        <f t="shared" si="8"/>
        <v>HY12ELABLU050</v>
      </c>
      <c r="P13" t="s">
        <v>233</v>
      </c>
      <c r="Q13" t="s">
        <v>244</v>
      </c>
    </row>
    <row r="14" spans="1:17">
      <c r="A14" t="s">
        <v>195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t="str">
        <f t="shared" si="3"/>
        <v>Camrey</v>
      </c>
      <c r="F14" t="str">
        <f t="shared" si="4"/>
        <v>12</v>
      </c>
      <c r="G14">
        <f t="shared" si="5"/>
        <v>2</v>
      </c>
      <c r="H14" s="11">
        <v>22128.2</v>
      </c>
      <c r="I14" s="11">
        <f t="shared" si="6"/>
        <v>8851.2800000000007</v>
      </c>
      <c r="J14" t="s">
        <v>181</v>
      </c>
      <c r="K14" t="s">
        <v>183</v>
      </c>
      <c r="L14">
        <v>100000</v>
      </c>
      <c r="M14" t="str">
        <f t="shared" si="7"/>
        <v>Yes</v>
      </c>
      <c r="N14" t="str">
        <f t="shared" si="8"/>
        <v>TY12CAMBLU029</v>
      </c>
      <c r="P14" t="s">
        <v>230</v>
      </c>
      <c r="Q14" t="s">
        <v>241</v>
      </c>
    </row>
    <row r="15" spans="1:17">
      <c r="A15" t="s">
        <v>188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t="str">
        <f t="shared" si="3"/>
        <v>Camrey</v>
      </c>
      <c r="F15" t="str">
        <f t="shared" si="4"/>
        <v>09</v>
      </c>
      <c r="G15">
        <f t="shared" si="5"/>
        <v>5</v>
      </c>
      <c r="H15" s="11">
        <v>48114.2</v>
      </c>
      <c r="I15" s="11">
        <f t="shared" si="6"/>
        <v>8748.0363636363636</v>
      </c>
      <c r="J15" t="s">
        <v>35</v>
      </c>
      <c r="K15" t="s">
        <v>163</v>
      </c>
      <c r="L15">
        <v>100000</v>
      </c>
      <c r="M15" t="str">
        <f t="shared" si="7"/>
        <v>Yes</v>
      </c>
      <c r="N15" t="str">
        <f t="shared" si="8"/>
        <v>TY09CAMWHI024</v>
      </c>
      <c r="P15" t="s">
        <v>231</v>
      </c>
      <c r="Q15" t="s">
        <v>242</v>
      </c>
    </row>
    <row r="16" spans="1:17">
      <c r="A16" t="s">
        <v>200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t="str">
        <f t="shared" si="3"/>
        <v>Civic</v>
      </c>
      <c r="F16" t="str">
        <f t="shared" si="4"/>
        <v>11</v>
      </c>
      <c r="G16">
        <f t="shared" si="5"/>
        <v>3</v>
      </c>
      <c r="H16" s="11">
        <v>30555.3</v>
      </c>
      <c r="I16" s="11">
        <f t="shared" si="6"/>
        <v>8730.0857142857149</v>
      </c>
      <c r="J16" t="s">
        <v>152</v>
      </c>
      <c r="K16" t="s">
        <v>157</v>
      </c>
      <c r="L16">
        <v>75000</v>
      </c>
      <c r="M16" t="str">
        <f t="shared" si="7"/>
        <v>Yes</v>
      </c>
      <c r="N16" t="str">
        <f t="shared" si="8"/>
        <v>HO11CIVBLA034</v>
      </c>
      <c r="P16" t="s">
        <v>236</v>
      </c>
      <c r="Q16" t="s">
        <v>247</v>
      </c>
    </row>
    <row r="17" spans="1:17">
      <c r="A17" t="s">
        <v>213</v>
      </c>
      <c r="B17" t="str">
        <f t="shared" si="0"/>
        <v>HY</v>
      </c>
      <c r="C17" t="str">
        <f t="shared" si="1"/>
        <v>Hundai</v>
      </c>
      <c r="D17" t="str">
        <f t="shared" si="2"/>
        <v>ELA</v>
      </c>
      <c r="E17" t="str">
        <f t="shared" si="3"/>
        <v>Elantra</v>
      </c>
      <c r="F17" t="str">
        <f t="shared" si="4"/>
        <v>11</v>
      </c>
      <c r="G17">
        <f t="shared" si="5"/>
        <v>3</v>
      </c>
      <c r="H17" s="11">
        <v>29102.3</v>
      </c>
      <c r="I17" s="11">
        <f t="shared" si="6"/>
        <v>8314.9428571428562</v>
      </c>
      <c r="J17" t="s">
        <v>152</v>
      </c>
      <c r="K17" t="s">
        <v>176</v>
      </c>
      <c r="L17">
        <v>100000</v>
      </c>
      <c r="M17" t="str">
        <f t="shared" si="7"/>
        <v>Yes</v>
      </c>
      <c r="N17" t="str">
        <f t="shared" si="8"/>
        <v>HY11ELABLA049</v>
      </c>
      <c r="P17" t="s">
        <v>237</v>
      </c>
      <c r="Q17" t="s">
        <v>248</v>
      </c>
    </row>
    <row r="18" spans="1:17">
      <c r="A18" t="s">
        <v>208</v>
      </c>
      <c r="B18" t="str">
        <f t="shared" si="0"/>
        <v>CR</v>
      </c>
      <c r="C18" t="str">
        <f t="shared" si="1"/>
        <v>Chrysler</v>
      </c>
      <c r="D18" t="str">
        <f t="shared" si="2"/>
        <v>PTC</v>
      </c>
      <c r="E18" t="str">
        <f t="shared" si="3"/>
        <v>PT Cruiser</v>
      </c>
      <c r="F18" t="str">
        <f t="shared" si="4"/>
        <v>11</v>
      </c>
      <c r="G18">
        <f t="shared" si="5"/>
        <v>3</v>
      </c>
      <c r="H18" s="11">
        <v>27394.2</v>
      </c>
      <c r="I18" s="11">
        <f t="shared" si="6"/>
        <v>7826.9142857142861</v>
      </c>
      <c r="J18" t="s">
        <v>152</v>
      </c>
      <c r="K18" t="s">
        <v>170</v>
      </c>
      <c r="L18">
        <v>75000</v>
      </c>
      <c r="M18" t="str">
        <f t="shared" si="7"/>
        <v>Yes</v>
      </c>
      <c r="N18" t="str">
        <f t="shared" si="8"/>
        <v>CR11PTCBLA044</v>
      </c>
      <c r="P18" t="s">
        <v>238</v>
      </c>
      <c r="Q18" t="s">
        <v>250</v>
      </c>
    </row>
    <row r="19" spans="1:17">
      <c r="A19" t="s">
        <v>173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t="str">
        <f t="shared" si="3"/>
        <v>Camero</v>
      </c>
      <c r="F19" t="str">
        <f t="shared" si="4"/>
        <v>12</v>
      </c>
      <c r="G19">
        <f t="shared" si="5"/>
        <v>2</v>
      </c>
      <c r="H19" s="11">
        <v>19421.099999999999</v>
      </c>
      <c r="I19" s="11">
        <f t="shared" si="6"/>
        <v>7768.44</v>
      </c>
      <c r="J19" t="s">
        <v>152</v>
      </c>
      <c r="K19" t="s">
        <v>174</v>
      </c>
      <c r="L19">
        <v>100000</v>
      </c>
      <c r="M19" t="str">
        <f t="shared" si="7"/>
        <v>Yes</v>
      </c>
      <c r="N19" t="str">
        <f t="shared" si="8"/>
        <v>GM12CMRBLA015</v>
      </c>
      <c r="P19" t="s">
        <v>239</v>
      </c>
      <c r="Q19" t="s">
        <v>249</v>
      </c>
    </row>
    <row r="20" spans="1:17">
      <c r="A20" t="s">
        <v>167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t="str">
        <f t="shared" si="3"/>
        <v>Focus</v>
      </c>
      <c r="F20" t="str">
        <f t="shared" si="4"/>
        <v>12</v>
      </c>
      <c r="G20">
        <f t="shared" si="5"/>
        <v>2</v>
      </c>
      <c r="H20" s="11">
        <v>19341.7</v>
      </c>
      <c r="I20" s="11">
        <f t="shared" si="6"/>
        <v>7736.68</v>
      </c>
      <c r="J20" t="s">
        <v>35</v>
      </c>
      <c r="K20" t="s">
        <v>168</v>
      </c>
      <c r="L20">
        <v>75000</v>
      </c>
      <c r="M20" t="str">
        <f t="shared" si="7"/>
        <v>Yes</v>
      </c>
      <c r="N20" t="str">
        <f t="shared" si="8"/>
        <v>FD12FCSWHI011</v>
      </c>
    </row>
    <row r="21" spans="1:17">
      <c r="A21" t="s">
        <v>199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t="str">
        <f t="shared" si="3"/>
        <v>Civic</v>
      </c>
      <c r="F21" t="str">
        <f t="shared" si="4"/>
        <v>10</v>
      </c>
      <c r="G21">
        <f t="shared" si="5"/>
        <v>4</v>
      </c>
      <c r="H21" s="11">
        <v>33477.199999999997</v>
      </c>
      <c r="I21" s="11">
        <f t="shared" si="6"/>
        <v>7439.3777777777768</v>
      </c>
      <c r="J21" t="s">
        <v>152</v>
      </c>
      <c r="K21" t="s">
        <v>185</v>
      </c>
      <c r="L21">
        <v>75000</v>
      </c>
      <c r="M21" t="str">
        <f t="shared" si="7"/>
        <v>Yes</v>
      </c>
      <c r="N21" t="str">
        <f t="shared" si="8"/>
        <v>HO10CIVBLA033</v>
      </c>
    </row>
    <row r="22" spans="1:17">
      <c r="A22" t="s">
        <v>205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t="str">
        <f t="shared" si="3"/>
        <v>Odyssey</v>
      </c>
      <c r="F22" t="str">
        <f t="shared" si="4"/>
        <v>14</v>
      </c>
      <c r="G22">
        <f t="shared" si="5"/>
        <v>0</v>
      </c>
      <c r="H22" s="11">
        <v>3708.1</v>
      </c>
      <c r="I22" s="11">
        <f t="shared" si="6"/>
        <v>7416.2</v>
      </c>
      <c r="J22" t="s">
        <v>152</v>
      </c>
      <c r="K22" t="s">
        <v>154</v>
      </c>
      <c r="L22">
        <v>100000</v>
      </c>
      <c r="M22" t="str">
        <f t="shared" si="7"/>
        <v>Yes</v>
      </c>
      <c r="N22" t="str">
        <f t="shared" si="8"/>
        <v>HO14ODYBLA041</v>
      </c>
    </row>
    <row r="23" spans="1:17">
      <c r="A23" t="s">
        <v>177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t="str">
        <f t="shared" si="3"/>
        <v>Silverado</v>
      </c>
      <c r="F23" t="str">
        <f t="shared" si="4"/>
        <v>10</v>
      </c>
      <c r="G23">
        <f t="shared" si="5"/>
        <v>4</v>
      </c>
      <c r="H23" s="11">
        <v>31144.400000000001</v>
      </c>
      <c r="I23" s="11">
        <f t="shared" si="6"/>
        <v>6920.9777777777781</v>
      </c>
      <c r="J23" t="s">
        <v>152</v>
      </c>
      <c r="K23" t="s">
        <v>178</v>
      </c>
      <c r="L23">
        <v>100000</v>
      </c>
      <c r="M23" t="str">
        <f t="shared" si="7"/>
        <v>Yes</v>
      </c>
      <c r="N23" t="str">
        <f t="shared" si="8"/>
        <v>GM10SLVBLA017</v>
      </c>
    </row>
    <row r="24" spans="1:17">
      <c r="A24" t="s">
        <v>155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t="str">
        <f t="shared" si="3"/>
        <v>Mustang</v>
      </c>
      <c r="F24" t="str">
        <f t="shared" si="4"/>
        <v>08</v>
      </c>
      <c r="G24">
        <f t="shared" si="5"/>
        <v>6</v>
      </c>
      <c r="H24" s="11">
        <v>44946.5</v>
      </c>
      <c r="I24" s="11">
        <f t="shared" si="6"/>
        <v>6914.8461538461543</v>
      </c>
      <c r="J24" t="s">
        <v>156</v>
      </c>
      <c r="K24" t="s">
        <v>157</v>
      </c>
      <c r="L24">
        <v>50000</v>
      </c>
      <c r="M24" t="str">
        <f t="shared" si="7"/>
        <v>Yes</v>
      </c>
      <c r="N24" t="str">
        <f t="shared" si="8"/>
        <v>FD08MTGGRE003</v>
      </c>
    </row>
    <row r="25" spans="1:17">
      <c r="A25" t="s">
        <v>211</v>
      </c>
      <c r="B25" t="str">
        <f t="shared" si="0"/>
        <v>CR</v>
      </c>
      <c r="C25" t="str">
        <f t="shared" si="1"/>
        <v>Chrysler</v>
      </c>
      <c r="D25" t="str">
        <f t="shared" si="2"/>
        <v>CAR</v>
      </c>
      <c r="E25" t="str">
        <f t="shared" si="3"/>
        <v>Caraven</v>
      </c>
      <c r="F25" t="str">
        <f t="shared" si="4"/>
        <v>04</v>
      </c>
      <c r="G25">
        <f t="shared" si="5"/>
        <v>10</v>
      </c>
      <c r="H25" s="11">
        <v>72527.199999999997</v>
      </c>
      <c r="I25" s="11">
        <f t="shared" si="6"/>
        <v>6907.3523809523804</v>
      </c>
      <c r="J25" t="s">
        <v>35</v>
      </c>
      <c r="K25" t="s">
        <v>174</v>
      </c>
      <c r="L25">
        <v>75000</v>
      </c>
      <c r="M25" t="str">
        <f t="shared" si="7"/>
        <v>Yes</v>
      </c>
      <c r="N25" t="str">
        <f t="shared" si="8"/>
        <v>CR04CARWHI047</v>
      </c>
    </row>
    <row r="26" spans="1:17">
      <c r="A26" t="s">
        <v>203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t="str">
        <f t="shared" si="3"/>
        <v>Odyssey</v>
      </c>
      <c r="F26" t="str">
        <f t="shared" si="4"/>
        <v>07</v>
      </c>
      <c r="G26">
        <f t="shared" si="5"/>
        <v>7</v>
      </c>
      <c r="H26" s="11">
        <v>50854.1</v>
      </c>
      <c r="I26" s="11">
        <f t="shared" si="6"/>
        <v>6780.5466666666662</v>
      </c>
      <c r="J26" t="s">
        <v>152</v>
      </c>
      <c r="K26" t="s">
        <v>185</v>
      </c>
      <c r="L26">
        <v>100000</v>
      </c>
      <c r="M26" t="str">
        <f t="shared" si="7"/>
        <v>Yes</v>
      </c>
      <c r="N26" t="str">
        <f t="shared" si="8"/>
        <v>HO07ODYBLA038</v>
      </c>
    </row>
    <row r="27" spans="1:17">
      <c r="A27" t="s">
        <v>204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t="str">
        <f t="shared" si="3"/>
        <v>Odyssey</v>
      </c>
      <c r="F27" t="str">
        <f t="shared" si="4"/>
        <v>08</v>
      </c>
      <c r="G27">
        <f t="shared" si="5"/>
        <v>6</v>
      </c>
      <c r="H27" s="11">
        <v>42504.6</v>
      </c>
      <c r="I27" s="11">
        <f t="shared" si="6"/>
        <v>6539.1692307692301</v>
      </c>
      <c r="J27" t="s">
        <v>35</v>
      </c>
      <c r="K27" t="s">
        <v>21</v>
      </c>
      <c r="L27">
        <v>100000</v>
      </c>
      <c r="M27" t="str">
        <f t="shared" si="7"/>
        <v>Yes</v>
      </c>
      <c r="N27" t="str">
        <f t="shared" si="8"/>
        <v>HO08ODYWHI039</v>
      </c>
    </row>
    <row r="28" spans="1:17">
      <c r="A28" t="s">
        <v>162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t="str">
        <f t="shared" si="3"/>
        <v>Focus</v>
      </c>
      <c r="F28" t="str">
        <f t="shared" si="4"/>
        <v>09</v>
      </c>
      <c r="G28">
        <f t="shared" si="5"/>
        <v>5</v>
      </c>
      <c r="H28" s="11">
        <v>35137</v>
      </c>
      <c r="I28" s="11">
        <f t="shared" si="6"/>
        <v>6388.545454545455</v>
      </c>
      <c r="J28" t="s">
        <v>152</v>
      </c>
      <c r="K28" t="s">
        <v>163</v>
      </c>
      <c r="L28">
        <v>75000</v>
      </c>
      <c r="M28" t="str">
        <f t="shared" si="7"/>
        <v>Yes</v>
      </c>
      <c r="N28" t="str">
        <f t="shared" si="8"/>
        <v>FD09FCSBLA008</v>
      </c>
    </row>
    <row r="29" spans="1:17">
      <c r="A29" t="s">
        <v>192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t="str">
        <f t="shared" si="3"/>
        <v>Corola</v>
      </c>
      <c r="F29" t="str">
        <f t="shared" si="4"/>
        <v>03</v>
      </c>
      <c r="G29">
        <f t="shared" si="5"/>
        <v>11</v>
      </c>
      <c r="H29" s="11">
        <v>73444.399999999994</v>
      </c>
      <c r="I29" s="11">
        <f t="shared" si="6"/>
        <v>6386.4695652173905</v>
      </c>
      <c r="J29" t="s">
        <v>152</v>
      </c>
      <c r="K29" t="s">
        <v>191</v>
      </c>
      <c r="L29">
        <v>100000</v>
      </c>
      <c r="M29" t="str">
        <f t="shared" si="7"/>
        <v>Yes</v>
      </c>
      <c r="N29" t="str">
        <f t="shared" si="8"/>
        <v>TY03CORBLA026</v>
      </c>
    </row>
    <row r="30" spans="1:17">
      <c r="A30" t="s">
        <v>254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t="str">
        <f t="shared" si="3"/>
        <v>Odyssey</v>
      </c>
      <c r="F30" t="str">
        <f t="shared" si="4"/>
        <v>05</v>
      </c>
      <c r="G30">
        <f t="shared" si="5"/>
        <v>9</v>
      </c>
      <c r="H30" s="11">
        <v>60389.5</v>
      </c>
      <c r="I30" s="11">
        <f t="shared" si="6"/>
        <v>6356.7894736842109</v>
      </c>
      <c r="J30" t="s">
        <v>35</v>
      </c>
      <c r="K30" t="s">
        <v>163</v>
      </c>
      <c r="L30">
        <v>100000</v>
      </c>
      <c r="M30" t="str">
        <f t="shared" si="7"/>
        <v>Yes</v>
      </c>
      <c r="N30" t="str">
        <f t="shared" si="8"/>
        <v>HO05ODYWHI037</v>
      </c>
    </row>
    <row r="31" spans="1:17">
      <c r="A31" t="s">
        <v>182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t="str">
        <f t="shared" si="3"/>
        <v>Camrey</v>
      </c>
      <c r="F31" t="str">
        <f t="shared" si="4"/>
        <v>96</v>
      </c>
      <c r="G31">
        <f t="shared" si="5"/>
        <v>18</v>
      </c>
      <c r="H31" s="11">
        <v>114660.6</v>
      </c>
      <c r="I31" s="11">
        <f t="shared" si="6"/>
        <v>6197.8702702702703</v>
      </c>
      <c r="J31" t="s">
        <v>156</v>
      </c>
      <c r="K31" t="s">
        <v>183</v>
      </c>
      <c r="L31">
        <v>100000</v>
      </c>
      <c r="M31" t="str">
        <f t="shared" si="7"/>
        <v>Not Covered</v>
      </c>
      <c r="N31" t="str">
        <f t="shared" si="8"/>
        <v>TY96CAMGRE020</v>
      </c>
    </row>
    <row r="32" spans="1:17">
      <c r="A32" t="s">
        <v>206</v>
      </c>
      <c r="B32" t="str">
        <f t="shared" si="0"/>
        <v>CR</v>
      </c>
      <c r="C32" t="str">
        <f t="shared" si="1"/>
        <v>Chrysler</v>
      </c>
      <c r="D32" t="str">
        <f t="shared" si="2"/>
        <v>PTC</v>
      </c>
      <c r="E32" t="str">
        <f t="shared" si="3"/>
        <v>PT Cruiser</v>
      </c>
      <c r="F32" t="str">
        <f t="shared" si="4"/>
        <v>04</v>
      </c>
      <c r="G32">
        <f t="shared" si="5"/>
        <v>10</v>
      </c>
      <c r="H32" s="11">
        <v>64542</v>
      </c>
      <c r="I32" s="11">
        <f t="shared" si="6"/>
        <v>6146.8571428571431</v>
      </c>
      <c r="J32" t="s">
        <v>181</v>
      </c>
      <c r="K32" t="s">
        <v>5</v>
      </c>
      <c r="L32">
        <v>75000</v>
      </c>
      <c r="M32" t="str">
        <f t="shared" si="7"/>
        <v>Yes</v>
      </c>
      <c r="N32" t="str">
        <f t="shared" si="8"/>
        <v>CR04PTCBLU042</v>
      </c>
    </row>
    <row r="33" spans="1:14">
      <c r="A33" t="s">
        <v>161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t="str">
        <f t="shared" si="3"/>
        <v>Focus</v>
      </c>
      <c r="F33" t="str">
        <f t="shared" si="4"/>
        <v>06</v>
      </c>
      <c r="G33">
        <f t="shared" si="5"/>
        <v>8</v>
      </c>
      <c r="H33" s="11">
        <v>52229.5</v>
      </c>
      <c r="I33" s="11">
        <f t="shared" si="6"/>
        <v>6144.6470588235297</v>
      </c>
      <c r="J33" t="s">
        <v>156</v>
      </c>
      <c r="K33" t="s">
        <v>157</v>
      </c>
      <c r="L33">
        <v>75000</v>
      </c>
      <c r="M33" t="str">
        <f t="shared" si="7"/>
        <v>Yes</v>
      </c>
      <c r="N33" t="str">
        <f t="shared" si="8"/>
        <v>FD06FCSGRE007</v>
      </c>
    </row>
    <row r="34" spans="1:14">
      <c r="A34" t="s">
        <v>186</v>
      </c>
      <c r="B34" t="str">
        <f t="shared" ref="B34:B53" si="9">LEFT(A34, 2)</f>
        <v>TY</v>
      </c>
      <c r="C34" t="str">
        <f t="shared" ref="C34:C53" si="10">VLOOKUP(B34,P$2:Q$7,2)</f>
        <v>Toyota</v>
      </c>
      <c r="D34" t="str">
        <f t="shared" ref="D34:D53" si="11">MID(A34,5,3)</f>
        <v>CAM</v>
      </c>
      <c r="E34" t="str">
        <f t="shared" ref="E34:E53" si="12">VLOOKUP(D34,P$9:Q$19,2)</f>
        <v>Camrey</v>
      </c>
      <c r="F34" t="str">
        <f t="shared" ref="F34:F53" si="13">MID(A34,3,2)</f>
        <v>00</v>
      </c>
      <c r="G34">
        <f t="shared" ref="G34:G53" si="14">IF(14-F34&lt;0,100-F34+14,14-F34)</f>
        <v>14</v>
      </c>
      <c r="H34" s="11">
        <v>85928</v>
      </c>
      <c r="I34" s="11">
        <f t="shared" ref="I34:I53" si="15">H34/(G34+0.5)</f>
        <v>5926.0689655172409</v>
      </c>
      <c r="J34" t="s">
        <v>156</v>
      </c>
      <c r="K34" t="s">
        <v>160</v>
      </c>
      <c r="L34">
        <v>100000</v>
      </c>
      <c r="M34" t="str">
        <f t="shared" ref="M34:M53" si="16">IF(H34&lt;=L34, "Yes", "Not Covered")</f>
        <v>Yes</v>
      </c>
      <c r="N34" t="str">
        <f t="shared" ref="N34:N53" si="17">CONCATENATE(B34,F34,D34,UPPER(LEFT(J34,3)),RIGHT(A34,3))</f>
        <v>TY00CAMGRE022</v>
      </c>
    </row>
    <row r="35" spans="1:14">
      <c r="A35" t="s">
        <v>158</v>
      </c>
      <c r="B35" t="str">
        <f t="shared" si="9"/>
        <v>FD</v>
      </c>
      <c r="C35" t="str">
        <f t="shared" si="10"/>
        <v>Ford</v>
      </c>
      <c r="D35" t="str">
        <f t="shared" si="11"/>
        <v>MTG</v>
      </c>
      <c r="E35" t="str">
        <f t="shared" si="12"/>
        <v>Mustang</v>
      </c>
      <c r="F35" t="str">
        <f t="shared" si="13"/>
        <v>08</v>
      </c>
      <c r="G35">
        <f t="shared" si="14"/>
        <v>6</v>
      </c>
      <c r="H35" s="11">
        <v>37558.800000000003</v>
      </c>
      <c r="I35" s="11">
        <f t="shared" si="15"/>
        <v>5778.2769230769236</v>
      </c>
      <c r="J35" t="s">
        <v>152</v>
      </c>
      <c r="K35" t="s">
        <v>13</v>
      </c>
      <c r="L35">
        <v>50000</v>
      </c>
      <c r="M35" t="str">
        <f t="shared" si="16"/>
        <v>Yes</v>
      </c>
      <c r="N35" t="str">
        <f t="shared" si="17"/>
        <v>FD08MTGBLA004</v>
      </c>
    </row>
    <row r="36" spans="1:14">
      <c r="A36" t="s">
        <v>184</v>
      </c>
      <c r="B36" t="str">
        <f t="shared" si="9"/>
        <v>TY</v>
      </c>
      <c r="C36" t="str">
        <f t="shared" si="10"/>
        <v>Toyota</v>
      </c>
      <c r="D36" t="str">
        <f t="shared" si="11"/>
        <v>CAM</v>
      </c>
      <c r="E36" t="str">
        <f t="shared" si="12"/>
        <v>Camrey</v>
      </c>
      <c r="F36" t="str">
        <f t="shared" si="13"/>
        <v>98</v>
      </c>
      <c r="G36">
        <f t="shared" si="14"/>
        <v>16</v>
      </c>
      <c r="H36" s="11">
        <v>93382.6</v>
      </c>
      <c r="I36" s="11">
        <f t="shared" si="15"/>
        <v>5659.5515151515156</v>
      </c>
      <c r="J36" t="s">
        <v>152</v>
      </c>
      <c r="K36" t="s">
        <v>185</v>
      </c>
      <c r="L36">
        <v>100000</v>
      </c>
      <c r="M36" t="str">
        <f t="shared" si="16"/>
        <v>Yes</v>
      </c>
      <c r="N36" t="str">
        <f t="shared" si="17"/>
        <v>TY98CAMBLA021</v>
      </c>
    </row>
    <row r="37" spans="1:14">
      <c r="A37" t="s">
        <v>207</v>
      </c>
      <c r="B37" t="str">
        <f t="shared" si="9"/>
        <v>CR</v>
      </c>
      <c r="C37" t="str">
        <f t="shared" si="10"/>
        <v>Chrysler</v>
      </c>
      <c r="D37" t="str">
        <f t="shared" si="11"/>
        <v>PTC</v>
      </c>
      <c r="E37" t="str">
        <f t="shared" si="12"/>
        <v>PT Cruiser</v>
      </c>
      <c r="F37" t="str">
        <f t="shared" si="13"/>
        <v>07</v>
      </c>
      <c r="G37">
        <f t="shared" si="14"/>
        <v>7</v>
      </c>
      <c r="H37" s="11">
        <v>42074.2</v>
      </c>
      <c r="I37" s="11">
        <f t="shared" si="15"/>
        <v>5609.8933333333325</v>
      </c>
      <c r="J37" t="s">
        <v>156</v>
      </c>
      <c r="K37" t="s">
        <v>191</v>
      </c>
      <c r="L37">
        <v>75000</v>
      </c>
      <c r="M37" t="str">
        <f t="shared" si="16"/>
        <v>Yes</v>
      </c>
      <c r="N37" t="str">
        <f t="shared" si="17"/>
        <v>CR07PTCGRE043</v>
      </c>
    </row>
    <row r="38" spans="1:14">
      <c r="A38" t="s">
        <v>159</v>
      </c>
      <c r="B38" t="str">
        <f t="shared" si="9"/>
        <v>FD</v>
      </c>
      <c r="C38" t="str">
        <f t="shared" si="10"/>
        <v>Ford</v>
      </c>
      <c r="D38" t="str">
        <f t="shared" si="11"/>
        <v>MTG</v>
      </c>
      <c r="E38" t="str">
        <f t="shared" si="12"/>
        <v>Mustang</v>
      </c>
      <c r="F38" t="str">
        <f t="shared" si="13"/>
        <v>08</v>
      </c>
      <c r="G38">
        <f t="shared" si="14"/>
        <v>6</v>
      </c>
      <c r="H38" s="11">
        <v>36438.5</v>
      </c>
      <c r="I38" s="11">
        <f t="shared" si="15"/>
        <v>5605.9230769230771</v>
      </c>
      <c r="J38" t="s">
        <v>35</v>
      </c>
      <c r="K38" t="s">
        <v>5</v>
      </c>
      <c r="L38">
        <v>50000</v>
      </c>
      <c r="M38" t="str">
        <f t="shared" si="16"/>
        <v>Yes</v>
      </c>
      <c r="N38" t="str">
        <f t="shared" si="17"/>
        <v>FD08MTGWHI005</v>
      </c>
    </row>
    <row r="39" spans="1:14">
      <c r="A39" t="s">
        <v>180</v>
      </c>
      <c r="B39" t="str">
        <f t="shared" si="9"/>
        <v>GM</v>
      </c>
      <c r="C39" t="str">
        <f t="shared" si="10"/>
        <v>General Motors</v>
      </c>
      <c r="D39" t="str">
        <f t="shared" si="11"/>
        <v>SLV</v>
      </c>
      <c r="E39" t="str">
        <f t="shared" si="12"/>
        <v>Silverado</v>
      </c>
      <c r="F39" t="str">
        <f t="shared" si="13"/>
        <v>00</v>
      </c>
      <c r="G39">
        <f t="shared" si="14"/>
        <v>14</v>
      </c>
      <c r="H39" s="11">
        <v>80685.8</v>
      </c>
      <c r="I39" s="11">
        <f t="shared" si="15"/>
        <v>5564.5379310344833</v>
      </c>
      <c r="J39" t="s">
        <v>181</v>
      </c>
      <c r="K39" t="s">
        <v>170</v>
      </c>
      <c r="L39">
        <v>100000</v>
      </c>
      <c r="M39" t="str">
        <f t="shared" si="16"/>
        <v>Yes</v>
      </c>
      <c r="N39" t="str">
        <f t="shared" si="17"/>
        <v>GM00SLVBLU019</v>
      </c>
    </row>
    <row r="40" spans="1:14">
      <c r="A40" t="s">
        <v>252</v>
      </c>
      <c r="B40" t="str">
        <f t="shared" si="9"/>
        <v>FD</v>
      </c>
      <c r="C40" t="str">
        <f t="shared" si="10"/>
        <v>Ford</v>
      </c>
      <c r="D40" t="str">
        <f t="shared" si="11"/>
        <v>FCS</v>
      </c>
      <c r="E40" t="str">
        <f t="shared" si="12"/>
        <v>Focus</v>
      </c>
      <c r="F40" t="str">
        <f t="shared" si="13"/>
        <v>06</v>
      </c>
      <c r="G40">
        <f t="shared" si="14"/>
        <v>8</v>
      </c>
      <c r="H40" s="11">
        <v>46311.4</v>
      </c>
      <c r="I40" s="11">
        <f t="shared" si="15"/>
        <v>5448.4000000000005</v>
      </c>
      <c r="J40" t="s">
        <v>156</v>
      </c>
      <c r="K40" t="s">
        <v>160</v>
      </c>
      <c r="L40">
        <v>75000</v>
      </c>
      <c r="M40" t="str">
        <f t="shared" si="16"/>
        <v>Yes</v>
      </c>
      <c r="N40" t="str">
        <f t="shared" si="17"/>
        <v>FD06FCSGRE006</v>
      </c>
    </row>
    <row r="41" spans="1:14">
      <c r="A41" t="s">
        <v>187</v>
      </c>
      <c r="B41" t="str">
        <f t="shared" si="9"/>
        <v>TY</v>
      </c>
      <c r="C41" t="str">
        <f t="shared" si="10"/>
        <v>Toyota</v>
      </c>
      <c r="D41" t="str">
        <f t="shared" si="11"/>
        <v>CAM</v>
      </c>
      <c r="E41" t="str">
        <f t="shared" si="12"/>
        <v>Camrey</v>
      </c>
      <c r="F41" t="str">
        <f t="shared" si="13"/>
        <v>02</v>
      </c>
      <c r="G41">
        <f t="shared" si="14"/>
        <v>12</v>
      </c>
      <c r="H41" s="11">
        <v>67829.100000000006</v>
      </c>
      <c r="I41" s="11">
        <f t="shared" si="15"/>
        <v>5426.3280000000004</v>
      </c>
      <c r="J41" t="s">
        <v>152</v>
      </c>
      <c r="K41" t="s">
        <v>5</v>
      </c>
      <c r="L41">
        <v>100000</v>
      </c>
      <c r="M41" t="str">
        <f t="shared" si="16"/>
        <v>Yes</v>
      </c>
      <c r="N41" t="str">
        <f t="shared" si="17"/>
        <v>TY02CAMBLA023</v>
      </c>
    </row>
    <row r="42" spans="1:14">
      <c r="A42" t="s">
        <v>210</v>
      </c>
      <c r="B42" t="str">
        <f t="shared" si="9"/>
        <v>CR</v>
      </c>
      <c r="C42" t="str">
        <f t="shared" si="10"/>
        <v>Chrysler</v>
      </c>
      <c r="D42" t="str">
        <f t="shared" si="11"/>
        <v>CAR</v>
      </c>
      <c r="E42" t="str">
        <f t="shared" si="12"/>
        <v>Caraven</v>
      </c>
      <c r="F42" t="str">
        <f t="shared" si="13"/>
        <v>00</v>
      </c>
      <c r="G42">
        <f t="shared" si="14"/>
        <v>14</v>
      </c>
      <c r="H42" s="11">
        <v>77243.100000000006</v>
      </c>
      <c r="I42" s="11">
        <f t="shared" si="15"/>
        <v>5327.1103448275862</v>
      </c>
      <c r="J42" t="s">
        <v>152</v>
      </c>
      <c r="K42" t="s">
        <v>13</v>
      </c>
      <c r="L42">
        <v>75000</v>
      </c>
      <c r="M42" t="str">
        <f t="shared" si="16"/>
        <v>Not Covered</v>
      </c>
      <c r="N42" t="str">
        <f t="shared" si="17"/>
        <v>CR00CARBLA046</v>
      </c>
    </row>
    <row r="43" spans="1:14">
      <c r="A43" t="s">
        <v>196</v>
      </c>
      <c r="B43" t="str">
        <f t="shared" si="9"/>
        <v>HO</v>
      </c>
      <c r="C43" t="str">
        <f t="shared" si="10"/>
        <v>Honda</v>
      </c>
      <c r="D43" t="str">
        <f t="shared" si="11"/>
        <v>CIV</v>
      </c>
      <c r="E43" t="str">
        <f t="shared" si="12"/>
        <v>Civic</v>
      </c>
      <c r="F43" t="str">
        <f t="shared" si="13"/>
        <v>99</v>
      </c>
      <c r="G43">
        <f t="shared" si="14"/>
        <v>15</v>
      </c>
      <c r="H43" s="11">
        <v>82374</v>
      </c>
      <c r="I43" s="11">
        <f t="shared" si="15"/>
        <v>5314.4516129032254</v>
      </c>
      <c r="J43" t="s">
        <v>35</v>
      </c>
      <c r="K43" t="s">
        <v>21</v>
      </c>
      <c r="L43">
        <v>75000</v>
      </c>
      <c r="M43" t="str">
        <f t="shared" si="16"/>
        <v>Not Covered</v>
      </c>
      <c r="N43" t="str">
        <f t="shared" si="17"/>
        <v>HO99CIVWHI030</v>
      </c>
    </row>
    <row r="44" spans="1:14">
      <c r="A44" t="s">
        <v>153</v>
      </c>
      <c r="B44" t="str">
        <f t="shared" si="9"/>
        <v>FD</v>
      </c>
      <c r="C44" t="str">
        <f t="shared" si="10"/>
        <v>Ford</v>
      </c>
      <c r="D44" t="str">
        <f t="shared" si="11"/>
        <v>MTG</v>
      </c>
      <c r="E44" t="str">
        <f t="shared" si="12"/>
        <v>Mustang</v>
      </c>
      <c r="F44" t="str">
        <f t="shared" si="13"/>
        <v>06</v>
      </c>
      <c r="G44">
        <f t="shared" si="14"/>
        <v>8</v>
      </c>
      <c r="H44" s="11">
        <v>44974.8</v>
      </c>
      <c r="I44" s="11">
        <f t="shared" si="15"/>
        <v>5291.1529411764714</v>
      </c>
      <c r="J44" t="s">
        <v>35</v>
      </c>
      <c r="K44" t="s">
        <v>154</v>
      </c>
      <c r="L44">
        <v>50000</v>
      </c>
      <c r="M44" t="str">
        <f t="shared" si="16"/>
        <v>Yes</v>
      </c>
      <c r="N44" t="str">
        <f t="shared" si="17"/>
        <v>FD06MTGWHI002</v>
      </c>
    </row>
    <row r="45" spans="1:14">
      <c r="A45" t="s">
        <v>197</v>
      </c>
      <c r="B45" t="str">
        <f t="shared" si="9"/>
        <v>HO</v>
      </c>
      <c r="C45" t="str">
        <f t="shared" si="10"/>
        <v>Honda</v>
      </c>
      <c r="D45" t="str">
        <f t="shared" si="11"/>
        <v>CIV</v>
      </c>
      <c r="E45" t="str">
        <f t="shared" si="12"/>
        <v>Civic</v>
      </c>
      <c r="F45" t="str">
        <f t="shared" si="13"/>
        <v>01</v>
      </c>
      <c r="G45">
        <f t="shared" si="14"/>
        <v>13</v>
      </c>
      <c r="H45" s="11">
        <v>69891.899999999994</v>
      </c>
      <c r="I45" s="11">
        <f t="shared" si="15"/>
        <v>5177.177777777777</v>
      </c>
      <c r="J45" t="s">
        <v>181</v>
      </c>
      <c r="K45" t="s">
        <v>13</v>
      </c>
      <c r="L45">
        <v>75000</v>
      </c>
      <c r="M45" t="str">
        <f t="shared" si="16"/>
        <v>Yes</v>
      </c>
      <c r="N45" t="str">
        <f t="shared" si="17"/>
        <v>HO01CIVBLU031</v>
      </c>
    </row>
    <row r="46" spans="1:14">
      <c r="A46" t="s">
        <v>253</v>
      </c>
      <c r="B46" t="str">
        <f t="shared" si="9"/>
        <v>GM</v>
      </c>
      <c r="C46" t="str">
        <f t="shared" si="10"/>
        <v>General Motors</v>
      </c>
      <c r="D46" t="str">
        <f t="shared" si="11"/>
        <v>CMR</v>
      </c>
      <c r="E46" t="str">
        <f t="shared" si="12"/>
        <v>Camero</v>
      </c>
      <c r="F46" t="str">
        <f t="shared" si="13"/>
        <v>09</v>
      </c>
      <c r="G46">
        <f t="shared" si="14"/>
        <v>5</v>
      </c>
      <c r="H46" s="11">
        <v>28464.799999999999</v>
      </c>
      <c r="I46" s="11">
        <f t="shared" si="15"/>
        <v>5175.4181818181814</v>
      </c>
      <c r="J46" t="s">
        <v>35</v>
      </c>
      <c r="K46" t="s">
        <v>172</v>
      </c>
      <c r="L46">
        <v>100000</v>
      </c>
      <c r="M46" t="str">
        <f t="shared" si="16"/>
        <v>Yes</v>
      </c>
      <c r="N46" t="str">
        <f t="shared" si="17"/>
        <v>GM09CMRWHI014</v>
      </c>
    </row>
    <row r="47" spans="1:14">
      <c r="A47" t="s">
        <v>189</v>
      </c>
      <c r="B47" t="str">
        <f t="shared" si="9"/>
        <v>TY</v>
      </c>
      <c r="C47" t="str">
        <f t="shared" si="10"/>
        <v>Toyota</v>
      </c>
      <c r="D47" t="str">
        <f t="shared" si="11"/>
        <v>COR</v>
      </c>
      <c r="E47" t="str">
        <f t="shared" si="12"/>
        <v>Corola</v>
      </c>
      <c r="F47" t="str">
        <f t="shared" si="13"/>
        <v>02</v>
      </c>
      <c r="G47">
        <f t="shared" si="14"/>
        <v>12</v>
      </c>
      <c r="H47" s="11">
        <v>64467.4</v>
      </c>
      <c r="I47" s="11">
        <f t="shared" si="15"/>
        <v>5157.3919999999998</v>
      </c>
      <c r="J47" t="s">
        <v>190</v>
      </c>
      <c r="K47" t="s">
        <v>191</v>
      </c>
      <c r="L47">
        <v>100000</v>
      </c>
      <c r="M47" t="str">
        <f t="shared" si="16"/>
        <v>Yes</v>
      </c>
      <c r="N47" t="str">
        <f t="shared" si="17"/>
        <v>TY02CORRED025</v>
      </c>
    </row>
    <row r="48" spans="1:14">
      <c r="A48" t="s">
        <v>209</v>
      </c>
      <c r="B48" t="str">
        <f t="shared" si="9"/>
        <v>CR</v>
      </c>
      <c r="C48" t="str">
        <f t="shared" si="10"/>
        <v>Chrysler</v>
      </c>
      <c r="D48" t="str">
        <f t="shared" si="11"/>
        <v>CAR</v>
      </c>
      <c r="E48" t="str">
        <f t="shared" si="12"/>
        <v>Caraven</v>
      </c>
      <c r="F48" t="str">
        <f t="shared" si="13"/>
        <v>99</v>
      </c>
      <c r="G48">
        <f t="shared" si="14"/>
        <v>15</v>
      </c>
      <c r="H48" s="11">
        <v>79420.600000000006</v>
      </c>
      <c r="I48" s="11">
        <f t="shared" si="15"/>
        <v>5123.9096774193549</v>
      </c>
      <c r="J48" t="s">
        <v>156</v>
      </c>
      <c r="K48" t="s">
        <v>178</v>
      </c>
      <c r="L48">
        <v>75000</v>
      </c>
      <c r="M48" t="str">
        <f t="shared" si="16"/>
        <v>Not Covered</v>
      </c>
      <c r="N48" t="str">
        <f t="shared" si="17"/>
        <v>CR99CARGRE045</v>
      </c>
    </row>
    <row r="49" spans="1:14">
      <c r="A49" t="s">
        <v>251</v>
      </c>
      <c r="B49" t="str">
        <f t="shared" si="9"/>
        <v>HO</v>
      </c>
      <c r="C49" t="str">
        <f t="shared" si="10"/>
        <v>Honda</v>
      </c>
      <c r="D49" t="str">
        <f t="shared" si="11"/>
        <v>ODY</v>
      </c>
      <c r="E49" t="str">
        <f t="shared" si="12"/>
        <v>Odyssey</v>
      </c>
      <c r="F49" t="str">
        <f t="shared" si="13"/>
        <v>01</v>
      </c>
      <c r="G49">
        <f t="shared" si="14"/>
        <v>13</v>
      </c>
      <c r="H49" s="11">
        <v>68658.899999999994</v>
      </c>
      <c r="I49" s="11">
        <f t="shared" si="15"/>
        <v>5085.844444444444</v>
      </c>
      <c r="J49" t="s">
        <v>152</v>
      </c>
      <c r="K49" t="s">
        <v>5</v>
      </c>
      <c r="L49">
        <v>100000</v>
      </c>
      <c r="M49" t="str">
        <f t="shared" si="16"/>
        <v>Yes</v>
      </c>
      <c r="N49" t="str">
        <f t="shared" si="17"/>
        <v>HO01ODYBLA040</v>
      </c>
    </row>
    <row r="50" spans="1:14">
      <c r="A50" t="s">
        <v>179</v>
      </c>
      <c r="B50" t="str">
        <f t="shared" si="9"/>
        <v>GM</v>
      </c>
      <c r="C50" t="str">
        <f t="shared" si="10"/>
        <v>General Motors</v>
      </c>
      <c r="D50" t="str">
        <f t="shared" si="11"/>
        <v>SLV</v>
      </c>
      <c r="E50" t="str">
        <f t="shared" si="12"/>
        <v>Silverado</v>
      </c>
      <c r="F50" t="str">
        <f t="shared" si="13"/>
        <v>98</v>
      </c>
      <c r="G50">
        <f t="shared" si="14"/>
        <v>16</v>
      </c>
      <c r="H50" s="11">
        <v>83162.7</v>
      </c>
      <c r="I50" s="11">
        <f t="shared" si="15"/>
        <v>5040.1636363636362</v>
      </c>
      <c r="J50" t="s">
        <v>152</v>
      </c>
      <c r="K50" t="s">
        <v>172</v>
      </c>
      <c r="L50">
        <v>100000</v>
      </c>
      <c r="M50" t="str">
        <f t="shared" si="16"/>
        <v>Yes</v>
      </c>
      <c r="N50" t="str">
        <f t="shared" si="17"/>
        <v>GM98SLVBLA018</v>
      </c>
    </row>
    <row r="51" spans="1:14">
      <c r="A51" t="s">
        <v>212</v>
      </c>
      <c r="B51" t="str">
        <f t="shared" si="9"/>
        <v>CR</v>
      </c>
      <c r="C51" t="str">
        <f t="shared" si="10"/>
        <v>Chrysler</v>
      </c>
      <c r="D51" t="str">
        <f t="shared" si="11"/>
        <v>CAR</v>
      </c>
      <c r="E51" t="str">
        <f t="shared" si="12"/>
        <v>Caraven</v>
      </c>
      <c r="F51" t="str">
        <f t="shared" si="13"/>
        <v>04</v>
      </c>
      <c r="G51">
        <f t="shared" si="14"/>
        <v>10</v>
      </c>
      <c r="H51" s="11">
        <v>52699.4</v>
      </c>
      <c r="I51" s="11">
        <f t="shared" si="15"/>
        <v>5018.9904761904763</v>
      </c>
      <c r="J51" t="s">
        <v>190</v>
      </c>
      <c r="K51" t="s">
        <v>174</v>
      </c>
      <c r="L51">
        <v>75000</v>
      </c>
      <c r="M51" t="str">
        <f t="shared" si="16"/>
        <v>Yes</v>
      </c>
      <c r="N51" t="str">
        <f t="shared" si="17"/>
        <v>CR04CARRED048</v>
      </c>
    </row>
    <row r="52" spans="1:14">
      <c r="A52" t="s">
        <v>198</v>
      </c>
      <c r="B52" t="str">
        <f t="shared" si="9"/>
        <v>HO</v>
      </c>
      <c r="C52" t="str">
        <f t="shared" si="10"/>
        <v>Honda</v>
      </c>
      <c r="D52" t="str">
        <f t="shared" si="11"/>
        <v>CIV</v>
      </c>
      <c r="E52" t="str">
        <f t="shared" si="12"/>
        <v>Civic</v>
      </c>
      <c r="F52" t="str">
        <f t="shared" si="13"/>
        <v>10</v>
      </c>
      <c r="G52">
        <f t="shared" si="14"/>
        <v>4</v>
      </c>
      <c r="H52" s="11">
        <v>22573</v>
      </c>
      <c r="I52" s="11">
        <f t="shared" si="15"/>
        <v>5016.2222222222226</v>
      </c>
      <c r="J52" t="s">
        <v>181</v>
      </c>
      <c r="K52" t="s">
        <v>176</v>
      </c>
      <c r="L52">
        <v>75000</v>
      </c>
      <c r="M52" t="str">
        <f t="shared" si="16"/>
        <v>Yes</v>
      </c>
      <c r="N52" t="str">
        <f t="shared" si="17"/>
        <v>HO10CIVBLU032</v>
      </c>
    </row>
    <row r="53" spans="1:14">
      <c r="A53" t="s">
        <v>150</v>
      </c>
      <c r="B53" t="str">
        <f t="shared" si="9"/>
        <v>FD</v>
      </c>
      <c r="C53" t="str">
        <f t="shared" si="10"/>
        <v>Ford</v>
      </c>
      <c r="D53" t="str">
        <f t="shared" si="11"/>
        <v>MTG</v>
      </c>
      <c r="E53" t="str">
        <f t="shared" si="12"/>
        <v>Mustang</v>
      </c>
      <c r="F53" t="str">
        <f t="shared" si="13"/>
        <v>06</v>
      </c>
      <c r="G53">
        <f t="shared" si="14"/>
        <v>8</v>
      </c>
      <c r="H53" s="11">
        <v>40326.800000000003</v>
      </c>
      <c r="I53" s="11">
        <f t="shared" si="15"/>
        <v>4744.3294117647065</v>
      </c>
      <c r="J53" t="s">
        <v>152</v>
      </c>
      <c r="K53" t="s">
        <v>5</v>
      </c>
      <c r="L53">
        <v>50000</v>
      </c>
      <c r="M53" t="str">
        <f t="shared" si="16"/>
        <v>Yes</v>
      </c>
      <c r="N53" t="str">
        <f t="shared" si="17"/>
        <v>FD06MTGBLA001</v>
      </c>
    </row>
    <row r="62" spans="1:14">
      <c r="A62" t="s">
        <v>151</v>
      </c>
      <c r="B62" t="s">
        <v>151</v>
      </c>
    </row>
    <row r="63" spans="1:14">
      <c r="A63" t="s">
        <v>151</v>
      </c>
      <c r="B63" t="s">
        <v>151</v>
      </c>
    </row>
    <row r="64" spans="1:14">
      <c r="A64" t="s">
        <v>151</v>
      </c>
      <c r="B64" t="s">
        <v>151</v>
      </c>
    </row>
    <row r="65" spans="1:2">
      <c r="A65" t="s">
        <v>151</v>
      </c>
      <c r="B65" t="s">
        <v>151</v>
      </c>
    </row>
    <row r="66" spans="1:2">
      <c r="A66" t="s">
        <v>151</v>
      </c>
      <c r="B66" t="s">
        <v>151</v>
      </c>
    </row>
  </sheetData>
  <sortState xmlns:xlrd2="http://schemas.microsoft.com/office/spreadsheetml/2017/richdata2" ref="A2:N53">
    <sortCondition descending="1" ref="I2:I53"/>
  </sortState>
  <conditionalFormatting sqref="I1:I104857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ED21-CB39-4DBB-8B39-12B529194928}">
  <dimension ref="A3:B21"/>
  <sheetViews>
    <sheetView workbookViewId="0">
      <selection activeCell="B28" sqref="B28"/>
    </sheetView>
  </sheetViews>
  <sheetFormatPr defaultRowHeight="15"/>
  <cols>
    <col min="1" max="1" width="11.85546875" bestFit="1" customWidth="1"/>
    <col min="2" max="2" width="12.85546875" customWidth="1"/>
  </cols>
  <sheetData>
    <row r="3" spans="1:2">
      <c r="A3" s="9" t="s">
        <v>132</v>
      </c>
      <c r="B3" t="s">
        <v>255</v>
      </c>
    </row>
    <row r="4" spans="1:2">
      <c r="A4" s="10" t="s">
        <v>174</v>
      </c>
      <c r="B4">
        <v>144647.69999999998</v>
      </c>
    </row>
    <row r="5" spans="1:2">
      <c r="A5" s="10" t="s">
        <v>183</v>
      </c>
      <c r="B5">
        <v>150656.40000000002</v>
      </c>
    </row>
    <row r="6" spans="1:2">
      <c r="A6" s="10" t="s">
        <v>160</v>
      </c>
      <c r="B6">
        <v>154427.9</v>
      </c>
    </row>
    <row r="7" spans="1:2">
      <c r="A7" s="10" t="s">
        <v>191</v>
      </c>
      <c r="B7">
        <v>179986</v>
      </c>
    </row>
    <row r="8" spans="1:2">
      <c r="A8" s="10" t="s">
        <v>163</v>
      </c>
      <c r="B8">
        <v>143640.70000000001</v>
      </c>
    </row>
    <row r="9" spans="1:2">
      <c r="A9" s="10" t="s">
        <v>178</v>
      </c>
      <c r="B9">
        <v>135078.20000000001</v>
      </c>
    </row>
    <row r="10" spans="1:2">
      <c r="A10" s="10" t="s">
        <v>13</v>
      </c>
      <c r="B10">
        <v>184693.8</v>
      </c>
    </row>
    <row r="11" spans="1:2">
      <c r="A11" s="10" t="s">
        <v>157</v>
      </c>
      <c r="B11">
        <v>127731.3</v>
      </c>
    </row>
    <row r="12" spans="1:2">
      <c r="A12" s="10" t="s">
        <v>154</v>
      </c>
      <c r="B12">
        <v>70964.899999999994</v>
      </c>
    </row>
    <row r="13" spans="1:2">
      <c r="A13" s="10" t="s">
        <v>166</v>
      </c>
      <c r="B13">
        <v>65315</v>
      </c>
    </row>
    <row r="14" spans="1:2">
      <c r="A14" s="10" t="s">
        <v>21</v>
      </c>
      <c r="B14">
        <v>138561.5</v>
      </c>
    </row>
    <row r="15" spans="1:2">
      <c r="A15" s="10" t="s">
        <v>172</v>
      </c>
      <c r="B15">
        <v>141229.4</v>
      </c>
    </row>
    <row r="16" spans="1:2">
      <c r="A16" s="10" t="s">
        <v>5</v>
      </c>
      <c r="B16">
        <v>305432.40000000002</v>
      </c>
    </row>
    <row r="17" spans="1:2">
      <c r="A17" s="10" t="s">
        <v>185</v>
      </c>
      <c r="B17">
        <v>177713.9</v>
      </c>
    </row>
    <row r="18" spans="1:2">
      <c r="A18" s="10" t="s">
        <v>176</v>
      </c>
      <c r="B18">
        <v>65964.899999999994</v>
      </c>
    </row>
    <row r="19" spans="1:2">
      <c r="A19" s="10" t="s">
        <v>170</v>
      </c>
      <c r="B19">
        <v>130601.59999999999</v>
      </c>
    </row>
    <row r="20" spans="1:2">
      <c r="A20" s="10" t="s">
        <v>168</v>
      </c>
      <c r="B20">
        <v>19341.7</v>
      </c>
    </row>
    <row r="21" spans="1:2">
      <c r="A21" s="10" t="s">
        <v>133</v>
      </c>
      <c r="B21">
        <v>2335987.2999999998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05B1-AAFB-4D98-84AB-C9E0E79642C1}">
  <dimension ref="A1:G5"/>
  <sheetViews>
    <sheetView workbookViewId="0">
      <selection activeCell="N15" sqref="N15"/>
    </sheetView>
  </sheetViews>
  <sheetFormatPr defaultRowHeight="15"/>
  <cols>
    <col min="1" max="1" width="6.85546875" bestFit="1" customWidth="1"/>
    <col min="2" max="2" width="11.5703125" style="2" bestFit="1" customWidth="1"/>
    <col min="3" max="3" width="12.42578125" style="4" bestFit="1" customWidth="1"/>
    <col min="4" max="4" width="7.710937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>
      <c r="B1" s="2" t="s">
        <v>256</v>
      </c>
      <c r="C1" s="4" t="s">
        <v>258</v>
      </c>
      <c r="D1" t="s">
        <v>257</v>
      </c>
      <c r="E1" t="s">
        <v>259</v>
      </c>
      <c r="F1" t="s">
        <v>260</v>
      </c>
      <c r="G1" t="s">
        <v>261</v>
      </c>
    </row>
    <row r="2" spans="1:7">
      <c r="A2" t="s">
        <v>262</v>
      </c>
      <c r="B2" s="2">
        <v>20000</v>
      </c>
      <c r="C2" s="4">
        <v>0.09</v>
      </c>
      <c r="D2">
        <v>12</v>
      </c>
      <c r="E2" s="3">
        <f>C2*B2</f>
        <v>1800</v>
      </c>
      <c r="F2" s="3">
        <f>B2+E2</f>
        <v>21800</v>
      </c>
      <c r="G2" s="3">
        <f>F2/D2</f>
        <v>1816.6666666666667</v>
      </c>
    </row>
    <row r="3" spans="1:7">
      <c r="A3" t="s">
        <v>263</v>
      </c>
      <c r="B3" s="2">
        <v>20000</v>
      </c>
      <c r="C3" s="4">
        <v>0.08</v>
      </c>
      <c r="D3">
        <v>12</v>
      </c>
      <c r="E3" s="3">
        <f t="shared" ref="E3:E5" si="0">C3*B3</f>
        <v>1600</v>
      </c>
      <c r="F3" s="3">
        <f t="shared" ref="F3:F5" si="1">B3+E3</f>
        <v>21600</v>
      </c>
      <c r="G3" s="3">
        <f t="shared" ref="G3:G5" si="2">F3/D3</f>
        <v>1800</v>
      </c>
    </row>
    <row r="4" spans="1:7">
      <c r="A4" t="s">
        <v>264</v>
      </c>
      <c r="B4" s="2">
        <v>20000</v>
      </c>
      <c r="C4" s="4">
        <v>7.0000000000000007E-2</v>
      </c>
      <c r="D4">
        <v>12</v>
      </c>
      <c r="E4" s="3">
        <f t="shared" si="0"/>
        <v>1400.0000000000002</v>
      </c>
      <c r="F4" s="3">
        <f t="shared" si="1"/>
        <v>21400</v>
      </c>
      <c r="G4" s="3">
        <f t="shared" si="2"/>
        <v>1783.3333333333333</v>
      </c>
    </row>
    <row r="5" spans="1:7">
      <c r="A5" t="s">
        <v>265</v>
      </c>
      <c r="B5" s="2">
        <v>20000</v>
      </c>
      <c r="C5" s="4">
        <v>0.06</v>
      </c>
      <c r="D5">
        <v>12</v>
      </c>
      <c r="E5" s="3">
        <f t="shared" si="0"/>
        <v>1200</v>
      </c>
      <c r="F5" s="3">
        <f t="shared" si="1"/>
        <v>21200</v>
      </c>
      <c r="G5" s="3">
        <f t="shared" si="2"/>
        <v>1766.6666666666667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6DB0-0653-4F1E-A114-73A555AE227D}">
  <dimension ref="A1:N36"/>
  <sheetViews>
    <sheetView workbookViewId="0">
      <selection activeCell="O19" sqref="O19"/>
    </sheetView>
  </sheetViews>
  <sheetFormatPr defaultRowHeight="15"/>
  <cols>
    <col min="1" max="1" width="16.140625" bestFit="1" customWidth="1"/>
    <col min="2" max="2" width="11.140625" style="2" customWidth="1"/>
    <col min="3" max="3" width="12.28515625" style="2" customWidth="1"/>
    <col min="4" max="4" width="13" style="2" customWidth="1"/>
    <col min="6" max="6" width="7.7109375" customWidth="1"/>
    <col min="7" max="7" width="11.140625" customWidth="1"/>
    <col min="8" max="8" width="12.28515625" customWidth="1"/>
    <col min="9" max="9" width="13" customWidth="1"/>
    <col min="10" max="10" width="9.42578125" bestFit="1" customWidth="1"/>
    <col min="11" max="11" width="5.7109375" customWidth="1"/>
    <col min="12" max="12" width="11.140625" style="2" customWidth="1"/>
    <col min="13" max="13" width="12.28515625" style="2" customWidth="1"/>
    <col min="14" max="14" width="13" style="2" customWidth="1"/>
  </cols>
  <sheetData>
    <row r="1" spans="1:14">
      <c r="A1" s="13" t="s">
        <v>284</v>
      </c>
      <c r="B1" s="15" t="s">
        <v>266</v>
      </c>
      <c r="C1" s="15" t="s">
        <v>267</v>
      </c>
      <c r="D1" s="15" t="s">
        <v>268</v>
      </c>
      <c r="E1" s="13"/>
      <c r="F1" s="16" t="s">
        <v>286</v>
      </c>
      <c r="G1" s="15" t="s">
        <v>266</v>
      </c>
      <c r="H1" s="15" t="s">
        <v>267</v>
      </c>
      <c r="I1" s="15" t="s">
        <v>268</v>
      </c>
      <c r="J1" s="15"/>
      <c r="K1" s="16" t="s">
        <v>285</v>
      </c>
      <c r="L1" s="15" t="s">
        <v>266</v>
      </c>
      <c r="M1" s="15" t="s">
        <v>267</v>
      </c>
      <c r="N1" s="15" t="s">
        <v>268</v>
      </c>
    </row>
    <row r="2" spans="1:14">
      <c r="A2" t="s">
        <v>270</v>
      </c>
      <c r="B2" s="2">
        <v>0.75</v>
      </c>
      <c r="C2" s="2">
        <v>0.5</v>
      </c>
      <c r="D2" s="2">
        <v>0.6</v>
      </c>
      <c r="F2" s="12">
        <v>3</v>
      </c>
      <c r="G2" s="3">
        <f t="shared" ref="G2:G16" si="0">$F2*B2</f>
        <v>2.25</v>
      </c>
      <c r="H2" s="3">
        <f t="shared" ref="H2:H16" si="1">$F2*C2</f>
        <v>1.5</v>
      </c>
      <c r="I2" s="3">
        <f t="shared" ref="I2:I16" si="2">$F2*D2</f>
        <v>1.7999999999999998</v>
      </c>
      <c r="J2" s="3"/>
      <c r="K2" s="12">
        <v>3</v>
      </c>
      <c r="L2" s="2">
        <f>$K2*B2</f>
        <v>2.25</v>
      </c>
      <c r="M2" s="2">
        <f>$K2*C2</f>
        <v>1.5</v>
      </c>
      <c r="N2" s="2">
        <f>$K2*D2</f>
        <v>1.7999999999999998</v>
      </c>
    </row>
    <row r="3" spans="1:14">
      <c r="A3" t="s">
        <v>271</v>
      </c>
      <c r="B3" s="2">
        <v>15.99</v>
      </c>
      <c r="C3" s="2">
        <v>14.5</v>
      </c>
      <c r="D3" s="2">
        <v>16.2</v>
      </c>
      <c r="F3" s="12">
        <v>1</v>
      </c>
      <c r="G3" s="3">
        <f t="shared" si="0"/>
        <v>15.99</v>
      </c>
      <c r="H3" s="3">
        <f t="shared" si="1"/>
        <v>14.5</v>
      </c>
      <c r="I3" s="3">
        <f t="shared" si="2"/>
        <v>16.2</v>
      </c>
      <c r="J3" s="3"/>
      <c r="K3" s="12">
        <v>1</v>
      </c>
      <c r="L3" s="2">
        <f t="shared" ref="L3:L16" si="3">$K3*B3</f>
        <v>15.99</v>
      </c>
      <c r="M3" s="2">
        <f t="shared" ref="M3:M16" si="4">$K3*C3</f>
        <v>14.5</v>
      </c>
      <c r="N3" s="2">
        <f t="shared" ref="N3:N16" si="5">$K3*D3</f>
        <v>16.2</v>
      </c>
    </row>
    <row r="4" spans="1:14">
      <c r="A4" t="s">
        <v>269</v>
      </c>
      <c r="B4" s="2">
        <v>1.99</v>
      </c>
      <c r="C4" s="2">
        <v>1</v>
      </c>
      <c r="D4" s="2">
        <v>2.25</v>
      </c>
      <c r="F4" s="12">
        <v>7</v>
      </c>
      <c r="G4" s="3">
        <f t="shared" si="0"/>
        <v>13.93</v>
      </c>
      <c r="H4" s="3">
        <f t="shared" si="1"/>
        <v>7</v>
      </c>
      <c r="I4" s="3">
        <f t="shared" si="2"/>
        <v>15.75</v>
      </c>
      <c r="J4" s="3"/>
      <c r="K4" s="12">
        <v>2</v>
      </c>
      <c r="L4" s="2">
        <f t="shared" si="3"/>
        <v>3.98</v>
      </c>
      <c r="M4" s="2">
        <f t="shared" si="4"/>
        <v>2</v>
      </c>
      <c r="N4" s="2">
        <f t="shared" si="5"/>
        <v>4.5</v>
      </c>
    </row>
    <row r="5" spans="1:14">
      <c r="A5" t="s">
        <v>272</v>
      </c>
      <c r="B5" s="2">
        <v>2.5</v>
      </c>
      <c r="C5" s="2">
        <v>1.5</v>
      </c>
      <c r="D5" s="2">
        <v>1.75</v>
      </c>
      <c r="F5" s="12">
        <v>1</v>
      </c>
      <c r="G5" s="3">
        <f t="shared" si="0"/>
        <v>2.5</v>
      </c>
      <c r="H5" s="3">
        <f t="shared" si="1"/>
        <v>1.5</v>
      </c>
      <c r="I5" s="3">
        <f t="shared" si="2"/>
        <v>1.75</v>
      </c>
      <c r="J5" s="3"/>
      <c r="K5" s="12">
        <v>1</v>
      </c>
      <c r="L5" s="2">
        <f t="shared" si="3"/>
        <v>2.5</v>
      </c>
      <c r="M5" s="2">
        <f t="shared" si="4"/>
        <v>1.5</v>
      </c>
      <c r="N5" s="2">
        <f t="shared" si="5"/>
        <v>1.75</v>
      </c>
    </row>
    <row r="6" spans="1:14">
      <c r="A6" t="s">
        <v>273</v>
      </c>
      <c r="B6" s="2">
        <v>1.25</v>
      </c>
      <c r="C6" s="2">
        <v>1</v>
      </c>
      <c r="D6" s="2">
        <v>0.9</v>
      </c>
      <c r="F6" s="12">
        <v>2</v>
      </c>
      <c r="G6" s="3">
        <f t="shared" si="0"/>
        <v>2.5</v>
      </c>
      <c r="H6" s="3">
        <f t="shared" si="1"/>
        <v>2</v>
      </c>
      <c r="I6" s="3">
        <f t="shared" si="2"/>
        <v>1.8</v>
      </c>
      <c r="J6" s="3"/>
      <c r="K6" s="12">
        <v>2</v>
      </c>
      <c r="L6" s="2">
        <f t="shared" si="3"/>
        <v>2.5</v>
      </c>
      <c r="M6" s="2">
        <f t="shared" si="4"/>
        <v>2</v>
      </c>
      <c r="N6" s="2">
        <f t="shared" si="5"/>
        <v>1.8</v>
      </c>
    </row>
    <row r="7" spans="1:14">
      <c r="A7" t="s">
        <v>274</v>
      </c>
      <c r="B7" s="2">
        <v>0.75</v>
      </c>
      <c r="C7" s="2">
        <v>0.6</v>
      </c>
      <c r="D7" s="2">
        <v>0.5</v>
      </c>
      <c r="F7" s="12">
        <v>2</v>
      </c>
      <c r="G7" s="3">
        <f t="shared" si="0"/>
        <v>1.5</v>
      </c>
      <c r="H7" s="3">
        <f t="shared" si="1"/>
        <v>1.2</v>
      </c>
      <c r="I7" s="3">
        <f t="shared" si="2"/>
        <v>1</v>
      </c>
      <c r="J7" s="3"/>
      <c r="K7" s="12">
        <v>4</v>
      </c>
      <c r="L7" s="2">
        <f t="shared" si="3"/>
        <v>3</v>
      </c>
      <c r="M7" s="2">
        <f t="shared" si="4"/>
        <v>2.4</v>
      </c>
      <c r="N7" s="2">
        <f t="shared" si="5"/>
        <v>2</v>
      </c>
    </row>
    <row r="8" spans="1:14">
      <c r="A8" t="s">
        <v>275</v>
      </c>
      <c r="B8" s="2">
        <v>3.99</v>
      </c>
      <c r="C8" s="2">
        <v>3.25</v>
      </c>
      <c r="D8" s="2">
        <v>3.5</v>
      </c>
      <c r="F8" s="12">
        <v>1</v>
      </c>
      <c r="G8" s="3">
        <f t="shared" si="0"/>
        <v>3.99</v>
      </c>
      <c r="H8" s="3">
        <f t="shared" si="1"/>
        <v>3.25</v>
      </c>
      <c r="I8" s="3">
        <f t="shared" si="2"/>
        <v>3.5</v>
      </c>
      <c r="J8" s="3"/>
      <c r="K8" s="12">
        <v>1</v>
      </c>
      <c r="L8" s="2">
        <f t="shared" si="3"/>
        <v>3.99</v>
      </c>
      <c r="M8" s="2">
        <f t="shared" si="4"/>
        <v>3.25</v>
      </c>
      <c r="N8" s="2">
        <f t="shared" si="5"/>
        <v>3.5</v>
      </c>
    </row>
    <row r="9" spans="1:14">
      <c r="A9" t="s">
        <v>276</v>
      </c>
      <c r="B9" s="2">
        <v>7.5</v>
      </c>
      <c r="C9" s="2">
        <v>8</v>
      </c>
      <c r="D9" s="2">
        <v>7.25</v>
      </c>
      <c r="F9" s="12">
        <v>4</v>
      </c>
      <c r="G9" s="3">
        <f t="shared" si="0"/>
        <v>30</v>
      </c>
      <c r="H9" s="3">
        <f t="shared" si="1"/>
        <v>32</v>
      </c>
      <c r="I9" s="3">
        <f t="shared" si="2"/>
        <v>29</v>
      </c>
      <c r="J9" s="3"/>
      <c r="K9" s="12">
        <v>1</v>
      </c>
      <c r="L9" s="2">
        <f t="shared" si="3"/>
        <v>7.5</v>
      </c>
      <c r="M9" s="2">
        <f t="shared" si="4"/>
        <v>8</v>
      </c>
      <c r="N9" s="2">
        <f t="shared" si="5"/>
        <v>7.25</v>
      </c>
    </row>
    <row r="10" spans="1:14">
      <c r="A10" t="s">
        <v>277</v>
      </c>
      <c r="B10" s="2">
        <v>10.99</v>
      </c>
      <c r="C10" s="2">
        <v>11.5</v>
      </c>
      <c r="D10" s="2">
        <v>11.25</v>
      </c>
      <c r="F10" s="12">
        <v>4</v>
      </c>
      <c r="G10" s="3">
        <f t="shared" si="0"/>
        <v>43.96</v>
      </c>
      <c r="H10" s="3">
        <f t="shared" si="1"/>
        <v>46</v>
      </c>
      <c r="I10" s="3">
        <f t="shared" si="2"/>
        <v>45</v>
      </c>
      <c r="J10" s="3"/>
      <c r="K10" s="12">
        <v>3</v>
      </c>
      <c r="L10" s="2">
        <f t="shared" si="3"/>
        <v>32.97</v>
      </c>
      <c r="M10" s="2">
        <f t="shared" si="4"/>
        <v>34.5</v>
      </c>
      <c r="N10" s="2">
        <f t="shared" si="5"/>
        <v>33.75</v>
      </c>
    </row>
    <row r="11" spans="1:14">
      <c r="A11" t="s">
        <v>278</v>
      </c>
      <c r="B11" s="2">
        <v>4.99</v>
      </c>
      <c r="C11" s="2">
        <v>5.25</v>
      </c>
      <c r="D11" s="2">
        <v>4.75</v>
      </c>
      <c r="F11" s="12">
        <v>4</v>
      </c>
      <c r="G11" s="3">
        <f t="shared" si="0"/>
        <v>19.96</v>
      </c>
      <c r="H11" s="3">
        <f t="shared" si="1"/>
        <v>21</v>
      </c>
      <c r="I11" s="3">
        <f t="shared" si="2"/>
        <v>19</v>
      </c>
      <c r="J11" s="3"/>
      <c r="K11" s="12">
        <v>1</v>
      </c>
      <c r="L11" s="2">
        <f t="shared" si="3"/>
        <v>4.99</v>
      </c>
      <c r="M11" s="2">
        <f>$K11*C11</f>
        <v>5.25</v>
      </c>
      <c r="N11" s="2">
        <f>$K11*D11</f>
        <v>4.75</v>
      </c>
    </row>
    <row r="12" spans="1:14">
      <c r="A12" t="s">
        <v>279</v>
      </c>
      <c r="B12" s="2">
        <v>2.99</v>
      </c>
      <c r="C12" s="2">
        <v>2.75</v>
      </c>
      <c r="D12" s="2">
        <v>3</v>
      </c>
      <c r="F12" s="12">
        <v>4</v>
      </c>
      <c r="G12" s="3">
        <f t="shared" si="0"/>
        <v>11.96</v>
      </c>
      <c r="H12" s="3">
        <f t="shared" si="1"/>
        <v>11</v>
      </c>
      <c r="I12" s="3">
        <f t="shared" si="2"/>
        <v>12</v>
      </c>
      <c r="J12" s="3"/>
      <c r="K12" s="12">
        <v>2</v>
      </c>
      <c r="L12" s="2">
        <f t="shared" si="3"/>
        <v>5.98</v>
      </c>
      <c r="M12" s="2">
        <f t="shared" si="4"/>
        <v>5.5</v>
      </c>
      <c r="N12" s="2">
        <f t="shared" si="5"/>
        <v>6</v>
      </c>
    </row>
    <row r="13" spans="1:14">
      <c r="A13" t="s">
        <v>280</v>
      </c>
      <c r="B13" s="2">
        <v>6.99</v>
      </c>
      <c r="C13" s="2">
        <v>7.5</v>
      </c>
      <c r="D13" s="2">
        <v>6.75</v>
      </c>
      <c r="F13" s="12">
        <v>1</v>
      </c>
      <c r="G13" s="3">
        <f t="shared" si="0"/>
        <v>6.99</v>
      </c>
      <c r="H13" s="3">
        <f t="shared" si="1"/>
        <v>7.5</v>
      </c>
      <c r="I13" s="3">
        <f t="shared" si="2"/>
        <v>6.75</v>
      </c>
      <c r="J13" s="3"/>
      <c r="K13" s="12">
        <v>4</v>
      </c>
      <c r="L13" s="2">
        <f t="shared" si="3"/>
        <v>27.96</v>
      </c>
      <c r="M13" s="2">
        <f t="shared" si="4"/>
        <v>30</v>
      </c>
      <c r="N13" s="2">
        <f t="shared" si="5"/>
        <v>27</v>
      </c>
    </row>
    <row r="14" spans="1:14">
      <c r="A14" t="s">
        <v>281</v>
      </c>
      <c r="B14" s="2">
        <v>1.5</v>
      </c>
      <c r="C14" s="2">
        <v>1.25</v>
      </c>
      <c r="D14" s="2">
        <v>1.35</v>
      </c>
      <c r="F14" s="12">
        <v>5</v>
      </c>
      <c r="G14" s="3">
        <f t="shared" si="0"/>
        <v>7.5</v>
      </c>
      <c r="H14" s="3">
        <f t="shared" si="1"/>
        <v>6.25</v>
      </c>
      <c r="I14" s="3">
        <f t="shared" si="2"/>
        <v>6.75</v>
      </c>
      <c r="J14" s="3"/>
      <c r="K14" s="12">
        <v>3</v>
      </c>
      <c r="L14" s="2">
        <f t="shared" si="3"/>
        <v>4.5</v>
      </c>
      <c r="M14" s="2">
        <f t="shared" si="4"/>
        <v>3.75</v>
      </c>
      <c r="N14" s="2">
        <f t="shared" si="5"/>
        <v>4.0500000000000007</v>
      </c>
    </row>
    <row r="15" spans="1:14">
      <c r="A15" t="s">
        <v>282</v>
      </c>
      <c r="B15" s="2">
        <v>2.25</v>
      </c>
      <c r="C15" s="2">
        <v>2</v>
      </c>
      <c r="D15" s="2">
        <v>2.1</v>
      </c>
      <c r="F15" s="12">
        <v>6</v>
      </c>
      <c r="G15" s="3">
        <f t="shared" si="0"/>
        <v>13.5</v>
      </c>
      <c r="H15" s="3">
        <f t="shared" si="1"/>
        <v>12</v>
      </c>
      <c r="I15" s="3">
        <f t="shared" si="2"/>
        <v>12.600000000000001</v>
      </c>
      <c r="J15" s="3"/>
      <c r="K15" s="12">
        <v>1</v>
      </c>
      <c r="L15" s="2">
        <f t="shared" si="3"/>
        <v>2.25</v>
      </c>
      <c r="M15" s="2">
        <f t="shared" si="4"/>
        <v>2</v>
      </c>
      <c r="N15" s="2">
        <f t="shared" si="5"/>
        <v>2.1</v>
      </c>
    </row>
    <row r="16" spans="1:14">
      <c r="A16" t="s">
        <v>283</v>
      </c>
      <c r="B16" s="2">
        <v>1.99</v>
      </c>
      <c r="C16" s="2">
        <v>2.5</v>
      </c>
      <c r="D16" s="2">
        <v>2.25</v>
      </c>
      <c r="F16" s="12">
        <v>5</v>
      </c>
      <c r="G16" s="3">
        <f t="shared" si="0"/>
        <v>9.9499999999999993</v>
      </c>
      <c r="H16" s="3">
        <f t="shared" si="1"/>
        <v>12.5</v>
      </c>
      <c r="I16" s="3">
        <f t="shared" si="2"/>
        <v>11.25</v>
      </c>
      <c r="J16" s="3"/>
      <c r="K16" s="12">
        <v>1</v>
      </c>
      <c r="L16" s="2">
        <f t="shared" si="3"/>
        <v>1.99</v>
      </c>
      <c r="M16" s="2">
        <f t="shared" si="4"/>
        <v>2.5</v>
      </c>
      <c r="N16" s="2">
        <f t="shared" si="5"/>
        <v>2.25</v>
      </c>
    </row>
    <row r="17" spans="5:14">
      <c r="K17" s="12"/>
    </row>
    <row r="18" spans="5:14">
      <c r="F18" s="13" t="s">
        <v>48</v>
      </c>
      <c r="G18" s="14">
        <f>SUM(G2:G16)</f>
        <v>186.48000000000002</v>
      </c>
      <c r="H18" s="14">
        <f>SUM(H2:H16)</f>
        <v>179.2</v>
      </c>
      <c r="I18" s="14">
        <f>SUM(I2:I16)</f>
        <v>184.15</v>
      </c>
      <c r="J18" s="14"/>
      <c r="K18" s="13" t="s">
        <v>48</v>
      </c>
      <c r="L18" s="15">
        <f>SUM(L2:L16)</f>
        <v>122.35000000000001</v>
      </c>
      <c r="M18" s="15">
        <f t="shared" ref="M18:N18" si="6">SUM(M2:M16)</f>
        <v>118.65</v>
      </c>
      <c r="N18" s="15">
        <f t="shared" si="6"/>
        <v>118.69999999999999</v>
      </c>
    </row>
    <row r="21" spans="5:14">
      <c r="E21" s="13"/>
      <c r="F21" s="15"/>
      <c r="G21" s="15"/>
      <c r="H21" s="15"/>
      <c r="I21" s="15"/>
      <c r="J21" s="15"/>
      <c r="K21" s="15"/>
    </row>
    <row r="22" spans="5:14">
      <c r="F22" s="2"/>
      <c r="G22" s="2"/>
      <c r="H22" s="2"/>
      <c r="I22" s="2"/>
      <c r="J22" s="2"/>
      <c r="K22" s="2"/>
    </row>
    <row r="23" spans="5:14">
      <c r="F23" s="2"/>
      <c r="G23" s="2"/>
      <c r="H23" s="2"/>
      <c r="I23" s="2"/>
      <c r="J23" s="2"/>
      <c r="K23" s="2"/>
    </row>
    <row r="24" spans="5:14">
      <c r="F24" s="2"/>
      <c r="G24" s="2"/>
      <c r="H24" s="2"/>
      <c r="I24" s="2"/>
      <c r="J24" s="2"/>
      <c r="K24" s="2"/>
    </row>
    <row r="25" spans="5:14">
      <c r="F25" s="2"/>
      <c r="G25" s="2"/>
      <c r="H25" s="2"/>
      <c r="I25" s="2"/>
      <c r="J25" s="2"/>
      <c r="K25" s="2"/>
    </row>
    <row r="26" spans="5:14">
      <c r="F26" s="2"/>
      <c r="G26" s="2"/>
      <c r="H26" s="2"/>
      <c r="I26" s="2"/>
      <c r="J26" s="2"/>
      <c r="K26" s="2"/>
    </row>
    <row r="27" spans="5:14">
      <c r="F27" s="2"/>
      <c r="G27" s="2"/>
      <c r="H27" s="2"/>
      <c r="I27" s="2"/>
      <c r="J27" s="2"/>
      <c r="K27" s="2"/>
    </row>
    <row r="28" spans="5:14">
      <c r="F28" s="2"/>
      <c r="G28" s="2"/>
      <c r="H28" s="2"/>
      <c r="I28" s="2"/>
      <c r="J28" s="2"/>
      <c r="K28" s="2"/>
    </row>
    <row r="29" spans="5:14">
      <c r="F29" s="2"/>
      <c r="G29" s="2"/>
      <c r="H29" s="2"/>
      <c r="I29" s="2"/>
      <c r="J29" s="2"/>
      <c r="K29" s="2"/>
    </row>
    <row r="30" spans="5:14">
      <c r="F30" s="2"/>
      <c r="G30" s="2"/>
      <c r="H30" s="2"/>
      <c r="I30" s="2"/>
      <c r="J30" s="2"/>
      <c r="K30" s="2"/>
    </row>
    <row r="31" spans="5:14">
      <c r="F31" s="2"/>
      <c r="G31" s="2"/>
      <c r="H31" s="2"/>
      <c r="I31" s="2"/>
      <c r="J31" s="2"/>
      <c r="K31" s="2"/>
    </row>
    <row r="32" spans="5:14">
      <c r="F32" s="2"/>
      <c r="G32" s="2"/>
      <c r="H32" s="2"/>
      <c r="I32" s="2"/>
      <c r="J32" s="2"/>
      <c r="K32" s="2"/>
    </row>
    <row r="33" spans="6:11">
      <c r="F33" s="2"/>
      <c r="G33" s="2"/>
      <c r="H33" s="2"/>
      <c r="I33" s="2"/>
      <c r="J33" s="2"/>
      <c r="K33" s="2"/>
    </row>
    <row r="34" spans="6:11">
      <c r="F34" s="2"/>
      <c r="G34" s="2"/>
      <c r="H34" s="2"/>
      <c r="I34" s="2"/>
      <c r="J34" s="2"/>
      <c r="K34" s="2"/>
    </row>
    <row r="35" spans="6:11">
      <c r="F35" s="2"/>
      <c r="G35" s="2"/>
      <c r="H35" s="2"/>
      <c r="I35" s="2"/>
      <c r="J35" s="2"/>
      <c r="K35" s="2"/>
    </row>
    <row r="36" spans="6:11">
      <c r="F36" s="2"/>
      <c r="G36" s="2"/>
      <c r="H36" s="2"/>
      <c r="I36" s="2"/>
      <c r="J36" s="2"/>
      <c r="K36" s="2"/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7A25-8354-4EEF-BC1D-E2DCAA621348}">
  <dimension ref="A3:C19"/>
  <sheetViews>
    <sheetView workbookViewId="0">
      <selection activeCell="F22" sqref="F22"/>
    </sheetView>
  </sheetViews>
  <sheetFormatPr defaultColWidth="8.85546875" defaultRowHeight="14.25"/>
  <cols>
    <col min="1" max="1" width="12" style="17" bestFit="1" customWidth="1"/>
    <col min="2" max="3" width="9.5703125" style="20" bestFit="1" customWidth="1"/>
    <col min="4" max="16384" width="8.85546875" style="17"/>
  </cols>
  <sheetData>
    <row r="3" spans="1:3">
      <c r="B3" s="20" t="s">
        <v>287</v>
      </c>
      <c r="C3" s="20" t="s">
        <v>288</v>
      </c>
    </row>
    <row r="4" spans="1:3">
      <c r="A4" s="23" t="s">
        <v>289</v>
      </c>
    </row>
    <row r="5" spans="1:3">
      <c r="A5" s="17" t="s">
        <v>290</v>
      </c>
      <c r="B5" s="20">
        <v>50</v>
      </c>
      <c r="C5" s="20">
        <v>90</v>
      </c>
    </row>
    <row r="6" spans="1:3">
      <c r="A6" s="17" t="s">
        <v>291</v>
      </c>
      <c r="B6" s="20">
        <v>2.5</v>
      </c>
      <c r="C6" s="20">
        <v>2</v>
      </c>
    </row>
    <row r="7" spans="1:3">
      <c r="A7" s="17" t="s">
        <v>292</v>
      </c>
      <c r="B7" s="20">
        <v>5.5</v>
      </c>
      <c r="C7" s="20">
        <v>4.5</v>
      </c>
    </row>
    <row r="8" spans="1:3">
      <c r="A8" s="17" t="s">
        <v>293</v>
      </c>
      <c r="B8" s="20">
        <v>7</v>
      </c>
      <c r="C8" s="20">
        <v>7</v>
      </c>
    </row>
    <row r="9" spans="1:3">
      <c r="A9" s="17" t="s">
        <v>294</v>
      </c>
      <c r="B9" s="20">
        <v>3</v>
      </c>
      <c r="C9" s="20">
        <v>0</v>
      </c>
    </row>
    <row r="10" spans="1:3">
      <c r="A10" s="17" t="s">
        <v>295</v>
      </c>
      <c r="B10" s="20">
        <f>SUM(B5:B9)</f>
        <v>68</v>
      </c>
      <c r="C10" s="20">
        <f>SUM(C5:C9)</f>
        <v>103.5</v>
      </c>
    </row>
    <row r="12" spans="1:3">
      <c r="A12" s="23" t="s">
        <v>301</v>
      </c>
    </row>
    <row r="13" spans="1:3">
      <c r="A13" s="17" t="s">
        <v>296</v>
      </c>
      <c r="B13" s="20">
        <v>21</v>
      </c>
      <c r="C13" s="20">
        <v>11</v>
      </c>
    </row>
    <row r="14" spans="1:3">
      <c r="A14" s="17" t="s">
        <v>297</v>
      </c>
      <c r="B14" s="20">
        <v>0</v>
      </c>
      <c r="C14" s="20">
        <v>8</v>
      </c>
    </row>
    <row r="15" spans="1:3">
      <c r="A15" s="17" t="s">
        <v>298</v>
      </c>
      <c r="B15" s="20">
        <v>3</v>
      </c>
      <c r="C15" s="20">
        <v>0</v>
      </c>
    </row>
    <row r="16" spans="1:3">
      <c r="A16" s="17" t="s">
        <v>299</v>
      </c>
      <c r="B16" s="20">
        <f>SUM(B13:B15)</f>
        <v>24</v>
      </c>
      <c r="C16" s="20">
        <f>SUM(C13:C15)</f>
        <v>19</v>
      </c>
    </row>
    <row r="17" spans="1:3">
      <c r="A17" s="17" t="s">
        <v>300</v>
      </c>
      <c r="B17" s="20">
        <f>B16*2</f>
        <v>48</v>
      </c>
      <c r="C17" s="20">
        <f>C16*2</f>
        <v>38</v>
      </c>
    </row>
    <row r="19" spans="1:3" ht="15">
      <c r="A19" s="21" t="s">
        <v>302</v>
      </c>
      <c r="B19" s="22">
        <f>B17*12</f>
        <v>576</v>
      </c>
      <c r="C19" s="22">
        <f>C17*12</f>
        <v>456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B5EF-D70D-4CB9-9B10-3B8495689FD9}">
  <sheetPr>
    <pageSetUpPr fitToPage="1"/>
  </sheetPr>
  <dimension ref="A1:K44"/>
  <sheetViews>
    <sheetView topLeftCell="A5" zoomScale="80" zoomScaleNormal="80" workbookViewId="0">
      <selection activeCell="W47" sqref="W47"/>
    </sheetView>
  </sheetViews>
  <sheetFormatPr defaultColWidth="8.85546875" defaultRowHeight="15"/>
  <cols>
    <col min="1" max="1" width="33.5703125" style="27" customWidth="1"/>
    <col min="2" max="2" width="18.28515625" style="33" bestFit="1" customWidth="1"/>
    <col min="3" max="3" width="21.28515625" style="33" bestFit="1" customWidth="1"/>
    <col min="4" max="4" width="14.5703125" style="33" bestFit="1" customWidth="1"/>
    <col min="5" max="5" width="8.85546875" style="27"/>
    <col min="6" max="6" width="31.7109375" style="27" customWidth="1"/>
    <col min="7" max="7" width="18.28515625" style="38" bestFit="1" customWidth="1"/>
    <col min="8" max="8" width="21.28515625" style="38" bestFit="1" customWidth="1"/>
    <col min="9" max="9" width="14.5703125" style="38" bestFit="1" customWidth="1"/>
    <col min="10" max="16384" width="8.85546875" style="27"/>
  </cols>
  <sheetData>
    <row r="1" spans="1:11" ht="15.75">
      <c r="A1" s="26" t="s">
        <v>334</v>
      </c>
    </row>
    <row r="3" spans="1:11" ht="15.75">
      <c r="A3" s="26" t="s">
        <v>286</v>
      </c>
      <c r="B3" s="32" t="s">
        <v>303</v>
      </c>
      <c r="C3" s="32" t="s">
        <v>304</v>
      </c>
      <c r="D3" s="32" t="s">
        <v>305</v>
      </c>
      <c r="F3" s="26" t="s">
        <v>285</v>
      </c>
      <c r="G3" s="32" t="s">
        <v>303</v>
      </c>
      <c r="H3" s="32" t="s">
        <v>304</v>
      </c>
      <c r="I3" s="32" t="s">
        <v>305</v>
      </c>
      <c r="K3" s="26" t="s">
        <v>333</v>
      </c>
    </row>
    <row r="4" spans="1:11">
      <c r="G4" s="33"/>
      <c r="H4" s="33"/>
      <c r="I4" s="33"/>
    </row>
    <row r="5" spans="1:11">
      <c r="G5" s="33"/>
      <c r="H5" s="33"/>
      <c r="I5" s="33"/>
    </row>
    <row r="6" spans="1:11">
      <c r="G6" s="33"/>
      <c r="H6" s="33"/>
      <c r="I6" s="33"/>
    </row>
    <row r="7" spans="1:11">
      <c r="G7" s="33"/>
      <c r="H7" s="33"/>
      <c r="I7" s="33"/>
    </row>
    <row r="8" spans="1:11">
      <c r="A8" s="28" t="s">
        <v>306</v>
      </c>
      <c r="F8" s="28" t="s">
        <v>306</v>
      </c>
      <c r="G8" s="33"/>
      <c r="H8" s="33"/>
      <c r="I8" s="33"/>
    </row>
    <row r="9" spans="1:11">
      <c r="A9" s="27" t="s">
        <v>307</v>
      </c>
      <c r="B9" s="33">
        <v>280</v>
      </c>
      <c r="C9" s="33">
        <v>100</v>
      </c>
      <c r="D9" s="33">
        <v>350</v>
      </c>
      <c r="F9" s="27" t="s">
        <v>307</v>
      </c>
      <c r="G9" s="33">
        <v>280</v>
      </c>
      <c r="H9" s="33">
        <v>100</v>
      </c>
      <c r="I9" s="33">
        <v>350</v>
      </c>
    </row>
    <row r="10" spans="1:11">
      <c r="A10" s="27" t="s">
        <v>308</v>
      </c>
      <c r="B10" s="33">
        <v>18</v>
      </c>
      <c r="C10" s="33">
        <v>0</v>
      </c>
      <c r="D10" s="33">
        <v>0</v>
      </c>
      <c r="F10" s="27" t="s">
        <v>308</v>
      </c>
      <c r="G10" s="33">
        <v>18</v>
      </c>
      <c r="H10" s="33">
        <v>0</v>
      </c>
      <c r="I10" s="33">
        <v>0</v>
      </c>
    </row>
    <row r="11" spans="1:11">
      <c r="A11" s="27" t="s">
        <v>309</v>
      </c>
      <c r="B11" s="33">
        <v>25</v>
      </c>
      <c r="C11" s="33">
        <v>0</v>
      </c>
      <c r="D11" s="33">
        <v>0</v>
      </c>
      <c r="F11" s="27" t="s">
        <v>309</v>
      </c>
      <c r="G11" s="33">
        <v>25</v>
      </c>
      <c r="H11" s="33">
        <v>0</v>
      </c>
      <c r="I11" s="33">
        <v>0</v>
      </c>
    </row>
    <row r="12" spans="1:11">
      <c r="A12" s="27" t="s">
        <v>310</v>
      </c>
      <c r="B12" s="33">
        <v>15</v>
      </c>
      <c r="C12" s="33">
        <v>0</v>
      </c>
      <c r="D12" s="33">
        <v>0</v>
      </c>
      <c r="F12" s="27" t="s">
        <v>310</v>
      </c>
      <c r="G12" s="33">
        <v>15</v>
      </c>
      <c r="H12" s="33">
        <v>0</v>
      </c>
      <c r="I12" s="33">
        <v>0</v>
      </c>
    </row>
    <row r="13" spans="1:11">
      <c r="A13" s="27" t="s">
        <v>311</v>
      </c>
      <c r="B13" s="33">
        <v>9</v>
      </c>
      <c r="C13" s="33">
        <v>0</v>
      </c>
      <c r="D13" s="33">
        <v>0</v>
      </c>
      <c r="F13" s="27" t="s">
        <v>311</v>
      </c>
      <c r="G13" s="33">
        <v>9</v>
      </c>
      <c r="H13" s="33">
        <v>0</v>
      </c>
      <c r="I13" s="33">
        <v>0</v>
      </c>
    </row>
    <row r="14" spans="1:11">
      <c r="A14" s="27" t="s">
        <v>312</v>
      </c>
      <c r="B14" s="33">
        <v>0</v>
      </c>
      <c r="C14" s="33">
        <v>99</v>
      </c>
      <c r="D14" s="33">
        <v>0</v>
      </c>
      <c r="F14" s="27" t="s">
        <v>312</v>
      </c>
      <c r="G14" s="33">
        <v>0</v>
      </c>
      <c r="H14" s="33">
        <v>99</v>
      </c>
      <c r="I14" s="33">
        <v>0</v>
      </c>
    </row>
    <row r="15" spans="1:11">
      <c r="A15" s="27" t="s">
        <v>313</v>
      </c>
      <c r="B15" s="33">
        <v>0</v>
      </c>
      <c r="C15" s="33">
        <v>95</v>
      </c>
      <c r="D15" s="33">
        <v>0</v>
      </c>
      <c r="F15" s="27" t="s">
        <v>313</v>
      </c>
      <c r="G15" s="33">
        <v>0</v>
      </c>
      <c r="H15" s="33">
        <v>95</v>
      </c>
      <c r="I15" s="33">
        <v>0</v>
      </c>
    </row>
    <row r="16" spans="1:11">
      <c r="A16" s="27" t="s">
        <v>314</v>
      </c>
      <c r="B16" s="33">
        <v>0</v>
      </c>
      <c r="C16" s="33">
        <v>85</v>
      </c>
      <c r="D16" s="33">
        <v>0</v>
      </c>
      <c r="F16" s="27" t="s">
        <v>314</v>
      </c>
      <c r="G16" s="33">
        <v>0</v>
      </c>
      <c r="H16" s="33">
        <v>85</v>
      </c>
      <c r="I16" s="33">
        <v>0</v>
      </c>
    </row>
    <row r="17" spans="1:9">
      <c r="A17" s="27" t="s">
        <v>315</v>
      </c>
      <c r="B17" s="33">
        <v>0</v>
      </c>
      <c r="C17" s="33">
        <v>85</v>
      </c>
      <c r="D17" s="33">
        <v>0</v>
      </c>
      <c r="F17" s="27" t="s">
        <v>315</v>
      </c>
      <c r="G17" s="33">
        <v>0</v>
      </c>
      <c r="H17" s="33">
        <v>85</v>
      </c>
      <c r="I17" s="33">
        <v>0</v>
      </c>
    </row>
    <row r="18" spans="1:9">
      <c r="A18" s="27" t="s">
        <v>316</v>
      </c>
      <c r="B18" s="33">
        <v>0</v>
      </c>
      <c r="C18" s="33">
        <v>0</v>
      </c>
      <c r="D18" s="33">
        <v>555</v>
      </c>
      <c r="F18" s="27" t="s">
        <v>316</v>
      </c>
      <c r="G18" s="33">
        <v>0</v>
      </c>
      <c r="H18" s="33">
        <v>0</v>
      </c>
      <c r="I18" s="33">
        <v>555</v>
      </c>
    </row>
    <row r="19" spans="1:9">
      <c r="G19" s="33"/>
      <c r="H19" s="33"/>
      <c r="I19" s="33"/>
    </row>
    <row r="20" spans="1:9">
      <c r="A20" s="27" t="s">
        <v>324</v>
      </c>
      <c r="B20" s="33">
        <f>B9</f>
        <v>280</v>
      </c>
      <c r="C20" s="33">
        <f t="shared" ref="C20:D20" si="0">C9</f>
        <v>100</v>
      </c>
      <c r="D20" s="33">
        <f t="shared" si="0"/>
        <v>350</v>
      </c>
      <c r="F20" s="27" t="s">
        <v>324</v>
      </c>
      <c r="G20" s="33">
        <f>G9</f>
        <v>280</v>
      </c>
      <c r="H20" s="33">
        <f t="shared" ref="H20:I20" si="1">H9</f>
        <v>100</v>
      </c>
      <c r="I20" s="33">
        <f t="shared" si="1"/>
        <v>350</v>
      </c>
    </row>
    <row r="21" spans="1:9">
      <c r="A21" s="27" t="s">
        <v>325</v>
      </c>
      <c r="B21" s="33">
        <f>B20*$B42</f>
        <v>560</v>
      </c>
      <c r="C21" s="33">
        <f>C20*$B42</f>
        <v>200</v>
      </c>
      <c r="D21" s="33">
        <f>D20*$B42</f>
        <v>700</v>
      </c>
      <c r="F21" s="27" t="s">
        <v>325</v>
      </c>
      <c r="G21" s="33">
        <f>G20*$G42</f>
        <v>1120</v>
      </c>
      <c r="H21" s="33">
        <f>H20*$G42</f>
        <v>400</v>
      </c>
      <c r="I21" s="33">
        <f>I20*$G42</f>
        <v>1400</v>
      </c>
    </row>
    <row r="22" spans="1:9">
      <c r="A22" s="27" t="s">
        <v>332</v>
      </c>
      <c r="B22" s="33">
        <f>SUM(B21,B10:B18)</f>
        <v>627</v>
      </c>
      <c r="C22" s="33">
        <f t="shared" ref="C22:D22" si="2">SUM(C21,C10:C18)</f>
        <v>564</v>
      </c>
      <c r="D22" s="33">
        <f t="shared" si="2"/>
        <v>1255</v>
      </c>
      <c r="F22" s="27" t="s">
        <v>332</v>
      </c>
      <c r="G22" s="33">
        <f>SUM(G21,G10:G18)</f>
        <v>1187</v>
      </c>
      <c r="H22" s="33">
        <f>SUM(H21,H10:H18)</f>
        <v>764</v>
      </c>
      <c r="I22" s="33">
        <f>SUM(I21,I10:I18)</f>
        <v>1955</v>
      </c>
    </row>
    <row r="23" spans="1:9">
      <c r="G23" s="33"/>
      <c r="H23" s="33"/>
      <c r="I23" s="33"/>
    </row>
    <row r="24" spans="1:9">
      <c r="A24" s="28" t="s">
        <v>317</v>
      </c>
      <c r="F24" s="28" t="s">
        <v>317</v>
      </c>
      <c r="G24" s="33"/>
      <c r="H24" s="33"/>
      <c r="I24" s="33"/>
    </row>
    <row r="25" spans="1:9">
      <c r="A25" s="27" t="s">
        <v>318</v>
      </c>
      <c r="B25" s="33">
        <v>120</v>
      </c>
      <c r="C25" s="33">
        <v>105</v>
      </c>
      <c r="D25" s="33">
        <v>0</v>
      </c>
      <c r="F25" s="27" t="s">
        <v>318</v>
      </c>
      <c r="G25" s="33">
        <v>120</v>
      </c>
      <c r="H25" s="33">
        <v>105</v>
      </c>
      <c r="I25" s="33">
        <v>0</v>
      </c>
    </row>
    <row r="26" spans="1:9">
      <c r="A26" s="27" t="s">
        <v>319</v>
      </c>
      <c r="B26" s="33">
        <f>B25*$B43</f>
        <v>600</v>
      </c>
      <c r="C26" s="33">
        <f>C25*$B43</f>
        <v>525</v>
      </c>
      <c r="D26" s="33">
        <f>D25*$B43</f>
        <v>0</v>
      </c>
      <c r="F26" s="27" t="s">
        <v>319</v>
      </c>
      <c r="G26" s="33">
        <f>G25*$G43</f>
        <v>600</v>
      </c>
      <c r="H26" s="33">
        <f>H25*$G43</f>
        <v>525</v>
      </c>
      <c r="I26" s="33">
        <f>I25*$G42</f>
        <v>0</v>
      </c>
    </row>
    <row r="27" spans="1:9">
      <c r="A27" s="27" t="s">
        <v>320</v>
      </c>
      <c r="B27" s="33">
        <f>B26</f>
        <v>600</v>
      </c>
      <c r="C27" s="33">
        <f t="shared" ref="C27:D27" si="3">C26</f>
        <v>525</v>
      </c>
      <c r="D27" s="33">
        <f t="shared" si="3"/>
        <v>0</v>
      </c>
      <c r="F27" s="27" t="s">
        <v>320</v>
      </c>
      <c r="G27" s="33">
        <f>G26</f>
        <v>600</v>
      </c>
      <c r="H27" s="33">
        <f>H26</f>
        <v>525</v>
      </c>
      <c r="I27" s="33">
        <f t="shared" ref="I27" si="4">I26</f>
        <v>0</v>
      </c>
    </row>
    <row r="28" spans="1:9">
      <c r="G28" s="33"/>
      <c r="H28" s="33"/>
      <c r="I28" s="33"/>
    </row>
    <row r="29" spans="1:9">
      <c r="A29" s="29" t="s">
        <v>322</v>
      </c>
      <c r="B29" s="34"/>
      <c r="C29" s="34"/>
      <c r="D29" s="35"/>
      <c r="F29" s="29" t="s">
        <v>322</v>
      </c>
      <c r="G29" s="34"/>
      <c r="H29" s="34"/>
      <c r="I29" s="35"/>
    </row>
    <row r="30" spans="1:9">
      <c r="A30" s="30" t="s">
        <v>321</v>
      </c>
      <c r="B30" s="36">
        <v>40</v>
      </c>
      <c r="C30" s="36">
        <v>0</v>
      </c>
      <c r="D30" s="37">
        <v>0</v>
      </c>
      <c r="F30" s="30" t="s">
        <v>321</v>
      </c>
      <c r="G30" s="36">
        <v>40</v>
      </c>
      <c r="H30" s="36">
        <v>0</v>
      </c>
      <c r="I30" s="37">
        <v>0</v>
      </c>
    </row>
    <row r="31" spans="1:9">
      <c r="A31" s="31" t="s">
        <v>323</v>
      </c>
      <c r="B31" s="34">
        <f>B30*$B44</f>
        <v>160</v>
      </c>
      <c r="C31" s="34">
        <f>C30*$B44</f>
        <v>0</v>
      </c>
      <c r="D31" s="34">
        <f>D30*$B44</f>
        <v>0</v>
      </c>
      <c r="F31" s="31" t="s">
        <v>323</v>
      </c>
      <c r="G31" s="34">
        <f>G30*$G44</f>
        <v>160</v>
      </c>
      <c r="H31" s="34">
        <f>H30*$G44</f>
        <v>0</v>
      </c>
      <c r="I31" s="34">
        <f>I30*$G43</f>
        <v>0</v>
      </c>
    </row>
    <row r="32" spans="1:9">
      <c r="G32" s="33"/>
      <c r="H32" s="33"/>
      <c r="I32" s="33"/>
    </row>
    <row r="33" spans="1:9">
      <c r="A33" s="29" t="s">
        <v>327</v>
      </c>
      <c r="B33" s="34"/>
      <c r="C33" s="34"/>
      <c r="D33" s="35"/>
      <c r="F33" s="29" t="s">
        <v>327</v>
      </c>
      <c r="G33" s="34"/>
      <c r="H33" s="34"/>
      <c r="I33" s="35"/>
    </row>
    <row r="34" spans="1:9">
      <c r="A34" s="30" t="s">
        <v>326</v>
      </c>
      <c r="B34" s="36">
        <v>50</v>
      </c>
      <c r="C34" s="36">
        <v>50</v>
      </c>
      <c r="D34" s="37">
        <v>0</v>
      </c>
      <c r="F34" s="30" t="s">
        <v>326</v>
      </c>
      <c r="G34" s="36">
        <v>50</v>
      </c>
      <c r="H34" s="36">
        <v>50</v>
      </c>
      <c r="I34" s="37">
        <v>0</v>
      </c>
    </row>
    <row r="35" spans="1:9">
      <c r="A35" s="31" t="s">
        <v>328</v>
      </c>
      <c r="B35" s="34">
        <f>B34*$B42*$B44</f>
        <v>400</v>
      </c>
      <c r="C35" s="34">
        <f>C34*$B42*$B44</f>
        <v>400</v>
      </c>
      <c r="D35" s="34">
        <f>D34*$B42*$B44</f>
        <v>0</v>
      </c>
      <c r="F35" s="31" t="s">
        <v>328</v>
      </c>
      <c r="G35" s="34">
        <f>G34*$G42*$G44</f>
        <v>800</v>
      </c>
      <c r="H35" s="34">
        <f>H34*$G42*$G44</f>
        <v>800</v>
      </c>
      <c r="I35" s="34">
        <f>I34*$G41*$G43</f>
        <v>0</v>
      </c>
    </row>
    <row r="36" spans="1:9">
      <c r="G36" s="33"/>
      <c r="H36" s="33"/>
      <c r="I36" s="33"/>
    </row>
    <row r="37" spans="1:9" ht="15.75">
      <c r="A37" s="26" t="s">
        <v>48</v>
      </c>
      <c r="B37" s="32">
        <f>SUM(B22,B27,B31,B35)</f>
        <v>1787</v>
      </c>
      <c r="C37" s="32">
        <f>SUM(C22,C27,C31,C35)</f>
        <v>1489</v>
      </c>
      <c r="D37" s="32">
        <f>SUM(D22,D27,D31,D35)</f>
        <v>1255</v>
      </c>
      <c r="F37" s="26" t="s">
        <v>48</v>
      </c>
      <c r="G37" s="32">
        <f>SUM(G22,G27,G31,G35)</f>
        <v>2747</v>
      </c>
      <c r="H37" s="32">
        <f>SUM(H22,H27,H31,H35)</f>
        <v>2089</v>
      </c>
      <c r="I37" s="32">
        <f>SUM(I22,I27,I31,I35)</f>
        <v>1955</v>
      </c>
    </row>
    <row r="38" spans="1:9">
      <c r="G38" s="33"/>
      <c r="H38" s="33"/>
      <c r="I38" s="33"/>
    </row>
    <row r="39" spans="1:9">
      <c r="G39" s="33"/>
      <c r="H39" s="33"/>
      <c r="I39" s="33"/>
    </row>
    <row r="40" spans="1:9">
      <c r="B40" s="38"/>
      <c r="G40" s="33"/>
      <c r="H40" s="33"/>
      <c r="I40" s="33"/>
    </row>
    <row r="41" spans="1:9">
      <c r="A41" s="28" t="s">
        <v>286</v>
      </c>
      <c r="B41" s="38"/>
      <c r="F41" s="28" t="s">
        <v>285</v>
      </c>
      <c r="H41" s="33" t="s">
        <v>49</v>
      </c>
      <c r="I41" s="33"/>
    </row>
    <row r="42" spans="1:9">
      <c r="A42" s="27" t="s">
        <v>329</v>
      </c>
      <c r="B42" s="38">
        <v>2</v>
      </c>
      <c r="F42" s="27" t="s">
        <v>329</v>
      </c>
      <c r="G42" s="38">
        <v>4</v>
      </c>
      <c r="H42" s="33"/>
      <c r="I42" s="33"/>
    </row>
    <row r="43" spans="1:9">
      <c r="A43" s="27" t="s">
        <v>330</v>
      </c>
      <c r="B43" s="38">
        <v>5</v>
      </c>
      <c r="F43" s="27" t="s">
        <v>330</v>
      </c>
      <c r="G43" s="38">
        <v>5</v>
      </c>
      <c r="H43" s="33"/>
      <c r="I43" s="33"/>
    </row>
    <row r="44" spans="1:9">
      <c r="A44" s="27" t="s">
        <v>331</v>
      </c>
      <c r="B44" s="39">
        <v>4</v>
      </c>
      <c r="F44" s="27" t="s">
        <v>331</v>
      </c>
      <c r="G44" s="39">
        <v>4</v>
      </c>
      <c r="H44" s="33"/>
      <c r="I44" s="33"/>
    </row>
  </sheetData>
  <pageMargins left="0.7" right="0.7" top="0.75" bottom="0.75" header="0.3" footer="0.3"/>
  <pageSetup paperSize="9" scale="53" orientation="landscape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18BC8-454F-40F1-9673-5EF0217C383B}">
  <sheetPr>
    <pageSetUpPr fitToPage="1"/>
  </sheetPr>
  <dimension ref="A1:I23"/>
  <sheetViews>
    <sheetView workbookViewId="0">
      <selection activeCell="G28" sqref="G28"/>
    </sheetView>
  </sheetViews>
  <sheetFormatPr defaultColWidth="8.85546875" defaultRowHeight="14.25"/>
  <cols>
    <col min="1" max="1" width="26.85546875" style="17" customWidth="1"/>
    <col min="2" max="2" width="11.42578125" style="17" bestFit="1" customWidth="1"/>
    <col min="3" max="3" width="11" style="17" bestFit="1" customWidth="1"/>
    <col min="4" max="4" width="11.42578125" style="17" bestFit="1" customWidth="1"/>
    <col min="5" max="5" width="8.85546875" style="17"/>
    <col min="6" max="6" width="26.7109375" style="17" bestFit="1" customWidth="1"/>
    <col min="7" max="8" width="14.28515625" style="17" bestFit="1" customWidth="1"/>
    <col min="9" max="9" width="12.85546875" style="17" bestFit="1" customWidth="1"/>
    <col min="10" max="16384" width="8.85546875" style="17"/>
  </cols>
  <sheetData>
    <row r="1" spans="1:9" ht="15">
      <c r="A1" s="24" t="s">
        <v>349</v>
      </c>
      <c r="B1" s="25" t="s">
        <v>344</v>
      </c>
      <c r="C1" s="25" t="s">
        <v>346</v>
      </c>
      <c r="D1" s="25" t="s">
        <v>345</v>
      </c>
      <c r="F1" s="24" t="s">
        <v>285</v>
      </c>
      <c r="G1" s="25" t="s">
        <v>344</v>
      </c>
      <c r="H1" s="25" t="s">
        <v>346</v>
      </c>
      <c r="I1" s="25" t="s">
        <v>345</v>
      </c>
    </row>
    <row r="2" spans="1:9">
      <c r="A2" s="19" t="s">
        <v>335</v>
      </c>
      <c r="B2" s="40">
        <v>29</v>
      </c>
      <c r="C2" s="40">
        <v>149</v>
      </c>
      <c r="D2" s="40">
        <v>549</v>
      </c>
      <c r="F2" s="19" t="s">
        <v>335</v>
      </c>
      <c r="G2" s="40">
        <v>29</v>
      </c>
      <c r="H2" s="40">
        <v>149</v>
      </c>
      <c r="I2" s="40">
        <v>549</v>
      </c>
    </row>
    <row r="3" spans="1:9">
      <c r="B3" s="20"/>
      <c r="C3" s="20"/>
      <c r="D3" s="20"/>
      <c r="G3" s="20"/>
      <c r="H3" s="20"/>
      <c r="I3" s="20"/>
    </row>
    <row r="4" spans="1:9">
      <c r="A4" s="17" t="s">
        <v>350</v>
      </c>
      <c r="B4" s="20">
        <v>40</v>
      </c>
      <c r="C4" s="20">
        <v>90</v>
      </c>
      <c r="D4" s="20">
        <v>370</v>
      </c>
      <c r="F4" s="17" t="s">
        <v>350</v>
      </c>
      <c r="G4" s="20">
        <v>40</v>
      </c>
      <c r="H4" s="20">
        <v>90</v>
      </c>
      <c r="I4" s="20">
        <v>370</v>
      </c>
    </row>
    <row r="5" spans="1:9">
      <c r="A5" s="17" t="s">
        <v>348</v>
      </c>
      <c r="B5" s="41">
        <v>200</v>
      </c>
      <c r="C5" s="41">
        <v>1000</v>
      </c>
      <c r="D5" s="41">
        <v>11000</v>
      </c>
      <c r="F5" s="17" t="s">
        <v>348</v>
      </c>
      <c r="G5" s="41">
        <v>200</v>
      </c>
      <c r="H5" s="41">
        <v>1000</v>
      </c>
      <c r="I5" s="41">
        <v>11000</v>
      </c>
    </row>
    <row r="6" spans="1:9">
      <c r="A6" s="17" t="s">
        <v>347</v>
      </c>
      <c r="B6" s="20">
        <f>B4/B5</f>
        <v>0.2</v>
      </c>
      <c r="C6" s="20">
        <f>C4/C5</f>
        <v>0.09</v>
      </c>
      <c r="D6" s="20">
        <f t="shared" ref="D6" si="0">D4/D5</f>
        <v>3.3636363636363638E-2</v>
      </c>
      <c r="F6" s="17" t="s">
        <v>347</v>
      </c>
      <c r="G6" s="20">
        <f>G4/G5</f>
        <v>0.2</v>
      </c>
      <c r="H6" s="20">
        <f>H4/H5</f>
        <v>0.09</v>
      </c>
      <c r="I6" s="20">
        <f t="shared" ref="I6" si="1">I4/I5</f>
        <v>3.3636363636363638E-2</v>
      </c>
    </row>
    <row r="8" spans="1:9">
      <c r="A8" s="17" t="s">
        <v>351</v>
      </c>
      <c r="B8" s="41">
        <v>15</v>
      </c>
      <c r="C8" s="41"/>
      <c r="D8" s="41"/>
      <c r="F8" s="17" t="s">
        <v>336</v>
      </c>
      <c r="G8" s="41">
        <v>500</v>
      </c>
      <c r="H8" s="41"/>
      <c r="I8" s="41"/>
    </row>
    <row r="9" spans="1:9">
      <c r="A9" s="17" t="s">
        <v>337</v>
      </c>
      <c r="B9" s="41">
        <v>5</v>
      </c>
      <c r="C9" s="41"/>
      <c r="D9" s="41"/>
      <c r="F9" s="17" t="s">
        <v>337</v>
      </c>
      <c r="G9" s="41">
        <v>5</v>
      </c>
      <c r="H9" s="41"/>
      <c r="I9" s="41"/>
    </row>
    <row r="10" spans="1:9">
      <c r="A10" s="17" t="s">
        <v>339</v>
      </c>
      <c r="B10" s="41">
        <v>50</v>
      </c>
      <c r="C10" s="41"/>
      <c r="D10" s="41"/>
      <c r="F10" s="17" t="s">
        <v>339</v>
      </c>
      <c r="G10" s="41">
        <v>50</v>
      </c>
      <c r="H10" s="41"/>
      <c r="I10" s="41"/>
    </row>
    <row r="11" spans="1:9">
      <c r="A11" s="17" t="s">
        <v>340</v>
      </c>
      <c r="B11" s="41">
        <f>B8*B9*B10</f>
        <v>3750</v>
      </c>
      <c r="C11" s="41"/>
      <c r="D11" s="41"/>
      <c r="F11" s="17" t="s">
        <v>340</v>
      </c>
      <c r="G11" s="41">
        <f>G8*G9*G10</f>
        <v>125000</v>
      </c>
      <c r="H11" s="41"/>
      <c r="I11" s="41"/>
    </row>
    <row r="12" spans="1:9">
      <c r="C12" s="41"/>
      <c r="D12" s="41"/>
      <c r="H12" s="41"/>
      <c r="I12" s="41"/>
    </row>
    <row r="13" spans="1:9">
      <c r="A13" s="17" t="s">
        <v>338</v>
      </c>
      <c r="B13" s="42">
        <f t="shared" ref="B13:D13" si="2">$B11</f>
        <v>3750</v>
      </c>
      <c r="C13" s="42">
        <f t="shared" si="2"/>
        <v>3750</v>
      </c>
      <c r="D13" s="42">
        <f t="shared" si="2"/>
        <v>3750</v>
      </c>
      <c r="F13" s="17" t="s">
        <v>338</v>
      </c>
      <c r="G13" s="42">
        <f>$G11</f>
        <v>125000</v>
      </c>
      <c r="H13" s="42">
        <f t="shared" ref="H13:I13" si="3">$G11</f>
        <v>125000</v>
      </c>
      <c r="I13" s="42">
        <f t="shared" si="3"/>
        <v>125000</v>
      </c>
    </row>
    <row r="14" spans="1:9">
      <c r="A14" s="17" t="s">
        <v>341</v>
      </c>
      <c r="B14" s="20">
        <f>B13*B6</f>
        <v>750</v>
      </c>
      <c r="C14" s="20">
        <f>C13*C6</f>
        <v>337.5</v>
      </c>
      <c r="D14" s="20">
        <f>D13*D6</f>
        <v>126.13636363636364</v>
      </c>
      <c r="F14" s="17" t="s">
        <v>341</v>
      </c>
      <c r="G14" s="20">
        <f>G13*G6</f>
        <v>25000</v>
      </c>
      <c r="H14" s="20">
        <f>H13*H6</f>
        <v>11250</v>
      </c>
      <c r="I14" s="20">
        <f>I13*I6</f>
        <v>4204.545454545455</v>
      </c>
    </row>
    <row r="15" spans="1:9">
      <c r="A15" s="17" t="s">
        <v>352</v>
      </c>
      <c r="B15" s="20">
        <f>B14*2</f>
        <v>1500</v>
      </c>
      <c r="C15" s="20">
        <f>C14*2</f>
        <v>675</v>
      </c>
      <c r="D15" s="20">
        <f>D14*2</f>
        <v>252.27272727272728</v>
      </c>
      <c r="F15" s="17" t="s">
        <v>352</v>
      </c>
      <c r="G15" s="20">
        <f>G14*2</f>
        <v>50000</v>
      </c>
      <c r="H15" s="20">
        <f>H14*2</f>
        <v>22500</v>
      </c>
      <c r="I15" s="20">
        <f>I14*2</f>
        <v>8409.0909090909099</v>
      </c>
    </row>
    <row r="17" spans="1:9" ht="15">
      <c r="A17" s="43" t="s">
        <v>342</v>
      </c>
      <c r="B17" s="44">
        <f>B14</f>
        <v>750</v>
      </c>
      <c r="C17" s="44">
        <f>C14</f>
        <v>337.5</v>
      </c>
      <c r="D17" s="44">
        <f>D14</f>
        <v>126.13636363636364</v>
      </c>
      <c r="F17" s="43" t="s">
        <v>342</v>
      </c>
      <c r="G17" s="44">
        <f>G14</f>
        <v>25000</v>
      </c>
      <c r="H17" s="44">
        <f>H14</f>
        <v>11250</v>
      </c>
      <c r="I17" s="44">
        <f>I14</f>
        <v>4204.545454545455</v>
      </c>
    </row>
    <row r="18" spans="1:9">
      <c r="B18" s="20"/>
      <c r="C18" s="20"/>
      <c r="D18" s="20"/>
      <c r="G18" s="20"/>
      <c r="H18" s="20"/>
      <c r="I18" s="20"/>
    </row>
    <row r="19" spans="1:9" ht="15">
      <c r="A19" s="43" t="s">
        <v>343</v>
      </c>
      <c r="B19" s="44">
        <f>B17+B2</f>
        <v>779</v>
      </c>
      <c r="C19" s="44">
        <f>C17+C2</f>
        <v>486.5</v>
      </c>
      <c r="D19" s="44">
        <f>D17+D2</f>
        <v>675.13636363636363</v>
      </c>
      <c r="F19" s="43" t="s">
        <v>343</v>
      </c>
      <c r="G19" s="44">
        <f>G17+G2</f>
        <v>25029</v>
      </c>
      <c r="H19" s="44">
        <f>H17+H2</f>
        <v>11399</v>
      </c>
      <c r="I19" s="44">
        <f>I17+I2</f>
        <v>4753.545454545455</v>
      </c>
    </row>
    <row r="20" spans="1:9">
      <c r="B20" s="20"/>
      <c r="C20" s="20"/>
      <c r="D20" s="20"/>
    </row>
    <row r="21" spans="1:9">
      <c r="A21" s="45" t="s">
        <v>353</v>
      </c>
    </row>
    <row r="23" spans="1:9" ht="15">
      <c r="A23" s="24"/>
    </row>
  </sheetData>
  <pageMargins left="0.7" right="0.7" top="0.75" bottom="0.75" header="0.3" footer="0.3"/>
  <pageSetup paperSize="9" scale="69" orientation="landscape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7888-7982-41CC-B26B-E07F15A443B5}">
  <sheetPr>
    <pageSetUpPr fitToPage="1"/>
  </sheetPr>
  <dimension ref="A1:I30"/>
  <sheetViews>
    <sheetView workbookViewId="0">
      <selection activeCell="G35" sqref="G35"/>
    </sheetView>
  </sheetViews>
  <sheetFormatPr defaultColWidth="8.85546875" defaultRowHeight="14.25"/>
  <cols>
    <col min="1" max="1" width="29.28515625" style="17" customWidth="1"/>
    <col min="2" max="2" width="11.5703125" style="17" bestFit="1" customWidth="1"/>
    <col min="3" max="4" width="12.85546875" style="17" bestFit="1" customWidth="1"/>
    <col min="5" max="5" width="8.85546875" style="17"/>
    <col min="6" max="6" width="28.7109375" style="17" customWidth="1"/>
    <col min="7" max="7" width="11.5703125" style="17" bestFit="1" customWidth="1"/>
    <col min="8" max="9" width="12.85546875" style="17" bestFit="1" customWidth="1"/>
    <col min="10" max="16384" width="8.85546875" style="17"/>
  </cols>
  <sheetData>
    <row r="1" spans="1:9" ht="15">
      <c r="A1" s="24" t="s">
        <v>286</v>
      </c>
      <c r="B1" s="25" t="s">
        <v>354</v>
      </c>
      <c r="C1" s="25" t="s">
        <v>247</v>
      </c>
      <c r="D1" s="25" t="s">
        <v>355</v>
      </c>
      <c r="F1" s="24" t="s">
        <v>285</v>
      </c>
      <c r="G1" s="49" t="s">
        <v>354</v>
      </c>
      <c r="H1" s="49" t="s">
        <v>247</v>
      </c>
      <c r="I1" s="49" t="s">
        <v>355</v>
      </c>
    </row>
    <row r="2" spans="1:9">
      <c r="A2" s="17" t="s">
        <v>356</v>
      </c>
      <c r="B2" s="47">
        <v>14500</v>
      </c>
      <c r="C2" s="47">
        <v>31000</v>
      </c>
      <c r="D2" s="47">
        <v>72000</v>
      </c>
      <c r="F2" s="17" t="s">
        <v>356</v>
      </c>
      <c r="G2" s="47">
        <f>(Table32[[#This Row],[Column2]]*0.4)+Table32[[#This Row],[Column2]]</f>
        <v>20300</v>
      </c>
      <c r="H2" s="47">
        <f>(Table32[[#This Row],[Column3]]*0.4)+Table32[[#This Row],[Column3]]</f>
        <v>43400</v>
      </c>
      <c r="I2" s="47">
        <f>(Table32[[#This Row],[Column4]]*0.4)+Table32[[#This Row],[Column4]]</f>
        <v>100800</v>
      </c>
    </row>
    <row r="3" spans="1:9">
      <c r="A3" s="17" t="s">
        <v>335</v>
      </c>
      <c r="B3" s="47">
        <f>B2+B4</f>
        <v>15950</v>
      </c>
      <c r="C3" s="47">
        <f t="shared" ref="C3:D3" si="0">C2+C4</f>
        <v>34100</v>
      </c>
      <c r="D3" s="47">
        <f t="shared" si="0"/>
        <v>79200</v>
      </c>
      <c r="F3" s="17" t="s">
        <v>335</v>
      </c>
      <c r="G3" s="47">
        <f>G2+G4</f>
        <v>21750</v>
      </c>
      <c r="H3" s="47">
        <f t="shared" ref="H3:I3" si="1">H2+H4</f>
        <v>46500</v>
      </c>
      <c r="I3" s="47">
        <f t="shared" si="1"/>
        <v>108000</v>
      </c>
    </row>
    <row r="4" spans="1:9">
      <c r="A4" s="17" t="s">
        <v>357</v>
      </c>
      <c r="B4" s="47">
        <v>1450</v>
      </c>
      <c r="C4" s="47">
        <v>3100</v>
      </c>
      <c r="D4" s="47">
        <v>7200</v>
      </c>
      <c r="F4" s="17" t="s">
        <v>357</v>
      </c>
      <c r="G4" s="47">
        <v>1450</v>
      </c>
      <c r="H4" s="47">
        <v>3100</v>
      </c>
      <c r="I4" s="47">
        <v>7200</v>
      </c>
    </row>
    <row r="5" spans="1:9">
      <c r="B5" s="46"/>
      <c r="C5" s="46"/>
      <c r="D5" s="46"/>
      <c r="G5" s="46"/>
      <c r="H5" s="46"/>
      <c r="I5" s="46"/>
    </row>
    <row r="6" spans="1:9">
      <c r="B6" s="46"/>
      <c r="C6" s="46"/>
      <c r="D6" s="46"/>
      <c r="G6" s="46"/>
      <c r="H6" s="46"/>
      <c r="I6" s="46"/>
    </row>
    <row r="7" spans="1:9">
      <c r="A7" s="18" t="s">
        <v>358</v>
      </c>
      <c r="B7" s="46"/>
      <c r="C7" s="46"/>
      <c r="D7" s="46"/>
      <c r="F7" s="18" t="s">
        <v>358</v>
      </c>
      <c r="G7" s="46"/>
      <c r="H7" s="46"/>
      <c r="I7" s="46"/>
    </row>
    <row r="8" spans="1:9">
      <c r="A8" s="17" t="s">
        <v>359</v>
      </c>
      <c r="B8" s="47">
        <v>1500</v>
      </c>
      <c r="C8" s="47">
        <v>2500</v>
      </c>
      <c r="D8" s="47">
        <v>3100</v>
      </c>
      <c r="F8" s="17" t="s">
        <v>359</v>
      </c>
      <c r="G8" s="47">
        <v>1500</v>
      </c>
      <c r="H8" s="47">
        <v>2500</v>
      </c>
      <c r="I8" s="47">
        <v>3100</v>
      </c>
    </row>
    <row r="9" spans="1:9">
      <c r="A9" s="17" t="s">
        <v>360</v>
      </c>
      <c r="B9" s="47">
        <v>210</v>
      </c>
      <c r="C9" s="47">
        <v>300</v>
      </c>
      <c r="D9" s="47">
        <v>450</v>
      </c>
      <c r="F9" s="17" t="s">
        <v>360</v>
      </c>
      <c r="G9" s="47">
        <v>210</v>
      </c>
      <c r="H9" s="47">
        <v>300</v>
      </c>
      <c r="I9" s="47">
        <v>450</v>
      </c>
    </row>
    <row r="10" spans="1:9">
      <c r="A10" s="17" t="s">
        <v>361</v>
      </c>
      <c r="B10" s="47">
        <v>3.65</v>
      </c>
      <c r="C10" s="47">
        <v>3.65</v>
      </c>
      <c r="D10" s="47">
        <v>3.65</v>
      </c>
      <c r="F10" s="17" t="s">
        <v>361</v>
      </c>
      <c r="G10" s="47">
        <v>3.65</v>
      </c>
      <c r="H10" s="47">
        <v>3.65</v>
      </c>
      <c r="I10" s="47">
        <v>3.65</v>
      </c>
    </row>
    <row r="12" spans="1:9">
      <c r="A12" s="18" t="s">
        <v>362</v>
      </c>
      <c r="B12" s="20"/>
      <c r="C12" s="20"/>
      <c r="D12" s="20"/>
      <c r="F12" s="18" t="s">
        <v>362</v>
      </c>
      <c r="G12" s="20"/>
      <c r="H12" s="20"/>
      <c r="I12" s="20"/>
    </row>
    <row r="13" spans="1:9">
      <c r="A13" s="17" t="s">
        <v>363</v>
      </c>
      <c r="B13" s="17">
        <v>30000</v>
      </c>
      <c r="C13" s="17">
        <v>30000</v>
      </c>
      <c r="D13" s="17">
        <v>30000</v>
      </c>
      <c r="F13" s="17" t="s">
        <v>363</v>
      </c>
      <c r="G13" s="17">
        <v>30000</v>
      </c>
      <c r="H13" s="17">
        <v>30000</v>
      </c>
      <c r="I13" s="17">
        <v>30000</v>
      </c>
    </row>
    <row r="14" spans="1:9">
      <c r="A14" s="17" t="s">
        <v>364</v>
      </c>
      <c r="B14" s="17">
        <v>35</v>
      </c>
      <c r="C14" s="17">
        <v>19</v>
      </c>
      <c r="D14" s="17">
        <v>17</v>
      </c>
      <c r="F14" s="17" t="s">
        <v>364</v>
      </c>
      <c r="G14" s="17">
        <v>35</v>
      </c>
      <c r="H14" s="17">
        <v>19</v>
      </c>
      <c r="I14" s="17">
        <v>17</v>
      </c>
    </row>
    <row r="15" spans="1:9">
      <c r="A15" s="17" t="s">
        <v>365</v>
      </c>
      <c r="B15" s="47">
        <f>B10</f>
        <v>3.65</v>
      </c>
      <c r="C15" s="47">
        <f>C10</f>
        <v>3.65</v>
      </c>
      <c r="D15" s="47">
        <f>D10</f>
        <v>3.65</v>
      </c>
      <c r="F15" s="17" t="s">
        <v>365</v>
      </c>
      <c r="G15" s="47">
        <f>G10</f>
        <v>3.65</v>
      </c>
      <c r="H15" s="47">
        <f>H10</f>
        <v>3.65</v>
      </c>
      <c r="I15" s="47">
        <f>I10</f>
        <v>3.65</v>
      </c>
    </row>
    <row r="16" spans="1:9">
      <c r="A16" s="17" t="s">
        <v>366</v>
      </c>
      <c r="B16" s="47">
        <f>(B13/B14)*B15</f>
        <v>3128.5714285714284</v>
      </c>
      <c r="C16" s="47">
        <f t="shared" ref="C16:D16" si="2">(C13/C14)*C15</f>
        <v>5763.1578947368425</v>
      </c>
      <c r="D16" s="47">
        <f t="shared" si="2"/>
        <v>6441.1764705882351</v>
      </c>
      <c r="F16" s="17" t="s">
        <v>366</v>
      </c>
      <c r="G16" s="47">
        <f>(G13/G14)*G15</f>
        <v>3128.5714285714284</v>
      </c>
      <c r="H16" s="47">
        <f t="shared" ref="H16" si="3">(H13/H14)*H15</f>
        <v>5763.1578947368425</v>
      </c>
      <c r="I16" s="47">
        <f t="shared" ref="I16" si="4">(I13/I14)*I15</f>
        <v>6441.1764705882351</v>
      </c>
    </row>
    <row r="17" spans="1:9">
      <c r="B17" s="46"/>
      <c r="C17" s="46"/>
      <c r="D17" s="46"/>
    </row>
    <row r="18" spans="1:9">
      <c r="A18" s="19" t="s">
        <v>367</v>
      </c>
      <c r="B18" s="52">
        <f>B8+B9+B16</f>
        <v>4838.5714285714284</v>
      </c>
      <c r="C18" s="52">
        <f>C8+C9+C16</f>
        <v>8563.1578947368434</v>
      </c>
      <c r="D18" s="52">
        <f>D8+D9+D16</f>
        <v>9991.1764705882342</v>
      </c>
      <c r="F18" s="19" t="s">
        <v>367</v>
      </c>
      <c r="G18" s="50">
        <f>G8+G9+G16</f>
        <v>4838.5714285714284</v>
      </c>
      <c r="H18" s="50">
        <f t="shared" ref="H18:I18" si="5">H8+H9+H16</f>
        <v>8563.1578947368434</v>
      </c>
      <c r="I18" s="50">
        <f t="shared" si="5"/>
        <v>9991.1764705882342</v>
      </c>
    </row>
    <row r="19" spans="1:9">
      <c r="A19" s="45" t="s">
        <v>368</v>
      </c>
      <c r="F19" s="45" t="s">
        <v>368</v>
      </c>
    </row>
    <row r="21" spans="1:9">
      <c r="A21" s="17" t="s">
        <v>370</v>
      </c>
      <c r="B21" s="17">
        <v>30000</v>
      </c>
      <c r="C21" s="17">
        <v>30000</v>
      </c>
      <c r="D21" s="17">
        <v>30000</v>
      </c>
      <c r="F21" s="17" t="s">
        <v>370</v>
      </c>
      <c r="G21" s="17">
        <v>30000</v>
      </c>
      <c r="H21" s="17">
        <v>30000</v>
      </c>
      <c r="I21" s="17">
        <v>30000</v>
      </c>
    </row>
    <row r="22" spans="1:9">
      <c r="A22" s="17" t="s">
        <v>369</v>
      </c>
      <c r="B22" s="17">
        <v>250000</v>
      </c>
      <c r="C22" s="17">
        <v>250000</v>
      </c>
      <c r="D22" s="17">
        <v>250000</v>
      </c>
      <c r="F22" s="17" t="s">
        <v>369</v>
      </c>
      <c r="G22" s="17">
        <v>250000</v>
      </c>
      <c r="H22" s="17">
        <v>250000</v>
      </c>
      <c r="I22" s="17">
        <v>250000</v>
      </c>
    </row>
    <row r="23" spans="1:9">
      <c r="A23" s="17" t="s">
        <v>371</v>
      </c>
      <c r="B23" s="46">
        <f>B22/B21</f>
        <v>8.3333333333333339</v>
      </c>
      <c r="C23" s="46">
        <f t="shared" ref="C23:D23" si="6">C22/C21</f>
        <v>8.3333333333333339</v>
      </c>
      <c r="D23" s="46">
        <f t="shared" si="6"/>
        <v>8.3333333333333339</v>
      </c>
      <c r="F23" s="17" t="s">
        <v>371</v>
      </c>
      <c r="G23" s="46">
        <f>G22/G21</f>
        <v>8.3333333333333339</v>
      </c>
      <c r="H23" s="46">
        <f t="shared" ref="H23" si="7">H22/H21</f>
        <v>8.3333333333333339</v>
      </c>
      <c r="I23" s="46">
        <f>I22/I21</f>
        <v>8.3333333333333339</v>
      </c>
    </row>
    <row r="24" spans="1:9">
      <c r="B24" s="46"/>
      <c r="C24" s="46"/>
      <c r="D24" s="46"/>
      <c r="G24" s="46"/>
      <c r="H24" s="46"/>
      <c r="I24" s="46"/>
    </row>
    <row r="25" spans="1:9">
      <c r="A25" s="19" t="s">
        <v>372</v>
      </c>
      <c r="B25" s="48">
        <f>B18*B23</f>
        <v>40321.428571428572</v>
      </c>
      <c r="C25" s="48">
        <f>C18*C23</f>
        <v>71359.649122807037</v>
      </c>
      <c r="D25" s="48">
        <f>D18*D23</f>
        <v>83259.803921568629</v>
      </c>
      <c r="F25" s="19" t="s">
        <v>372</v>
      </c>
      <c r="G25" s="48">
        <f>G18*G23</f>
        <v>40321.428571428572</v>
      </c>
      <c r="H25" s="48">
        <f t="shared" ref="H25:I25" si="8">H18*H23</f>
        <v>71359.649122807037</v>
      </c>
      <c r="I25" s="48">
        <f t="shared" si="8"/>
        <v>83259.803921568629</v>
      </c>
    </row>
    <row r="26" spans="1:9">
      <c r="B26" s="46"/>
      <c r="C26" s="46"/>
      <c r="D26" s="46"/>
      <c r="G26" s="46"/>
      <c r="H26" s="46"/>
      <c r="I26" s="46"/>
    </row>
    <row r="27" spans="1:9">
      <c r="A27" s="19" t="s">
        <v>373</v>
      </c>
      <c r="B27" s="48">
        <f>B2+B25</f>
        <v>54821.428571428572</v>
      </c>
      <c r="C27" s="48">
        <f t="shared" ref="C27:D27" si="9">C2+C25</f>
        <v>102359.64912280704</v>
      </c>
      <c r="D27" s="48">
        <f t="shared" si="9"/>
        <v>155259.80392156861</v>
      </c>
      <c r="F27" s="19" t="s">
        <v>373</v>
      </c>
      <c r="G27" s="48">
        <f>G2+G25</f>
        <v>60621.428571428572</v>
      </c>
      <c r="H27" s="48">
        <f t="shared" ref="H27:I27" si="10">H2+H25</f>
        <v>114759.64912280704</v>
      </c>
      <c r="I27" s="48">
        <f t="shared" si="10"/>
        <v>184059.80392156861</v>
      </c>
    </row>
    <row r="28" spans="1:9">
      <c r="B28" s="46"/>
      <c r="C28" s="46"/>
      <c r="D28" s="46"/>
      <c r="G28" s="46"/>
      <c r="H28" s="46"/>
      <c r="I28" s="46"/>
    </row>
    <row r="29" spans="1:9" ht="15">
      <c r="A29" s="24"/>
      <c r="B29" s="51" t="s">
        <v>354</v>
      </c>
      <c r="C29" s="51" t="s">
        <v>247</v>
      </c>
      <c r="D29" s="51" t="s">
        <v>355</v>
      </c>
      <c r="F29" s="24"/>
      <c r="G29" s="51" t="s">
        <v>354</v>
      </c>
      <c r="H29" s="51" t="s">
        <v>247</v>
      </c>
      <c r="I29" s="51" t="s">
        <v>355</v>
      </c>
    </row>
    <row r="30" spans="1:9" ht="15">
      <c r="A30" s="24" t="s">
        <v>374</v>
      </c>
      <c r="B30" s="46">
        <f>B27/B23</f>
        <v>6578.5714285714284</v>
      </c>
      <c r="C30" s="46">
        <f t="shared" ref="C30:D30" si="11">C27/C23</f>
        <v>12283.157894736843</v>
      </c>
      <c r="D30" s="46">
        <f t="shared" si="11"/>
        <v>18631.176470588234</v>
      </c>
      <c r="F30" s="24" t="s">
        <v>374</v>
      </c>
      <c r="G30" s="46">
        <f>G27/G23</f>
        <v>7274.5714285714284</v>
      </c>
      <c r="H30" s="46">
        <f t="shared" ref="H30:I30" si="12">H27/H23</f>
        <v>13771.157894736843</v>
      </c>
      <c r="I30" s="46">
        <f t="shared" si="12"/>
        <v>22087.176470588231</v>
      </c>
    </row>
  </sheetData>
  <pageMargins left="0.7" right="0.7" top="0.75" bottom="0.75" header="0.3" footer="0.3"/>
  <pageSetup paperSize="9" scale="67" orientation="landscape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28828-6741-4C98-A553-4F252D93D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Payroll</vt:lpstr>
      <vt:lpstr>Gradebook</vt:lpstr>
      <vt:lpstr>Decision Making</vt:lpstr>
      <vt:lpstr>Sales Database</vt:lpstr>
      <vt:lpstr>Sales Report</vt:lpstr>
      <vt:lpstr>Car Inventory</vt:lpstr>
      <vt:lpstr>Inventory Report</vt:lpstr>
      <vt:lpstr>Loan Comparsion</vt:lpstr>
      <vt:lpstr>Price Comparsion</vt:lpstr>
      <vt:lpstr>Pet Comparsion</vt:lpstr>
      <vt:lpstr>Vacation Cost Comparsion</vt:lpstr>
      <vt:lpstr>Printer Cost Compersion</vt:lpstr>
      <vt:lpstr>Car Cost Comparsion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 Das Gupta</dc:creator>
  <cp:lastModifiedBy>Nipa Das Gupta</cp:lastModifiedBy>
  <cp:lastPrinted>2023-07-17T19:23:40Z</cp:lastPrinted>
  <dcterms:created xsi:type="dcterms:W3CDTF">2015-06-05T18:17:20Z</dcterms:created>
  <dcterms:modified xsi:type="dcterms:W3CDTF">2023-07-26T21:24:41Z</dcterms:modified>
</cp:coreProperties>
</file>