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codeName="ThisWorkbook" defaultThemeVersion="124226"/>
  <mc:AlternateContent xmlns:mc="http://schemas.openxmlformats.org/markup-compatibility/2006">
    <mc:Choice Requires="x15">
      <x15ac:absPath xmlns:x15ac="http://schemas.microsoft.com/office/spreadsheetml/2010/11/ac" url="D:\Work\iSabaya\RiskEval\Document\BBTest\"/>
    </mc:Choice>
  </mc:AlternateContent>
  <bookViews>
    <workbookView xWindow="0" yWindow="0" windowWidth="16995" windowHeight="5730" tabRatio="734"/>
  </bookViews>
  <sheets>
    <sheet name="Test Script" sheetId="14" r:id="rId1"/>
    <sheet name="DV-IDENTITY-0" sheetId="15" state="veryHidden" r:id="rId2"/>
  </sheets>
  <definedNames>
    <definedName name="_Toc26969054">#REF!</definedName>
    <definedName name="a">OFFSET(Plan_NC_Start,1,0,ROWS(Plan_NC_Start:Plan_NC_End)-2,1)</definedName>
    <definedName name="asdsadsa">OFFSET(Plan_Others_Start,1,0,ROWS(Plan_Others_Start:Plan_Others_End)-2,1)</definedName>
    <definedName name="BL_No">#REF!</definedName>
    <definedName name="BL_Table">OFFSET([0]!BL_Start,1,0,ROWS([0]!BL_Start:[0]!BL_End)-2,5)</definedName>
    <definedName name="Plan_EndDateDelay_Table">OFFSET(Plan_Others_Start,1,1,ROWS(Plan_Others_Start:Plan_Others_End)-2,1)</definedName>
    <definedName name="Plan_Finding_Table">OFFSET(Plan_Finding_Start,1,0,ROWS(Plan_Finding_Start:Plan_Finding_End)-2,1)</definedName>
    <definedName name="Plan_NC_Table">OFFSET(Plan_NC_Start,1,0,ROWS(Plan_NC_Start:Plan_NC_End)-2,1)</definedName>
    <definedName name="Plan_NCY_Table">OFFSET(Plan_NCY_Start,1,0,ROWS(Plan_NCY_Start:Plan_NCY_End)-2,1)</definedName>
    <definedName name="Plan_Others_Table">OFFSET(Plan_Others_Start,1,0,ROWS(Plan_Others_Start:Plan_Others_End)-2,1)</definedName>
    <definedName name="Plan_Task_Table">OFFSET(Plan_Task_Start,1,0,ROWS(Plan_Task_Start:Plan_Task_End)-2,16)</definedName>
    <definedName name="Plan_Task_TableDelete">OFFSET(Plan_Task_Start,1,0,ROWS(Plan_Task_Start:Plan_Task_End)-2,3)</definedName>
    <definedName name="Plan_Task_TableID">OFFSET(Plan_Task_Start,1,0,ROWS(Plan_Task_Start:Plan_Task_End)-2,1)</definedName>
    <definedName name="_xlnm.Print_Area">#REF!</definedName>
    <definedName name="_xlnm.Print_Titles" localSheetId="0">'Test Script'!$25:$28</definedName>
    <definedName name="PROJ_CODE">#REF!</definedName>
    <definedName name="PROJ_NAME">#REF!</definedName>
    <definedName name="Test_Plan_Ver">#REF!</definedName>
    <definedName name="Test_Round">#REF!</definedName>
  </definedNames>
  <calcPr calcId="162913"/>
</workbook>
</file>

<file path=xl/calcChain.xml><?xml version="1.0" encoding="utf-8"?>
<calcChain xmlns="http://schemas.openxmlformats.org/spreadsheetml/2006/main">
  <c r="K23" i="14" l="1"/>
  <c r="A1" i="15" l="1"/>
  <c r="B1" i="15"/>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AG1" i="15"/>
  <c r="AH1" i="15"/>
  <c r="AI1" i="15"/>
  <c r="AJ1" i="15"/>
  <c r="AK1" i="15"/>
  <c r="AL1" i="15"/>
  <c r="AM1" i="15"/>
  <c r="AN1" i="15"/>
  <c r="AO1" i="15"/>
  <c r="AP1" i="15"/>
  <c r="AQ1" i="15"/>
  <c r="AR1" i="15"/>
  <c r="AS1" i="15"/>
  <c r="AT1" i="15"/>
  <c r="AU1" i="15"/>
  <c r="AV1" i="15"/>
  <c r="AW1" i="15"/>
  <c r="AX1" i="15"/>
  <c r="AY1" i="15"/>
  <c r="AZ1" i="15"/>
  <c r="BA1" i="15"/>
  <c r="BB1" i="15"/>
  <c r="BC1" i="15"/>
  <c r="BD1" i="15"/>
  <c r="BE1" i="15"/>
  <c r="BF1" i="15"/>
  <c r="BG1" i="15"/>
  <c r="BH1" i="15"/>
  <c r="BI1" i="15"/>
  <c r="BJ1" i="15"/>
  <c r="BK1" i="15"/>
  <c r="BL1" i="15"/>
  <c r="BM1" i="15"/>
  <c r="BN1" i="15"/>
  <c r="BO1" i="15"/>
  <c r="BP1" i="15"/>
  <c r="BQ1" i="15"/>
  <c r="BR1" i="15"/>
  <c r="BS1" i="15"/>
  <c r="BT1" i="15"/>
  <c r="BU1" i="15"/>
  <c r="BV1" i="15"/>
  <c r="BW1" i="15"/>
  <c r="BX1" i="15"/>
  <c r="BY1" i="15"/>
  <c r="BZ1" i="15"/>
  <c r="CA1" i="15"/>
  <c r="CB1" i="15"/>
  <c r="CC1" i="15"/>
  <c r="CD1" i="15"/>
  <c r="CE1" i="15"/>
  <c r="CF1" i="15"/>
  <c r="CG1" i="15"/>
  <c r="CH1" i="15"/>
  <c r="CI1" i="15"/>
  <c r="CJ1" i="15"/>
  <c r="CK1" i="15"/>
  <c r="CL1" i="15"/>
  <c r="CM1" i="15"/>
  <c r="CN1" i="15"/>
  <c r="CO1" i="15"/>
  <c r="CP1" i="15"/>
  <c r="CQ1" i="15"/>
  <c r="CR1" i="15"/>
  <c r="CS1" i="15"/>
  <c r="CT1" i="15"/>
  <c r="CU1" i="15"/>
  <c r="CV1" i="15"/>
  <c r="CW1" i="15"/>
  <c r="CX1" i="15"/>
  <c r="CY1" i="15"/>
  <c r="CZ1" i="15"/>
  <c r="DA1" i="15"/>
  <c r="DB1" i="15"/>
  <c r="DC1" i="15"/>
  <c r="DD1" i="15"/>
  <c r="DE1" i="15"/>
  <c r="DF1" i="15"/>
  <c r="DG1" i="15"/>
  <c r="DH1" i="15"/>
  <c r="DI1" i="15"/>
  <c r="DJ1" i="15"/>
  <c r="DK1" i="15"/>
  <c r="DL1" i="15"/>
  <c r="DM1" i="15"/>
  <c r="DN1" i="15"/>
  <c r="DO1" i="15"/>
  <c r="DP1" i="15"/>
  <c r="DQ1" i="15"/>
  <c r="DR1" i="15"/>
  <c r="DS1" i="15"/>
  <c r="DT1" i="15"/>
  <c r="DU1" i="15"/>
  <c r="DV1" i="15"/>
  <c r="DW1" i="15"/>
  <c r="DX1" i="15"/>
  <c r="DY1" i="15"/>
  <c r="DZ1" i="15"/>
  <c r="EA1" i="15"/>
  <c r="EB1" i="15"/>
  <c r="EC1" i="15"/>
  <c r="ED1" i="15"/>
  <c r="EE1" i="15"/>
  <c r="EF1" i="15"/>
  <c r="EG1" i="15"/>
  <c r="EH1" i="15"/>
  <c r="EI1" i="15"/>
  <c r="EJ1" i="15"/>
  <c r="EK1" i="15"/>
  <c r="EL1" i="15"/>
  <c r="EM1" i="15"/>
  <c r="EN1" i="15"/>
  <c r="EO1" i="15"/>
  <c r="EP1" i="15"/>
  <c r="EQ1" i="15"/>
  <c r="ER1" i="15"/>
  <c r="ES1" i="15"/>
  <c r="ET1" i="15"/>
  <c r="EU1" i="15"/>
  <c r="EV1" i="15"/>
  <c r="EW1" i="15"/>
  <c r="EX1" i="15"/>
  <c r="EY1" i="15"/>
  <c r="EZ1" i="15"/>
  <c r="FA1" i="15"/>
  <c r="FB1" i="15"/>
  <c r="FC1" i="15"/>
  <c r="FD1" i="15"/>
  <c r="FE1" i="15"/>
  <c r="FF1" i="15"/>
  <c r="FG1" i="15"/>
  <c r="FH1" i="15"/>
  <c r="FI1" i="15"/>
  <c r="FJ1" i="15"/>
  <c r="FK1" i="15"/>
  <c r="FL1" i="15"/>
  <c r="FM1" i="15"/>
  <c r="FN1" i="15"/>
  <c r="FO1" i="15"/>
  <c r="FP1" i="15"/>
  <c r="FQ1" i="15"/>
  <c r="FR1" i="15"/>
  <c r="FS1" i="15"/>
  <c r="FT1" i="15"/>
  <c r="FU1" i="15"/>
  <c r="FV1" i="15"/>
  <c r="FW1" i="15"/>
  <c r="FX1" i="15"/>
  <c r="FY1" i="15"/>
  <c r="FZ1" i="15"/>
  <c r="GA1" i="15"/>
  <c r="GB1" i="15"/>
  <c r="GC1" i="15"/>
  <c r="GD1" i="15"/>
  <c r="GE1" i="15"/>
  <c r="GF1" i="15"/>
  <c r="GG1" i="15"/>
  <c r="GH1" i="15"/>
  <c r="GI1" i="15"/>
  <c r="GJ1" i="15"/>
  <c r="GK1" i="15"/>
  <c r="GL1" i="15"/>
  <c r="GM1" i="15"/>
  <c r="GN1" i="15"/>
  <c r="GO1" i="15"/>
  <c r="GP1" i="15"/>
  <c r="GQ1" i="15"/>
  <c r="GR1" i="15"/>
  <c r="GS1" i="15"/>
  <c r="GT1" i="15"/>
  <c r="GU1" i="15"/>
  <c r="GV1" i="15"/>
  <c r="GW1" i="15"/>
  <c r="GX1" i="15"/>
  <c r="GY1" i="15"/>
  <c r="GZ1" i="15"/>
  <c r="HA1" i="15"/>
  <c r="HB1" i="15"/>
  <c r="HC1" i="15"/>
  <c r="HD1" i="15"/>
  <c r="HE1" i="15"/>
  <c r="HF1" i="15"/>
  <c r="HG1" i="15"/>
  <c r="HH1" i="15"/>
  <c r="HI1" i="15"/>
  <c r="HJ1" i="15"/>
  <c r="HK1" i="15"/>
  <c r="HL1" i="15"/>
  <c r="HM1" i="15"/>
  <c r="HN1" i="15"/>
  <c r="HO1" i="15"/>
  <c r="HP1" i="15"/>
  <c r="HQ1" i="15"/>
  <c r="HR1" i="15"/>
  <c r="HS1" i="15"/>
  <c r="HT1" i="15"/>
  <c r="HU1" i="15"/>
  <c r="HV1" i="15"/>
  <c r="HW1" i="15"/>
  <c r="HX1" i="15"/>
  <c r="HY1" i="15"/>
  <c r="HZ1" i="15"/>
  <c r="IA1" i="15"/>
  <c r="IB1" i="15"/>
  <c r="IC1" i="15"/>
  <c r="ID1" i="15"/>
  <c r="IE1" i="15"/>
  <c r="IF1" i="15"/>
  <c r="IG1" i="15"/>
  <c r="IH1" i="15"/>
  <c r="II1" i="15"/>
  <c r="IJ1" i="15"/>
  <c r="IK1" i="15"/>
  <c r="IL1" i="15"/>
  <c r="IM1" i="15"/>
  <c r="IN1" i="15"/>
  <c r="IO1" i="15"/>
  <c r="IP1" i="15"/>
  <c r="IQ1" i="15"/>
  <c r="IR1" i="15"/>
  <c r="IS1" i="15"/>
  <c r="IT1" i="15"/>
  <c r="IU1" i="15"/>
  <c r="IV1" i="15"/>
  <c r="A2" i="15"/>
  <c r="B2"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AK2" i="15"/>
  <c r="AL2" i="15"/>
  <c r="AM2" i="15"/>
  <c r="AN2" i="15"/>
  <c r="AO2" i="15"/>
  <c r="AP2" i="15"/>
  <c r="AQ2" i="15"/>
  <c r="AR2" i="15"/>
  <c r="AS2" i="15"/>
  <c r="AT2" i="15"/>
  <c r="AU2" i="15"/>
  <c r="AV2" i="15"/>
  <c r="AW2" i="15"/>
  <c r="AX2" i="15"/>
  <c r="AY2" i="15"/>
  <c r="AZ2" i="15"/>
  <c r="BA2" i="15"/>
  <c r="BB2" i="15"/>
  <c r="BC2" i="15"/>
  <c r="BD2" i="15"/>
  <c r="BE2" i="15"/>
  <c r="BF2" i="15"/>
  <c r="BG2" i="15"/>
  <c r="BH2" i="15"/>
  <c r="BI2" i="15"/>
  <c r="BJ2" i="15"/>
  <c r="BK2" i="15"/>
  <c r="BL2" i="15"/>
  <c r="BM2" i="15"/>
  <c r="BN2" i="15"/>
  <c r="BO2" i="15"/>
  <c r="BP2" i="15"/>
  <c r="BQ2" i="15"/>
  <c r="BR2" i="15"/>
  <c r="BS2" i="15"/>
  <c r="BT2" i="15"/>
  <c r="BU2" i="15"/>
  <c r="BV2" i="15"/>
  <c r="BW2" i="15"/>
  <c r="BX2" i="15"/>
  <c r="BY2" i="15"/>
  <c r="BZ2" i="15"/>
  <c r="CA2" i="15"/>
  <c r="CB2" i="15"/>
  <c r="CC2" i="15"/>
  <c r="CD2" i="15"/>
  <c r="CE2" i="15"/>
  <c r="CF2" i="15"/>
  <c r="CG2" i="15"/>
  <c r="CH2" i="15"/>
  <c r="CI2" i="15"/>
  <c r="CJ2" i="15"/>
  <c r="CK2" i="15"/>
  <c r="CL2" i="15"/>
  <c r="CM2" i="15"/>
  <c r="CN2" i="15"/>
  <c r="CO2" i="15"/>
  <c r="CP2" i="15"/>
  <c r="CQ2" i="15"/>
  <c r="CR2" i="15"/>
  <c r="CS2" i="15"/>
  <c r="CT2" i="15"/>
  <c r="CU2" i="15"/>
  <c r="CV2" i="15"/>
  <c r="CW2" i="15"/>
  <c r="CX2" i="15"/>
  <c r="CY2" i="15"/>
  <c r="CZ2" i="15"/>
  <c r="DA2" i="15"/>
  <c r="DB2" i="15"/>
  <c r="DC2" i="15"/>
  <c r="DD2" i="15"/>
  <c r="DE2" i="15"/>
  <c r="DF2" i="15"/>
  <c r="DG2" i="15"/>
  <c r="DH2" i="15"/>
  <c r="DI2" i="15"/>
  <c r="DJ2" i="15"/>
  <c r="DK2" i="15"/>
  <c r="DL2" i="15"/>
  <c r="DM2" i="15"/>
  <c r="DN2" i="15"/>
  <c r="DO2" i="15"/>
  <c r="DP2" i="15"/>
  <c r="DQ2" i="15"/>
  <c r="DR2" i="15"/>
  <c r="DS2" i="15"/>
  <c r="DT2" i="15"/>
  <c r="DU2" i="15"/>
  <c r="DV2" i="15"/>
  <c r="DW2" i="15"/>
  <c r="DX2" i="15"/>
  <c r="DY2" i="15"/>
  <c r="DZ2" i="15"/>
  <c r="EA2" i="15"/>
  <c r="EB2" i="15"/>
  <c r="EC2" i="15"/>
  <c r="ED2" i="15"/>
  <c r="EE2" i="15"/>
  <c r="EF2" i="15"/>
  <c r="EG2" i="15"/>
  <c r="EH2" i="15"/>
  <c r="EI2" i="15"/>
  <c r="EJ2" i="15"/>
  <c r="EK2" i="15"/>
  <c r="EL2" i="15"/>
  <c r="EM2" i="15"/>
  <c r="EN2" i="15"/>
  <c r="EO2" i="15"/>
  <c r="EP2" i="15"/>
  <c r="EQ2" i="15"/>
  <c r="ER2" i="15"/>
  <c r="ES2" i="15"/>
  <c r="ET2" i="15"/>
  <c r="EU2" i="15"/>
  <c r="EV2" i="15"/>
  <c r="EW2" i="15"/>
  <c r="EX2" i="15"/>
  <c r="EY2" i="15"/>
  <c r="EZ2" i="15"/>
  <c r="FA2" i="15"/>
  <c r="FB2" i="15"/>
  <c r="FC2" i="15"/>
  <c r="FD2" i="15"/>
  <c r="FE2" i="15"/>
  <c r="FF2" i="15"/>
  <c r="FG2" i="15"/>
  <c r="FH2" i="15"/>
  <c r="FI2" i="15"/>
  <c r="FJ2" i="15"/>
  <c r="FK2" i="15"/>
  <c r="FL2" i="15"/>
  <c r="FM2" i="15"/>
  <c r="FN2" i="15"/>
  <c r="FO2" i="15"/>
  <c r="FP2" i="15"/>
  <c r="FQ2" i="15"/>
  <c r="FR2" i="15"/>
  <c r="FS2" i="15"/>
  <c r="FT2" i="15"/>
  <c r="FU2" i="15"/>
  <c r="FV2" i="15"/>
  <c r="FW2" i="15"/>
  <c r="FX2" i="15"/>
  <c r="FY2" i="15"/>
  <c r="FZ2" i="15"/>
  <c r="GA2" i="15"/>
  <c r="GB2" i="15"/>
  <c r="GC2" i="15"/>
  <c r="GD2" i="15"/>
  <c r="GE2" i="15"/>
  <c r="GF2" i="15"/>
  <c r="GG2" i="15"/>
  <c r="GH2" i="15"/>
  <c r="GI2" i="15"/>
  <c r="GJ2" i="15"/>
  <c r="GK2" i="15"/>
  <c r="GL2" i="15"/>
  <c r="GM2" i="15"/>
  <c r="GN2" i="15"/>
  <c r="GO2" i="15"/>
  <c r="GP2" i="15"/>
  <c r="GQ2" i="15"/>
  <c r="GR2" i="15"/>
  <c r="GS2" i="15"/>
  <c r="GT2" i="15"/>
  <c r="GU2" i="15"/>
  <c r="GV2" i="15"/>
  <c r="GW2" i="15"/>
  <c r="GX2" i="15"/>
  <c r="GY2" i="15"/>
  <c r="GZ2" i="15"/>
  <c r="HA2" i="15"/>
  <c r="HB2" i="15"/>
  <c r="HC2" i="15"/>
  <c r="HD2" i="15"/>
  <c r="HE2" i="15"/>
  <c r="HF2" i="15"/>
  <c r="HG2" i="15"/>
  <c r="HH2" i="15"/>
  <c r="HI2" i="15"/>
  <c r="HJ2" i="15"/>
  <c r="HK2" i="15"/>
  <c r="HL2" i="15"/>
  <c r="HM2" i="15"/>
  <c r="HN2" i="15"/>
  <c r="HO2" i="15"/>
  <c r="HP2" i="15"/>
  <c r="HQ2" i="15"/>
  <c r="HR2" i="15"/>
  <c r="HS2" i="15"/>
  <c r="HT2" i="15"/>
  <c r="HU2" i="15"/>
  <c r="HV2" i="15"/>
  <c r="HW2" i="15"/>
  <c r="HX2" i="15"/>
  <c r="HY2" i="15"/>
  <c r="HZ2" i="15"/>
  <c r="IA2" i="15"/>
  <c r="IB2" i="15"/>
  <c r="IC2" i="15"/>
  <c r="ID2" i="15"/>
  <c r="IE2" i="15"/>
  <c r="IF2" i="15"/>
  <c r="IG2" i="15"/>
  <c r="IH2" i="15"/>
  <c r="II2" i="15"/>
  <c r="IJ2" i="15"/>
  <c r="IK2" i="15"/>
  <c r="IL2" i="15"/>
  <c r="IM2" i="15"/>
  <c r="IN2" i="15"/>
  <c r="IO2" i="15"/>
  <c r="IP2" i="15"/>
  <c r="IQ2" i="15"/>
  <c r="IR2" i="15"/>
  <c r="IS2" i="15"/>
  <c r="IT2" i="15"/>
  <c r="IU2" i="15"/>
  <c r="IV2" i="15"/>
  <c r="A3" i="15"/>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AK3" i="15"/>
  <c r="AL3" i="15"/>
  <c r="AM3" i="15"/>
  <c r="AN3" i="15"/>
  <c r="AO3" i="15"/>
  <c r="AP3" i="15"/>
  <c r="AQ3" i="15"/>
  <c r="AR3" i="15"/>
  <c r="AS3" i="15"/>
  <c r="AT3" i="15"/>
  <c r="AU3" i="15"/>
  <c r="AV3" i="15"/>
  <c r="AW3" i="15"/>
  <c r="AX3" i="15"/>
  <c r="AY3" i="15"/>
  <c r="AZ3" i="15"/>
  <c r="BA3" i="15"/>
  <c r="BB3" i="15"/>
  <c r="BC3" i="15"/>
  <c r="BD3" i="15"/>
  <c r="BE3" i="15"/>
  <c r="BF3" i="15"/>
  <c r="BG3" i="15"/>
  <c r="BH3" i="15"/>
  <c r="BI3" i="15"/>
  <c r="BJ3" i="15"/>
  <c r="BK3" i="15"/>
  <c r="BL3" i="15"/>
  <c r="BM3" i="15"/>
  <c r="BN3" i="15"/>
  <c r="BO3" i="15"/>
  <c r="BP3" i="15"/>
  <c r="BQ3" i="15"/>
  <c r="BR3" i="15"/>
  <c r="BS3" i="15"/>
  <c r="BT3" i="15"/>
  <c r="BU3" i="15"/>
  <c r="BV3" i="15"/>
  <c r="BW3" i="15"/>
  <c r="BX3" i="15"/>
  <c r="BY3" i="15"/>
  <c r="BZ3" i="15"/>
  <c r="CA3" i="15"/>
  <c r="CB3" i="15"/>
  <c r="CC3" i="15"/>
  <c r="CD3" i="15"/>
  <c r="CE3" i="15"/>
  <c r="CF3" i="15"/>
  <c r="CG3" i="15"/>
  <c r="CH3" i="15"/>
  <c r="CI3" i="15"/>
  <c r="CJ3" i="15"/>
  <c r="CK3" i="15"/>
  <c r="CL3" i="15"/>
  <c r="CM3" i="15"/>
  <c r="CN3" i="15"/>
  <c r="CO3" i="15"/>
  <c r="CP3" i="15"/>
  <c r="CQ3" i="15"/>
  <c r="CR3" i="15"/>
  <c r="CS3" i="15"/>
  <c r="CT3" i="15"/>
  <c r="CU3" i="15"/>
  <c r="CV3" i="15"/>
  <c r="CW3" i="15"/>
  <c r="CX3" i="15"/>
  <c r="CY3" i="15"/>
  <c r="CZ3" i="15"/>
  <c r="DA3" i="15"/>
  <c r="DB3" i="15"/>
  <c r="DC3" i="15"/>
  <c r="DD3" i="15"/>
  <c r="DE3" i="15"/>
  <c r="DF3" i="15"/>
  <c r="DG3" i="15"/>
  <c r="DH3" i="15"/>
  <c r="DI3" i="15"/>
  <c r="DJ3" i="15"/>
  <c r="DK3" i="15"/>
  <c r="DL3" i="15"/>
  <c r="DM3" i="15"/>
  <c r="DN3" i="15"/>
  <c r="DO3" i="15"/>
  <c r="DP3" i="15"/>
  <c r="DQ3" i="15"/>
  <c r="DR3" i="15"/>
  <c r="DS3" i="15"/>
  <c r="DT3" i="15"/>
  <c r="DU3" i="15"/>
  <c r="DV3" i="15"/>
  <c r="DW3" i="15"/>
  <c r="DX3" i="15"/>
  <c r="DY3" i="15"/>
  <c r="DZ3" i="15"/>
  <c r="EA3" i="15"/>
  <c r="EB3" i="15"/>
  <c r="EC3" i="15"/>
  <c r="ED3" i="15"/>
  <c r="EE3" i="15"/>
  <c r="EF3" i="15"/>
  <c r="EG3" i="15"/>
  <c r="EH3" i="15"/>
  <c r="EI3" i="15"/>
  <c r="EJ3" i="15"/>
  <c r="EK3" i="15"/>
  <c r="EL3" i="15"/>
  <c r="EM3" i="15"/>
  <c r="EN3" i="15"/>
  <c r="EO3" i="15"/>
  <c r="EP3" i="15"/>
  <c r="EQ3" i="15"/>
  <c r="ER3" i="15"/>
  <c r="ES3" i="15"/>
  <c r="ET3" i="15"/>
  <c r="EU3" i="15"/>
  <c r="EV3" i="15"/>
  <c r="EW3" i="15"/>
  <c r="EX3" i="15"/>
  <c r="EY3" i="15"/>
  <c r="EZ3" i="15"/>
  <c r="FA3" i="15"/>
  <c r="FB3" i="15"/>
  <c r="FC3" i="15"/>
  <c r="FD3" i="15"/>
  <c r="FE3" i="15"/>
  <c r="FF3" i="15"/>
  <c r="FG3" i="15"/>
  <c r="FH3" i="15"/>
  <c r="FI3" i="15"/>
  <c r="FJ3" i="15"/>
  <c r="FK3" i="15"/>
  <c r="FL3" i="15"/>
  <c r="FM3" i="15"/>
  <c r="FN3" i="15"/>
  <c r="FO3" i="15"/>
  <c r="FP3" i="15"/>
  <c r="FQ3" i="15"/>
  <c r="FR3" i="15"/>
  <c r="FS3" i="15"/>
  <c r="FT3" i="15"/>
  <c r="FU3" i="15"/>
  <c r="FV3" i="15"/>
  <c r="FW3" i="15"/>
  <c r="FX3" i="15"/>
  <c r="FY3" i="15"/>
  <c r="FZ3" i="15"/>
  <c r="GA3" i="15"/>
  <c r="GB3" i="15"/>
  <c r="GC3" i="15"/>
  <c r="GD3" i="15"/>
  <c r="GE3" i="15"/>
  <c r="GF3" i="15"/>
  <c r="GG3" i="15"/>
  <c r="GH3" i="15"/>
  <c r="GI3" i="15"/>
  <c r="GJ3" i="15"/>
  <c r="GK3" i="15"/>
  <c r="GL3" i="15"/>
  <c r="GM3" i="15"/>
  <c r="GN3" i="15"/>
  <c r="GO3" i="15"/>
  <c r="GP3" i="15"/>
  <c r="GQ3" i="15"/>
  <c r="GR3" i="15"/>
  <c r="GS3" i="15"/>
  <c r="GT3" i="15"/>
  <c r="GU3" i="15"/>
  <c r="GV3" i="15"/>
  <c r="GW3" i="15"/>
  <c r="GX3" i="15"/>
  <c r="GY3" i="15"/>
  <c r="GZ3" i="15"/>
  <c r="HA3" i="15"/>
  <c r="HB3" i="15"/>
  <c r="HC3" i="15"/>
  <c r="HD3" i="15"/>
  <c r="HE3" i="15"/>
  <c r="HF3" i="15"/>
  <c r="HG3" i="15"/>
  <c r="HH3" i="15"/>
  <c r="HI3" i="15"/>
  <c r="HJ3" i="15"/>
  <c r="HK3" i="15"/>
  <c r="HL3" i="15"/>
  <c r="HM3" i="15"/>
  <c r="HN3" i="15"/>
  <c r="HO3" i="15"/>
  <c r="HP3" i="15"/>
  <c r="HQ3" i="15"/>
  <c r="HR3" i="15"/>
  <c r="HS3" i="15"/>
  <c r="HT3" i="15"/>
  <c r="HU3" i="15"/>
  <c r="HV3" i="15"/>
  <c r="HW3" i="15"/>
  <c r="HX3" i="15"/>
  <c r="HY3" i="15"/>
  <c r="HZ3" i="15"/>
  <c r="IA3" i="15"/>
  <c r="IB3" i="15"/>
  <c r="IC3" i="15"/>
  <c r="ID3" i="15"/>
  <c r="IE3" i="15"/>
  <c r="IF3" i="15"/>
  <c r="IG3" i="15"/>
  <c r="IH3" i="15"/>
  <c r="II3" i="15"/>
  <c r="IJ3" i="15"/>
  <c r="IK3" i="15"/>
  <c r="IL3" i="15"/>
  <c r="IM3" i="15"/>
  <c r="IN3" i="15"/>
  <c r="IO3" i="15"/>
  <c r="IP3" i="15"/>
  <c r="IQ3" i="15"/>
  <c r="IR3" i="15"/>
  <c r="IS3" i="15"/>
  <c r="IT3" i="15"/>
  <c r="IU3" i="15"/>
  <c r="IV3" i="15"/>
  <c r="A4"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AK4" i="15"/>
  <c r="AL4" i="15"/>
  <c r="AM4" i="15"/>
  <c r="AN4" i="15"/>
  <c r="AO4" i="15"/>
  <c r="AP4" i="15"/>
  <c r="AQ4" i="15"/>
  <c r="AR4" i="15"/>
  <c r="AS4" i="15"/>
  <c r="AT4" i="15"/>
  <c r="AU4" i="15"/>
  <c r="AV4" i="15"/>
  <c r="AW4" i="15"/>
  <c r="AX4" i="15"/>
  <c r="AY4" i="15"/>
  <c r="AZ4" i="15"/>
  <c r="BA4" i="15"/>
  <c r="BB4" i="15"/>
  <c r="BC4" i="15"/>
  <c r="BD4" i="15"/>
  <c r="BE4" i="15"/>
  <c r="BF4" i="15"/>
  <c r="BG4" i="15"/>
  <c r="BH4" i="15"/>
  <c r="BI4" i="15"/>
  <c r="BJ4" i="15"/>
  <c r="BK4" i="15"/>
  <c r="BL4" i="15"/>
  <c r="BM4" i="15"/>
  <c r="BN4" i="15"/>
  <c r="BO4" i="15"/>
  <c r="BP4" i="15"/>
  <c r="BQ4" i="15"/>
  <c r="BR4" i="15"/>
  <c r="BS4" i="15"/>
  <c r="BT4" i="15"/>
  <c r="BU4" i="15"/>
  <c r="BV4" i="15"/>
  <c r="BW4" i="15"/>
  <c r="BX4" i="15"/>
  <c r="BY4" i="15"/>
  <c r="BZ4" i="15"/>
  <c r="CA4" i="15"/>
  <c r="CB4" i="15"/>
  <c r="CC4" i="15"/>
  <c r="CD4" i="15"/>
  <c r="CE4" i="15"/>
  <c r="CF4" i="15"/>
  <c r="CG4" i="15"/>
  <c r="CH4" i="15"/>
  <c r="CI4" i="15"/>
  <c r="CJ4" i="15"/>
  <c r="CK4" i="15"/>
  <c r="CL4" i="15"/>
  <c r="CM4" i="15"/>
  <c r="CN4" i="15"/>
  <c r="CO4" i="15"/>
  <c r="CP4" i="15"/>
  <c r="CQ4" i="15"/>
  <c r="CR4" i="15"/>
  <c r="CS4" i="15"/>
  <c r="CT4" i="15"/>
  <c r="CU4" i="15"/>
  <c r="CV4" i="15"/>
  <c r="CW4" i="15"/>
  <c r="CX4" i="15"/>
  <c r="CY4" i="15"/>
  <c r="CZ4" i="15"/>
  <c r="DA4" i="15"/>
  <c r="DB4" i="15"/>
  <c r="DC4" i="15"/>
  <c r="DD4" i="15"/>
  <c r="DE4" i="15"/>
  <c r="DF4" i="15"/>
  <c r="DG4" i="15"/>
  <c r="DH4" i="15"/>
  <c r="DI4" i="15"/>
  <c r="DJ4" i="15"/>
  <c r="DK4" i="15"/>
  <c r="DL4" i="15"/>
  <c r="DM4" i="15"/>
  <c r="DN4" i="15"/>
  <c r="DO4" i="15"/>
  <c r="DP4" i="15"/>
  <c r="DQ4" i="15"/>
  <c r="DR4" i="15"/>
  <c r="DS4" i="15"/>
  <c r="DT4" i="15"/>
  <c r="DU4" i="15"/>
  <c r="DV4" i="15"/>
  <c r="DW4" i="15"/>
  <c r="DX4" i="15"/>
  <c r="DY4" i="15"/>
  <c r="DZ4" i="15"/>
  <c r="EA4" i="15"/>
  <c r="EB4" i="15"/>
  <c r="EC4" i="15"/>
  <c r="ED4" i="15"/>
  <c r="EE4" i="15"/>
  <c r="EF4" i="15"/>
  <c r="EG4" i="15"/>
  <c r="EH4" i="15"/>
  <c r="EI4" i="15"/>
  <c r="EJ4" i="15"/>
  <c r="EK4" i="15"/>
  <c r="EL4" i="15"/>
  <c r="EM4" i="15"/>
  <c r="EN4" i="15"/>
  <c r="EO4" i="15"/>
  <c r="EP4" i="15"/>
  <c r="EQ4" i="15"/>
  <c r="ER4" i="15"/>
  <c r="ES4" i="15"/>
  <c r="ET4" i="15"/>
  <c r="EU4" i="15"/>
  <c r="EV4" i="15"/>
  <c r="EW4" i="15"/>
  <c r="EX4" i="15"/>
  <c r="EY4" i="15"/>
  <c r="EZ4" i="15"/>
  <c r="FA4" i="15"/>
  <c r="FB4" i="15"/>
  <c r="FC4" i="15"/>
  <c r="FD4" i="15"/>
  <c r="FE4" i="15"/>
  <c r="FF4" i="15"/>
  <c r="FG4" i="15"/>
  <c r="FH4" i="15"/>
  <c r="FI4" i="15"/>
  <c r="FJ4" i="15"/>
  <c r="FK4" i="15"/>
  <c r="FL4" i="15"/>
  <c r="FM4" i="15"/>
  <c r="FN4" i="15"/>
  <c r="FO4" i="15"/>
  <c r="FP4" i="15"/>
  <c r="FQ4" i="15"/>
  <c r="FR4" i="15"/>
  <c r="FS4" i="15"/>
  <c r="FT4" i="15"/>
  <c r="FU4" i="15"/>
  <c r="FV4" i="15"/>
  <c r="FW4" i="15"/>
  <c r="FX4" i="15"/>
  <c r="FY4" i="15"/>
  <c r="FZ4" i="15"/>
  <c r="GA4" i="15"/>
  <c r="GB4" i="15"/>
  <c r="GC4" i="15"/>
  <c r="GD4" i="15"/>
  <c r="GE4" i="15"/>
  <c r="GF4" i="15"/>
  <c r="GG4" i="15"/>
  <c r="GH4" i="15"/>
  <c r="GI4" i="15"/>
  <c r="GJ4" i="15"/>
  <c r="GK4" i="15"/>
  <c r="GL4" i="15"/>
  <c r="GM4" i="15"/>
  <c r="GN4" i="15"/>
  <c r="GO4" i="15"/>
  <c r="GP4" i="15"/>
  <c r="GQ4" i="15"/>
  <c r="GR4" i="15"/>
  <c r="GS4" i="15"/>
  <c r="GT4" i="15"/>
  <c r="GU4" i="15"/>
  <c r="GV4" i="15"/>
  <c r="GW4" i="15"/>
  <c r="GX4" i="15"/>
  <c r="GY4" i="15"/>
  <c r="GZ4" i="15"/>
  <c r="HA4" i="15"/>
  <c r="HB4" i="15"/>
  <c r="HC4" i="15"/>
  <c r="HD4" i="15"/>
  <c r="HE4" i="15"/>
  <c r="HF4" i="15"/>
  <c r="HG4" i="15"/>
  <c r="HH4" i="15"/>
  <c r="HI4" i="15"/>
  <c r="HJ4" i="15"/>
  <c r="HK4" i="15"/>
  <c r="HL4" i="15"/>
  <c r="HM4" i="15"/>
  <c r="HN4" i="15"/>
  <c r="HO4" i="15"/>
  <c r="HP4" i="15"/>
  <c r="HQ4" i="15"/>
  <c r="HR4" i="15"/>
  <c r="HS4" i="15"/>
  <c r="HT4" i="15"/>
  <c r="HU4" i="15"/>
  <c r="HV4" i="15"/>
  <c r="HW4" i="15"/>
  <c r="HX4" i="15"/>
  <c r="HY4" i="15"/>
  <c r="HZ4" i="15"/>
  <c r="IA4" i="15"/>
  <c r="IB4" i="15"/>
  <c r="IC4" i="15"/>
  <c r="ID4" i="15"/>
  <c r="IE4" i="15"/>
  <c r="IF4" i="15"/>
  <c r="IG4" i="15"/>
  <c r="IH4" i="15"/>
  <c r="II4" i="15"/>
  <c r="IJ4" i="15"/>
  <c r="IK4" i="15"/>
  <c r="IL4" i="15"/>
  <c r="IM4" i="15"/>
  <c r="IN4" i="15"/>
  <c r="IO4" i="15"/>
  <c r="IP4" i="15"/>
  <c r="IQ4" i="15"/>
  <c r="IR4" i="15"/>
  <c r="IS4" i="15"/>
  <c r="IT4" i="15"/>
  <c r="IU4" i="15"/>
  <c r="IV4" i="15"/>
  <c r="A5"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BN5" i="15"/>
  <c r="BO5" i="15"/>
  <c r="BP5" i="15"/>
  <c r="BQ5" i="15"/>
  <c r="BR5" i="15"/>
  <c r="BS5" i="15"/>
  <c r="BT5" i="15"/>
  <c r="BU5" i="15"/>
  <c r="BV5" i="15"/>
  <c r="BW5" i="15"/>
  <c r="BX5" i="15"/>
  <c r="BY5" i="15"/>
  <c r="BZ5" i="15"/>
  <c r="CA5" i="15"/>
  <c r="CB5" i="15"/>
  <c r="CC5" i="15"/>
  <c r="CD5" i="15"/>
  <c r="CE5" i="15"/>
  <c r="CF5" i="15"/>
  <c r="CG5" i="15"/>
  <c r="CH5" i="15"/>
  <c r="CI5" i="15"/>
  <c r="CJ5" i="15"/>
  <c r="CK5" i="15"/>
  <c r="CL5" i="15"/>
  <c r="CM5" i="15"/>
  <c r="CN5" i="15"/>
  <c r="CO5" i="15"/>
  <c r="CP5" i="15"/>
  <c r="CQ5" i="15"/>
  <c r="CR5" i="15"/>
  <c r="CS5" i="15"/>
  <c r="CT5" i="15"/>
  <c r="CU5" i="15"/>
  <c r="CV5" i="15"/>
  <c r="CW5" i="15"/>
  <c r="CX5" i="15"/>
  <c r="CY5" i="15"/>
  <c r="CZ5" i="15"/>
  <c r="DA5" i="15"/>
  <c r="DB5" i="15"/>
  <c r="DC5" i="15"/>
  <c r="DD5" i="15"/>
  <c r="DE5" i="15"/>
  <c r="DF5" i="15"/>
  <c r="DG5" i="15"/>
  <c r="DH5" i="15"/>
  <c r="DI5" i="15"/>
  <c r="DJ5" i="15"/>
  <c r="DK5" i="15"/>
  <c r="DL5" i="15"/>
  <c r="DM5" i="15"/>
  <c r="DN5" i="15"/>
  <c r="DO5" i="15"/>
  <c r="DP5" i="15"/>
  <c r="DQ5" i="15"/>
  <c r="DR5" i="15"/>
  <c r="DS5" i="15"/>
  <c r="DT5" i="15"/>
  <c r="DU5" i="15"/>
  <c r="DV5" i="15"/>
  <c r="DW5" i="15"/>
  <c r="DX5" i="15"/>
  <c r="DY5" i="15"/>
  <c r="DZ5" i="15"/>
  <c r="EA5" i="15"/>
  <c r="EB5" i="15"/>
  <c r="EC5" i="15"/>
  <c r="ED5" i="15"/>
  <c r="EE5" i="15"/>
  <c r="EF5" i="15"/>
  <c r="EG5" i="15"/>
  <c r="EH5" i="15"/>
  <c r="EI5" i="15"/>
  <c r="EJ5" i="15"/>
  <c r="EK5" i="15"/>
  <c r="EL5" i="15"/>
  <c r="EM5" i="15"/>
  <c r="EN5" i="15"/>
  <c r="EO5" i="15"/>
  <c r="EP5" i="15"/>
  <c r="EQ5" i="15"/>
  <c r="ER5" i="15"/>
  <c r="ES5" i="15"/>
  <c r="ET5" i="15"/>
  <c r="EU5" i="15"/>
  <c r="EV5" i="15"/>
  <c r="EW5" i="15"/>
  <c r="EX5" i="15"/>
  <c r="EY5" i="15"/>
  <c r="EZ5" i="15"/>
  <c r="FA5" i="15"/>
  <c r="FB5" i="15"/>
  <c r="FC5" i="15"/>
  <c r="FD5" i="15"/>
  <c r="FE5" i="15"/>
  <c r="FF5" i="15"/>
  <c r="FG5" i="15"/>
  <c r="FH5" i="15"/>
  <c r="FI5" i="15"/>
  <c r="FJ5" i="15"/>
  <c r="FK5" i="15"/>
  <c r="FL5" i="15"/>
  <c r="FM5" i="15"/>
  <c r="FN5" i="15"/>
  <c r="FO5" i="15"/>
  <c r="FP5" i="15"/>
  <c r="FQ5" i="15"/>
  <c r="FR5" i="15"/>
  <c r="FS5" i="15"/>
  <c r="FT5" i="15"/>
  <c r="FU5" i="15"/>
  <c r="FV5" i="15"/>
  <c r="FW5" i="15"/>
  <c r="FX5" i="15"/>
  <c r="FY5" i="15"/>
  <c r="FZ5" i="15"/>
  <c r="GA5" i="15"/>
  <c r="GB5" i="15"/>
  <c r="GC5" i="15"/>
  <c r="GD5" i="15"/>
  <c r="GE5" i="15"/>
  <c r="GF5" i="15"/>
  <c r="GG5" i="15"/>
  <c r="GH5" i="15"/>
  <c r="GI5" i="15"/>
  <c r="GJ5" i="15"/>
  <c r="GK5" i="15"/>
  <c r="GL5" i="15"/>
  <c r="GM5" i="15"/>
  <c r="GN5" i="15"/>
  <c r="GO5" i="15"/>
  <c r="GP5" i="15"/>
  <c r="GQ5" i="15"/>
  <c r="GR5" i="15"/>
  <c r="GS5" i="15"/>
  <c r="GT5" i="15"/>
  <c r="GU5" i="15"/>
  <c r="GV5" i="15"/>
  <c r="GW5" i="15"/>
  <c r="GX5" i="15"/>
  <c r="GY5" i="15"/>
  <c r="GZ5" i="15"/>
  <c r="HA5" i="15"/>
  <c r="HB5" i="15"/>
  <c r="HC5" i="15"/>
  <c r="HD5" i="15"/>
  <c r="HE5" i="15"/>
  <c r="HF5" i="15"/>
  <c r="HG5" i="15"/>
  <c r="HH5" i="15"/>
  <c r="HI5" i="15"/>
  <c r="HJ5" i="15"/>
  <c r="HK5" i="15"/>
  <c r="HL5" i="15"/>
  <c r="HM5" i="15"/>
  <c r="HN5" i="15"/>
  <c r="HO5" i="15"/>
  <c r="HP5" i="15"/>
  <c r="HQ5" i="15"/>
  <c r="HR5" i="15"/>
  <c r="HS5" i="15"/>
  <c r="HT5" i="15"/>
  <c r="HU5" i="15"/>
  <c r="HV5" i="15"/>
  <c r="HW5" i="15"/>
  <c r="HX5" i="15"/>
  <c r="HY5" i="15"/>
  <c r="HZ5" i="15"/>
  <c r="IA5" i="15"/>
  <c r="IB5" i="15"/>
  <c r="IC5" i="15"/>
  <c r="ID5" i="15"/>
  <c r="IE5" i="15"/>
  <c r="IF5" i="15"/>
  <c r="IG5" i="15"/>
  <c r="IH5" i="15"/>
  <c r="II5" i="15"/>
  <c r="IJ5" i="15"/>
  <c r="IK5" i="15"/>
  <c r="IL5" i="15"/>
  <c r="IM5" i="15"/>
  <c r="IN5" i="15"/>
  <c r="IO5" i="15"/>
  <c r="IP5" i="15"/>
  <c r="IQ5" i="15"/>
  <c r="IR5" i="15"/>
  <c r="IS5" i="15"/>
  <c r="IT5" i="15"/>
  <c r="IU5" i="15"/>
  <c r="IV5" i="15"/>
  <c r="A6"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AL6" i="15"/>
  <c r="AM6" i="15"/>
  <c r="AN6" i="15"/>
  <c r="AO6" i="15"/>
  <c r="AP6" i="15"/>
  <c r="AQ6" i="15"/>
  <c r="AR6" i="15"/>
  <c r="AS6" i="15"/>
  <c r="AT6" i="15"/>
  <c r="AU6" i="15"/>
  <c r="AV6" i="15"/>
  <c r="AW6" i="15"/>
  <c r="AX6" i="15"/>
  <c r="AY6" i="15"/>
  <c r="AZ6" i="15"/>
  <c r="BA6" i="15"/>
  <c r="BB6" i="15"/>
  <c r="BC6" i="15"/>
  <c r="BD6" i="15"/>
  <c r="BE6" i="15"/>
  <c r="BF6" i="15"/>
  <c r="BG6" i="15"/>
  <c r="BH6" i="15"/>
  <c r="BI6" i="15"/>
  <c r="BJ6" i="15"/>
  <c r="BK6" i="15"/>
  <c r="BL6" i="15"/>
  <c r="BM6" i="15"/>
  <c r="BN6" i="15"/>
  <c r="BO6" i="15"/>
  <c r="BP6" i="15"/>
  <c r="BQ6" i="15"/>
  <c r="BR6" i="15"/>
  <c r="BS6" i="15"/>
  <c r="BT6" i="15"/>
  <c r="BU6" i="15"/>
  <c r="BV6" i="15"/>
  <c r="BW6" i="15"/>
  <c r="BX6" i="15"/>
  <c r="BY6" i="15"/>
  <c r="BZ6" i="15"/>
  <c r="CA6" i="15"/>
  <c r="CB6" i="15"/>
  <c r="CC6" i="15"/>
  <c r="CD6" i="15"/>
  <c r="CE6" i="15"/>
  <c r="CF6" i="15"/>
  <c r="CG6" i="15"/>
  <c r="CH6" i="15"/>
  <c r="CI6" i="15"/>
  <c r="CJ6" i="15"/>
  <c r="CK6" i="15"/>
  <c r="CL6" i="15"/>
  <c r="CM6" i="15"/>
  <c r="CN6" i="15"/>
  <c r="CO6" i="15"/>
  <c r="CP6" i="15"/>
  <c r="CQ6" i="15"/>
  <c r="CR6" i="15"/>
  <c r="CS6" i="15"/>
  <c r="CT6" i="15"/>
  <c r="CU6" i="15"/>
  <c r="CV6" i="15"/>
  <c r="CW6" i="15"/>
  <c r="CX6" i="15"/>
  <c r="CY6" i="15"/>
  <c r="CZ6" i="15"/>
  <c r="DA6" i="15"/>
  <c r="DB6" i="15"/>
  <c r="DC6" i="15"/>
  <c r="DD6" i="15"/>
  <c r="DE6" i="15"/>
  <c r="DF6" i="15"/>
  <c r="DG6" i="15"/>
  <c r="DH6" i="15"/>
  <c r="DI6" i="15"/>
  <c r="DJ6" i="15"/>
  <c r="DK6" i="15"/>
  <c r="DL6" i="15"/>
  <c r="DM6" i="15"/>
  <c r="DN6" i="15"/>
  <c r="DO6" i="15"/>
  <c r="DP6" i="15"/>
  <c r="DQ6" i="15"/>
  <c r="DR6" i="15"/>
  <c r="DS6" i="15"/>
  <c r="DT6" i="15"/>
  <c r="DU6" i="15"/>
  <c r="DV6" i="15"/>
  <c r="DW6" i="15"/>
  <c r="DX6" i="15"/>
  <c r="DY6" i="15"/>
  <c r="DZ6" i="15"/>
  <c r="EA6" i="15"/>
  <c r="EB6" i="15"/>
  <c r="EC6" i="15"/>
  <c r="ED6" i="15"/>
  <c r="EE6" i="15"/>
  <c r="EF6" i="15"/>
  <c r="EG6" i="15"/>
  <c r="EH6" i="15"/>
  <c r="EI6" i="15"/>
  <c r="EJ6" i="15"/>
  <c r="EK6" i="15"/>
  <c r="EL6" i="15"/>
  <c r="EM6" i="15"/>
  <c r="EN6" i="15"/>
  <c r="EO6" i="15"/>
  <c r="EP6" i="15"/>
  <c r="EQ6" i="15"/>
  <c r="ER6" i="15"/>
  <c r="ES6" i="15"/>
  <c r="ET6" i="15"/>
  <c r="EU6" i="15"/>
  <c r="EV6" i="15"/>
  <c r="EW6" i="15"/>
  <c r="EX6" i="15"/>
  <c r="EY6" i="15"/>
  <c r="EZ6" i="15"/>
  <c r="FA6" i="15"/>
  <c r="FB6" i="15"/>
  <c r="FC6" i="15"/>
  <c r="FD6" i="15"/>
  <c r="FE6" i="15"/>
  <c r="FF6" i="15"/>
  <c r="FG6" i="15"/>
  <c r="FH6" i="15"/>
  <c r="FI6" i="15"/>
  <c r="FJ6" i="15"/>
  <c r="FK6" i="15"/>
  <c r="FL6" i="15"/>
  <c r="FM6" i="15"/>
  <c r="FN6" i="15"/>
  <c r="FO6" i="15"/>
  <c r="FP6" i="15"/>
  <c r="FQ6" i="15"/>
  <c r="FR6" i="15"/>
  <c r="FS6" i="15"/>
  <c r="FT6" i="15"/>
  <c r="FU6" i="15"/>
  <c r="FV6" i="15"/>
  <c r="FW6" i="15"/>
  <c r="FX6" i="15"/>
  <c r="FY6" i="15"/>
  <c r="FZ6" i="15"/>
  <c r="GA6" i="15"/>
  <c r="GB6" i="15"/>
  <c r="GC6" i="15"/>
  <c r="GD6" i="15"/>
  <c r="GE6" i="15"/>
  <c r="GF6" i="15"/>
  <c r="GG6" i="15"/>
  <c r="GH6" i="15"/>
  <c r="GI6" i="15"/>
  <c r="GJ6" i="15"/>
  <c r="GK6" i="15"/>
  <c r="GL6" i="15"/>
  <c r="GM6" i="15"/>
  <c r="GN6" i="15"/>
  <c r="GO6" i="15"/>
  <c r="GP6" i="15"/>
  <c r="GQ6" i="15"/>
  <c r="GR6" i="15"/>
  <c r="GS6" i="15"/>
  <c r="GT6" i="15"/>
  <c r="GU6" i="15"/>
  <c r="GV6" i="15"/>
  <c r="GW6" i="15"/>
  <c r="GX6" i="15"/>
  <c r="GY6" i="15"/>
  <c r="GZ6" i="15"/>
  <c r="HA6" i="15"/>
  <c r="HB6" i="15"/>
  <c r="HC6" i="15"/>
  <c r="HD6" i="15"/>
  <c r="HE6" i="15"/>
  <c r="HF6" i="15"/>
  <c r="HG6" i="15"/>
  <c r="HH6" i="15"/>
  <c r="HI6" i="15"/>
  <c r="HJ6" i="15"/>
  <c r="HK6" i="15"/>
  <c r="HL6" i="15"/>
  <c r="HM6" i="15"/>
  <c r="HN6" i="15"/>
  <c r="HO6" i="15"/>
  <c r="HP6" i="15"/>
  <c r="HQ6" i="15"/>
  <c r="HR6" i="15"/>
  <c r="HS6" i="15"/>
  <c r="HT6" i="15"/>
  <c r="HU6" i="15"/>
  <c r="HV6" i="15"/>
  <c r="HW6" i="15"/>
  <c r="HX6" i="15"/>
  <c r="HY6" i="15"/>
  <c r="HZ6" i="15"/>
  <c r="IA6" i="15"/>
  <c r="IB6" i="15"/>
  <c r="IC6" i="15"/>
  <c r="ID6" i="15"/>
  <c r="IE6" i="15"/>
  <c r="IF6" i="15"/>
  <c r="IG6" i="15"/>
  <c r="IH6" i="15"/>
  <c r="II6" i="15"/>
  <c r="IJ6" i="15"/>
  <c r="IK6" i="15"/>
  <c r="IL6" i="15"/>
  <c r="IM6" i="15"/>
  <c r="IN6" i="15"/>
  <c r="IO6" i="15"/>
  <c r="IP6" i="15"/>
  <c r="IQ6" i="15"/>
  <c r="IR6" i="15"/>
  <c r="IS6" i="15"/>
  <c r="IT6" i="15"/>
  <c r="IU6" i="15"/>
  <c r="IV6" i="15"/>
  <c r="A7"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 r="AK7" i="15"/>
  <c r="AL7" i="15"/>
  <c r="AM7" i="15"/>
  <c r="AN7" i="15"/>
  <c r="AO7" i="15"/>
  <c r="AP7" i="15"/>
  <c r="AQ7" i="15"/>
  <c r="AR7" i="15"/>
  <c r="AS7" i="15"/>
  <c r="AT7" i="15"/>
  <c r="AU7" i="15"/>
  <c r="AV7" i="15"/>
  <c r="AW7" i="15"/>
  <c r="AX7" i="15"/>
  <c r="AY7" i="15"/>
  <c r="AZ7" i="15"/>
  <c r="BA7" i="15"/>
  <c r="BB7" i="15"/>
  <c r="BC7" i="15"/>
  <c r="BD7" i="15"/>
  <c r="BE7" i="15"/>
  <c r="BF7" i="15"/>
  <c r="BG7" i="15"/>
  <c r="BH7" i="15"/>
  <c r="BI7" i="15"/>
  <c r="BJ7" i="15"/>
  <c r="BK7" i="15"/>
  <c r="BL7" i="15"/>
  <c r="BM7" i="15"/>
  <c r="BN7" i="15"/>
  <c r="BO7" i="15"/>
  <c r="BP7" i="15"/>
  <c r="BQ7" i="15"/>
  <c r="BR7" i="15"/>
  <c r="BS7" i="15"/>
  <c r="BT7" i="15"/>
  <c r="BU7" i="15"/>
  <c r="BV7" i="15"/>
  <c r="BW7" i="15"/>
  <c r="BX7" i="15"/>
  <c r="BY7" i="15"/>
  <c r="BZ7" i="15"/>
  <c r="CA7" i="15"/>
  <c r="CB7" i="15"/>
  <c r="CC7" i="15"/>
  <c r="CD7" i="15"/>
  <c r="CE7" i="15"/>
  <c r="CF7" i="15"/>
  <c r="CG7" i="15"/>
  <c r="CH7" i="15"/>
  <c r="CI7" i="15"/>
  <c r="CJ7" i="15"/>
  <c r="CK7" i="15"/>
  <c r="CL7" i="15"/>
  <c r="CM7" i="15"/>
  <c r="CN7" i="15"/>
  <c r="CO7" i="15"/>
  <c r="CP7" i="15"/>
  <c r="CQ7" i="15"/>
  <c r="CR7" i="15"/>
  <c r="CS7" i="15"/>
  <c r="CT7" i="15"/>
  <c r="CU7" i="15"/>
  <c r="CV7" i="15"/>
  <c r="CW7" i="15"/>
  <c r="CX7" i="15"/>
  <c r="CY7" i="15"/>
  <c r="CZ7" i="15"/>
  <c r="DA7" i="15"/>
  <c r="DB7" i="15"/>
  <c r="DC7" i="15"/>
  <c r="DD7" i="15"/>
  <c r="DE7" i="15"/>
  <c r="DF7" i="15"/>
  <c r="DG7" i="15"/>
  <c r="DH7" i="15"/>
  <c r="DI7" i="15"/>
  <c r="DJ7" i="15"/>
  <c r="DK7" i="15"/>
  <c r="DL7" i="15"/>
  <c r="DM7" i="15"/>
  <c r="DN7" i="15"/>
  <c r="DO7" i="15"/>
  <c r="DP7" i="15"/>
  <c r="DQ7" i="15"/>
  <c r="DR7" i="15"/>
  <c r="DS7" i="15"/>
  <c r="DT7" i="15"/>
  <c r="DU7" i="15"/>
  <c r="DV7" i="15"/>
  <c r="DW7" i="15"/>
  <c r="DX7" i="15"/>
  <c r="DY7" i="15"/>
  <c r="DZ7" i="15"/>
  <c r="EA7" i="15"/>
  <c r="EB7" i="15"/>
  <c r="EC7" i="15"/>
  <c r="ED7" i="15"/>
  <c r="EE7" i="15"/>
  <c r="EF7" i="15"/>
  <c r="EG7" i="15"/>
  <c r="EH7" i="15"/>
  <c r="EI7" i="15"/>
  <c r="EJ7" i="15"/>
  <c r="EK7" i="15"/>
  <c r="EL7" i="15"/>
  <c r="EM7" i="15"/>
  <c r="EN7" i="15"/>
  <c r="EO7" i="15"/>
  <c r="EP7" i="15"/>
  <c r="EQ7" i="15"/>
  <c r="ER7" i="15"/>
  <c r="ES7" i="15"/>
  <c r="ET7" i="15"/>
  <c r="EU7" i="15"/>
  <c r="EV7" i="15"/>
  <c r="EW7" i="15"/>
  <c r="EX7" i="15"/>
  <c r="EY7" i="15"/>
  <c r="EZ7" i="15"/>
  <c r="FA7" i="15"/>
  <c r="FB7" i="15"/>
  <c r="FC7" i="15"/>
  <c r="FD7" i="15"/>
  <c r="FE7" i="15"/>
  <c r="FF7" i="15"/>
  <c r="FG7" i="15"/>
  <c r="FH7" i="15"/>
  <c r="FI7" i="15"/>
  <c r="FJ7" i="15"/>
  <c r="FK7" i="15"/>
  <c r="FL7" i="15"/>
  <c r="FM7" i="15"/>
  <c r="FN7" i="15"/>
  <c r="FO7" i="15"/>
  <c r="FP7" i="15"/>
  <c r="FQ7" i="15"/>
  <c r="FR7" i="15"/>
  <c r="FS7" i="15"/>
  <c r="FT7" i="15"/>
  <c r="FU7" i="15"/>
  <c r="FV7" i="15"/>
  <c r="FW7" i="15"/>
  <c r="FX7" i="15"/>
  <c r="FY7" i="15"/>
  <c r="FZ7" i="15"/>
  <c r="GA7" i="15"/>
  <c r="GB7" i="15"/>
  <c r="GC7" i="15"/>
  <c r="GD7" i="15"/>
  <c r="GE7" i="15"/>
  <c r="GF7" i="15"/>
  <c r="GG7" i="15"/>
  <c r="GH7" i="15"/>
  <c r="GI7" i="15"/>
  <c r="GJ7" i="15"/>
  <c r="GK7" i="15"/>
  <c r="GL7" i="15"/>
  <c r="GM7" i="15"/>
  <c r="GN7" i="15"/>
  <c r="GO7" i="15"/>
  <c r="GP7" i="15"/>
  <c r="GQ7" i="15"/>
  <c r="GR7" i="15"/>
  <c r="GS7" i="15"/>
  <c r="GT7" i="15"/>
  <c r="GU7" i="15"/>
  <c r="GV7" i="15"/>
  <c r="GW7" i="15"/>
  <c r="GX7" i="15"/>
  <c r="GY7" i="15"/>
  <c r="GZ7" i="15"/>
  <c r="HA7" i="15"/>
  <c r="HB7" i="15"/>
  <c r="HC7" i="15"/>
  <c r="HD7" i="15"/>
  <c r="HE7" i="15"/>
  <c r="HF7" i="15"/>
  <c r="HG7" i="15"/>
  <c r="HH7" i="15"/>
  <c r="HI7" i="15"/>
  <c r="HJ7" i="15"/>
  <c r="HK7" i="15"/>
  <c r="HL7" i="15"/>
  <c r="HM7" i="15"/>
  <c r="HN7" i="15"/>
  <c r="HO7" i="15"/>
  <c r="HP7" i="15"/>
  <c r="HQ7" i="15"/>
  <c r="HR7" i="15"/>
  <c r="HS7" i="15"/>
  <c r="HT7" i="15"/>
  <c r="HU7" i="15"/>
  <c r="HV7" i="15"/>
  <c r="HW7" i="15"/>
  <c r="HX7" i="15"/>
  <c r="HY7" i="15"/>
  <c r="HZ7" i="15"/>
  <c r="IA7" i="15"/>
  <c r="IB7" i="15"/>
  <c r="IC7" i="15"/>
  <c r="ID7" i="15"/>
  <c r="IE7" i="15"/>
  <c r="IF7" i="15"/>
  <c r="IG7" i="15"/>
  <c r="IH7" i="15"/>
  <c r="II7" i="15"/>
  <c r="IJ7" i="15"/>
  <c r="IK7" i="15"/>
  <c r="IL7" i="15"/>
  <c r="IM7" i="15"/>
  <c r="IN7" i="15"/>
  <c r="IO7" i="15"/>
  <c r="IP7" i="15"/>
  <c r="IQ7" i="15"/>
  <c r="IR7" i="15"/>
  <c r="IS7" i="15"/>
  <c r="IT7" i="15"/>
  <c r="IU7" i="15"/>
  <c r="IV7" i="15"/>
  <c r="A8"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AJ8" i="15"/>
  <c r="AK8" i="15"/>
  <c r="AL8" i="15"/>
  <c r="AM8" i="15"/>
  <c r="AN8" i="15"/>
  <c r="AO8" i="15"/>
  <c r="AP8" i="15"/>
  <c r="AQ8" i="15"/>
  <c r="AR8" i="15"/>
  <c r="AS8" i="15"/>
  <c r="AT8" i="15"/>
  <c r="AU8" i="15"/>
  <c r="AV8" i="15"/>
  <c r="AW8" i="15"/>
  <c r="AX8" i="15"/>
  <c r="AY8" i="15"/>
  <c r="AZ8" i="15"/>
  <c r="BA8" i="15"/>
  <c r="BB8" i="15"/>
  <c r="BC8" i="15"/>
  <c r="BD8" i="15"/>
  <c r="BE8" i="15"/>
  <c r="BF8" i="15"/>
  <c r="BG8" i="15"/>
  <c r="BH8" i="15"/>
  <c r="BI8" i="15"/>
  <c r="BJ8" i="15"/>
  <c r="BK8" i="15"/>
  <c r="BL8" i="15"/>
  <c r="BM8" i="15"/>
  <c r="BN8" i="15"/>
  <c r="BO8" i="15"/>
  <c r="BP8" i="15"/>
  <c r="BQ8" i="15"/>
  <c r="BR8" i="15"/>
  <c r="BS8" i="15"/>
  <c r="BT8" i="15"/>
  <c r="BU8" i="15"/>
  <c r="BV8" i="15"/>
  <c r="BW8" i="15"/>
  <c r="BX8" i="15"/>
  <c r="BY8" i="15"/>
  <c r="BZ8" i="15"/>
  <c r="CA8" i="15"/>
  <c r="CB8" i="15"/>
  <c r="CC8" i="15"/>
  <c r="CD8" i="15"/>
  <c r="CE8" i="15"/>
  <c r="CF8" i="15"/>
  <c r="CG8" i="15"/>
  <c r="CH8" i="15"/>
  <c r="CI8" i="15"/>
  <c r="CJ8" i="15"/>
  <c r="CK8" i="15"/>
  <c r="CL8" i="15"/>
  <c r="CM8" i="15"/>
  <c r="CN8" i="15"/>
  <c r="CO8" i="15"/>
  <c r="CP8" i="15"/>
  <c r="CQ8" i="15"/>
  <c r="CR8" i="15"/>
  <c r="CS8" i="15"/>
  <c r="CT8" i="15"/>
  <c r="CU8" i="15"/>
  <c r="CV8" i="15"/>
  <c r="CW8" i="15"/>
  <c r="CX8" i="15"/>
  <c r="CY8" i="15"/>
  <c r="CZ8" i="15"/>
  <c r="DA8" i="15"/>
  <c r="DB8" i="15"/>
  <c r="DC8" i="15"/>
  <c r="DD8" i="15"/>
  <c r="DE8" i="15"/>
  <c r="DF8" i="15"/>
  <c r="DG8" i="15"/>
  <c r="DH8" i="15"/>
  <c r="DI8" i="15"/>
  <c r="DJ8" i="15"/>
  <c r="DK8" i="15"/>
  <c r="DL8" i="15"/>
  <c r="DM8" i="15"/>
  <c r="DN8" i="15"/>
  <c r="DO8" i="15"/>
  <c r="DP8" i="15"/>
  <c r="DQ8" i="15"/>
  <c r="DR8" i="15"/>
  <c r="DS8" i="15"/>
  <c r="DT8" i="15"/>
  <c r="DU8" i="15"/>
  <c r="DV8" i="15"/>
  <c r="DW8" i="15"/>
  <c r="DX8" i="15"/>
  <c r="DY8" i="15"/>
  <c r="DZ8" i="15"/>
  <c r="EA8" i="15"/>
  <c r="EB8" i="15"/>
  <c r="EC8" i="15"/>
  <c r="ED8" i="15"/>
  <c r="EE8" i="15"/>
  <c r="EF8" i="15"/>
  <c r="EG8" i="15"/>
  <c r="EH8" i="15"/>
  <c r="EI8" i="15"/>
  <c r="EJ8" i="15"/>
  <c r="EK8" i="15"/>
  <c r="EL8" i="15"/>
  <c r="EM8" i="15"/>
  <c r="EN8" i="15"/>
  <c r="EO8" i="15"/>
  <c r="EP8" i="15"/>
  <c r="EQ8" i="15"/>
  <c r="ER8" i="15"/>
  <c r="ES8" i="15"/>
  <c r="ET8" i="15"/>
  <c r="EU8" i="15"/>
  <c r="EV8" i="15"/>
  <c r="EW8" i="15"/>
  <c r="EX8" i="15"/>
  <c r="EY8" i="15"/>
  <c r="EZ8" i="15"/>
  <c r="FA8" i="15"/>
  <c r="FB8" i="15"/>
  <c r="FC8" i="15"/>
  <c r="FD8" i="15"/>
  <c r="FE8" i="15"/>
  <c r="FF8" i="15"/>
  <c r="FG8" i="15"/>
  <c r="FH8" i="15"/>
  <c r="FI8" i="15"/>
  <c r="FJ8" i="15"/>
  <c r="FK8" i="15"/>
  <c r="FL8" i="15"/>
  <c r="FM8" i="15"/>
  <c r="FN8" i="15"/>
  <c r="FO8" i="15"/>
  <c r="FP8" i="15"/>
  <c r="FQ8" i="15"/>
  <c r="FR8" i="15"/>
  <c r="FS8" i="15"/>
  <c r="FT8" i="15"/>
  <c r="FU8" i="15"/>
  <c r="FV8" i="15"/>
  <c r="FW8" i="15"/>
  <c r="FX8" i="15"/>
  <c r="FY8" i="15"/>
  <c r="FZ8" i="15"/>
  <c r="GA8" i="15"/>
  <c r="GB8" i="15"/>
  <c r="GC8" i="15"/>
  <c r="GD8" i="15"/>
  <c r="GE8" i="15"/>
  <c r="GF8" i="15"/>
  <c r="GG8" i="15"/>
  <c r="GH8" i="15"/>
  <c r="GI8" i="15"/>
  <c r="GJ8" i="15"/>
  <c r="GK8" i="15"/>
  <c r="GL8" i="15"/>
  <c r="GM8" i="15"/>
  <c r="GN8" i="15"/>
  <c r="GO8" i="15"/>
  <c r="GP8" i="15"/>
  <c r="GQ8" i="15"/>
  <c r="GR8" i="15"/>
  <c r="GS8" i="15"/>
  <c r="GT8" i="15"/>
  <c r="GU8" i="15"/>
  <c r="GV8" i="15"/>
  <c r="GW8" i="15"/>
  <c r="GX8" i="15"/>
  <c r="GY8" i="15"/>
  <c r="GZ8" i="15"/>
  <c r="HA8" i="15"/>
  <c r="HB8" i="15"/>
  <c r="HC8" i="15"/>
  <c r="HD8" i="15"/>
  <c r="HE8" i="15"/>
  <c r="HF8" i="15"/>
  <c r="HG8" i="15"/>
  <c r="HH8" i="15"/>
  <c r="HI8" i="15"/>
  <c r="HJ8" i="15"/>
  <c r="HK8" i="15"/>
  <c r="HL8" i="15"/>
  <c r="HM8" i="15"/>
  <c r="HN8" i="15"/>
  <c r="HO8" i="15"/>
  <c r="HP8" i="15"/>
  <c r="HQ8" i="15"/>
  <c r="HR8" i="15"/>
  <c r="HS8" i="15"/>
  <c r="HT8" i="15"/>
  <c r="HU8" i="15"/>
  <c r="HV8" i="15"/>
  <c r="HW8" i="15"/>
  <c r="HX8" i="15"/>
  <c r="HY8" i="15"/>
  <c r="HZ8" i="15"/>
  <c r="IA8" i="15"/>
  <c r="IB8" i="15"/>
  <c r="IC8" i="15"/>
  <c r="ID8" i="15"/>
  <c r="IE8" i="15"/>
  <c r="IF8" i="15"/>
  <c r="IG8" i="15"/>
  <c r="IH8" i="15"/>
  <c r="II8" i="15"/>
  <c r="IJ8" i="15"/>
  <c r="IK8" i="15"/>
  <c r="IL8" i="15"/>
  <c r="IM8" i="15"/>
  <c r="IN8" i="15"/>
  <c r="IO8" i="15"/>
  <c r="IP8" i="15"/>
  <c r="IQ8" i="15"/>
  <c r="IR8" i="15"/>
  <c r="IS8" i="15"/>
  <c r="IT8" i="15"/>
  <c r="IU8" i="15"/>
  <c r="IV8" i="15"/>
  <c r="A9"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AJ9" i="15"/>
  <c r="AK9" i="15"/>
  <c r="AL9" i="15"/>
  <c r="AM9" i="15"/>
  <c r="AN9" i="15"/>
  <c r="AO9" i="15"/>
  <c r="AP9" i="15"/>
  <c r="AQ9" i="15"/>
  <c r="AR9" i="15"/>
  <c r="AS9" i="15"/>
  <c r="AT9" i="15"/>
  <c r="AU9" i="15"/>
  <c r="AV9" i="15"/>
  <c r="AW9" i="15"/>
  <c r="AX9" i="15"/>
  <c r="AY9" i="15"/>
  <c r="AZ9" i="15"/>
  <c r="BA9" i="15"/>
  <c r="BB9" i="15"/>
  <c r="BC9" i="15"/>
  <c r="BD9" i="15"/>
  <c r="BE9" i="15"/>
  <c r="BF9" i="15"/>
  <c r="BG9" i="15"/>
  <c r="BH9" i="15"/>
  <c r="BI9" i="15"/>
  <c r="BJ9" i="15"/>
  <c r="BK9" i="15"/>
  <c r="BL9" i="15"/>
  <c r="BM9" i="15"/>
  <c r="BN9" i="15"/>
  <c r="BO9" i="15"/>
  <c r="BP9" i="15"/>
  <c r="BQ9" i="15"/>
  <c r="BR9" i="15"/>
  <c r="BS9" i="15"/>
  <c r="BT9" i="15"/>
  <c r="BU9" i="15"/>
  <c r="BV9" i="15"/>
  <c r="BW9" i="15"/>
  <c r="BX9" i="15"/>
  <c r="BY9" i="15"/>
  <c r="BZ9" i="15"/>
  <c r="CA9" i="15"/>
  <c r="CB9" i="15"/>
  <c r="CC9" i="15"/>
  <c r="CD9" i="15"/>
  <c r="CE9" i="15"/>
  <c r="CF9" i="15"/>
  <c r="CG9" i="15"/>
  <c r="CH9" i="15"/>
  <c r="CI9" i="15"/>
  <c r="CJ9" i="15"/>
  <c r="CK9" i="15"/>
  <c r="CL9" i="15"/>
  <c r="CM9" i="15"/>
  <c r="CN9" i="15"/>
  <c r="CO9" i="15"/>
  <c r="CP9" i="15"/>
  <c r="CQ9" i="15"/>
  <c r="CR9" i="15"/>
  <c r="CS9" i="15"/>
  <c r="CT9" i="15"/>
  <c r="CU9" i="15"/>
  <c r="CV9" i="15"/>
  <c r="CW9" i="15"/>
  <c r="CX9" i="15"/>
  <c r="CY9" i="15"/>
  <c r="CZ9" i="15"/>
  <c r="DA9" i="15"/>
  <c r="DB9" i="15"/>
  <c r="DC9" i="15"/>
  <c r="DD9" i="15"/>
  <c r="DE9" i="15"/>
  <c r="DF9" i="15"/>
  <c r="DG9" i="15"/>
  <c r="DH9" i="15"/>
  <c r="DI9" i="15"/>
  <c r="DJ9" i="15"/>
  <c r="DK9" i="15"/>
  <c r="DL9" i="15"/>
  <c r="DM9" i="15"/>
  <c r="DN9" i="15"/>
  <c r="DO9" i="15"/>
  <c r="DP9" i="15"/>
  <c r="DQ9" i="15"/>
  <c r="DR9" i="15"/>
  <c r="DS9" i="15"/>
  <c r="DT9" i="15"/>
  <c r="DU9" i="15"/>
  <c r="DV9" i="15"/>
  <c r="DW9" i="15"/>
  <c r="DX9" i="15"/>
  <c r="DY9" i="15"/>
  <c r="DZ9" i="15"/>
  <c r="EA9" i="15"/>
  <c r="EB9" i="15"/>
  <c r="EC9" i="15"/>
  <c r="ED9" i="15"/>
  <c r="EE9" i="15"/>
  <c r="EF9" i="15"/>
  <c r="EG9" i="15"/>
  <c r="EH9" i="15"/>
  <c r="EI9" i="15"/>
  <c r="EJ9" i="15"/>
  <c r="EK9" i="15"/>
  <c r="EL9" i="15"/>
  <c r="EM9" i="15"/>
  <c r="EN9" i="15"/>
  <c r="EO9" i="15"/>
  <c r="EP9" i="15"/>
  <c r="EQ9" i="15"/>
  <c r="ER9" i="15"/>
  <c r="ES9" i="15"/>
  <c r="ET9" i="15"/>
  <c r="EU9" i="15"/>
  <c r="EV9" i="15"/>
  <c r="EW9" i="15"/>
  <c r="EX9" i="15"/>
  <c r="EY9" i="15"/>
  <c r="EZ9" i="15"/>
  <c r="FA9" i="15"/>
  <c r="FB9" i="15"/>
  <c r="FC9" i="15"/>
  <c r="FD9" i="15"/>
  <c r="FE9" i="15"/>
  <c r="FF9" i="15"/>
  <c r="FG9" i="15"/>
  <c r="FH9" i="15"/>
  <c r="FI9" i="15"/>
  <c r="FJ9" i="15"/>
  <c r="FK9" i="15"/>
  <c r="FL9" i="15"/>
  <c r="FM9" i="15"/>
  <c r="FN9" i="15"/>
  <c r="FO9" i="15"/>
  <c r="FP9" i="15"/>
  <c r="FQ9" i="15"/>
  <c r="FR9" i="15"/>
  <c r="FS9" i="15"/>
  <c r="FT9" i="15"/>
  <c r="FU9" i="15"/>
  <c r="FV9" i="15"/>
  <c r="FW9" i="15"/>
  <c r="FX9" i="15"/>
  <c r="FY9" i="15"/>
  <c r="FZ9" i="15"/>
  <c r="GA9" i="15"/>
  <c r="GB9" i="15"/>
  <c r="GC9" i="15"/>
  <c r="GD9" i="15"/>
  <c r="GE9" i="15"/>
  <c r="GF9" i="15"/>
  <c r="GG9" i="15"/>
  <c r="GH9" i="15"/>
  <c r="GI9" i="15"/>
  <c r="GJ9" i="15"/>
  <c r="GK9" i="15"/>
  <c r="GL9" i="15"/>
  <c r="GM9" i="15"/>
  <c r="GN9" i="15"/>
  <c r="GO9" i="15"/>
  <c r="GP9" i="15"/>
  <c r="GQ9" i="15"/>
  <c r="GR9" i="15"/>
  <c r="GS9" i="15"/>
  <c r="GT9" i="15"/>
  <c r="GU9" i="15"/>
  <c r="GV9" i="15"/>
  <c r="GW9" i="15"/>
  <c r="GX9" i="15"/>
  <c r="GY9" i="15"/>
  <c r="GZ9" i="15"/>
  <c r="HA9" i="15"/>
  <c r="HB9" i="15"/>
  <c r="HC9" i="15"/>
  <c r="HD9" i="15"/>
  <c r="HE9" i="15"/>
  <c r="HF9" i="15"/>
  <c r="HG9" i="15"/>
  <c r="HH9" i="15"/>
  <c r="HI9" i="15"/>
  <c r="HJ9" i="15"/>
  <c r="HK9" i="15"/>
  <c r="HL9" i="15"/>
  <c r="HM9" i="15"/>
  <c r="HN9" i="15"/>
  <c r="HO9" i="15"/>
  <c r="HP9" i="15"/>
  <c r="HQ9" i="15"/>
  <c r="HR9" i="15"/>
  <c r="HS9" i="15"/>
  <c r="HT9" i="15"/>
  <c r="HU9" i="15"/>
  <c r="HV9" i="15"/>
  <c r="HW9" i="15"/>
  <c r="HX9" i="15"/>
  <c r="HY9" i="15"/>
  <c r="HZ9" i="15"/>
  <c r="IA9" i="15"/>
  <c r="IB9" i="15"/>
  <c r="IC9" i="15"/>
  <c r="ID9" i="15"/>
  <c r="IE9" i="15"/>
  <c r="IF9" i="15"/>
  <c r="IG9" i="15"/>
  <c r="IH9" i="15"/>
  <c r="II9" i="15"/>
  <c r="IJ9" i="15"/>
  <c r="IK9" i="15"/>
  <c r="IL9" i="15"/>
  <c r="IM9" i="15"/>
  <c r="IN9" i="15"/>
  <c r="IO9" i="15"/>
  <c r="IP9" i="15"/>
  <c r="IQ9" i="15"/>
  <c r="IR9" i="15"/>
  <c r="IS9" i="15"/>
  <c r="IT9" i="15"/>
  <c r="IU9" i="15"/>
  <c r="IV9" i="15"/>
  <c r="A10"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AI10" i="15"/>
  <c r="AJ10" i="15"/>
  <c r="AK10" i="15"/>
  <c r="AL10" i="15"/>
  <c r="AM10" i="15"/>
  <c r="AN10" i="15"/>
  <c r="AO10" i="15"/>
  <c r="AP10" i="15"/>
  <c r="AQ10" i="15"/>
  <c r="AR10" i="15"/>
  <c r="AS10" i="15"/>
  <c r="AT10" i="15"/>
  <c r="AU10" i="15"/>
  <c r="AV10" i="15"/>
  <c r="AW10" i="15"/>
  <c r="AX10" i="15"/>
  <c r="AY10" i="15"/>
  <c r="AZ10" i="15"/>
  <c r="BA10" i="15"/>
  <c r="BB10" i="15"/>
  <c r="BC10" i="15"/>
  <c r="BD10" i="15"/>
  <c r="BE10" i="15"/>
  <c r="BF10" i="15"/>
  <c r="BG10" i="15"/>
  <c r="BH10" i="15"/>
  <c r="BI10" i="15"/>
  <c r="BJ10" i="15"/>
  <c r="BK10" i="15"/>
  <c r="BL10" i="15"/>
  <c r="BM10" i="15"/>
  <c r="BN10" i="15"/>
  <c r="BO10" i="15"/>
  <c r="BP10" i="15"/>
  <c r="BQ10" i="15"/>
  <c r="BR10" i="15"/>
  <c r="BS10" i="15"/>
  <c r="BT10" i="15"/>
  <c r="BU10" i="15"/>
  <c r="BV10" i="15"/>
  <c r="BW10" i="15"/>
  <c r="BX10" i="15"/>
  <c r="BY10" i="15"/>
  <c r="BZ10" i="15"/>
  <c r="CA10" i="15"/>
  <c r="CB10" i="15"/>
  <c r="CC10" i="15"/>
  <c r="CD10" i="15"/>
  <c r="CE10" i="15"/>
  <c r="CF10" i="15"/>
  <c r="CG10" i="15"/>
  <c r="CH10" i="15"/>
  <c r="CI10" i="15"/>
  <c r="CJ10" i="15"/>
  <c r="CK10" i="15"/>
  <c r="CL10" i="15"/>
  <c r="CM10" i="15"/>
  <c r="CN10" i="15"/>
  <c r="CO10" i="15"/>
  <c r="CP10" i="15"/>
  <c r="CQ10" i="15"/>
  <c r="CR10" i="15"/>
  <c r="CS10" i="15"/>
  <c r="CT10" i="15"/>
  <c r="CU10" i="15"/>
  <c r="CV10" i="15"/>
  <c r="CW10" i="15"/>
  <c r="CX10" i="15"/>
  <c r="CY10" i="15"/>
  <c r="CZ10" i="15"/>
  <c r="DA10" i="15"/>
  <c r="DB10" i="15"/>
  <c r="DC10" i="15"/>
  <c r="DD10" i="15"/>
  <c r="DE10" i="15"/>
  <c r="DF10" i="15"/>
  <c r="DG10" i="15"/>
  <c r="DH10" i="15"/>
  <c r="DI10" i="15"/>
  <c r="DJ10" i="15"/>
  <c r="DK10" i="15"/>
  <c r="DL10" i="15"/>
  <c r="DM10" i="15"/>
  <c r="DN10" i="15"/>
  <c r="DO10" i="15"/>
  <c r="DP10" i="15"/>
  <c r="DQ10" i="15"/>
  <c r="DR10" i="15"/>
  <c r="DS10" i="15"/>
  <c r="DT10" i="15"/>
  <c r="DU10" i="15"/>
  <c r="DV10" i="15"/>
  <c r="DW10" i="15"/>
  <c r="DX10" i="15"/>
  <c r="DY10" i="15"/>
  <c r="DZ10" i="15"/>
  <c r="EA10" i="15"/>
  <c r="EB10" i="15"/>
  <c r="EC10" i="15"/>
  <c r="ED10" i="15"/>
  <c r="EE10" i="15"/>
  <c r="EF10" i="15"/>
  <c r="EG10" i="15"/>
  <c r="EH10" i="15"/>
  <c r="EI10" i="15"/>
  <c r="EJ10" i="15"/>
  <c r="EK10" i="15"/>
  <c r="EL10" i="15"/>
  <c r="EM10" i="15"/>
  <c r="EN10" i="15"/>
  <c r="EO10" i="15"/>
  <c r="EP10" i="15"/>
  <c r="EQ10" i="15"/>
  <c r="ER10" i="15"/>
  <c r="ES10" i="15"/>
  <c r="ET10" i="15"/>
  <c r="EU10" i="15"/>
  <c r="EV10" i="15"/>
  <c r="EW10" i="15"/>
  <c r="EX10" i="15"/>
  <c r="EY10" i="15"/>
  <c r="EZ10" i="15"/>
  <c r="FA10" i="15"/>
  <c r="FB10" i="15"/>
  <c r="FC10" i="15"/>
  <c r="FD10" i="15"/>
  <c r="FE10" i="15"/>
  <c r="FF10" i="15"/>
  <c r="FG10" i="15"/>
  <c r="FH10" i="15"/>
  <c r="FI10" i="15"/>
  <c r="FJ10" i="15"/>
  <c r="FK10" i="15"/>
  <c r="FL10" i="15"/>
  <c r="FM10" i="15"/>
  <c r="FN10" i="15"/>
  <c r="FO10" i="15"/>
  <c r="FP10" i="15"/>
  <c r="FQ10" i="15"/>
  <c r="FR10" i="15"/>
  <c r="FS10" i="15"/>
  <c r="FT10" i="15"/>
  <c r="FU10" i="15"/>
  <c r="FV10" i="15"/>
  <c r="FW10" i="15"/>
  <c r="FX10" i="15"/>
  <c r="FY10" i="15"/>
  <c r="FZ10" i="15"/>
  <c r="GA10" i="15"/>
  <c r="GB10" i="15"/>
  <c r="GC10" i="15"/>
  <c r="GD10" i="15"/>
  <c r="GE10" i="15"/>
  <c r="GF10" i="15"/>
  <c r="GG10" i="15"/>
  <c r="GH10" i="15"/>
  <c r="GI10" i="15"/>
  <c r="GJ10" i="15"/>
  <c r="GK10" i="15"/>
  <c r="GL10" i="15"/>
  <c r="GM10" i="15"/>
  <c r="GN10" i="15"/>
  <c r="GO10" i="15"/>
  <c r="GP10" i="15"/>
  <c r="GQ10" i="15"/>
  <c r="GR10" i="15"/>
  <c r="GS10" i="15"/>
  <c r="GT10" i="15"/>
  <c r="GU10" i="15"/>
  <c r="GV10" i="15"/>
  <c r="GW10" i="15"/>
  <c r="GX10" i="15"/>
  <c r="GY10" i="15"/>
  <c r="GZ10" i="15"/>
  <c r="HA10" i="15"/>
  <c r="HB10" i="15"/>
  <c r="HC10" i="15"/>
  <c r="HD10" i="15"/>
  <c r="HE10" i="15"/>
  <c r="HF10" i="15"/>
  <c r="HG10" i="15"/>
  <c r="HH10" i="15"/>
  <c r="HI10" i="15"/>
  <c r="HJ10" i="15"/>
  <c r="HK10" i="15"/>
  <c r="HL10" i="15"/>
  <c r="HM10" i="15"/>
  <c r="HN10" i="15"/>
  <c r="HO10" i="15"/>
  <c r="HP10" i="15"/>
  <c r="HQ10" i="15"/>
  <c r="HR10" i="15"/>
  <c r="HS10" i="15"/>
  <c r="HT10" i="15"/>
  <c r="HU10" i="15"/>
  <c r="HV10" i="15"/>
  <c r="HW10" i="15"/>
  <c r="HX10" i="15"/>
  <c r="HY10" i="15"/>
  <c r="HZ10" i="15"/>
  <c r="IA10" i="15"/>
  <c r="IB10" i="15"/>
  <c r="IC10" i="15"/>
  <c r="ID10" i="15"/>
  <c r="IE10" i="15"/>
  <c r="IF10" i="15"/>
  <c r="IG10" i="15"/>
  <c r="IH10" i="15"/>
  <c r="II10" i="15"/>
  <c r="IJ10" i="15"/>
  <c r="IK10" i="15"/>
  <c r="IL10" i="15"/>
  <c r="IM10" i="15"/>
  <c r="IN10" i="15"/>
  <c r="IO10" i="15"/>
  <c r="IP10" i="15"/>
  <c r="IQ10" i="15"/>
  <c r="IR10" i="15"/>
  <c r="IS10" i="15"/>
  <c r="IT10" i="15"/>
  <c r="IU10" i="15"/>
  <c r="IV10" i="15"/>
  <c r="A11"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AH11" i="15"/>
  <c r="AI11" i="15"/>
  <c r="AJ11" i="15"/>
  <c r="AK11" i="15"/>
  <c r="AL11" i="15"/>
  <c r="AM11" i="15"/>
  <c r="AN11" i="15"/>
  <c r="AO11" i="15"/>
  <c r="AP11" i="15"/>
  <c r="AQ11" i="15"/>
  <c r="AR11" i="15"/>
  <c r="AS11" i="15"/>
  <c r="AT11" i="15"/>
  <c r="AU11" i="15"/>
  <c r="AV11" i="15"/>
  <c r="AW11" i="15"/>
  <c r="AX11" i="15"/>
  <c r="AY11" i="15"/>
  <c r="AZ11" i="15"/>
  <c r="BA11" i="15"/>
  <c r="BB11" i="15"/>
  <c r="BC11" i="15"/>
  <c r="BD11" i="15"/>
  <c r="BE11" i="15"/>
  <c r="BF11" i="15"/>
  <c r="BG11" i="15"/>
  <c r="BH11" i="15"/>
  <c r="BI11" i="15"/>
  <c r="BJ11" i="15"/>
  <c r="BK11" i="15"/>
  <c r="BL11" i="15"/>
  <c r="BM11" i="15"/>
  <c r="BN11" i="15"/>
  <c r="BO11" i="15"/>
  <c r="BP11" i="15"/>
  <c r="BQ11" i="15"/>
  <c r="BR11" i="15"/>
  <c r="BS11" i="15"/>
  <c r="BT11" i="15"/>
  <c r="BU11" i="15"/>
  <c r="BV11" i="15"/>
  <c r="BW11" i="15"/>
  <c r="BX11" i="15"/>
  <c r="BY11" i="15"/>
  <c r="BZ11" i="15"/>
  <c r="CA11" i="15"/>
  <c r="CB11" i="15"/>
  <c r="CC11" i="15"/>
  <c r="CD11" i="15"/>
  <c r="CE11" i="15"/>
  <c r="CF11" i="15"/>
  <c r="CG11" i="15"/>
  <c r="CH11" i="15"/>
  <c r="CI11" i="15"/>
  <c r="CJ11" i="15"/>
  <c r="CK11" i="15"/>
  <c r="CL11" i="15"/>
  <c r="CM11" i="15"/>
  <c r="CN11" i="15"/>
  <c r="CO11" i="15"/>
  <c r="CP11" i="15"/>
  <c r="CQ11" i="15"/>
  <c r="CR11" i="15"/>
  <c r="CS11" i="15"/>
  <c r="CT11" i="15"/>
  <c r="CU11" i="15"/>
  <c r="CV11" i="15"/>
  <c r="CW11" i="15"/>
  <c r="CX11" i="15"/>
  <c r="CY11" i="15"/>
  <c r="CZ11" i="15"/>
  <c r="DA11" i="15"/>
  <c r="DB11" i="15"/>
  <c r="DC11" i="15"/>
  <c r="DD11" i="15"/>
  <c r="DE11" i="15"/>
  <c r="DF11" i="15"/>
  <c r="DG11" i="15"/>
  <c r="DH11" i="15"/>
  <c r="DI11" i="15"/>
  <c r="DJ11" i="15"/>
  <c r="DK11" i="15"/>
  <c r="DL11" i="15"/>
  <c r="DM11" i="15"/>
  <c r="DN11" i="15"/>
  <c r="DO11" i="15"/>
  <c r="DP11" i="15"/>
  <c r="DQ11" i="15"/>
  <c r="DR11" i="15"/>
  <c r="DS11" i="15"/>
  <c r="DT11" i="15"/>
  <c r="DU11" i="15"/>
  <c r="DV11" i="15"/>
  <c r="DW11" i="15"/>
  <c r="DX11" i="15"/>
  <c r="DY11" i="15"/>
  <c r="DZ11" i="15"/>
  <c r="EA11" i="15"/>
  <c r="EB11" i="15"/>
  <c r="EC11" i="15"/>
  <c r="ED11" i="15"/>
  <c r="EE11" i="15"/>
  <c r="EF11" i="15"/>
  <c r="EG11" i="15"/>
  <c r="EH11" i="15"/>
  <c r="EI11" i="15"/>
  <c r="EJ11" i="15"/>
  <c r="EK11" i="15"/>
  <c r="EL11" i="15"/>
  <c r="EM11" i="15"/>
  <c r="EN11" i="15"/>
  <c r="EO11" i="15"/>
  <c r="EP11" i="15"/>
  <c r="EQ11" i="15"/>
  <c r="ER11" i="15"/>
  <c r="ES11" i="15"/>
  <c r="ET11" i="15"/>
  <c r="EU11" i="15"/>
  <c r="EV11" i="15"/>
  <c r="EW11" i="15"/>
  <c r="EX11" i="15"/>
  <c r="EY11" i="15"/>
  <c r="EZ11" i="15"/>
  <c r="FA11" i="15"/>
  <c r="FB11" i="15"/>
  <c r="FC11" i="15"/>
  <c r="FD11" i="15"/>
  <c r="FE11" i="15"/>
  <c r="FF11" i="15"/>
  <c r="FG11" i="15"/>
  <c r="FH11" i="15"/>
  <c r="FI11" i="15"/>
  <c r="FJ11" i="15"/>
  <c r="FK11" i="15"/>
  <c r="FL11" i="15"/>
  <c r="FM11" i="15"/>
  <c r="FN11" i="15"/>
  <c r="FO11" i="15"/>
  <c r="FP11" i="15"/>
  <c r="FQ11" i="15"/>
  <c r="FR11" i="15"/>
  <c r="FS11" i="15"/>
  <c r="FT11" i="15"/>
  <c r="FU11" i="15"/>
  <c r="FV11" i="15"/>
  <c r="FW11" i="15"/>
  <c r="FX11" i="15"/>
  <c r="FY11" i="15"/>
  <c r="FZ11" i="15"/>
  <c r="GA11" i="15"/>
  <c r="GB11" i="15"/>
  <c r="GC11" i="15"/>
  <c r="GD11" i="15"/>
  <c r="GE11" i="15"/>
  <c r="GF11" i="15"/>
  <c r="GG11" i="15"/>
  <c r="GH11" i="15"/>
  <c r="GI11" i="15"/>
  <c r="GJ11" i="15"/>
  <c r="GK11" i="15"/>
  <c r="GL11" i="15"/>
  <c r="GM11" i="15"/>
  <c r="GN11" i="15"/>
  <c r="GO11" i="15"/>
  <c r="GP11" i="15"/>
  <c r="GQ11" i="15"/>
  <c r="GR11" i="15"/>
  <c r="GS11" i="15"/>
  <c r="GT11" i="15"/>
  <c r="GU11" i="15"/>
  <c r="GV11" i="15"/>
  <c r="GW11" i="15"/>
  <c r="GX11" i="15"/>
  <c r="GY11" i="15"/>
  <c r="GZ11" i="15"/>
  <c r="HA11" i="15"/>
  <c r="HB11" i="15"/>
  <c r="HC11" i="15"/>
  <c r="HD11" i="15"/>
  <c r="HE11" i="15"/>
  <c r="HF11" i="15"/>
  <c r="HG11" i="15"/>
  <c r="HH11" i="15"/>
  <c r="HI11" i="15"/>
  <c r="HJ11" i="15"/>
  <c r="HK11" i="15"/>
  <c r="HL11" i="15"/>
  <c r="HM11" i="15"/>
  <c r="HN11" i="15"/>
  <c r="HO11" i="15"/>
  <c r="HP11" i="15"/>
  <c r="HQ11" i="15"/>
  <c r="HR11" i="15"/>
  <c r="HS11" i="15"/>
  <c r="HT11" i="15"/>
  <c r="HU11" i="15"/>
  <c r="HV11" i="15"/>
  <c r="HW11" i="15"/>
  <c r="HX11" i="15"/>
  <c r="HY11" i="15"/>
  <c r="HZ11" i="15"/>
  <c r="IA11" i="15"/>
  <c r="IB11" i="15"/>
  <c r="IC11" i="15"/>
  <c r="ID11" i="15"/>
  <c r="IE11" i="15"/>
  <c r="IF11" i="15"/>
  <c r="IG11" i="15"/>
  <c r="IH11" i="15"/>
  <c r="II11" i="15"/>
  <c r="IJ11" i="15"/>
  <c r="IK11" i="15"/>
  <c r="IL11" i="15"/>
  <c r="IM11" i="15"/>
  <c r="IN11" i="15"/>
  <c r="IO11" i="15"/>
  <c r="IP11" i="15"/>
  <c r="IQ11" i="15"/>
  <c r="IR11" i="15"/>
  <c r="IS11" i="15"/>
  <c r="IT11" i="15"/>
  <c r="IU11" i="15"/>
  <c r="IV11" i="15"/>
  <c r="A12" i="15"/>
  <c r="B12" i="15"/>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AG12" i="15"/>
  <c r="AH12" i="15"/>
  <c r="AI12" i="15"/>
  <c r="AJ12" i="15"/>
  <c r="AK12" i="15"/>
  <c r="AL12" i="15"/>
  <c r="AM12" i="15"/>
  <c r="AN12" i="15"/>
  <c r="AO12" i="15"/>
  <c r="AP12" i="15"/>
  <c r="AQ12" i="15"/>
  <c r="AR12" i="15"/>
  <c r="AS12" i="15"/>
  <c r="AT12" i="15"/>
  <c r="AU12" i="15"/>
  <c r="AV12" i="15"/>
  <c r="AW12" i="15"/>
  <c r="AX12" i="15"/>
  <c r="AY12" i="15"/>
  <c r="AZ12" i="15"/>
  <c r="BA12" i="15"/>
  <c r="BB12" i="15"/>
  <c r="BC12" i="15"/>
  <c r="BD12" i="15"/>
  <c r="BE12" i="15"/>
  <c r="BF12" i="15"/>
  <c r="BG12" i="15"/>
  <c r="BH12" i="15"/>
  <c r="BI12" i="15"/>
  <c r="BJ12" i="15"/>
  <c r="BK12" i="15"/>
  <c r="BL12" i="15"/>
  <c r="BM12" i="15"/>
  <c r="BN12" i="15"/>
  <c r="BO12" i="15"/>
  <c r="BP12" i="15"/>
  <c r="BQ12" i="15"/>
  <c r="BR12" i="15"/>
  <c r="BS12" i="15"/>
  <c r="BT12" i="15"/>
  <c r="BU12" i="15"/>
  <c r="BV12" i="15"/>
  <c r="BW12" i="15"/>
  <c r="BX12" i="15"/>
  <c r="BY12" i="15"/>
  <c r="BZ12" i="15"/>
  <c r="CA12" i="15"/>
  <c r="CB12" i="15"/>
  <c r="CC12" i="15"/>
  <c r="CD12" i="15"/>
  <c r="CE12" i="15"/>
  <c r="CF12" i="15"/>
  <c r="CG12" i="15"/>
  <c r="CH12" i="15"/>
  <c r="CI12" i="15"/>
  <c r="CJ12" i="15"/>
  <c r="CK12" i="15"/>
  <c r="CL12" i="15"/>
  <c r="CM12" i="15"/>
  <c r="CN12" i="15"/>
  <c r="CO12" i="15"/>
  <c r="CP12" i="15"/>
  <c r="CQ12" i="15"/>
  <c r="CR12" i="15"/>
  <c r="CS12" i="15"/>
  <c r="CT12" i="15"/>
  <c r="CU12" i="15"/>
  <c r="CV12" i="15"/>
  <c r="CW12" i="15"/>
  <c r="CX12" i="15"/>
  <c r="CY12" i="15"/>
  <c r="CZ12" i="15"/>
  <c r="DA12" i="15"/>
  <c r="DB12" i="15"/>
  <c r="DC12" i="15"/>
  <c r="DD12" i="15"/>
  <c r="DE12" i="15"/>
  <c r="DF12" i="15"/>
  <c r="DG12" i="15"/>
  <c r="DH12" i="15"/>
  <c r="DI12" i="15"/>
  <c r="DJ12" i="15"/>
  <c r="DK12" i="15"/>
  <c r="DL12" i="15"/>
  <c r="DM12" i="15"/>
  <c r="DN12" i="15"/>
  <c r="DO12" i="15"/>
  <c r="DP12" i="15"/>
  <c r="DQ12" i="15"/>
  <c r="DR12" i="15"/>
  <c r="DS12" i="15"/>
  <c r="DT12" i="15"/>
  <c r="DU12" i="15"/>
  <c r="DV12" i="15"/>
  <c r="DW12" i="15"/>
  <c r="DX12" i="15"/>
  <c r="DY12" i="15"/>
  <c r="DZ12" i="15"/>
  <c r="EA12" i="15"/>
  <c r="EB12" i="15"/>
  <c r="EC12" i="15"/>
  <c r="ED12" i="15"/>
  <c r="EE12" i="15"/>
  <c r="EF12" i="15"/>
  <c r="EG12" i="15"/>
  <c r="EH12" i="15"/>
  <c r="EI12" i="15"/>
  <c r="EJ12" i="15"/>
  <c r="EK12" i="15"/>
  <c r="EL12" i="15"/>
  <c r="EM12" i="15"/>
  <c r="EN12" i="15"/>
  <c r="EO12" i="15"/>
  <c r="EP12" i="15"/>
  <c r="EQ12" i="15"/>
  <c r="ER12" i="15"/>
  <c r="ES12" i="15"/>
  <c r="ET12" i="15"/>
  <c r="EU12" i="15"/>
  <c r="EV12" i="15"/>
  <c r="EW12" i="15"/>
  <c r="EX12" i="15"/>
  <c r="EY12" i="15"/>
  <c r="EZ12" i="15"/>
  <c r="FA12" i="15"/>
  <c r="FB12" i="15"/>
  <c r="FC12" i="15"/>
  <c r="FD12" i="15"/>
  <c r="FE12" i="15"/>
  <c r="FF12" i="15"/>
  <c r="FG12" i="15"/>
  <c r="FH12" i="15"/>
  <c r="FI12" i="15"/>
  <c r="FJ12" i="15"/>
  <c r="FK12" i="15"/>
  <c r="FL12" i="15"/>
  <c r="FM12" i="15"/>
  <c r="FN12" i="15"/>
  <c r="FO12" i="15"/>
  <c r="FP12" i="15"/>
  <c r="FQ12" i="15"/>
  <c r="FR12" i="15"/>
  <c r="FS12" i="15"/>
  <c r="FT12" i="15"/>
  <c r="FU12" i="15"/>
  <c r="FV12" i="15"/>
  <c r="FW12" i="15"/>
  <c r="FX12" i="15"/>
  <c r="FY12" i="15"/>
  <c r="FZ12" i="15"/>
  <c r="GA12" i="15"/>
  <c r="GB12" i="15"/>
  <c r="GC12" i="15"/>
  <c r="GD12" i="15"/>
  <c r="GE12" i="15"/>
  <c r="GF12" i="15"/>
  <c r="GG12" i="15"/>
  <c r="GH12" i="15"/>
  <c r="GI12" i="15"/>
  <c r="GJ12" i="15"/>
  <c r="GK12" i="15"/>
  <c r="GL12" i="15"/>
  <c r="GM12" i="15"/>
  <c r="GN12" i="15"/>
  <c r="GO12" i="15"/>
  <c r="GP12" i="15"/>
  <c r="GQ12" i="15"/>
  <c r="GR12" i="15"/>
  <c r="GS12" i="15"/>
  <c r="GT12" i="15"/>
  <c r="GU12" i="15"/>
  <c r="GV12" i="15"/>
  <c r="GW12" i="15"/>
  <c r="GX12" i="15"/>
  <c r="GY12" i="15"/>
  <c r="GZ12" i="15"/>
  <c r="HA12" i="15"/>
  <c r="HB12" i="15"/>
  <c r="HC12" i="15"/>
  <c r="HD12" i="15"/>
  <c r="HE12" i="15"/>
  <c r="HF12" i="15"/>
  <c r="HG12" i="15"/>
  <c r="HH12" i="15"/>
  <c r="HI12" i="15"/>
  <c r="HJ12" i="15"/>
  <c r="HK12" i="15"/>
  <c r="HL12" i="15"/>
  <c r="HM12" i="15"/>
  <c r="HN12" i="15"/>
  <c r="HO12" i="15"/>
  <c r="HP12" i="15"/>
  <c r="HQ12" i="15"/>
  <c r="HR12" i="15"/>
  <c r="HS12" i="15"/>
  <c r="HT12" i="15"/>
  <c r="HU12" i="15"/>
  <c r="HV12" i="15"/>
  <c r="HW12" i="15"/>
  <c r="HX12" i="15"/>
  <c r="HY12" i="15"/>
  <c r="HZ12" i="15"/>
  <c r="IA12" i="15"/>
  <c r="IB12" i="15"/>
  <c r="IC12" i="15"/>
  <c r="ID12" i="15"/>
  <c r="IE12" i="15"/>
  <c r="IF12" i="15"/>
  <c r="IG12" i="15"/>
  <c r="IH12" i="15"/>
  <c r="II12" i="15"/>
  <c r="IJ12" i="15"/>
  <c r="IK12" i="15"/>
  <c r="IL12" i="15"/>
  <c r="IM12" i="15"/>
  <c r="IN12" i="15"/>
  <c r="IO12" i="15"/>
  <c r="IP12" i="15"/>
  <c r="IQ12" i="15"/>
  <c r="IR12" i="15"/>
  <c r="IS12" i="15"/>
  <c r="IT12" i="15"/>
  <c r="IU12" i="15"/>
  <c r="IV12" i="15"/>
  <c r="A13" i="15"/>
  <c r="B13" i="15"/>
  <c r="C13" i="15"/>
  <c r="D13" i="15"/>
  <c r="E13" i="15"/>
  <c r="F13" i="15"/>
  <c r="G13" i="15"/>
  <c r="H13" i="15"/>
  <c r="I13" i="15"/>
  <c r="J13" i="15"/>
  <c r="K13" i="15"/>
  <c r="L13" i="15"/>
  <c r="M13" i="15"/>
  <c r="N13" i="15"/>
  <c r="O13" i="15"/>
  <c r="P13" i="15"/>
  <c r="Q13" i="15"/>
  <c r="R13" i="15"/>
  <c r="S13" i="15"/>
  <c r="T13" i="15"/>
  <c r="U13" i="15"/>
  <c r="V13" i="15"/>
  <c r="W13" i="15"/>
  <c r="X13" i="15"/>
  <c r="Y13" i="15"/>
  <c r="Z13" i="15"/>
  <c r="AA13" i="15"/>
  <c r="AB13" i="15"/>
  <c r="AC13" i="15"/>
  <c r="AD13" i="15"/>
  <c r="AE13" i="15"/>
  <c r="AF13" i="15"/>
  <c r="AG13" i="15"/>
  <c r="AH13" i="15"/>
  <c r="AI13" i="15"/>
  <c r="AJ13" i="15"/>
  <c r="AK13" i="15"/>
  <c r="AL13" i="15"/>
  <c r="AM13" i="15"/>
  <c r="AN13" i="15"/>
  <c r="AO13" i="15"/>
  <c r="AP13" i="15"/>
  <c r="AQ13" i="15"/>
  <c r="AR13" i="15"/>
  <c r="AS13" i="15"/>
  <c r="AT13" i="15"/>
  <c r="AU13" i="15"/>
  <c r="AV13" i="15"/>
  <c r="AW13" i="15"/>
  <c r="AX13" i="15"/>
  <c r="AY13" i="15"/>
  <c r="AZ13" i="15"/>
  <c r="BA13" i="15"/>
  <c r="BB13" i="15"/>
  <c r="BC13" i="15"/>
  <c r="BD13" i="15"/>
  <c r="BE13" i="15"/>
  <c r="BF13" i="15"/>
  <c r="BG13" i="15"/>
  <c r="BH13" i="15"/>
  <c r="BI13" i="15"/>
  <c r="BJ13" i="15"/>
  <c r="BK13" i="15"/>
  <c r="BL13" i="15"/>
  <c r="BM13" i="15"/>
  <c r="BN13" i="15"/>
  <c r="BO13" i="15"/>
  <c r="BP13" i="15"/>
  <c r="BQ13" i="15"/>
  <c r="BR13" i="15"/>
  <c r="BS13" i="15"/>
  <c r="BT13" i="15"/>
  <c r="BU13" i="15"/>
  <c r="BV13" i="15"/>
  <c r="BW13" i="15"/>
  <c r="BX13" i="15"/>
  <c r="BY13" i="15"/>
  <c r="BZ13" i="15"/>
  <c r="CA13" i="15"/>
  <c r="CB13" i="15"/>
  <c r="CC13" i="15"/>
  <c r="CD13" i="15"/>
  <c r="CE13" i="15"/>
  <c r="CF13" i="15"/>
  <c r="CG13" i="15"/>
  <c r="CH13" i="15"/>
  <c r="CI13" i="15"/>
  <c r="CJ13" i="15"/>
  <c r="CK13" i="15"/>
  <c r="CL13" i="15"/>
  <c r="CM13" i="15"/>
  <c r="CN13" i="15"/>
  <c r="CO13" i="15"/>
  <c r="CP13" i="15"/>
  <c r="CQ13" i="15"/>
  <c r="CR13" i="15"/>
  <c r="CS13" i="15"/>
  <c r="CT13" i="15"/>
  <c r="CU13" i="15"/>
  <c r="CV13" i="15"/>
  <c r="CW13" i="15"/>
  <c r="CX13" i="15"/>
  <c r="CY13" i="15"/>
  <c r="CZ13" i="15"/>
  <c r="DA13" i="15"/>
  <c r="DB13" i="15"/>
  <c r="DC13" i="15"/>
  <c r="DD13" i="15"/>
  <c r="DE13" i="15"/>
  <c r="DF13" i="15"/>
  <c r="DG13" i="15"/>
  <c r="DH13" i="15"/>
  <c r="DI13" i="15"/>
  <c r="DJ13" i="15"/>
  <c r="DK13" i="15"/>
  <c r="DL13" i="15"/>
  <c r="DM13" i="15"/>
  <c r="DN13" i="15"/>
  <c r="DO13" i="15"/>
  <c r="DP13" i="15"/>
  <c r="DQ13" i="15"/>
  <c r="DR13" i="15"/>
  <c r="DS13" i="15"/>
  <c r="DT13" i="15"/>
  <c r="DU13" i="15"/>
  <c r="DV13" i="15"/>
  <c r="DW13" i="15"/>
  <c r="DX13" i="15"/>
  <c r="DY13" i="15"/>
  <c r="DZ13" i="15"/>
  <c r="EA13" i="15"/>
  <c r="EB13" i="15"/>
  <c r="EC13" i="15"/>
  <c r="ED13" i="15"/>
  <c r="EE13" i="15"/>
  <c r="EF13" i="15"/>
  <c r="EG13" i="15"/>
  <c r="EH13" i="15"/>
  <c r="EI13" i="15"/>
  <c r="EJ13" i="15"/>
  <c r="EK13" i="15"/>
  <c r="EL13" i="15"/>
  <c r="EM13" i="15"/>
  <c r="EN13" i="15"/>
  <c r="EO13" i="15"/>
  <c r="EP13" i="15"/>
  <c r="EQ13" i="15"/>
  <c r="ER13" i="15"/>
  <c r="ES13" i="15"/>
  <c r="ET13" i="15"/>
  <c r="EU13" i="15"/>
  <c r="EV13" i="15"/>
  <c r="EW13" i="15"/>
  <c r="EX13" i="15"/>
  <c r="EY13" i="15"/>
  <c r="EZ13" i="15"/>
  <c r="FA13" i="15"/>
  <c r="FB13" i="15"/>
  <c r="FC13" i="15"/>
  <c r="FD13" i="15"/>
  <c r="FE13" i="15"/>
  <c r="FF13" i="15"/>
  <c r="FG13" i="15"/>
  <c r="FH13" i="15"/>
  <c r="FI13" i="15"/>
  <c r="FJ13" i="15"/>
  <c r="FK13" i="15"/>
  <c r="FL13" i="15"/>
  <c r="FM13" i="15"/>
  <c r="FN13" i="15"/>
  <c r="FO13" i="15"/>
  <c r="FP13" i="15"/>
  <c r="FQ13" i="15"/>
  <c r="FR13" i="15"/>
  <c r="FS13" i="15"/>
  <c r="FT13" i="15"/>
  <c r="FU13" i="15"/>
  <c r="FV13" i="15"/>
  <c r="FW13" i="15"/>
  <c r="FX13" i="15"/>
  <c r="FY13" i="15"/>
  <c r="FZ13" i="15"/>
  <c r="GA13" i="15"/>
  <c r="GB13" i="15"/>
  <c r="GC13" i="15"/>
  <c r="GD13" i="15"/>
  <c r="GE13" i="15"/>
  <c r="GF13" i="15"/>
  <c r="GG13" i="15"/>
  <c r="GH13" i="15"/>
  <c r="GI13" i="15"/>
  <c r="GJ13" i="15"/>
  <c r="GK13" i="15"/>
  <c r="GL13" i="15"/>
  <c r="GM13" i="15"/>
  <c r="GN13" i="15"/>
  <c r="GO13" i="15"/>
  <c r="GP13" i="15"/>
  <c r="GQ13" i="15"/>
  <c r="GR13" i="15"/>
  <c r="GS13" i="15"/>
  <c r="GT13" i="15"/>
  <c r="GU13" i="15"/>
  <c r="GV13" i="15"/>
  <c r="GW13" i="15"/>
  <c r="GX13" i="15"/>
  <c r="GY13" i="15"/>
  <c r="GZ13" i="15"/>
  <c r="HA13" i="15"/>
  <c r="HB13" i="15"/>
  <c r="HC13" i="15"/>
  <c r="HD13" i="15"/>
  <c r="HE13" i="15"/>
  <c r="HF13" i="15"/>
  <c r="HG13" i="15"/>
  <c r="HH13" i="15"/>
  <c r="HI13" i="15"/>
  <c r="HJ13" i="15"/>
  <c r="HK13" i="15"/>
  <c r="HL13" i="15"/>
  <c r="HM13" i="15"/>
  <c r="HN13" i="15"/>
  <c r="HO13" i="15"/>
  <c r="HP13" i="15"/>
  <c r="HQ13" i="15"/>
  <c r="HR13" i="15"/>
  <c r="HS13" i="15"/>
  <c r="HT13" i="15"/>
  <c r="HU13" i="15"/>
  <c r="HV13" i="15"/>
  <c r="HW13" i="15"/>
  <c r="HX13" i="15"/>
  <c r="HY13" i="15"/>
  <c r="HZ13" i="15"/>
  <c r="IA13" i="15"/>
  <c r="IB13" i="15"/>
  <c r="IC13" i="15"/>
  <c r="ID13" i="15"/>
  <c r="IE13" i="15"/>
  <c r="IF13" i="15"/>
  <c r="IG13" i="15"/>
  <c r="IH13" i="15"/>
  <c r="II13" i="15"/>
  <c r="IJ13" i="15"/>
  <c r="IK13" i="15"/>
  <c r="IL13" i="15"/>
  <c r="IM13" i="15"/>
  <c r="IN13" i="15"/>
  <c r="IO13" i="15"/>
  <c r="IP13" i="15"/>
  <c r="IQ13" i="15"/>
  <c r="IR13" i="15"/>
  <c r="IS13" i="15"/>
  <c r="IT13" i="15"/>
  <c r="IU13" i="15"/>
  <c r="IV13" i="15"/>
  <c r="A14" i="15"/>
  <c r="B14" i="15"/>
  <c r="C14" i="15"/>
  <c r="D14" i="15"/>
  <c r="E14" i="15"/>
  <c r="F14"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AH14" i="15"/>
  <c r="AI14" i="15"/>
  <c r="AJ14" i="15"/>
  <c r="AK14" i="15"/>
  <c r="AL14" i="15"/>
  <c r="AM14" i="15"/>
  <c r="AN14" i="15"/>
  <c r="AO14" i="15"/>
  <c r="AP14" i="15"/>
  <c r="AQ14" i="15"/>
  <c r="AR14" i="15"/>
  <c r="AS14" i="15"/>
  <c r="AT14" i="15"/>
  <c r="AU14" i="15"/>
  <c r="AV14" i="15"/>
  <c r="AW14" i="15"/>
  <c r="AX14" i="15"/>
  <c r="AY14" i="15"/>
  <c r="AZ14" i="15"/>
  <c r="BA14" i="15"/>
  <c r="BB14" i="15"/>
  <c r="BC14" i="15"/>
  <c r="BD14" i="15"/>
  <c r="BE14" i="15"/>
  <c r="BF14" i="15"/>
  <c r="BG14" i="15"/>
  <c r="BH14" i="15"/>
  <c r="BI14" i="15"/>
  <c r="BJ14" i="15"/>
  <c r="BK14" i="15"/>
  <c r="BL14" i="15"/>
  <c r="BM14" i="15"/>
  <c r="BN14" i="15"/>
  <c r="BO14" i="15"/>
  <c r="BP14" i="15"/>
  <c r="BQ14" i="15"/>
  <c r="BR14" i="15"/>
  <c r="BS14" i="15"/>
  <c r="BT14" i="15"/>
  <c r="BU14" i="15"/>
  <c r="BV14" i="15"/>
  <c r="BW14" i="15"/>
  <c r="BX14" i="15"/>
  <c r="BY14" i="15"/>
  <c r="BZ14" i="15"/>
  <c r="CA14" i="15"/>
  <c r="CB14" i="15"/>
  <c r="CC14" i="15"/>
  <c r="CD14" i="15"/>
  <c r="CE14" i="15"/>
  <c r="CF14" i="15"/>
  <c r="CG14" i="15"/>
  <c r="CH14" i="15"/>
  <c r="CI14" i="15"/>
  <c r="CJ14" i="15"/>
  <c r="CK14" i="15"/>
  <c r="CL14" i="15"/>
  <c r="CM14" i="15"/>
  <c r="CN14" i="15"/>
  <c r="CO14" i="15"/>
  <c r="CP14" i="15"/>
  <c r="CQ14" i="15"/>
  <c r="CR14" i="15"/>
  <c r="CS14" i="15"/>
  <c r="CT14" i="15"/>
  <c r="CU14" i="15"/>
  <c r="CV14" i="15"/>
  <c r="CW14" i="15"/>
  <c r="CX14" i="15"/>
  <c r="CY14" i="15"/>
  <c r="CZ14" i="15"/>
  <c r="DA14" i="15"/>
  <c r="DB14" i="15"/>
  <c r="DC14" i="15"/>
  <c r="DD14" i="15"/>
  <c r="DE14" i="15"/>
  <c r="DF14" i="15"/>
  <c r="DG14" i="15"/>
  <c r="DH14" i="15"/>
  <c r="DI14" i="15"/>
  <c r="DJ14" i="15"/>
  <c r="DK14" i="15"/>
  <c r="DL14" i="15"/>
  <c r="DM14" i="15"/>
  <c r="DN14" i="15"/>
  <c r="DO14" i="15"/>
  <c r="DP14" i="15"/>
  <c r="DQ14" i="15"/>
  <c r="DR14" i="15"/>
  <c r="DS14" i="15"/>
  <c r="DT14" i="15"/>
  <c r="DU14" i="15"/>
  <c r="DV14" i="15"/>
  <c r="DW14" i="15"/>
  <c r="DX14" i="15"/>
  <c r="DY14" i="15"/>
  <c r="DZ14" i="15"/>
  <c r="EA14" i="15"/>
  <c r="EB14" i="15"/>
  <c r="EC14" i="15"/>
  <c r="ED14" i="15"/>
  <c r="EE14" i="15"/>
  <c r="EF14" i="15"/>
  <c r="EG14" i="15"/>
  <c r="EH14" i="15"/>
  <c r="EI14" i="15"/>
  <c r="EJ14" i="15"/>
  <c r="EK14" i="15"/>
  <c r="EL14" i="15"/>
  <c r="EM14" i="15"/>
  <c r="EN14" i="15"/>
  <c r="EO14" i="15"/>
  <c r="EP14" i="15"/>
  <c r="EQ14" i="15"/>
  <c r="ER14" i="15"/>
  <c r="ES14" i="15"/>
  <c r="ET14" i="15"/>
  <c r="EU14" i="15"/>
  <c r="EV14" i="15"/>
  <c r="EW14" i="15"/>
  <c r="EX14" i="15"/>
  <c r="EY14" i="15"/>
  <c r="EZ14" i="15"/>
  <c r="FA14" i="15"/>
  <c r="FB14" i="15"/>
  <c r="FC14" i="15"/>
  <c r="FD14" i="15"/>
  <c r="FE14" i="15"/>
  <c r="FF14" i="15"/>
  <c r="FG14" i="15"/>
  <c r="FH14" i="15"/>
  <c r="FI14" i="15"/>
  <c r="FJ14" i="15"/>
  <c r="FK14" i="15"/>
  <c r="FL14" i="15"/>
  <c r="FM14" i="15"/>
  <c r="FN14" i="15"/>
  <c r="FO14" i="15"/>
  <c r="FP14" i="15"/>
  <c r="FQ14" i="15"/>
  <c r="FR14" i="15"/>
  <c r="FS14" i="15"/>
  <c r="FT14" i="15"/>
  <c r="FU14" i="15"/>
  <c r="FV14" i="15"/>
  <c r="FW14" i="15"/>
  <c r="FX14" i="15"/>
  <c r="FY14" i="15"/>
  <c r="FZ14" i="15"/>
  <c r="GA14" i="15"/>
  <c r="GB14" i="15"/>
  <c r="GC14" i="15"/>
  <c r="GD14" i="15"/>
  <c r="GE14" i="15"/>
  <c r="GF14" i="15"/>
  <c r="GG14" i="15"/>
  <c r="GH14" i="15"/>
  <c r="GI14" i="15"/>
  <c r="GJ14" i="15"/>
  <c r="GK14" i="15"/>
  <c r="GL14" i="15"/>
  <c r="GM14" i="15"/>
  <c r="GN14" i="15"/>
  <c r="GO14" i="15"/>
  <c r="GP14" i="15"/>
  <c r="GQ14" i="15"/>
  <c r="GR14" i="15"/>
  <c r="GS14" i="15"/>
  <c r="GT14" i="15"/>
  <c r="GU14" i="15"/>
  <c r="GV14" i="15"/>
  <c r="GW14" i="15"/>
  <c r="GX14" i="15"/>
  <c r="GY14" i="15"/>
  <c r="GZ14" i="15"/>
  <c r="HA14" i="15"/>
  <c r="HB14" i="15"/>
  <c r="HC14" i="15"/>
  <c r="HD14" i="15"/>
  <c r="HE14" i="15"/>
  <c r="HF14" i="15"/>
  <c r="HG14" i="15"/>
  <c r="HH14" i="15"/>
  <c r="HI14" i="15"/>
  <c r="HJ14" i="15"/>
  <c r="HK14" i="15"/>
  <c r="HL14" i="15"/>
  <c r="HM14" i="15"/>
  <c r="HN14" i="15"/>
  <c r="HO14" i="15"/>
  <c r="HP14" i="15"/>
  <c r="HQ14" i="15"/>
  <c r="HR14" i="15"/>
  <c r="HS14" i="15"/>
  <c r="HT14" i="15"/>
  <c r="HU14" i="15"/>
  <c r="HV14" i="15"/>
  <c r="HW14" i="15"/>
  <c r="HX14" i="15"/>
  <c r="HY14" i="15"/>
  <c r="HZ14" i="15"/>
  <c r="IA14" i="15"/>
  <c r="IB14" i="15"/>
  <c r="IC14" i="15"/>
  <c r="ID14" i="15"/>
  <c r="IE14" i="15"/>
  <c r="IF14" i="15"/>
  <c r="IG14" i="15"/>
  <c r="IH14" i="15"/>
  <c r="II14" i="15"/>
  <c r="IJ14" i="15"/>
  <c r="IK14" i="15"/>
  <c r="IL14" i="15"/>
  <c r="IM14" i="15"/>
  <c r="IN14" i="15"/>
  <c r="IO14" i="15"/>
  <c r="IP14" i="15"/>
  <c r="IQ14" i="15"/>
  <c r="IR14" i="15"/>
  <c r="IS14" i="15"/>
  <c r="IT14" i="15"/>
  <c r="IU14" i="15"/>
  <c r="IV14" i="15"/>
  <c r="A15" i="15"/>
  <c r="B15" i="15"/>
  <c r="C15" i="15"/>
  <c r="D15" i="15"/>
  <c r="E15" i="15"/>
  <c r="F15"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AH15" i="15"/>
  <c r="AI15" i="15"/>
  <c r="AJ15" i="15"/>
  <c r="AK15" i="15"/>
  <c r="AL15" i="15"/>
  <c r="AM15" i="15"/>
  <c r="AN15" i="15"/>
  <c r="AO15" i="15"/>
  <c r="AP15" i="15"/>
  <c r="AQ15" i="15"/>
  <c r="AR15" i="15"/>
  <c r="AS15" i="15"/>
  <c r="AT15" i="15"/>
  <c r="AU15" i="15"/>
  <c r="AV15" i="15"/>
  <c r="AW15" i="15"/>
  <c r="AX15" i="15"/>
  <c r="AY15" i="15"/>
  <c r="AZ15" i="15"/>
  <c r="BA15" i="15"/>
  <c r="BB15" i="15"/>
  <c r="BC15" i="15"/>
  <c r="BD15" i="15"/>
  <c r="BE15" i="15"/>
  <c r="BF15" i="15"/>
  <c r="BG15" i="15"/>
  <c r="BH15" i="15"/>
  <c r="BI15" i="15"/>
  <c r="BJ15" i="15"/>
  <c r="BK15" i="15"/>
  <c r="BL15" i="15"/>
  <c r="BM15" i="15"/>
  <c r="BN15" i="15"/>
  <c r="BO15" i="15"/>
  <c r="BP15" i="15"/>
  <c r="BQ15" i="15"/>
  <c r="BR15" i="15"/>
  <c r="BS15" i="15"/>
  <c r="BT15" i="15"/>
  <c r="BU15" i="15"/>
  <c r="BV15" i="15"/>
  <c r="BW15" i="15"/>
  <c r="BX15" i="15"/>
  <c r="BY15" i="15"/>
  <c r="BZ15" i="15"/>
  <c r="CA15" i="15"/>
  <c r="CB15" i="15"/>
  <c r="CC15" i="15"/>
  <c r="CD15" i="15"/>
  <c r="CE15" i="15"/>
  <c r="CF15" i="15"/>
  <c r="CG15" i="15"/>
  <c r="CH15" i="15"/>
  <c r="CI15" i="15"/>
  <c r="CJ15" i="15"/>
  <c r="CK15" i="15"/>
  <c r="CL15" i="15"/>
  <c r="CM15" i="15"/>
  <c r="CN15" i="15"/>
  <c r="CO15" i="15"/>
  <c r="CP15" i="15"/>
  <c r="CQ15" i="15"/>
  <c r="CR15" i="15"/>
  <c r="CS15" i="15"/>
  <c r="CT15" i="15"/>
  <c r="CU15" i="15"/>
  <c r="CV15" i="15"/>
  <c r="CW15" i="15"/>
  <c r="CX15" i="15"/>
  <c r="CY15" i="15"/>
  <c r="CZ15" i="15"/>
  <c r="DA15" i="15"/>
  <c r="DB15" i="15"/>
  <c r="DC15" i="15"/>
  <c r="DD15" i="15"/>
  <c r="DE15" i="15"/>
  <c r="DF15" i="15"/>
  <c r="DG15" i="15"/>
  <c r="DH15" i="15"/>
  <c r="DI15" i="15"/>
  <c r="DJ15" i="15"/>
  <c r="DK15" i="15"/>
  <c r="DL15" i="15"/>
  <c r="DM15" i="15"/>
  <c r="DN15" i="15"/>
  <c r="DO15" i="15"/>
  <c r="DP15" i="15"/>
  <c r="DQ15" i="15"/>
  <c r="DR15" i="15"/>
  <c r="DS15" i="15"/>
  <c r="DT15" i="15"/>
  <c r="DU15" i="15"/>
  <c r="DV15" i="15"/>
  <c r="DW15" i="15"/>
  <c r="DX15" i="15"/>
  <c r="DY15" i="15"/>
  <c r="DZ15" i="15"/>
  <c r="EA15" i="15"/>
  <c r="EB15" i="15"/>
  <c r="EC15" i="15"/>
  <c r="ED15" i="15"/>
  <c r="EE15" i="15"/>
  <c r="EF15" i="15"/>
  <c r="EG15" i="15"/>
  <c r="EH15" i="15"/>
  <c r="EI15" i="15"/>
  <c r="EJ15" i="15"/>
  <c r="EK15" i="15"/>
  <c r="EL15" i="15"/>
  <c r="EM15" i="15"/>
  <c r="EN15" i="15"/>
  <c r="EO15" i="15"/>
  <c r="EP15" i="15"/>
  <c r="EQ15" i="15"/>
  <c r="ER15" i="15"/>
  <c r="ES15" i="15"/>
  <c r="ET15" i="15"/>
  <c r="EU15" i="15"/>
  <c r="EV15" i="15"/>
  <c r="EW15" i="15"/>
  <c r="EX15" i="15"/>
  <c r="EY15" i="15"/>
  <c r="EZ15" i="15"/>
  <c r="FA15" i="15"/>
  <c r="FB15" i="15"/>
  <c r="FC15" i="15"/>
  <c r="FD15" i="15"/>
  <c r="FE15" i="15"/>
  <c r="FF15" i="15"/>
  <c r="FG15" i="15"/>
  <c r="FH15" i="15"/>
  <c r="FI15" i="15"/>
  <c r="FJ15" i="15"/>
  <c r="FK15" i="15"/>
  <c r="FL15" i="15"/>
  <c r="FM15" i="15"/>
  <c r="FN15" i="15"/>
  <c r="FO15" i="15"/>
  <c r="FP15" i="15"/>
  <c r="FQ15" i="15"/>
  <c r="FR15" i="15"/>
  <c r="FS15" i="15"/>
  <c r="FT15" i="15"/>
  <c r="FU15" i="15"/>
  <c r="FV15" i="15"/>
  <c r="FW15" i="15"/>
  <c r="FX15" i="15"/>
  <c r="FY15" i="15"/>
  <c r="FZ15" i="15"/>
  <c r="GA15" i="15"/>
  <c r="GB15" i="15"/>
  <c r="GC15" i="15"/>
  <c r="GD15" i="15"/>
  <c r="GE15" i="15"/>
  <c r="GF15" i="15"/>
  <c r="GG15" i="15"/>
  <c r="GH15" i="15"/>
  <c r="GI15" i="15"/>
  <c r="GJ15" i="15"/>
  <c r="GK15" i="15"/>
  <c r="GL15" i="15"/>
  <c r="GM15" i="15"/>
  <c r="GN15" i="15"/>
  <c r="GO15" i="15"/>
  <c r="GP15" i="15"/>
  <c r="GQ15" i="15"/>
  <c r="GR15" i="15"/>
  <c r="GS15" i="15"/>
  <c r="GT15" i="15"/>
  <c r="GU15" i="15"/>
  <c r="GV15" i="15"/>
  <c r="GW15" i="15"/>
  <c r="GX15" i="15"/>
  <c r="GY15" i="15"/>
  <c r="GZ15" i="15"/>
  <c r="HA15" i="15"/>
  <c r="HB15" i="15"/>
  <c r="HC15" i="15"/>
  <c r="HD15" i="15"/>
  <c r="HE15" i="15"/>
  <c r="HF15" i="15"/>
  <c r="HG15" i="15"/>
  <c r="HH15" i="15"/>
  <c r="HI15" i="15"/>
  <c r="HJ15" i="15"/>
  <c r="HK15" i="15"/>
  <c r="HL15" i="15"/>
  <c r="HM15" i="15"/>
  <c r="HN15" i="15"/>
  <c r="HO15" i="15"/>
  <c r="HP15" i="15"/>
  <c r="HQ15" i="15"/>
  <c r="HR15" i="15"/>
  <c r="HS15" i="15"/>
  <c r="HT15" i="15"/>
  <c r="HU15" i="15"/>
  <c r="HV15" i="15"/>
  <c r="HW15" i="15"/>
  <c r="HX15" i="15"/>
  <c r="HY15" i="15"/>
  <c r="HZ15" i="15"/>
  <c r="IA15" i="15"/>
  <c r="IB15" i="15"/>
  <c r="IC15" i="15"/>
  <c r="ID15" i="15"/>
  <c r="IE15" i="15"/>
  <c r="IF15" i="15"/>
  <c r="IG15" i="15"/>
  <c r="IH15" i="15"/>
  <c r="II15" i="15"/>
  <c r="IJ15" i="15"/>
  <c r="IK15" i="15"/>
  <c r="IL15" i="15"/>
  <c r="IM15" i="15"/>
  <c r="IN15" i="15"/>
  <c r="IO15" i="15"/>
  <c r="IP15" i="15"/>
  <c r="IQ15" i="15"/>
  <c r="IR15" i="15"/>
  <c r="IS15" i="15"/>
  <c r="IT15" i="15"/>
  <c r="IU15" i="15"/>
  <c r="IV15" i="15"/>
  <c r="A16" i="15"/>
  <c r="B16" i="15"/>
  <c r="C16" i="15"/>
  <c r="D16" i="15"/>
  <c r="E16" i="15"/>
  <c r="F16" i="15"/>
  <c r="G16" i="15"/>
  <c r="H16" i="15"/>
  <c r="I16" i="15"/>
  <c r="J16" i="15"/>
  <c r="K16" i="15"/>
  <c r="L16" i="15"/>
  <c r="M16" i="15"/>
  <c r="N16" i="15"/>
  <c r="O16" i="15"/>
  <c r="P16" i="15"/>
  <c r="Q16" i="15"/>
  <c r="R16" i="15"/>
  <c r="S16" i="15"/>
  <c r="T16" i="15"/>
  <c r="U16" i="15"/>
  <c r="V16" i="15"/>
  <c r="W16" i="15"/>
  <c r="X16" i="15"/>
  <c r="Y16" i="15"/>
  <c r="Z16" i="15"/>
  <c r="AA16" i="15"/>
  <c r="AB16" i="15"/>
  <c r="AC16" i="15"/>
  <c r="AD16" i="15"/>
  <c r="AE16" i="15"/>
  <c r="AF16" i="15"/>
  <c r="AG16" i="15"/>
  <c r="AH16" i="15"/>
  <c r="AI16" i="15"/>
  <c r="AJ16" i="15"/>
  <c r="AK16" i="15"/>
  <c r="AL16" i="15"/>
  <c r="AM16" i="15"/>
  <c r="AN16" i="15"/>
  <c r="AO16" i="15"/>
  <c r="AP16" i="15"/>
  <c r="AQ16" i="15"/>
  <c r="AR16" i="15"/>
  <c r="AS16" i="15"/>
  <c r="AT16" i="15"/>
  <c r="AU16" i="15"/>
  <c r="AV16" i="15"/>
  <c r="AW16" i="15"/>
  <c r="AX16" i="15"/>
  <c r="AY16" i="15"/>
  <c r="AZ16" i="15"/>
  <c r="BA16" i="15"/>
  <c r="BB16" i="15"/>
  <c r="BC16" i="15"/>
  <c r="BD16" i="15"/>
  <c r="BE16" i="15"/>
  <c r="BF16" i="15"/>
  <c r="BG16" i="15"/>
  <c r="BH16" i="15"/>
  <c r="BI16" i="15"/>
  <c r="BJ16" i="15"/>
  <c r="BK16" i="15"/>
  <c r="BL16" i="15"/>
  <c r="BM16" i="15"/>
  <c r="BN16" i="15"/>
  <c r="BO16" i="15"/>
  <c r="BP16" i="15"/>
  <c r="BQ16" i="15"/>
  <c r="BR16" i="15"/>
  <c r="BS16" i="15"/>
  <c r="BT16" i="15"/>
  <c r="BU16" i="15"/>
  <c r="BV16" i="15"/>
  <c r="BW16" i="15"/>
  <c r="BX16" i="15"/>
  <c r="BY16" i="15"/>
  <c r="BZ16" i="15"/>
  <c r="CA16" i="15"/>
  <c r="CB16" i="15"/>
  <c r="CC16" i="15"/>
  <c r="CD16" i="15"/>
  <c r="CE16" i="15"/>
  <c r="CF16" i="15"/>
  <c r="CG16" i="15"/>
  <c r="CH16" i="15"/>
  <c r="CI16" i="15"/>
  <c r="CJ16" i="15"/>
  <c r="CK16" i="15"/>
  <c r="CL16" i="15"/>
  <c r="CM16" i="15"/>
  <c r="CN16" i="15"/>
  <c r="CO16" i="15"/>
  <c r="CP16" i="15"/>
  <c r="CQ16" i="15"/>
  <c r="CR16" i="15"/>
  <c r="CS16" i="15"/>
  <c r="CT16" i="15"/>
  <c r="CU16" i="15"/>
  <c r="CV16" i="15"/>
  <c r="CW16" i="15"/>
  <c r="CX16" i="15"/>
  <c r="CY16" i="15"/>
  <c r="CZ16" i="15"/>
  <c r="DA16" i="15"/>
  <c r="DB16" i="15"/>
  <c r="DC16" i="15"/>
  <c r="DD16" i="15"/>
  <c r="DE16" i="15"/>
  <c r="DF16" i="15"/>
  <c r="DG16" i="15"/>
  <c r="DH16" i="15"/>
  <c r="DI16" i="15"/>
  <c r="DJ16" i="15"/>
  <c r="DK16" i="15"/>
  <c r="DL16" i="15"/>
  <c r="DM16" i="15"/>
  <c r="DN16" i="15"/>
  <c r="DO16" i="15"/>
  <c r="DP16" i="15"/>
  <c r="DQ16" i="15"/>
  <c r="DR16" i="15"/>
  <c r="DS16" i="15"/>
  <c r="DT16" i="15"/>
  <c r="DU16" i="15"/>
  <c r="DV16" i="15"/>
  <c r="DW16" i="15"/>
  <c r="DX16" i="15"/>
  <c r="DY16" i="15"/>
  <c r="DZ16" i="15"/>
  <c r="EA16" i="15"/>
  <c r="EB16" i="15"/>
  <c r="EC16" i="15"/>
  <c r="ED16" i="15"/>
  <c r="EE16" i="15"/>
  <c r="EF16" i="15"/>
  <c r="EG16" i="15"/>
  <c r="EH16" i="15"/>
  <c r="EI16" i="15"/>
  <c r="EJ16" i="15"/>
  <c r="EK16" i="15"/>
  <c r="EL16" i="15"/>
  <c r="EM16" i="15"/>
  <c r="EN16" i="15"/>
  <c r="EO16" i="15"/>
  <c r="EP16" i="15"/>
  <c r="EQ16" i="15"/>
  <c r="ER16" i="15"/>
  <c r="ES16" i="15"/>
  <c r="ET16" i="15"/>
  <c r="EU16" i="15"/>
  <c r="EV16" i="15"/>
  <c r="EW16" i="15"/>
  <c r="EX16" i="15"/>
  <c r="EY16" i="15"/>
  <c r="EZ16" i="15"/>
  <c r="FA16" i="15"/>
  <c r="FB16" i="15"/>
  <c r="FC16" i="15"/>
  <c r="FD16" i="15"/>
  <c r="FE16" i="15"/>
  <c r="FF16" i="15"/>
  <c r="FG16" i="15"/>
  <c r="FH16" i="15"/>
  <c r="FI16" i="15"/>
  <c r="FJ16" i="15"/>
  <c r="FK16" i="15"/>
  <c r="FL16" i="15"/>
  <c r="FM16" i="15"/>
  <c r="FN16" i="15"/>
  <c r="FO16" i="15"/>
  <c r="FP16" i="15"/>
  <c r="FQ16" i="15"/>
  <c r="FR16" i="15"/>
  <c r="FS16" i="15"/>
  <c r="FT16" i="15"/>
  <c r="FU16" i="15"/>
  <c r="FV16" i="15"/>
  <c r="FW16" i="15"/>
  <c r="FX16" i="15"/>
  <c r="FY16" i="15"/>
  <c r="FZ16" i="15"/>
  <c r="GA16" i="15"/>
  <c r="GB16" i="15"/>
  <c r="GC16" i="15"/>
  <c r="GD16" i="15"/>
  <c r="GE16" i="15"/>
  <c r="GF16" i="15"/>
  <c r="GG16" i="15"/>
  <c r="GH16" i="15"/>
  <c r="GI16" i="15"/>
  <c r="GJ16" i="15"/>
  <c r="GK16" i="15"/>
  <c r="GL16" i="15"/>
  <c r="GM16" i="15"/>
  <c r="GN16" i="15"/>
  <c r="GO16" i="15"/>
  <c r="GP16" i="15"/>
  <c r="GQ16" i="15"/>
  <c r="GR16" i="15"/>
  <c r="GS16" i="15"/>
  <c r="GT16" i="15"/>
  <c r="GU16" i="15"/>
  <c r="GV16" i="15"/>
  <c r="GW16" i="15"/>
  <c r="GX16" i="15"/>
  <c r="GY16" i="15"/>
  <c r="GZ16" i="15"/>
  <c r="HA16" i="15"/>
  <c r="HB16" i="15"/>
  <c r="HC16" i="15"/>
  <c r="HD16" i="15"/>
  <c r="HE16" i="15"/>
  <c r="HF16" i="15"/>
  <c r="HG16" i="15"/>
  <c r="HH16" i="15"/>
  <c r="HI16" i="15"/>
  <c r="HJ16" i="15"/>
  <c r="HK16" i="15"/>
  <c r="HL16" i="15"/>
  <c r="HM16" i="15"/>
  <c r="HN16" i="15"/>
  <c r="HO16" i="15"/>
  <c r="HP16" i="15"/>
  <c r="HQ16" i="15"/>
  <c r="HR16" i="15"/>
  <c r="HS16" i="15"/>
  <c r="HT16" i="15"/>
  <c r="HU16" i="15"/>
  <c r="HV16" i="15"/>
  <c r="HW16" i="15"/>
  <c r="HX16" i="15"/>
  <c r="HY16" i="15"/>
  <c r="HZ16" i="15"/>
  <c r="IA16" i="15"/>
  <c r="IB16" i="15"/>
  <c r="IC16" i="15"/>
  <c r="ID16" i="15"/>
  <c r="IE16" i="15"/>
  <c r="IF16" i="15"/>
  <c r="IG16" i="15"/>
  <c r="IH16" i="15"/>
  <c r="II16" i="15"/>
  <c r="IJ16" i="15"/>
  <c r="IK16" i="15"/>
  <c r="IL16" i="15"/>
  <c r="IM16" i="15"/>
  <c r="IN16" i="15"/>
  <c r="IO16" i="15"/>
  <c r="IP16" i="15"/>
  <c r="IQ16" i="15"/>
  <c r="IR16" i="15"/>
  <c r="IS16" i="15"/>
  <c r="IT16" i="15"/>
  <c r="IU16" i="15"/>
  <c r="IV16" i="15"/>
  <c r="A17" i="15"/>
  <c r="B17" i="15"/>
  <c r="C17" i="15"/>
  <c r="D17" i="15"/>
  <c r="E17" i="15"/>
  <c r="F17" i="15"/>
  <c r="G17" i="15"/>
  <c r="H17" i="15"/>
  <c r="I17" i="15"/>
  <c r="J17" i="15"/>
  <c r="K17" i="15"/>
  <c r="L17" i="15"/>
  <c r="M17" i="15"/>
  <c r="N17" i="15"/>
  <c r="O17" i="15"/>
  <c r="P17" i="15"/>
  <c r="Q17" i="15"/>
  <c r="R17" i="15"/>
  <c r="S17" i="15"/>
  <c r="T17" i="15"/>
  <c r="U17" i="15"/>
  <c r="V17" i="15"/>
  <c r="W17" i="15"/>
  <c r="X17" i="15"/>
  <c r="Y17" i="15"/>
  <c r="Z17" i="15"/>
  <c r="AA17" i="15"/>
  <c r="AB17" i="15"/>
  <c r="AC17" i="15"/>
  <c r="AD17" i="15"/>
  <c r="AE17" i="15"/>
  <c r="AF17" i="15"/>
  <c r="AG17" i="15"/>
  <c r="AH17" i="15"/>
  <c r="AI17" i="15"/>
  <c r="AJ17" i="15"/>
  <c r="AK17" i="15"/>
  <c r="AL17" i="15"/>
  <c r="AM17" i="15"/>
  <c r="AN17" i="15"/>
  <c r="AO17" i="15"/>
  <c r="AP17" i="15"/>
  <c r="AQ17" i="15"/>
  <c r="AR17" i="15"/>
  <c r="AS17" i="15"/>
  <c r="AT17" i="15"/>
  <c r="AU17" i="15"/>
  <c r="AV17" i="15"/>
  <c r="AW17" i="15"/>
  <c r="AX17" i="15"/>
  <c r="AY17" i="15"/>
  <c r="AZ17" i="15"/>
  <c r="BA17" i="15"/>
  <c r="BB17" i="15"/>
  <c r="BC17" i="15"/>
  <c r="BD17" i="15"/>
  <c r="BE17" i="15"/>
  <c r="BF17" i="15"/>
  <c r="BG17" i="15"/>
  <c r="BH17" i="15"/>
  <c r="BI17" i="15"/>
  <c r="BJ17" i="15"/>
  <c r="BK17" i="15"/>
  <c r="BL17" i="15"/>
  <c r="BM17" i="15"/>
  <c r="BN17" i="15"/>
  <c r="BO17" i="15"/>
  <c r="BP17" i="15"/>
  <c r="BQ17" i="15"/>
  <c r="BR17" i="15"/>
  <c r="BS17" i="15"/>
  <c r="BT17" i="15"/>
  <c r="BU17" i="15"/>
  <c r="BV17" i="15"/>
  <c r="BW17" i="15"/>
  <c r="BX17" i="15"/>
  <c r="BY17" i="15"/>
  <c r="BZ17" i="15"/>
  <c r="CA17" i="15"/>
  <c r="CB17" i="15"/>
  <c r="CC17" i="15"/>
  <c r="CD17" i="15"/>
  <c r="CE17" i="15"/>
  <c r="CF17" i="15"/>
  <c r="CG17" i="15"/>
  <c r="CH17" i="15"/>
  <c r="CI17" i="15"/>
  <c r="CJ17" i="15"/>
  <c r="CK17" i="15"/>
  <c r="CL17" i="15"/>
  <c r="CM17" i="15"/>
  <c r="CN17" i="15"/>
  <c r="CO17" i="15"/>
  <c r="CP17" i="15"/>
  <c r="CQ17" i="15"/>
  <c r="CR17" i="15"/>
  <c r="CS17" i="15"/>
  <c r="CT17" i="15"/>
  <c r="CU17" i="15"/>
  <c r="CV17" i="15"/>
  <c r="CW17" i="15"/>
  <c r="CX17" i="15"/>
  <c r="CY17" i="15"/>
  <c r="CZ17" i="15"/>
  <c r="DA17" i="15"/>
  <c r="DB17" i="15"/>
  <c r="DC17" i="15"/>
  <c r="DD17" i="15"/>
  <c r="DE17" i="15"/>
  <c r="DF17" i="15"/>
  <c r="DG17" i="15"/>
  <c r="DH17" i="15"/>
  <c r="DI17" i="15"/>
  <c r="DJ17" i="15"/>
  <c r="DK17" i="15"/>
  <c r="DL17" i="15"/>
  <c r="DM17" i="15"/>
  <c r="DN17" i="15"/>
  <c r="DO17" i="15"/>
  <c r="DP17" i="15"/>
  <c r="DQ17" i="15"/>
  <c r="DR17" i="15"/>
  <c r="DS17" i="15"/>
  <c r="DT17" i="15"/>
  <c r="DU17" i="15"/>
  <c r="DV17" i="15"/>
  <c r="DW17" i="15"/>
  <c r="DX17" i="15"/>
  <c r="DY17" i="15"/>
  <c r="DZ17" i="15"/>
  <c r="EA17" i="15"/>
  <c r="EB17" i="15"/>
  <c r="EC17" i="15"/>
  <c r="ED17" i="15"/>
  <c r="EE17" i="15"/>
  <c r="EF17" i="15"/>
  <c r="EG17" i="15"/>
  <c r="EH17" i="15"/>
  <c r="EI17" i="15"/>
  <c r="EJ17" i="15"/>
  <c r="EK17" i="15"/>
  <c r="EL17" i="15"/>
  <c r="EM17" i="15"/>
  <c r="EN17" i="15"/>
  <c r="EO17" i="15"/>
  <c r="EP17" i="15"/>
  <c r="EQ17" i="15"/>
  <c r="ER17" i="15"/>
  <c r="ES17" i="15"/>
  <c r="ET17" i="15"/>
  <c r="EU17" i="15"/>
  <c r="EV17" i="15"/>
  <c r="EW17" i="15"/>
  <c r="EX17" i="15"/>
  <c r="EY17" i="15"/>
  <c r="EZ17" i="15"/>
  <c r="FA17" i="15"/>
  <c r="FB17" i="15"/>
  <c r="FC17" i="15"/>
  <c r="FD17" i="15"/>
  <c r="FE17" i="15"/>
  <c r="FF17" i="15"/>
  <c r="FG17" i="15"/>
  <c r="FH17" i="15"/>
  <c r="FI17" i="15"/>
  <c r="FJ17" i="15"/>
  <c r="FK17" i="15"/>
  <c r="FL17" i="15"/>
  <c r="FM17" i="15"/>
  <c r="FN17" i="15"/>
  <c r="FO17" i="15"/>
  <c r="FP17" i="15"/>
  <c r="FQ17" i="15"/>
  <c r="FR17" i="15"/>
  <c r="FS17" i="15"/>
  <c r="FT17" i="15"/>
  <c r="FU17" i="15"/>
  <c r="FV17" i="15"/>
  <c r="FW17" i="15"/>
  <c r="FX17" i="15"/>
  <c r="FY17" i="15"/>
  <c r="FZ17" i="15"/>
  <c r="GA17" i="15"/>
  <c r="GB17" i="15"/>
  <c r="GC17" i="15"/>
  <c r="GD17" i="15"/>
  <c r="GE17" i="15"/>
  <c r="GF17" i="15"/>
  <c r="GG17" i="15"/>
  <c r="GH17" i="15"/>
  <c r="GI17" i="15"/>
  <c r="GJ17" i="15"/>
  <c r="GK17" i="15"/>
  <c r="GL17" i="15"/>
  <c r="GM17" i="15"/>
  <c r="GN17" i="15"/>
  <c r="GO17" i="15"/>
  <c r="GP17" i="15"/>
  <c r="GQ17" i="15"/>
  <c r="GR17" i="15"/>
  <c r="GS17" i="15"/>
  <c r="GT17" i="15"/>
  <c r="GU17" i="15"/>
  <c r="GV17" i="15"/>
  <c r="GW17" i="15"/>
  <c r="GX17" i="15"/>
  <c r="GY17" i="15"/>
  <c r="GZ17" i="15"/>
  <c r="HA17" i="15"/>
  <c r="HB17" i="15"/>
  <c r="HC17" i="15"/>
  <c r="HD17" i="15"/>
  <c r="HE17" i="15"/>
  <c r="HF17" i="15"/>
  <c r="HG17" i="15"/>
  <c r="HH17" i="15"/>
  <c r="HI17" i="15"/>
  <c r="HJ17" i="15"/>
  <c r="HK17" i="15"/>
  <c r="HL17" i="15"/>
  <c r="HM17" i="15"/>
  <c r="HN17" i="15"/>
  <c r="HO17" i="15"/>
  <c r="HP17" i="15"/>
  <c r="HQ17" i="15"/>
  <c r="HR17" i="15"/>
  <c r="HS17" i="15"/>
  <c r="HT17" i="15"/>
  <c r="HU17" i="15"/>
  <c r="HV17" i="15"/>
  <c r="HW17" i="15"/>
  <c r="HX17" i="15"/>
  <c r="HY17" i="15"/>
  <c r="HZ17" i="15"/>
  <c r="IA17" i="15"/>
  <c r="IB17" i="15"/>
  <c r="IC17" i="15"/>
  <c r="ID17" i="15"/>
  <c r="IE17" i="15"/>
  <c r="IF17" i="15"/>
  <c r="IG17" i="15"/>
  <c r="IH17" i="15"/>
  <c r="II17" i="15"/>
  <c r="IJ17" i="15"/>
  <c r="IK17" i="15"/>
  <c r="IL17" i="15"/>
  <c r="IM17" i="15"/>
  <c r="IN17" i="15"/>
  <c r="IO17" i="15"/>
  <c r="IP17" i="15"/>
  <c r="IQ17" i="15"/>
  <c r="IR17" i="15"/>
  <c r="IS17" i="15"/>
  <c r="IT17" i="15"/>
  <c r="IU17" i="15"/>
  <c r="IV17" i="15"/>
  <c r="A18" i="15"/>
  <c r="B18" i="15"/>
  <c r="C18" i="15"/>
  <c r="D18" i="15"/>
  <c r="E18" i="15"/>
  <c r="F18"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AG18" i="15"/>
  <c r="AH18" i="15"/>
  <c r="AI18" i="15"/>
  <c r="AJ18" i="15"/>
  <c r="AK18" i="15"/>
  <c r="AL18" i="15"/>
  <c r="AM18" i="15"/>
  <c r="AN18" i="15"/>
  <c r="AO18" i="15"/>
  <c r="AP18" i="15"/>
  <c r="AQ18" i="15"/>
  <c r="AR18" i="15"/>
  <c r="AS18" i="15"/>
  <c r="AT18" i="15"/>
  <c r="AU18" i="15"/>
  <c r="AV18" i="15"/>
  <c r="AW18" i="15"/>
  <c r="AX18" i="15"/>
  <c r="AY18" i="15"/>
  <c r="AZ18" i="15"/>
  <c r="BA18" i="15"/>
  <c r="BB18" i="15"/>
  <c r="BC18" i="15"/>
  <c r="BD18" i="15"/>
  <c r="BE18" i="15"/>
  <c r="BF18" i="15"/>
  <c r="BG18" i="15"/>
  <c r="BH18" i="15"/>
  <c r="BI18" i="15"/>
  <c r="BJ18" i="15"/>
  <c r="BK18" i="15"/>
  <c r="BL18" i="15"/>
  <c r="BM18" i="15"/>
  <c r="BN18" i="15"/>
  <c r="BO18" i="15"/>
  <c r="BP18" i="15"/>
  <c r="BQ18" i="15"/>
  <c r="BR18" i="15"/>
  <c r="BS18" i="15"/>
  <c r="BT18" i="15"/>
  <c r="BU18" i="15"/>
  <c r="BV18" i="15"/>
  <c r="BW18" i="15"/>
  <c r="BX18" i="15"/>
  <c r="BY18" i="15"/>
  <c r="BZ18" i="15"/>
  <c r="CA18" i="15"/>
  <c r="CB18" i="15"/>
  <c r="CC18" i="15"/>
  <c r="CD18" i="15"/>
  <c r="CE18" i="15"/>
  <c r="CF18" i="15"/>
  <c r="CG18" i="15"/>
  <c r="CH18" i="15"/>
  <c r="CI18" i="15"/>
  <c r="CJ18" i="15"/>
  <c r="CK18" i="15"/>
  <c r="CL18" i="15"/>
  <c r="CM18" i="15"/>
  <c r="CN18" i="15"/>
  <c r="CO18" i="15"/>
  <c r="CP18" i="15"/>
  <c r="CQ18" i="15"/>
  <c r="CR18" i="15"/>
  <c r="CS18" i="15"/>
  <c r="CT18" i="15"/>
  <c r="CU18" i="15"/>
  <c r="CV18" i="15"/>
  <c r="CW18" i="15"/>
  <c r="CX18" i="15"/>
  <c r="CY18" i="15"/>
  <c r="CZ18" i="15"/>
  <c r="DA18" i="15"/>
  <c r="DB18" i="15"/>
  <c r="DC18" i="15"/>
  <c r="DD18" i="15"/>
  <c r="DE18" i="15"/>
  <c r="DF18" i="15"/>
  <c r="DG18" i="15"/>
  <c r="DH18" i="15"/>
  <c r="DI18" i="15"/>
  <c r="DJ18" i="15"/>
  <c r="DK18" i="15"/>
  <c r="DL18" i="15"/>
  <c r="DM18" i="15"/>
  <c r="DN18" i="15"/>
  <c r="DO18" i="15"/>
  <c r="DP18" i="15"/>
  <c r="DQ18" i="15"/>
  <c r="DR18" i="15"/>
  <c r="DS18" i="15"/>
  <c r="DT18" i="15"/>
  <c r="DU18" i="15"/>
  <c r="DV18" i="15"/>
  <c r="DW18" i="15"/>
  <c r="DX18" i="15"/>
  <c r="DY18" i="15"/>
  <c r="DZ18" i="15"/>
  <c r="EA18" i="15"/>
  <c r="EB18" i="15"/>
  <c r="EC18" i="15"/>
  <c r="ED18" i="15"/>
  <c r="EE18" i="15"/>
  <c r="EF18" i="15"/>
  <c r="EG18" i="15"/>
  <c r="EH18" i="15"/>
  <c r="EI18" i="15"/>
  <c r="EJ18" i="15"/>
  <c r="EK18" i="15"/>
  <c r="EL18" i="15"/>
  <c r="EM18" i="15"/>
  <c r="EN18" i="15"/>
  <c r="EO18" i="15"/>
  <c r="EP18" i="15"/>
  <c r="EQ18" i="15"/>
  <c r="ER18" i="15"/>
  <c r="ES18" i="15"/>
  <c r="ET18" i="15"/>
  <c r="EU18" i="15"/>
  <c r="EV18" i="15"/>
  <c r="EW18" i="15"/>
  <c r="EX18" i="15"/>
  <c r="EY18" i="15"/>
  <c r="EZ18" i="15"/>
  <c r="FA18" i="15"/>
  <c r="FB18" i="15"/>
  <c r="FC18" i="15"/>
  <c r="FD18" i="15"/>
  <c r="FE18" i="15"/>
  <c r="FF18" i="15"/>
  <c r="FG18" i="15"/>
  <c r="FH18" i="15"/>
  <c r="FI18" i="15"/>
  <c r="FJ18" i="15"/>
  <c r="FK18" i="15"/>
  <c r="FL18" i="15"/>
  <c r="FM18" i="15"/>
  <c r="FN18" i="15"/>
  <c r="FO18" i="15"/>
  <c r="FP18" i="15"/>
  <c r="FQ18" i="15"/>
  <c r="FR18" i="15"/>
  <c r="FS18" i="15"/>
  <c r="FT18" i="15"/>
  <c r="FU18" i="15"/>
  <c r="FV18" i="15"/>
  <c r="FW18" i="15"/>
  <c r="FX18" i="15"/>
  <c r="FY18" i="15"/>
  <c r="FZ18" i="15"/>
  <c r="GA18" i="15"/>
  <c r="GB18" i="15"/>
  <c r="GC18" i="15"/>
  <c r="GD18" i="15"/>
  <c r="GE18" i="15"/>
  <c r="GF18" i="15"/>
  <c r="GG18" i="15"/>
  <c r="GH18" i="15"/>
  <c r="GI18" i="15"/>
  <c r="GJ18" i="15"/>
  <c r="GK18" i="15"/>
  <c r="GL18" i="15"/>
  <c r="GM18" i="15"/>
  <c r="GN18" i="15"/>
  <c r="GO18" i="15"/>
  <c r="GP18" i="15"/>
  <c r="GQ18" i="15"/>
  <c r="GR18" i="15"/>
  <c r="GS18" i="15"/>
  <c r="GT18" i="15"/>
  <c r="GU18" i="15"/>
  <c r="GV18" i="15"/>
  <c r="GW18" i="15"/>
  <c r="GX18" i="15"/>
  <c r="GY18" i="15"/>
  <c r="GZ18" i="15"/>
  <c r="HA18" i="15"/>
  <c r="HB18" i="15"/>
  <c r="HC18" i="15"/>
  <c r="HD18" i="15"/>
  <c r="HE18" i="15"/>
  <c r="HF18" i="15"/>
  <c r="HG18" i="15"/>
  <c r="HH18" i="15"/>
  <c r="HI18" i="15"/>
  <c r="HJ18" i="15"/>
  <c r="HK18" i="15"/>
  <c r="HL18" i="15"/>
  <c r="HM18" i="15"/>
  <c r="HN18" i="15"/>
  <c r="HO18" i="15"/>
  <c r="HP18" i="15"/>
  <c r="HQ18" i="15"/>
  <c r="HR18" i="15"/>
  <c r="HS18" i="15"/>
  <c r="HT18" i="15"/>
  <c r="HU18" i="15"/>
  <c r="HV18" i="15"/>
  <c r="HW18" i="15"/>
  <c r="HX18" i="15"/>
  <c r="HY18" i="15"/>
  <c r="HZ18" i="15"/>
  <c r="IA18" i="15"/>
  <c r="IB18" i="15"/>
  <c r="IC18" i="15"/>
  <c r="ID18" i="15"/>
  <c r="IE18" i="15"/>
  <c r="IF18" i="15"/>
  <c r="IG18" i="15"/>
  <c r="IH18" i="15"/>
  <c r="II18" i="15"/>
  <c r="IJ18" i="15"/>
  <c r="IK18" i="15"/>
  <c r="IL18" i="15"/>
  <c r="IM18" i="15"/>
  <c r="IN18" i="15"/>
  <c r="IO18" i="15"/>
  <c r="IP18" i="15"/>
  <c r="IQ18" i="15"/>
  <c r="IR18" i="15"/>
  <c r="IS18" i="15"/>
  <c r="IT18" i="15"/>
  <c r="IU18" i="15"/>
  <c r="IV18" i="15"/>
  <c r="A19" i="15"/>
  <c r="B19" i="15"/>
  <c r="C19" i="15"/>
  <c r="D19" i="15"/>
  <c r="E19" i="15"/>
  <c r="F19"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AG19" i="15"/>
  <c r="AH19" i="15"/>
  <c r="AI19" i="15"/>
  <c r="AJ19" i="15"/>
  <c r="AK19" i="15"/>
  <c r="AL19" i="15"/>
  <c r="AM19" i="15"/>
  <c r="AN19" i="15"/>
  <c r="AO19" i="15"/>
  <c r="AP19" i="15"/>
  <c r="AQ19" i="15"/>
  <c r="AR19" i="15"/>
  <c r="AS19" i="15"/>
  <c r="AT19" i="15"/>
  <c r="AU19" i="15"/>
  <c r="AV19" i="15"/>
  <c r="AW19" i="15"/>
  <c r="AX19" i="15"/>
  <c r="AY19" i="15"/>
  <c r="AZ19" i="15"/>
  <c r="BA19" i="15"/>
  <c r="BB19" i="15"/>
  <c r="BC19" i="15"/>
  <c r="BD19" i="15"/>
  <c r="BE19" i="15"/>
  <c r="BF19" i="15"/>
  <c r="BG19" i="15"/>
  <c r="BH19" i="15"/>
  <c r="BI19" i="15"/>
  <c r="BJ19" i="15"/>
  <c r="BK19" i="15"/>
  <c r="BL19" i="15"/>
  <c r="BM19" i="15"/>
  <c r="BN19" i="15"/>
  <c r="BO19" i="15"/>
  <c r="BP19" i="15"/>
  <c r="BQ19" i="15"/>
  <c r="BR19" i="15"/>
  <c r="BS19" i="15"/>
  <c r="BT19" i="15"/>
  <c r="BU19" i="15"/>
  <c r="BV19" i="15"/>
  <c r="BW19" i="15"/>
  <c r="BX19" i="15"/>
  <c r="BY19" i="15"/>
  <c r="BZ19" i="15"/>
  <c r="CA19" i="15"/>
  <c r="CB19" i="15"/>
  <c r="CC19" i="15"/>
  <c r="CD19" i="15"/>
  <c r="CE19" i="15"/>
  <c r="CF19" i="15"/>
  <c r="CG19" i="15"/>
  <c r="CH19" i="15"/>
  <c r="CI19" i="15"/>
  <c r="CJ19" i="15"/>
  <c r="CK19" i="15"/>
  <c r="CL19" i="15"/>
  <c r="CM19" i="15"/>
  <c r="CN19" i="15"/>
  <c r="CO19" i="15"/>
  <c r="CP19" i="15"/>
  <c r="CQ19" i="15"/>
  <c r="CR19" i="15"/>
  <c r="CS19" i="15"/>
  <c r="CT19" i="15"/>
  <c r="CU19" i="15"/>
  <c r="CV19" i="15"/>
  <c r="CW19" i="15"/>
  <c r="CX19" i="15"/>
  <c r="CY19" i="15"/>
  <c r="CZ19" i="15"/>
  <c r="DA19" i="15"/>
  <c r="DB19" i="15"/>
  <c r="DC19" i="15"/>
  <c r="DD19" i="15"/>
  <c r="DE19" i="15"/>
  <c r="DF19" i="15"/>
  <c r="DG19" i="15"/>
  <c r="DH19" i="15"/>
  <c r="DI19" i="15"/>
  <c r="DJ19" i="15"/>
  <c r="DK19" i="15"/>
  <c r="DL19" i="15"/>
  <c r="DM19" i="15"/>
  <c r="DN19" i="15"/>
  <c r="DO19" i="15"/>
  <c r="DP19" i="15"/>
  <c r="DQ19" i="15"/>
  <c r="DR19" i="15"/>
  <c r="DS19" i="15"/>
  <c r="DT19" i="15"/>
  <c r="DU19" i="15"/>
  <c r="DV19" i="15"/>
  <c r="DW19" i="15"/>
  <c r="DX19" i="15"/>
  <c r="DY19" i="15"/>
  <c r="DZ19" i="15"/>
  <c r="EA19" i="15"/>
  <c r="EB19" i="15"/>
  <c r="EC19" i="15"/>
  <c r="ED19" i="15"/>
  <c r="EE19" i="15"/>
  <c r="EF19" i="15"/>
  <c r="EG19" i="15"/>
  <c r="EH19" i="15"/>
  <c r="EI19" i="15"/>
  <c r="EJ19" i="15"/>
  <c r="EK19" i="15"/>
  <c r="EL19" i="15"/>
  <c r="EM19" i="15"/>
  <c r="EN19" i="15"/>
  <c r="EO19" i="15"/>
  <c r="EP19" i="15"/>
  <c r="EQ19" i="15"/>
  <c r="ER19" i="15"/>
  <c r="ES19" i="15"/>
  <c r="ET19" i="15"/>
  <c r="EU19" i="15"/>
  <c r="EV19" i="15"/>
  <c r="EW19" i="15"/>
  <c r="EX19" i="15"/>
  <c r="EY19" i="15"/>
  <c r="EZ19" i="15"/>
  <c r="FA19" i="15"/>
  <c r="FB19" i="15"/>
  <c r="FC19" i="15"/>
  <c r="FD19" i="15"/>
  <c r="FE19" i="15"/>
  <c r="FF19" i="15"/>
  <c r="FG19" i="15"/>
  <c r="FH19" i="15"/>
  <c r="FI19" i="15"/>
  <c r="FJ19" i="15"/>
  <c r="FK19" i="15"/>
  <c r="FL19" i="15"/>
  <c r="FM19" i="15"/>
  <c r="FN19" i="15"/>
  <c r="FO19" i="15"/>
  <c r="FP19" i="15"/>
  <c r="FQ19" i="15"/>
  <c r="FR19" i="15"/>
  <c r="FS19" i="15"/>
  <c r="FT19" i="15"/>
  <c r="FU19" i="15"/>
  <c r="FV19" i="15"/>
  <c r="FW19" i="15"/>
  <c r="FX19" i="15"/>
  <c r="FY19" i="15"/>
  <c r="FZ19" i="15"/>
  <c r="GA19" i="15"/>
  <c r="GB19" i="15"/>
  <c r="GC19" i="15"/>
  <c r="GD19" i="15"/>
  <c r="GE19" i="15"/>
  <c r="GF19" i="15"/>
  <c r="GG19" i="15"/>
  <c r="GH19" i="15"/>
  <c r="GI19" i="15"/>
  <c r="GJ19" i="15"/>
  <c r="GK19" i="15"/>
  <c r="GL19" i="15"/>
  <c r="GM19" i="15"/>
  <c r="GN19" i="15"/>
  <c r="GO19" i="15"/>
  <c r="GP19" i="15"/>
  <c r="GQ19" i="15"/>
  <c r="GR19" i="15"/>
  <c r="GS19" i="15"/>
  <c r="GT19" i="15"/>
  <c r="GU19" i="15"/>
  <c r="GV19" i="15"/>
  <c r="GW19" i="15"/>
  <c r="GX19" i="15"/>
  <c r="GY19" i="15"/>
  <c r="GZ19" i="15"/>
  <c r="HA19" i="15"/>
  <c r="HB19" i="15"/>
  <c r="HC19" i="15"/>
  <c r="HD19" i="15"/>
  <c r="HE19" i="15"/>
  <c r="HF19" i="15"/>
  <c r="HG19" i="15"/>
  <c r="HH19" i="15"/>
  <c r="HI19" i="15"/>
  <c r="HJ19" i="15"/>
  <c r="HK19" i="15"/>
  <c r="HL19" i="15"/>
  <c r="HM19" i="15"/>
  <c r="HN19" i="15"/>
  <c r="HO19" i="15"/>
  <c r="HP19" i="15"/>
  <c r="HQ19" i="15"/>
  <c r="HR19" i="15"/>
  <c r="HS19" i="15"/>
  <c r="HT19" i="15"/>
  <c r="HU19" i="15"/>
  <c r="HV19" i="15"/>
  <c r="HW19" i="15"/>
  <c r="HX19" i="15"/>
  <c r="HY19" i="15"/>
  <c r="HZ19" i="15"/>
  <c r="IA19" i="15"/>
  <c r="IB19" i="15"/>
  <c r="IC19" i="15"/>
  <c r="ID19" i="15"/>
  <c r="IE19" i="15"/>
  <c r="IF19" i="15"/>
  <c r="IG19" i="15"/>
  <c r="IH19" i="15"/>
  <c r="II19" i="15"/>
  <c r="IJ19" i="15"/>
  <c r="IK19" i="15"/>
  <c r="IL19" i="15"/>
  <c r="IM19" i="15"/>
  <c r="IN19" i="15"/>
  <c r="IO19" i="15"/>
  <c r="IP19" i="15"/>
  <c r="IQ19" i="15"/>
  <c r="IR19" i="15"/>
  <c r="IS19" i="15"/>
  <c r="IT19" i="15"/>
  <c r="IU19" i="15"/>
  <c r="IV19" i="15"/>
  <c r="A20" i="15"/>
  <c r="B20" i="15"/>
  <c r="C20" i="15"/>
  <c r="D20" i="15"/>
  <c r="E20" i="15"/>
  <c r="F20"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AG20" i="15"/>
  <c r="AH20" i="15"/>
  <c r="AI20" i="15"/>
  <c r="AJ20" i="15"/>
  <c r="AK20" i="15"/>
  <c r="AL20" i="15"/>
  <c r="AM20" i="15"/>
  <c r="AN20" i="15"/>
  <c r="AO20" i="15"/>
  <c r="AP20" i="15"/>
  <c r="AQ20" i="15"/>
  <c r="AR20" i="15"/>
  <c r="AS20" i="15"/>
  <c r="AT20" i="15"/>
  <c r="AU20" i="15"/>
  <c r="AV20" i="15"/>
  <c r="AW20" i="15"/>
  <c r="AX20" i="15"/>
  <c r="AY20" i="15"/>
  <c r="AZ20" i="15"/>
  <c r="BA20" i="15"/>
  <c r="BB20" i="15"/>
  <c r="BC20" i="15"/>
  <c r="BD20" i="15"/>
  <c r="BE20" i="15"/>
  <c r="BF20" i="15"/>
  <c r="BG20" i="15"/>
  <c r="BH20" i="15"/>
  <c r="BI20" i="15"/>
  <c r="BJ20" i="15"/>
  <c r="BK20" i="15"/>
  <c r="BL20" i="15"/>
  <c r="BM20" i="15"/>
  <c r="BN20" i="15"/>
  <c r="BO20" i="15"/>
  <c r="BP20" i="15"/>
  <c r="BQ20" i="15"/>
  <c r="BR20" i="15"/>
  <c r="BS20" i="15"/>
  <c r="BT20" i="15"/>
  <c r="BU20" i="15"/>
  <c r="BV20" i="15"/>
  <c r="BW20" i="15"/>
  <c r="BX20" i="15"/>
  <c r="BY20" i="15"/>
  <c r="BZ20" i="15"/>
  <c r="CA20" i="15"/>
  <c r="CB20" i="15"/>
  <c r="CC20" i="15"/>
  <c r="CD20" i="15"/>
  <c r="CE20" i="15"/>
  <c r="CF20" i="15"/>
  <c r="CG20" i="15"/>
  <c r="CH20" i="15"/>
  <c r="CI20" i="15"/>
  <c r="CJ20" i="15"/>
  <c r="CK20" i="15"/>
  <c r="CL20" i="15"/>
  <c r="CM20" i="15"/>
  <c r="CN20" i="15"/>
  <c r="CO20" i="15"/>
  <c r="CP20" i="15"/>
  <c r="CQ20" i="15"/>
  <c r="CR20" i="15"/>
  <c r="CS20" i="15"/>
  <c r="CT20" i="15"/>
  <c r="CU20" i="15"/>
  <c r="CV20" i="15"/>
  <c r="CW20" i="15"/>
  <c r="CX20" i="15"/>
  <c r="CY20" i="15"/>
  <c r="CZ20" i="15"/>
  <c r="DA20" i="15"/>
  <c r="DB20" i="15"/>
  <c r="DC20" i="15"/>
  <c r="DD20" i="15"/>
  <c r="DE20" i="15"/>
  <c r="DF20" i="15"/>
  <c r="DG20" i="15"/>
  <c r="DH20" i="15"/>
  <c r="DI20" i="15"/>
  <c r="DJ20" i="15"/>
  <c r="DK20" i="15"/>
  <c r="DL20" i="15"/>
  <c r="DM20" i="15"/>
  <c r="DN20" i="15"/>
  <c r="DO20" i="15"/>
  <c r="DP20" i="15"/>
  <c r="DQ20" i="15"/>
  <c r="DR20" i="15"/>
  <c r="DS20" i="15"/>
  <c r="DT20" i="15"/>
  <c r="DU20" i="15"/>
  <c r="DV20" i="15"/>
  <c r="DW20" i="15"/>
  <c r="DX20" i="15"/>
  <c r="DY20" i="15"/>
  <c r="DZ20" i="15"/>
  <c r="EA20" i="15"/>
  <c r="EB20" i="15"/>
  <c r="EC20" i="15"/>
  <c r="ED20" i="15"/>
  <c r="EE20" i="15"/>
  <c r="EF20" i="15"/>
  <c r="EG20" i="15"/>
  <c r="EH20" i="15"/>
  <c r="EI20" i="15"/>
  <c r="EJ20" i="15"/>
  <c r="EK20" i="15"/>
  <c r="EL20" i="15"/>
  <c r="EM20" i="15"/>
  <c r="EN20" i="15"/>
  <c r="EO20" i="15"/>
  <c r="EP20" i="15"/>
  <c r="EQ20" i="15"/>
  <c r="ER20" i="15"/>
  <c r="ES20" i="15"/>
  <c r="ET20" i="15"/>
  <c r="EU20" i="15"/>
  <c r="EV20" i="15"/>
  <c r="EW20" i="15"/>
  <c r="EX20" i="15"/>
  <c r="EY20" i="15"/>
  <c r="EZ20" i="15"/>
  <c r="FA20" i="15"/>
  <c r="FB20" i="15"/>
  <c r="FC20" i="15"/>
  <c r="FD20" i="15"/>
  <c r="FE20" i="15"/>
  <c r="FF20" i="15"/>
  <c r="FG20" i="15"/>
  <c r="FH20" i="15"/>
  <c r="FI20" i="15"/>
  <c r="FJ20" i="15"/>
  <c r="FK20" i="15"/>
  <c r="FL20" i="15"/>
  <c r="FM20" i="15"/>
  <c r="FN20" i="15"/>
  <c r="FO20" i="15"/>
  <c r="FP20" i="15"/>
  <c r="FQ20" i="15"/>
  <c r="FR20" i="15"/>
  <c r="FS20" i="15"/>
  <c r="FT20" i="15"/>
  <c r="FU20" i="15"/>
  <c r="FV20" i="15"/>
  <c r="FW20" i="15"/>
  <c r="FX20" i="15"/>
  <c r="FY20" i="15"/>
  <c r="FZ20" i="15"/>
  <c r="GA20" i="15"/>
  <c r="GB20" i="15"/>
  <c r="GC20" i="15"/>
  <c r="GD20" i="15"/>
  <c r="GE20" i="15"/>
  <c r="GF20" i="15"/>
  <c r="GG20" i="15"/>
  <c r="GH20" i="15"/>
  <c r="GI20" i="15"/>
  <c r="GJ20" i="15"/>
  <c r="GK20" i="15"/>
  <c r="GL20" i="15"/>
  <c r="GM20" i="15"/>
  <c r="GN20" i="15"/>
  <c r="GO20" i="15"/>
  <c r="GP20" i="15"/>
  <c r="GQ20" i="15"/>
  <c r="GR20" i="15"/>
  <c r="GS20" i="15"/>
  <c r="GT20" i="15"/>
  <c r="GU20" i="15"/>
  <c r="GV20" i="15"/>
  <c r="GW20" i="15"/>
  <c r="GX20" i="15"/>
  <c r="GY20" i="15"/>
  <c r="GZ20" i="15"/>
  <c r="HA20" i="15"/>
  <c r="HB20" i="15"/>
  <c r="HC20" i="15"/>
  <c r="HD20" i="15"/>
  <c r="HE20" i="15"/>
  <c r="HF20" i="15"/>
  <c r="HG20" i="15"/>
  <c r="HH20" i="15"/>
  <c r="HI20" i="15"/>
  <c r="HJ20" i="15"/>
  <c r="HK20" i="15"/>
  <c r="HL20" i="15"/>
  <c r="HM20" i="15"/>
  <c r="HN20" i="15"/>
  <c r="HO20" i="15"/>
  <c r="HP20" i="15"/>
  <c r="HQ20" i="15"/>
  <c r="HR20" i="15"/>
  <c r="HS20" i="15"/>
  <c r="HT20" i="15"/>
  <c r="HU20" i="15"/>
  <c r="HV20" i="15"/>
  <c r="HW20" i="15"/>
  <c r="HX20" i="15"/>
  <c r="HY20" i="15"/>
  <c r="HZ20" i="15"/>
  <c r="IA20" i="15"/>
  <c r="IB20" i="15"/>
  <c r="IC20" i="15"/>
  <c r="ID20" i="15"/>
  <c r="IE20" i="15"/>
  <c r="IF20" i="15"/>
  <c r="IG20" i="15"/>
  <c r="IH20" i="15"/>
  <c r="II20" i="15"/>
  <c r="IJ20" i="15"/>
  <c r="IK20" i="15"/>
  <c r="IL20" i="15"/>
  <c r="IM20" i="15"/>
  <c r="IN20" i="15"/>
  <c r="IO20" i="15"/>
  <c r="IP20" i="15"/>
  <c r="IQ20" i="15"/>
  <c r="IR20" i="15"/>
  <c r="IS20" i="15"/>
  <c r="IT20" i="15"/>
  <c r="IU20" i="15"/>
  <c r="IV20" i="15"/>
  <c r="A21" i="15"/>
  <c r="B21" i="15"/>
  <c r="C21" i="15"/>
  <c r="D21" i="15"/>
  <c r="E21" i="15"/>
  <c r="F21"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AG21" i="15"/>
  <c r="AH21" i="15"/>
  <c r="AI21" i="15"/>
  <c r="AJ21" i="15"/>
  <c r="AK21" i="15"/>
  <c r="AL21" i="15"/>
  <c r="AM21" i="15"/>
  <c r="AN21" i="15"/>
  <c r="AO21" i="15"/>
  <c r="AP21" i="15"/>
  <c r="AQ21" i="15"/>
  <c r="AR21" i="15"/>
  <c r="AS21" i="15"/>
  <c r="AT21" i="15"/>
  <c r="AU21" i="15"/>
  <c r="AV21" i="15"/>
  <c r="AW21" i="15"/>
  <c r="AX21" i="15"/>
  <c r="AY21" i="15"/>
  <c r="AZ21" i="15"/>
  <c r="BA21" i="15"/>
  <c r="BB21" i="15"/>
  <c r="BC21" i="15"/>
  <c r="BD21" i="15"/>
  <c r="BE21" i="15"/>
  <c r="BF21" i="15"/>
  <c r="BG21" i="15"/>
  <c r="BH21" i="15"/>
  <c r="BI21" i="15"/>
  <c r="BJ21" i="15"/>
  <c r="BK21" i="15"/>
  <c r="BL21" i="15"/>
  <c r="BM21" i="15"/>
  <c r="BN21" i="15"/>
  <c r="BO21" i="15"/>
  <c r="BP21" i="15"/>
  <c r="BQ21" i="15"/>
  <c r="BR21" i="15"/>
  <c r="BS21" i="15"/>
  <c r="BT21" i="15"/>
  <c r="BU21" i="15"/>
  <c r="BV21" i="15"/>
  <c r="BW21" i="15"/>
  <c r="BX21" i="15"/>
  <c r="BY21" i="15"/>
  <c r="BZ21" i="15"/>
  <c r="CA21" i="15"/>
  <c r="CB21" i="15"/>
  <c r="CC21" i="15"/>
  <c r="CD21" i="15"/>
  <c r="CE21" i="15"/>
  <c r="CF21" i="15"/>
  <c r="CG21" i="15"/>
  <c r="CH21" i="15"/>
  <c r="CI21" i="15"/>
  <c r="CJ21" i="15"/>
  <c r="CK21" i="15"/>
  <c r="CL21" i="15"/>
  <c r="CM21" i="15"/>
  <c r="CN21" i="15"/>
  <c r="CO21" i="15"/>
  <c r="CP21" i="15"/>
  <c r="CQ21" i="15"/>
  <c r="CR21" i="15"/>
  <c r="CS21" i="15"/>
  <c r="CT21" i="15"/>
  <c r="CU21" i="15"/>
  <c r="CV21" i="15"/>
  <c r="CW21" i="15"/>
  <c r="CX21" i="15"/>
  <c r="CY21" i="15"/>
  <c r="CZ21" i="15"/>
  <c r="DA21" i="15"/>
  <c r="DB21" i="15"/>
  <c r="DC21" i="15"/>
  <c r="DD21" i="15"/>
  <c r="DE21" i="15"/>
  <c r="DF21" i="15"/>
  <c r="DG21" i="15"/>
  <c r="DH21" i="15"/>
  <c r="DI21" i="15"/>
  <c r="DJ21" i="15"/>
  <c r="DK21" i="15"/>
  <c r="DL21" i="15"/>
  <c r="DM21" i="15"/>
  <c r="DN21" i="15"/>
  <c r="DO21" i="15"/>
  <c r="DP21" i="15"/>
  <c r="DQ21" i="15"/>
  <c r="DR21" i="15"/>
  <c r="DS21" i="15"/>
  <c r="DT21" i="15"/>
  <c r="DU21" i="15"/>
  <c r="DV21" i="15"/>
  <c r="DW21" i="15"/>
  <c r="DX21" i="15"/>
  <c r="DY21" i="15"/>
  <c r="DZ21" i="15"/>
  <c r="EA21" i="15"/>
  <c r="EB21" i="15"/>
  <c r="EC21" i="15"/>
  <c r="ED21" i="15"/>
  <c r="EE21" i="15"/>
  <c r="EF21" i="15"/>
  <c r="EG21" i="15"/>
  <c r="EH21" i="15"/>
  <c r="EI21" i="15"/>
  <c r="EJ21" i="15"/>
  <c r="EK21" i="15"/>
  <c r="EL21" i="15"/>
  <c r="EM21" i="15"/>
  <c r="EN21" i="15"/>
  <c r="EO21" i="15"/>
  <c r="EP21" i="15"/>
  <c r="EQ21" i="15"/>
  <c r="ER21" i="15"/>
  <c r="ES21" i="15"/>
  <c r="ET21" i="15"/>
  <c r="EU21" i="15"/>
  <c r="EV21" i="15"/>
  <c r="EW21" i="15"/>
  <c r="EX21" i="15"/>
  <c r="EY21" i="15"/>
  <c r="EZ21" i="15"/>
  <c r="FA21" i="15"/>
  <c r="FB21" i="15"/>
  <c r="FC21" i="15"/>
  <c r="FD21" i="15"/>
  <c r="FE21" i="15"/>
  <c r="FF21" i="15"/>
  <c r="FG21" i="15"/>
  <c r="FH21" i="15"/>
  <c r="FI21" i="15"/>
  <c r="FJ21" i="15"/>
  <c r="FK21" i="15"/>
  <c r="FL21" i="15"/>
  <c r="FM21" i="15"/>
  <c r="FN21" i="15"/>
  <c r="FO21" i="15"/>
  <c r="FP21" i="15"/>
  <c r="FQ21" i="15"/>
  <c r="FR21" i="15"/>
  <c r="FS21" i="15"/>
  <c r="FT21" i="15"/>
  <c r="FU21" i="15"/>
  <c r="FV21" i="15"/>
  <c r="FW21" i="15"/>
  <c r="FX21" i="15"/>
  <c r="FY21" i="15"/>
  <c r="FZ21" i="15"/>
  <c r="GA21" i="15"/>
  <c r="GB21" i="15"/>
  <c r="GC21" i="15"/>
  <c r="GD21" i="15"/>
  <c r="GE21" i="15"/>
  <c r="GF21" i="15"/>
  <c r="GG21" i="15"/>
  <c r="GH21" i="15"/>
  <c r="GI21" i="15"/>
  <c r="GJ21" i="15"/>
  <c r="GK21" i="15"/>
  <c r="GL21" i="15"/>
  <c r="GM21" i="15"/>
  <c r="GN21" i="15"/>
  <c r="GO21" i="15"/>
  <c r="GP21" i="15"/>
  <c r="GQ21" i="15"/>
  <c r="GR21" i="15"/>
  <c r="GS21" i="15"/>
  <c r="GT21" i="15"/>
  <c r="GU21" i="15"/>
  <c r="GV21" i="15"/>
  <c r="GW21" i="15"/>
  <c r="GX21" i="15"/>
  <c r="GY21" i="15"/>
  <c r="GZ21" i="15"/>
  <c r="HA21" i="15"/>
  <c r="HB21" i="15"/>
  <c r="HC21" i="15"/>
  <c r="HD21" i="15"/>
  <c r="HE21" i="15"/>
  <c r="HF21" i="15"/>
  <c r="HG21" i="15"/>
  <c r="HH21" i="15"/>
  <c r="HI21" i="15"/>
  <c r="HJ21" i="15"/>
  <c r="HK21" i="15"/>
  <c r="HL21" i="15"/>
  <c r="HM21" i="15"/>
  <c r="HN21" i="15"/>
  <c r="HO21" i="15"/>
  <c r="HP21" i="15"/>
  <c r="HQ21" i="15"/>
  <c r="HR21" i="15"/>
  <c r="HS21" i="15"/>
  <c r="HT21" i="15"/>
  <c r="HU21" i="15"/>
  <c r="HV21" i="15"/>
  <c r="HW21" i="15"/>
  <c r="HX21" i="15"/>
  <c r="HY21" i="15"/>
  <c r="HZ21" i="15"/>
  <c r="IA21" i="15"/>
  <c r="IB21" i="15"/>
  <c r="IC21" i="15"/>
  <c r="ID21" i="15"/>
  <c r="IE21" i="15"/>
  <c r="IF21" i="15"/>
  <c r="IG21" i="15"/>
  <c r="IH21" i="15"/>
  <c r="II21" i="15"/>
  <c r="IJ21" i="15"/>
  <c r="IK21" i="15"/>
  <c r="IL21" i="15"/>
  <c r="IM21" i="15"/>
  <c r="IN21" i="15"/>
  <c r="IO21" i="15"/>
  <c r="IP21" i="15"/>
  <c r="IQ21" i="15"/>
  <c r="IR21" i="15"/>
  <c r="IS21" i="15"/>
  <c r="IT21" i="15"/>
  <c r="IU21" i="15"/>
  <c r="IV21" i="15"/>
  <c r="A22" i="15"/>
  <c r="B22" i="15"/>
  <c r="C22" i="15"/>
  <c r="D22" i="15"/>
  <c r="E22" i="15"/>
  <c r="F22"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AG22" i="15"/>
  <c r="AH22" i="15"/>
  <c r="AI22" i="15"/>
  <c r="AJ22" i="15"/>
  <c r="AK22" i="15"/>
  <c r="AL22" i="15"/>
  <c r="AM22" i="15"/>
  <c r="AN22" i="15"/>
  <c r="AO22" i="15"/>
  <c r="AP22" i="15"/>
  <c r="AQ22" i="15"/>
  <c r="AR22" i="15"/>
  <c r="AS22" i="15"/>
  <c r="AT22" i="15"/>
  <c r="AU22" i="15"/>
  <c r="AV22" i="15"/>
  <c r="AW22" i="15"/>
  <c r="AX22" i="15"/>
  <c r="AY22" i="15"/>
  <c r="AZ22" i="15"/>
  <c r="BA22" i="15"/>
  <c r="BB22" i="15"/>
  <c r="BC22" i="15"/>
  <c r="BD22" i="15"/>
  <c r="BE22" i="15"/>
  <c r="BF22" i="15"/>
  <c r="BG22" i="15"/>
  <c r="BH22" i="15"/>
  <c r="BI22" i="15"/>
  <c r="BJ22" i="15"/>
  <c r="BK22" i="15"/>
  <c r="BL22" i="15"/>
  <c r="BM22" i="15"/>
  <c r="BN22" i="15"/>
  <c r="BO22" i="15"/>
  <c r="BP22" i="15"/>
  <c r="BQ22" i="15"/>
  <c r="BR22" i="15"/>
  <c r="BS22" i="15"/>
  <c r="BT22" i="15"/>
  <c r="BU22" i="15"/>
  <c r="BV22" i="15"/>
  <c r="BW22" i="15"/>
  <c r="BX22" i="15"/>
  <c r="BY22" i="15"/>
  <c r="BZ22" i="15"/>
  <c r="CA22" i="15"/>
  <c r="CB22" i="15"/>
  <c r="CC22" i="15"/>
  <c r="CD22" i="15"/>
  <c r="CE22" i="15"/>
  <c r="CF22" i="15"/>
  <c r="CG22" i="15"/>
  <c r="CH22" i="15"/>
  <c r="CI22" i="15"/>
  <c r="CJ22" i="15"/>
  <c r="CK22" i="15"/>
  <c r="CL22" i="15"/>
  <c r="CM22" i="15"/>
  <c r="CN22" i="15"/>
  <c r="CO22" i="15"/>
  <c r="CP22" i="15"/>
  <c r="CQ22" i="15"/>
  <c r="CR22" i="15"/>
  <c r="CS22" i="15"/>
  <c r="CT22" i="15"/>
  <c r="CU22" i="15"/>
  <c r="CV22" i="15"/>
  <c r="CW22" i="15"/>
  <c r="CX22" i="15"/>
  <c r="CY22" i="15"/>
  <c r="CZ22" i="15"/>
  <c r="DA22" i="15"/>
  <c r="DB22" i="15"/>
  <c r="DC22" i="15"/>
  <c r="DD22" i="15"/>
  <c r="DE22" i="15"/>
  <c r="DF22" i="15"/>
  <c r="DG22" i="15"/>
  <c r="DH22" i="15"/>
  <c r="DI22" i="15"/>
  <c r="DJ22" i="15"/>
  <c r="DK22" i="15"/>
  <c r="DL22" i="15"/>
  <c r="DM22" i="15"/>
  <c r="DN22" i="15"/>
  <c r="DO22" i="15"/>
  <c r="DP22" i="15"/>
  <c r="DQ22" i="15"/>
  <c r="DR22" i="15"/>
  <c r="DS22" i="15"/>
  <c r="DT22" i="15"/>
  <c r="DU22" i="15"/>
  <c r="DV22" i="15"/>
  <c r="DW22" i="15"/>
  <c r="DX22" i="15"/>
  <c r="DY22" i="15"/>
  <c r="DZ22" i="15"/>
  <c r="EA22" i="15"/>
  <c r="EB22" i="15"/>
  <c r="EC22" i="15"/>
  <c r="ED22" i="15"/>
  <c r="EE22" i="15"/>
  <c r="EF22" i="15"/>
  <c r="EG22" i="15"/>
  <c r="EH22" i="15"/>
  <c r="EI22" i="15"/>
  <c r="EJ22" i="15"/>
  <c r="EK22" i="15"/>
  <c r="EL22" i="15"/>
  <c r="EM22" i="15"/>
  <c r="EN22" i="15"/>
  <c r="EO22" i="15"/>
  <c r="EP22" i="15"/>
  <c r="EQ22" i="15"/>
  <c r="ER22" i="15"/>
  <c r="ES22" i="15"/>
  <c r="ET22" i="15"/>
  <c r="EU22" i="15"/>
  <c r="EV22" i="15"/>
  <c r="EW22" i="15"/>
  <c r="EX22" i="15"/>
  <c r="EY22" i="15"/>
  <c r="EZ22" i="15"/>
  <c r="FA22" i="15"/>
  <c r="FB22" i="15"/>
  <c r="FC22" i="15"/>
  <c r="FD22" i="15"/>
  <c r="FE22" i="15"/>
  <c r="FF22" i="15"/>
  <c r="FG22" i="15"/>
  <c r="FH22" i="15"/>
  <c r="FI22" i="15"/>
  <c r="FJ22" i="15"/>
  <c r="FK22" i="15"/>
  <c r="FL22" i="15"/>
  <c r="FM22" i="15"/>
  <c r="FN22" i="15"/>
  <c r="FO22" i="15"/>
  <c r="FP22" i="15"/>
  <c r="FQ22" i="15"/>
  <c r="FR22" i="15"/>
  <c r="FS22" i="15"/>
  <c r="FT22" i="15"/>
  <c r="FU22" i="15"/>
  <c r="FV22" i="15"/>
  <c r="FW22" i="15"/>
  <c r="FX22" i="15"/>
  <c r="FY22" i="15"/>
  <c r="FZ22" i="15"/>
  <c r="GA22" i="15"/>
  <c r="GB22" i="15"/>
  <c r="GC22" i="15"/>
  <c r="GD22" i="15"/>
  <c r="GE22" i="15"/>
  <c r="GF22" i="15"/>
  <c r="GG22" i="15"/>
  <c r="GH22" i="15"/>
  <c r="GI22" i="15"/>
  <c r="GJ22" i="15"/>
  <c r="GK22" i="15"/>
  <c r="GL22" i="15"/>
  <c r="GM22" i="15"/>
  <c r="GN22" i="15"/>
  <c r="GO22" i="15"/>
  <c r="GP22" i="15"/>
  <c r="GQ22" i="15"/>
  <c r="GR22" i="15"/>
  <c r="GS22" i="15"/>
  <c r="GT22" i="15"/>
  <c r="GU22" i="15"/>
  <c r="GV22" i="15"/>
  <c r="GW22" i="15"/>
  <c r="GX22" i="15"/>
  <c r="GY22" i="15"/>
  <c r="GZ22" i="15"/>
  <c r="HA22" i="15"/>
  <c r="HB22" i="15"/>
  <c r="HC22" i="15"/>
  <c r="HD22" i="15"/>
  <c r="HE22" i="15"/>
  <c r="HF22" i="15"/>
  <c r="HG22" i="15"/>
  <c r="HH22" i="15"/>
  <c r="HI22" i="15"/>
  <c r="HJ22" i="15"/>
  <c r="HK22" i="15"/>
  <c r="HL22" i="15"/>
  <c r="HM22" i="15"/>
  <c r="HN22" i="15"/>
  <c r="HO22" i="15"/>
  <c r="HP22" i="15"/>
  <c r="HQ22" i="15"/>
  <c r="HR22" i="15"/>
  <c r="HS22" i="15"/>
  <c r="HT22" i="15"/>
  <c r="HU22" i="15"/>
  <c r="HV22" i="15"/>
  <c r="HW22" i="15"/>
  <c r="HX22" i="15"/>
  <c r="HY22" i="15"/>
  <c r="HZ22" i="15"/>
  <c r="IA22" i="15"/>
  <c r="IB22" i="15"/>
  <c r="IC22" i="15"/>
  <c r="ID22" i="15"/>
  <c r="IE22" i="15"/>
  <c r="IF22" i="15"/>
  <c r="IG22" i="15"/>
  <c r="IH22" i="15"/>
  <c r="II22" i="15"/>
  <c r="IJ22" i="15"/>
  <c r="IK22" i="15"/>
  <c r="IL22" i="15"/>
  <c r="IM22" i="15"/>
  <c r="IN22" i="15"/>
  <c r="IO22" i="15"/>
  <c r="IP22" i="15"/>
  <c r="IQ22" i="15"/>
  <c r="IR22" i="15"/>
  <c r="IS22" i="15"/>
  <c r="IT22" i="15"/>
  <c r="IU22" i="15"/>
  <c r="IV22" i="15"/>
  <c r="A23" i="15"/>
  <c r="B23" i="15"/>
  <c r="C23" i="15"/>
  <c r="D23" i="15"/>
  <c r="E23" i="15"/>
  <c r="F23" i="15"/>
  <c r="G23" i="15"/>
  <c r="H23" i="15"/>
  <c r="I23" i="15"/>
  <c r="J23" i="15"/>
  <c r="K23" i="15"/>
  <c r="L23" i="15"/>
  <c r="M23" i="15"/>
  <c r="N23" i="15"/>
  <c r="O23" i="15"/>
  <c r="P23" i="15"/>
  <c r="Q23" i="15"/>
  <c r="R23" i="15"/>
  <c r="S23" i="15"/>
  <c r="T23" i="15"/>
  <c r="U23" i="15"/>
  <c r="V23" i="15"/>
  <c r="W23" i="15"/>
  <c r="X23" i="15"/>
  <c r="Y23" i="15"/>
  <c r="Z23" i="15"/>
  <c r="AA23" i="15"/>
  <c r="AB23" i="15"/>
  <c r="AC23" i="15"/>
  <c r="AD23" i="15"/>
  <c r="AE23" i="15"/>
  <c r="AF23" i="15"/>
  <c r="AG23" i="15"/>
  <c r="AH23" i="15"/>
  <c r="AI23" i="15"/>
  <c r="AJ23" i="15"/>
  <c r="AK23" i="15"/>
  <c r="AL23" i="15"/>
  <c r="AM23" i="15"/>
  <c r="AN23" i="15"/>
  <c r="AO23" i="15"/>
  <c r="AP23" i="15"/>
  <c r="AQ23" i="15"/>
  <c r="AR23" i="15"/>
  <c r="AS23" i="15"/>
  <c r="AT23" i="15"/>
  <c r="AU23" i="15"/>
  <c r="AV23" i="15"/>
  <c r="AW23" i="15"/>
  <c r="AX23" i="15"/>
  <c r="AY23" i="15"/>
  <c r="AZ23" i="15"/>
  <c r="BA23" i="15"/>
  <c r="BB23" i="15"/>
  <c r="BC23" i="15"/>
  <c r="BD23" i="15"/>
  <c r="BE23" i="15"/>
  <c r="BF23" i="15"/>
  <c r="BG23" i="15"/>
  <c r="BH23" i="15"/>
  <c r="BI23" i="15"/>
  <c r="BJ23" i="15"/>
  <c r="BK23" i="15"/>
  <c r="BL23" i="15"/>
  <c r="BM23" i="15"/>
  <c r="BN23" i="15"/>
  <c r="BO23" i="15"/>
  <c r="BP23" i="15"/>
  <c r="BQ23" i="15"/>
  <c r="BR23" i="15"/>
  <c r="BS23" i="15"/>
  <c r="BT23" i="15"/>
  <c r="BU23" i="15"/>
  <c r="BV23" i="15"/>
  <c r="BW23" i="15"/>
  <c r="BX23" i="15"/>
  <c r="BY23" i="15"/>
  <c r="BZ23" i="15"/>
  <c r="CA23" i="15"/>
  <c r="CB23" i="15"/>
  <c r="CC23" i="15"/>
  <c r="CD23" i="15"/>
  <c r="CE23" i="15"/>
  <c r="CF23" i="15"/>
  <c r="CG23" i="15"/>
  <c r="CH23" i="15"/>
  <c r="CI23" i="15"/>
  <c r="CJ23" i="15"/>
  <c r="CK23" i="15"/>
  <c r="CL23" i="15"/>
  <c r="CM23" i="15"/>
  <c r="CN23" i="15"/>
  <c r="CO23" i="15"/>
  <c r="CP23" i="15"/>
  <c r="CQ23" i="15"/>
  <c r="CR23" i="15"/>
  <c r="CS23" i="15"/>
  <c r="CT23" i="15"/>
  <c r="CU23" i="15"/>
  <c r="CV23" i="15"/>
  <c r="CW23" i="15"/>
  <c r="CX23" i="15"/>
  <c r="CY23" i="15"/>
  <c r="CZ23" i="15"/>
  <c r="DA23" i="15"/>
  <c r="DB23" i="15"/>
  <c r="DC23" i="15"/>
  <c r="DD23" i="15"/>
  <c r="DE23" i="15"/>
  <c r="DF23" i="15"/>
  <c r="DG23" i="15"/>
  <c r="DH23" i="15"/>
  <c r="DI23" i="15"/>
  <c r="DJ23" i="15"/>
  <c r="DK23" i="15"/>
  <c r="DL23" i="15"/>
  <c r="DM23" i="15"/>
  <c r="DN23" i="15"/>
  <c r="DO23" i="15"/>
  <c r="DP23" i="15"/>
  <c r="DQ23" i="15"/>
  <c r="DR23" i="15"/>
  <c r="DS23" i="15"/>
  <c r="DT23" i="15"/>
  <c r="DU23" i="15"/>
  <c r="DV23" i="15"/>
  <c r="DW23" i="15"/>
  <c r="DX23" i="15"/>
  <c r="DY23" i="15"/>
  <c r="DZ23" i="15"/>
  <c r="EA23" i="15"/>
  <c r="EB23" i="15"/>
  <c r="EC23" i="15"/>
  <c r="ED23" i="15"/>
  <c r="EE23" i="15"/>
  <c r="EF23" i="15"/>
  <c r="EG23" i="15"/>
  <c r="EH23" i="15"/>
  <c r="EI23" i="15"/>
  <c r="EJ23" i="15"/>
  <c r="EK23" i="15"/>
  <c r="EL23" i="15"/>
  <c r="EM23" i="15"/>
  <c r="EN23" i="15"/>
  <c r="EO23" i="15"/>
  <c r="EP23" i="15"/>
  <c r="EQ23" i="15"/>
  <c r="ER23" i="15"/>
  <c r="ES23" i="15"/>
  <c r="ET23" i="15"/>
  <c r="EU23" i="15"/>
  <c r="EV23" i="15"/>
  <c r="EW23" i="15"/>
  <c r="EX23" i="15"/>
  <c r="EY23" i="15"/>
  <c r="EZ23" i="15"/>
  <c r="FA23" i="15"/>
  <c r="FB23" i="15"/>
  <c r="FC23" i="15"/>
  <c r="FD23" i="15"/>
  <c r="FE23" i="15"/>
  <c r="FF23" i="15"/>
  <c r="FG23" i="15"/>
  <c r="FH23" i="15"/>
  <c r="FI23" i="15"/>
  <c r="FJ23" i="15"/>
  <c r="FK23" i="15"/>
  <c r="FL23" i="15"/>
  <c r="FM23" i="15"/>
  <c r="FN23" i="15"/>
  <c r="FO23" i="15"/>
  <c r="FP23" i="15"/>
  <c r="FQ23" i="15"/>
  <c r="FR23" i="15"/>
  <c r="FS23" i="15"/>
  <c r="FT23" i="15"/>
  <c r="FU23" i="15"/>
  <c r="FV23" i="15"/>
  <c r="FW23" i="15"/>
  <c r="FX23" i="15"/>
  <c r="FY23" i="15"/>
  <c r="FZ23" i="15"/>
  <c r="GA23" i="15"/>
  <c r="GB23" i="15"/>
  <c r="GC23" i="15"/>
  <c r="GD23" i="15"/>
  <c r="GE23" i="15"/>
  <c r="GF23" i="15"/>
  <c r="GG23" i="15"/>
  <c r="GH23" i="15"/>
  <c r="GI23" i="15"/>
  <c r="GJ23" i="15"/>
  <c r="GK23" i="15"/>
  <c r="GL23" i="15"/>
  <c r="GM23" i="15"/>
  <c r="GN23" i="15"/>
  <c r="GO23" i="15"/>
  <c r="GP23" i="15"/>
  <c r="GQ23" i="15"/>
  <c r="GR23" i="15"/>
  <c r="GS23" i="15"/>
  <c r="GT23" i="15"/>
  <c r="GU23" i="15"/>
  <c r="GV23" i="15"/>
  <c r="GW23" i="15"/>
  <c r="GX23" i="15"/>
  <c r="GY23" i="15"/>
  <c r="GZ23" i="15"/>
  <c r="HA23" i="15"/>
  <c r="HB23" i="15"/>
  <c r="HC23" i="15"/>
  <c r="HD23" i="15"/>
  <c r="HE23" i="15"/>
  <c r="HF23" i="15"/>
  <c r="HG23" i="15"/>
  <c r="HH23" i="15"/>
  <c r="HI23" i="15"/>
  <c r="HJ23" i="15"/>
  <c r="HK23" i="15"/>
  <c r="HL23" i="15"/>
  <c r="HM23" i="15"/>
  <c r="HN23" i="15"/>
  <c r="HO23" i="15"/>
  <c r="HP23" i="15"/>
  <c r="HQ23" i="15"/>
  <c r="HR23" i="15"/>
  <c r="HS23" i="15"/>
  <c r="HT23" i="15"/>
  <c r="HU23" i="15"/>
  <c r="HV23" i="15"/>
  <c r="HW23" i="15"/>
  <c r="HX23" i="15"/>
  <c r="HY23" i="15"/>
  <c r="HZ23" i="15"/>
  <c r="IA23" i="15"/>
  <c r="IB23" i="15"/>
  <c r="IC23" i="15"/>
  <c r="ID23" i="15"/>
  <c r="IE23" i="15"/>
  <c r="IF23" i="15"/>
  <c r="IG23" i="15"/>
  <c r="IH23" i="15"/>
  <c r="II23" i="15"/>
  <c r="IJ23" i="15"/>
  <c r="IK23" i="15"/>
  <c r="IL23" i="15"/>
  <c r="IM23" i="15"/>
  <c r="IN23" i="15"/>
  <c r="IO23" i="15"/>
  <c r="IP23" i="15"/>
  <c r="IQ23" i="15"/>
  <c r="IR23" i="15"/>
  <c r="IS23" i="15"/>
  <c r="IT23" i="15"/>
  <c r="IU23" i="15"/>
  <c r="IV23" i="15"/>
  <c r="A24" i="15"/>
  <c r="B24" i="15"/>
  <c r="C24" i="15"/>
  <c r="D24" i="15"/>
  <c r="E24" i="15"/>
  <c r="F24" i="15"/>
  <c r="G24" i="15"/>
  <c r="H24" i="15"/>
  <c r="I24" i="15"/>
  <c r="J24" i="15"/>
  <c r="K24" i="15"/>
  <c r="L24" i="15"/>
  <c r="M24" i="15"/>
  <c r="N24" i="15"/>
  <c r="O24" i="15"/>
  <c r="P24" i="15"/>
  <c r="Q24" i="15"/>
  <c r="R24" i="15"/>
  <c r="S24" i="15"/>
  <c r="T24" i="15"/>
  <c r="U24" i="15"/>
  <c r="V24" i="15"/>
  <c r="W24" i="15"/>
  <c r="X24" i="15"/>
  <c r="Y24" i="15"/>
  <c r="Z24" i="15"/>
  <c r="AA24" i="15"/>
  <c r="AB24" i="15"/>
  <c r="AC24" i="15"/>
  <c r="AD24" i="15"/>
  <c r="AE24" i="15"/>
  <c r="AF24" i="15"/>
  <c r="AG24" i="15"/>
  <c r="AH24" i="15"/>
  <c r="AI24" i="15"/>
  <c r="AJ24" i="15"/>
  <c r="AK24" i="15"/>
  <c r="AL24" i="15"/>
  <c r="AM24" i="15"/>
  <c r="AN24" i="15"/>
  <c r="AO24" i="15"/>
  <c r="AP24" i="15"/>
  <c r="AQ24" i="15"/>
  <c r="AR24" i="15"/>
  <c r="AS24" i="15"/>
  <c r="AT24" i="15"/>
  <c r="AU24" i="15"/>
  <c r="AV24" i="15"/>
  <c r="AW24" i="15"/>
  <c r="AX24" i="15"/>
  <c r="AY24" i="15"/>
  <c r="AZ24" i="15"/>
  <c r="BA24" i="15"/>
  <c r="BB24" i="15"/>
  <c r="BC24" i="15"/>
  <c r="BD24" i="15"/>
  <c r="BE24" i="15"/>
  <c r="BF24" i="15"/>
  <c r="BG24" i="15"/>
  <c r="BH24" i="15"/>
  <c r="BI24" i="15"/>
  <c r="BJ24" i="15"/>
  <c r="BK24" i="15"/>
  <c r="BL24" i="15"/>
  <c r="BM24" i="15"/>
  <c r="BN24" i="15"/>
  <c r="BO24" i="15"/>
  <c r="BP24" i="15"/>
  <c r="BQ24" i="15"/>
  <c r="BR24" i="15"/>
  <c r="BS24" i="15"/>
  <c r="BT24" i="15"/>
  <c r="BU24" i="15"/>
  <c r="BV24" i="15"/>
  <c r="BW24" i="15"/>
  <c r="BX24" i="15"/>
  <c r="BY24" i="15"/>
  <c r="BZ24" i="15"/>
  <c r="CA24" i="15"/>
  <c r="CB24" i="15"/>
  <c r="CC24" i="15"/>
  <c r="CD24" i="15"/>
  <c r="CE24" i="15"/>
  <c r="CF24" i="15"/>
  <c r="CG24" i="15"/>
  <c r="CH24" i="15"/>
  <c r="CI24" i="15"/>
  <c r="CJ24" i="15"/>
  <c r="CK24" i="15"/>
  <c r="CL24" i="15"/>
  <c r="CM24" i="15"/>
  <c r="CN24" i="15"/>
  <c r="CO24" i="15"/>
  <c r="CP24" i="15"/>
  <c r="CQ24" i="15"/>
  <c r="CR24" i="15"/>
  <c r="CS24" i="15"/>
  <c r="CT24" i="15"/>
  <c r="CU24" i="15"/>
  <c r="CV24" i="15"/>
  <c r="CW24" i="15"/>
  <c r="CX24" i="15"/>
  <c r="CY24" i="15"/>
  <c r="CZ24" i="15"/>
  <c r="DA24" i="15"/>
  <c r="DB24" i="15"/>
  <c r="DC24" i="15"/>
  <c r="DD24" i="15"/>
  <c r="DE24" i="15"/>
  <c r="DF24" i="15"/>
  <c r="DG24" i="15"/>
  <c r="DH24" i="15"/>
  <c r="DI24" i="15"/>
  <c r="DJ24" i="15"/>
  <c r="DK24" i="15"/>
  <c r="DL24" i="15"/>
  <c r="DM24" i="15"/>
  <c r="DN24" i="15"/>
  <c r="DO24" i="15"/>
  <c r="DP24" i="15"/>
  <c r="DQ24" i="15"/>
  <c r="DR24" i="15"/>
  <c r="DS24" i="15"/>
  <c r="DT24" i="15"/>
  <c r="DU24" i="15"/>
  <c r="DV24" i="15"/>
  <c r="DW24" i="15"/>
  <c r="DX24" i="15"/>
  <c r="DY24" i="15"/>
  <c r="DZ24" i="15"/>
  <c r="EA24" i="15"/>
  <c r="EB24" i="15"/>
  <c r="EC24" i="15"/>
  <c r="ED24" i="15"/>
  <c r="EE24" i="15"/>
  <c r="EF24" i="15"/>
  <c r="EG24" i="15"/>
  <c r="EH24" i="15"/>
  <c r="EI24" i="15"/>
  <c r="EJ24" i="15"/>
  <c r="EK24" i="15"/>
  <c r="EL24" i="15"/>
  <c r="EM24" i="15"/>
  <c r="EN24" i="15"/>
  <c r="EO24" i="15"/>
  <c r="EP24" i="15"/>
  <c r="EQ24" i="15"/>
  <c r="ER24" i="15"/>
  <c r="ES24" i="15"/>
  <c r="ET24" i="15"/>
  <c r="EU24" i="15"/>
  <c r="EV24" i="15"/>
  <c r="EW24" i="15"/>
  <c r="EX24" i="15"/>
  <c r="EY24" i="15"/>
  <c r="EZ24" i="15"/>
  <c r="FA24" i="15"/>
  <c r="FB24" i="15"/>
  <c r="FC24" i="15"/>
  <c r="FD24" i="15"/>
  <c r="FE24" i="15"/>
  <c r="FF24" i="15"/>
  <c r="FG24" i="15"/>
  <c r="FH24" i="15"/>
  <c r="FI24" i="15"/>
  <c r="FJ24" i="15"/>
  <c r="FK24" i="15"/>
  <c r="FL24" i="15"/>
  <c r="FM24" i="15"/>
  <c r="FN24" i="15"/>
  <c r="FO24" i="15"/>
  <c r="FP24" i="15"/>
  <c r="FQ24" i="15"/>
  <c r="FR24" i="15"/>
  <c r="FS24" i="15"/>
  <c r="FT24" i="15"/>
  <c r="FU24" i="15"/>
  <c r="FV24" i="15"/>
  <c r="FW24" i="15"/>
  <c r="FX24" i="15"/>
  <c r="FY24" i="15"/>
  <c r="FZ24" i="15"/>
  <c r="GA24" i="15"/>
  <c r="GB24" i="15"/>
  <c r="GC24" i="15"/>
  <c r="GD24" i="15"/>
  <c r="GE24" i="15"/>
  <c r="GF24" i="15"/>
  <c r="GG24" i="15"/>
  <c r="GH24" i="15"/>
  <c r="GI24" i="15"/>
  <c r="GJ24" i="15"/>
  <c r="GK24" i="15"/>
  <c r="GL24" i="15"/>
  <c r="GM24" i="15"/>
  <c r="GN24" i="15"/>
  <c r="GO24" i="15"/>
  <c r="GP24" i="15"/>
  <c r="GQ24" i="15"/>
  <c r="GR24" i="15"/>
  <c r="GS24" i="15"/>
  <c r="GT24" i="15"/>
  <c r="GU24" i="15"/>
  <c r="GV24" i="15"/>
  <c r="GW24" i="15"/>
  <c r="GX24" i="15"/>
  <c r="GY24" i="15"/>
  <c r="GZ24" i="15"/>
  <c r="HA24" i="15"/>
  <c r="HB24" i="15"/>
  <c r="HC24" i="15"/>
  <c r="HD24" i="15"/>
  <c r="HE24" i="15"/>
  <c r="HF24" i="15"/>
  <c r="HG24" i="15"/>
  <c r="HH24" i="15"/>
  <c r="HI24" i="15"/>
  <c r="HJ24" i="15"/>
  <c r="HK24" i="15"/>
  <c r="HL24" i="15"/>
  <c r="HM24" i="15"/>
  <c r="HN24" i="15"/>
  <c r="HO24" i="15"/>
  <c r="HP24" i="15"/>
  <c r="HQ24" i="15"/>
  <c r="HR24" i="15"/>
  <c r="HS24" i="15"/>
  <c r="HT24" i="15"/>
  <c r="HU24" i="15"/>
  <c r="HV24" i="15"/>
  <c r="HW24" i="15"/>
  <c r="HX24" i="15"/>
  <c r="HY24" i="15"/>
  <c r="HZ24" i="15"/>
  <c r="IA24" i="15"/>
  <c r="IB24" i="15"/>
  <c r="IC24" i="15"/>
  <c r="ID24" i="15"/>
  <c r="IE24" i="15"/>
  <c r="IF24" i="15"/>
  <c r="IG24" i="15"/>
  <c r="IH24" i="15"/>
  <c r="II24" i="15"/>
  <c r="IJ24" i="15"/>
  <c r="IK24" i="15"/>
  <c r="IL24" i="15"/>
  <c r="IM24" i="15"/>
  <c r="IN24" i="15"/>
  <c r="IO24" i="15"/>
  <c r="IP24" i="15"/>
  <c r="IQ24" i="15"/>
  <c r="IR24" i="15"/>
  <c r="IS24" i="15"/>
  <c r="IT24" i="15"/>
  <c r="IU24" i="15"/>
  <c r="IV24" i="15"/>
  <c r="A25" i="15"/>
  <c r="B25" i="15"/>
  <c r="C25" i="15"/>
  <c r="D25" i="15"/>
  <c r="E25" i="15"/>
  <c r="F25"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AG25" i="15"/>
  <c r="AH25" i="15"/>
  <c r="AI25" i="15"/>
  <c r="AJ25" i="15"/>
  <c r="AK25" i="15"/>
  <c r="AL25" i="15"/>
  <c r="AM25" i="15"/>
  <c r="AN25" i="15"/>
  <c r="AO25" i="15"/>
  <c r="AP25" i="15"/>
  <c r="AQ25" i="15"/>
  <c r="AR25" i="15"/>
  <c r="AS25" i="15"/>
  <c r="AT25" i="15"/>
  <c r="AU25" i="15"/>
  <c r="AV25" i="15"/>
  <c r="AW25" i="15"/>
  <c r="AX25" i="15"/>
  <c r="AY25" i="15"/>
  <c r="AZ25" i="15"/>
  <c r="BA25" i="15"/>
  <c r="BB25" i="15"/>
  <c r="BC25" i="15"/>
  <c r="BD25" i="15"/>
  <c r="BE25" i="15"/>
  <c r="BF25" i="15"/>
  <c r="BG25" i="15"/>
  <c r="BH25" i="15"/>
  <c r="BI25" i="15"/>
  <c r="BJ25" i="15"/>
  <c r="BK25" i="15"/>
  <c r="BL25" i="15"/>
  <c r="BM25" i="15"/>
  <c r="BN25" i="15"/>
  <c r="BO25" i="15"/>
  <c r="BP25" i="15"/>
  <c r="BQ25" i="15"/>
  <c r="BR25" i="15"/>
  <c r="BS25" i="15"/>
  <c r="BT25" i="15"/>
  <c r="BU25" i="15"/>
  <c r="BV25" i="15"/>
  <c r="BW25" i="15"/>
  <c r="BX25" i="15"/>
  <c r="BY25" i="15"/>
  <c r="BZ25" i="15"/>
  <c r="CA25" i="15"/>
  <c r="CB25" i="15"/>
  <c r="CC25" i="15"/>
  <c r="CD25" i="15"/>
  <c r="CE25" i="15"/>
  <c r="CF25" i="15"/>
  <c r="CG25" i="15"/>
  <c r="CH25" i="15"/>
  <c r="CI25" i="15"/>
  <c r="CJ25" i="15"/>
  <c r="CK25" i="15"/>
  <c r="CL25" i="15"/>
  <c r="CM25" i="15"/>
  <c r="CN25" i="15"/>
  <c r="CO25" i="15"/>
  <c r="CP25" i="15"/>
  <c r="CQ25" i="15"/>
  <c r="CR25" i="15"/>
  <c r="CS25" i="15"/>
  <c r="CT25" i="15"/>
  <c r="CU25" i="15"/>
  <c r="CV25" i="15"/>
  <c r="CW25" i="15"/>
  <c r="CX25" i="15"/>
  <c r="CY25" i="15"/>
  <c r="CZ25" i="15"/>
  <c r="DA25" i="15"/>
  <c r="DB25" i="15"/>
  <c r="DC25" i="15"/>
  <c r="DD25" i="15"/>
  <c r="DE25" i="15"/>
  <c r="DF25" i="15"/>
  <c r="DG25" i="15"/>
  <c r="DH25" i="15"/>
  <c r="DI25" i="15"/>
  <c r="DJ25" i="15"/>
  <c r="DK25" i="15"/>
  <c r="DL25" i="15"/>
  <c r="DM25" i="15"/>
  <c r="DN25" i="15"/>
  <c r="DO25" i="15"/>
  <c r="DP25" i="15"/>
  <c r="DQ25" i="15"/>
  <c r="DR25" i="15"/>
  <c r="DS25" i="15"/>
  <c r="DT25" i="15"/>
  <c r="DU25" i="15"/>
  <c r="DV25" i="15"/>
  <c r="DW25" i="15"/>
  <c r="DX25" i="15"/>
  <c r="DY25" i="15"/>
  <c r="DZ25" i="15"/>
  <c r="EA25" i="15"/>
  <c r="EB25" i="15"/>
  <c r="EC25" i="15"/>
  <c r="ED25" i="15"/>
  <c r="EE25" i="15"/>
  <c r="EF25" i="15"/>
  <c r="EG25" i="15"/>
  <c r="EH25" i="15"/>
  <c r="EI25" i="15"/>
  <c r="EJ25" i="15"/>
  <c r="EK25" i="15"/>
  <c r="EL25" i="15"/>
  <c r="EM25" i="15"/>
  <c r="EN25" i="15"/>
  <c r="EO25" i="15"/>
  <c r="EP25" i="15"/>
  <c r="EQ25" i="15"/>
  <c r="ER25" i="15"/>
  <c r="ES25" i="15"/>
  <c r="ET25" i="15"/>
  <c r="EU25" i="15"/>
  <c r="EV25" i="15"/>
  <c r="EW25" i="15"/>
  <c r="EX25" i="15"/>
  <c r="EY25" i="15"/>
  <c r="EZ25" i="15"/>
  <c r="FA25" i="15"/>
  <c r="FB25" i="15"/>
  <c r="FC25" i="15"/>
  <c r="FD25" i="15"/>
  <c r="FE25" i="15"/>
  <c r="FF25" i="15"/>
  <c r="FG25" i="15"/>
  <c r="FH25" i="15"/>
  <c r="FI25" i="15"/>
  <c r="FJ25" i="15"/>
  <c r="FK25" i="15"/>
  <c r="FL25" i="15"/>
  <c r="FM25" i="15"/>
  <c r="FN25" i="15"/>
  <c r="FO25" i="15"/>
  <c r="FP25" i="15"/>
  <c r="FQ25" i="15"/>
  <c r="FR25" i="15"/>
  <c r="FS25" i="15"/>
  <c r="FT25" i="15"/>
  <c r="FU25" i="15"/>
  <c r="FV25" i="15"/>
  <c r="FW25" i="15"/>
  <c r="FX25" i="15"/>
  <c r="FY25" i="15"/>
  <c r="FZ25" i="15"/>
  <c r="GA25" i="15"/>
  <c r="GB25" i="15"/>
  <c r="GC25" i="15"/>
  <c r="GD25" i="15"/>
  <c r="GE25" i="15"/>
  <c r="GF25" i="15"/>
  <c r="GG25" i="15"/>
  <c r="GH25" i="15"/>
  <c r="GI25" i="15"/>
  <c r="GJ25" i="15"/>
  <c r="GK25" i="15"/>
  <c r="GL25" i="15"/>
  <c r="GM25" i="15"/>
  <c r="GN25" i="15"/>
  <c r="GO25" i="15"/>
  <c r="GP25" i="15"/>
  <c r="GQ25" i="15"/>
  <c r="GR25" i="15"/>
  <c r="GS25" i="15"/>
  <c r="GT25" i="15"/>
  <c r="GU25" i="15"/>
  <c r="GV25" i="15"/>
  <c r="GW25" i="15"/>
  <c r="GX25" i="15"/>
  <c r="GY25" i="15"/>
  <c r="GZ25" i="15"/>
  <c r="HA25" i="15"/>
  <c r="HB25" i="15"/>
  <c r="HC25" i="15"/>
  <c r="HD25" i="15"/>
  <c r="HE25" i="15"/>
  <c r="HF25" i="15"/>
  <c r="HG25" i="15"/>
  <c r="HH25" i="15"/>
  <c r="HI25" i="15"/>
  <c r="HJ25" i="15"/>
  <c r="HK25" i="15"/>
  <c r="HL25" i="15"/>
  <c r="HM25" i="15"/>
  <c r="HN25" i="15"/>
  <c r="HO25" i="15"/>
  <c r="HP25" i="15"/>
  <c r="HQ25" i="15"/>
  <c r="HR25" i="15"/>
  <c r="HS25" i="15"/>
  <c r="HT25" i="15"/>
  <c r="HU25" i="15"/>
  <c r="HV25" i="15"/>
  <c r="HW25" i="15"/>
  <c r="HX25" i="15"/>
  <c r="HY25" i="15"/>
  <c r="HZ25" i="15"/>
  <c r="IA25" i="15"/>
  <c r="IB25" i="15"/>
  <c r="IC25" i="15"/>
  <c r="ID25" i="15"/>
  <c r="IE25" i="15"/>
  <c r="IF25" i="15"/>
  <c r="IG25" i="15"/>
  <c r="IH25" i="15"/>
  <c r="II25" i="15"/>
  <c r="IJ25" i="15"/>
  <c r="IK25" i="15"/>
  <c r="IL25" i="15"/>
  <c r="IM25" i="15"/>
  <c r="IN25" i="15"/>
  <c r="IO25" i="15"/>
  <c r="IP25" i="15"/>
  <c r="IQ25" i="15"/>
  <c r="IR25" i="15"/>
  <c r="IS25" i="15"/>
  <c r="IT25" i="15"/>
  <c r="IU25" i="15"/>
  <c r="IV25" i="15"/>
  <c r="A26" i="15"/>
  <c r="B26" i="15"/>
  <c r="C26" i="15"/>
  <c r="D26" i="15"/>
  <c r="E26" i="15"/>
  <c r="F26"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AG26" i="15"/>
  <c r="AH26" i="15"/>
  <c r="AI26" i="15"/>
  <c r="AJ26" i="15"/>
  <c r="AK26" i="15"/>
  <c r="AL26" i="15"/>
  <c r="AM26" i="15"/>
  <c r="AN26" i="15"/>
  <c r="AO26" i="15"/>
  <c r="AP26" i="15"/>
  <c r="AQ26" i="15"/>
  <c r="AR26" i="15"/>
  <c r="AS26" i="15"/>
  <c r="AT26" i="15"/>
  <c r="AU26" i="15"/>
  <c r="AV26" i="15"/>
  <c r="AW26" i="15"/>
  <c r="AX26" i="15"/>
  <c r="AY26" i="15"/>
  <c r="AZ26" i="15"/>
  <c r="BA26" i="15"/>
  <c r="BB26" i="15"/>
  <c r="BC26" i="15"/>
  <c r="BD26" i="15"/>
  <c r="BE26" i="15"/>
  <c r="BF26" i="15"/>
  <c r="BG26" i="15"/>
  <c r="BH26" i="15"/>
  <c r="BI26" i="15"/>
  <c r="BJ26" i="15"/>
  <c r="BK26" i="15"/>
  <c r="BL26" i="15"/>
  <c r="BM26" i="15"/>
  <c r="BN26" i="15"/>
  <c r="BO26" i="15"/>
  <c r="BP26" i="15"/>
  <c r="BQ26" i="15"/>
  <c r="BR26" i="15"/>
  <c r="BS26" i="15"/>
  <c r="BT26" i="15"/>
  <c r="BU26" i="15"/>
  <c r="BV26" i="15"/>
  <c r="BW26" i="15"/>
  <c r="BX26" i="15"/>
  <c r="BY26" i="15"/>
  <c r="BZ26" i="15"/>
  <c r="CA26" i="15"/>
  <c r="CB26" i="15"/>
  <c r="CC26" i="15"/>
  <c r="CD26" i="15"/>
  <c r="CE26" i="15"/>
  <c r="CF26" i="15"/>
  <c r="CG26" i="15"/>
  <c r="CH26" i="15"/>
  <c r="CI26" i="15"/>
  <c r="CJ26" i="15"/>
  <c r="CK26" i="15"/>
  <c r="CL26" i="15"/>
  <c r="CM26" i="15"/>
  <c r="CN26" i="15"/>
  <c r="CO26" i="15"/>
  <c r="CP26" i="15"/>
  <c r="CQ26" i="15"/>
  <c r="CR26" i="15"/>
  <c r="CS26" i="15"/>
  <c r="CT26" i="15"/>
  <c r="CU26" i="15"/>
  <c r="CV26" i="15"/>
  <c r="CW26" i="15"/>
  <c r="CX26" i="15"/>
  <c r="CY26" i="15"/>
  <c r="CZ26" i="15"/>
  <c r="DA26" i="15"/>
  <c r="DB26" i="15"/>
  <c r="DC26" i="15"/>
  <c r="DD26" i="15"/>
  <c r="DE26" i="15"/>
  <c r="DF26" i="15"/>
  <c r="DG26" i="15"/>
  <c r="DH26" i="15"/>
  <c r="DI26" i="15"/>
  <c r="DJ26" i="15"/>
  <c r="DK26" i="15"/>
  <c r="DL26" i="15"/>
  <c r="DM26" i="15"/>
  <c r="DN26" i="15"/>
  <c r="DO26" i="15"/>
  <c r="DP26" i="15"/>
  <c r="DQ26" i="15"/>
  <c r="DR26" i="15"/>
  <c r="DS26" i="15"/>
  <c r="DT26" i="15"/>
  <c r="DU26" i="15"/>
  <c r="DV26" i="15"/>
  <c r="DW26" i="15"/>
  <c r="DX26" i="15"/>
  <c r="DY26" i="15"/>
  <c r="DZ26" i="15"/>
  <c r="EA26" i="15"/>
  <c r="EB26" i="15"/>
  <c r="EC26" i="15"/>
  <c r="ED26" i="15"/>
  <c r="EE26" i="15"/>
  <c r="EF26" i="15"/>
  <c r="EG26" i="15"/>
  <c r="EH26" i="15"/>
  <c r="EI26" i="15"/>
  <c r="EJ26" i="15"/>
  <c r="EK26" i="15"/>
  <c r="EL26" i="15"/>
  <c r="EM26" i="15"/>
  <c r="EN26" i="15"/>
  <c r="EO26" i="15"/>
  <c r="EP26" i="15"/>
  <c r="EQ26" i="15"/>
  <c r="ER26" i="15"/>
  <c r="ES26" i="15"/>
  <c r="ET26" i="15"/>
  <c r="EU26" i="15"/>
  <c r="EV26" i="15"/>
  <c r="EW26" i="15"/>
  <c r="EX26" i="15"/>
  <c r="EY26" i="15"/>
  <c r="EZ26" i="15"/>
  <c r="FA26" i="15"/>
  <c r="FB26" i="15"/>
  <c r="FC26" i="15"/>
  <c r="FD26" i="15"/>
  <c r="FE26" i="15"/>
  <c r="FF26" i="15"/>
  <c r="FG26" i="15"/>
  <c r="FH26" i="15"/>
  <c r="FI26" i="15"/>
  <c r="FJ26" i="15"/>
  <c r="FK26" i="15"/>
  <c r="FL26" i="15"/>
  <c r="FM26" i="15"/>
  <c r="FN26" i="15"/>
  <c r="FO26" i="15"/>
  <c r="FP26" i="15"/>
  <c r="FQ26" i="15"/>
  <c r="FR26" i="15"/>
  <c r="FS26" i="15"/>
  <c r="FT26" i="15"/>
  <c r="FU26" i="15"/>
  <c r="FV26" i="15"/>
  <c r="FW26" i="15"/>
  <c r="FX26" i="15"/>
  <c r="FY26" i="15"/>
  <c r="FZ26" i="15"/>
  <c r="GA26" i="15"/>
  <c r="GB26" i="15"/>
  <c r="GC26" i="15"/>
  <c r="GD26" i="15"/>
  <c r="GE26" i="15"/>
  <c r="GF26" i="15"/>
  <c r="GG26" i="15"/>
  <c r="GH26" i="15"/>
  <c r="GI26" i="15"/>
  <c r="GJ26" i="15"/>
  <c r="GK26" i="15"/>
  <c r="GL26" i="15"/>
  <c r="GM26" i="15"/>
  <c r="GN26" i="15"/>
  <c r="GO26" i="15"/>
  <c r="GP26" i="15"/>
  <c r="GQ26" i="15"/>
  <c r="GR26" i="15"/>
  <c r="GS26" i="15"/>
  <c r="GT26" i="15"/>
  <c r="GU26" i="15"/>
  <c r="GV26" i="15"/>
  <c r="GW26" i="15"/>
  <c r="GX26" i="15"/>
  <c r="GY26" i="15"/>
  <c r="GZ26" i="15"/>
  <c r="HA26" i="15"/>
  <c r="HB26" i="15"/>
  <c r="HC26" i="15"/>
  <c r="HD26" i="15"/>
  <c r="HE26" i="15"/>
  <c r="HF26" i="15"/>
  <c r="HG26" i="15"/>
  <c r="HH26" i="15"/>
  <c r="HI26" i="15"/>
  <c r="HJ26" i="15"/>
  <c r="HK26" i="15"/>
  <c r="HL26" i="15"/>
  <c r="HM26" i="15"/>
  <c r="HN26" i="15"/>
  <c r="HO26" i="15"/>
  <c r="HP26" i="15"/>
  <c r="HQ26" i="15"/>
  <c r="HR26" i="15"/>
  <c r="HS26" i="15"/>
  <c r="HT26" i="15"/>
  <c r="HU26" i="15"/>
  <c r="HV26" i="15"/>
  <c r="HW26" i="15"/>
  <c r="HX26" i="15"/>
  <c r="HY26" i="15"/>
  <c r="HZ26" i="15"/>
  <c r="IA26" i="15"/>
  <c r="IB26" i="15"/>
  <c r="IC26" i="15"/>
  <c r="ID26" i="15"/>
  <c r="IE26" i="15"/>
  <c r="IF26" i="15"/>
  <c r="IG26" i="15"/>
  <c r="IH26" i="15"/>
  <c r="II26" i="15"/>
  <c r="IJ26" i="15"/>
  <c r="IK26" i="15"/>
  <c r="IL26" i="15"/>
  <c r="IM26" i="15"/>
  <c r="IN26" i="15"/>
  <c r="IO26" i="15"/>
  <c r="IP26" i="15"/>
  <c r="IQ26" i="15"/>
  <c r="IR26" i="15"/>
  <c r="IS26" i="15"/>
  <c r="IT26" i="15"/>
  <c r="IU26" i="15"/>
  <c r="IV26" i="15"/>
  <c r="A27" i="15"/>
  <c r="B27" i="15"/>
  <c r="C27" i="15"/>
  <c r="D27" i="15"/>
  <c r="E27" i="15"/>
  <c r="F27" i="15"/>
  <c r="G27" i="15"/>
  <c r="H27" i="15"/>
  <c r="I27" i="15"/>
  <c r="J27" i="15"/>
  <c r="K27" i="15"/>
  <c r="L27" i="15"/>
  <c r="M27" i="15"/>
  <c r="N27" i="15"/>
  <c r="O27" i="15"/>
  <c r="P27" i="15"/>
  <c r="Q27" i="15"/>
  <c r="R27" i="15"/>
  <c r="S27" i="15"/>
  <c r="T27" i="15"/>
  <c r="U27" i="15"/>
  <c r="V27" i="15"/>
  <c r="W27" i="15"/>
  <c r="X27" i="15"/>
  <c r="Y27" i="15"/>
  <c r="Z27" i="15"/>
  <c r="AA27" i="15"/>
  <c r="AB27" i="15"/>
  <c r="AC27" i="15"/>
  <c r="AD27" i="15"/>
  <c r="AE27" i="15"/>
  <c r="AF27" i="15"/>
  <c r="AG27" i="15"/>
  <c r="AH27" i="15"/>
  <c r="AI27" i="15"/>
  <c r="AJ27" i="15"/>
  <c r="AK27" i="15"/>
  <c r="AL27" i="15"/>
  <c r="AM27" i="15"/>
  <c r="AN27" i="15"/>
  <c r="AO27" i="15"/>
  <c r="AP27" i="15"/>
  <c r="AQ27" i="15"/>
  <c r="AR27" i="15"/>
  <c r="AS27" i="15"/>
  <c r="AT27" i="15"/>
  <c r="AU27" i="15"/>
  <c r="AV27" i="15"/>
  <c r="AW27" i="15"/>
  <c r="AX27" i="15"/>
  <c r="AY27" i="15"/>
  <c r="AZ27" i="15"/>
  <c r="BA27" i="15"/>
  <c r="BB27" i="15"/>
  <c r="BC27" i="15"/>
  <c r="BD27" i="15"/>
  <c r="BE27" i="15"/>
  <c r="BF27" i="15"/>
  <c r="BG27" i="15"/>
  <c r="BH27" i="15"/>
  <c r="BI27" i="15"/>
  <c r="BJ27" i="15"/>
  <c r="BK27" i="15"/>
  <c r="BL27" i="15"/>
  <c r="BM27" i="15"/>
  <c r="BN27" i="15"/>
  <c r="BO27" i="15"/>
  <c r="BP27" i="15"/>
  <c r="BQ27" i="15"/>
  <c r="BR27" i="15"/>
  <c r="BS27" i="15"/>
  <c r="BT27" i="15"/>
  <c r="BU27" i="15"/>
  <c r="BV27" i="15"/>
  <c r="BW27" i="15"/>
  <c r="BX27" i="15"/>
  <c r="BY27" i="15"/>
  <c r="BZ27" i="15"/>
  <c r="CA27" i="15"/>
  <c r="CB27" i="15"/>
  <c r="CC27" i="15"/>
  <c r="CD27" i="15"/>
  <c r="CE27" i="15"/>
  <c r="CF27" i="15"/>
  <c r="CG27" i="15"/>
  <c r="CH27" i="15"/>
  <c r="CI27" i="15"/>
  <c r="CJ27" i="15"/>
  <c r="CK27" i="15"/>
  <c r="CL27" i="15"/>
  <c r="CM27" i="15"/>
  <c r="CN27" i="15"/>
  <c r="CO27" i="15"/>
  <c r="CP27" i="15"/>
  <c r="CQ27" i="15"/>
  <c r="CR27" i="15"/>
  <c r="CS27" i="15"/>
  <c r="CT27" i="15"/>
  <c r="CU27" i="15"/>
  <c r="CV27" i="15"/>
  <c r="CW27" i="15"/>
  <c r="CX27" i="15"/>
  <c r="CY27" i="15"/>
  <c r="CZ27" i="15"/>
  <c r="DA27" i="15"/>
  <c r="DB27" i="15"/>
  <c r="DC27" i="15"/>
  <c r="DD27" i="15"/>
  <c r="DE27" i="15"/>
  <c r="DF27" i="15"/>
  <c r="DG27" i="15"/>
  <c r="DH27" i="15"/>
  <c r="DI27" i="15"/>
  <c r="DJ27" i="15"/>
  <c r="DK27" i="15"/>
  <c r="DL27" i="15"/>
  <c r="DM27" i="15"/>
  <c r="DN27" i="15"/>
  <c r="DO27" i="15"/>
  <c r="DP27" i="15"/>
  <c r="DQ27" i="15"/>
  <c r="DR27" i="15"/>
  <c r="DS27" i="15"/>
  <c r="DT27" i="15"/>
  <c r="DU27" i="15"/>
  <c r="DV27" i="15"/>
  <c r="DW27" i="15"/>
  <c r="DX27" i="15"/>
  <c r="DY27" i="15"/>
  <c r="DZ27" i="15"/>
  <c r="EA27" i="15"/>
  <c r="EB27" i="15"/>
  <c r="EC27" i="15"/>
  <c r="ED27" i="15"/>
  <c r="EE27" i="15"/>
  <c r="EF27" i="15"/>
  <c r="EG27" i="15"/>
  <c r="EH27" i="15"/>
  <c r="EI27" i="15"/>
  <c r="EJ27" i="15"/>
  <c r="EK27" i="15"/>
  <c r="EL27" i="15"/>
  <c r="EM27" i="15"/>
  <c r="EN27" i="15"/>
  <c r="EO27" i="15"/>
  <c r="EP27" i="15"/>
  <c r="EQ27" i="15"/>
  <c r="ER27" i="15"/>
  <c r="ES27" i="15"/>
  <c r="ET27" i="15"/>
  <c r="EU27" i="15"/>
  <c r="EV27" i="15"/>
  <c r="EW27" i="15"/>
  <c r="EX27" i="15"/>
  <c r="EY27" i="15"/>
  <c r="EZ27" i="15"/>
  <c r="FA27" i="15"/>
  <c r="FB27" i="15"/>
  <c r="FC27" i="15"/>
  <c r="FD27" i="15"/>
  <c r="FE27" i="15"/>
  <c r="FF27" i="15"/>
  <c r="FG27" i="15"/>
  <c r="FH27" i="15"/>
  <c r="FI27" i="15"/>
  <c r="FJ27" i="15"/>
  <c r="FK27" i="15"/>
  <c r="FL27" i="15"/>
  <c r="FM27" i="15"/>
  <c r="FN27" i="15"/>
  <c r="FO27" i="15"/>
  <c r="FP27" i="15"/>
  <c r="FQ27" i="15"/>
  <c r="FR27" i="15"/>
  <c r="FS27" i="15"/>
  <c r="FT27" i="15"/>
  <c r="FU27" i="15"/>
  <c r="FV27" i="15"/>
  <c r="FW27" i="15"/>
  <c r="FX27" i="15"/>
  <c r="FY27" i="15"/>
  <c r="FZ27" i="15"/>
  <c r="GA27" i="15"/>
  <c r="GB27" i="15"/>
  <c r="GC27" i="15"/>
  <c r="GD27" i="15"/>
  <c r="GE27" i="15"/>
  <c r="GF27" i="15"/>
  <c r="GG27" i="15"/>
  <c r="GH27" i="15"/>
  <c r="GI27" i="15"/>
  <c r="GJ27" i="15"/>
  <c r="GK27" i="15"/>
  <c r="GL27" i="15"/>
  <c r="GM27" i="15"/>
  <c r="GN27" i="15"/>
  <c r="GO27" i="15"/>
  <c r="GP27" i="15"/>
  <c r="GQ27" i="15"/>
  <c r="GR27" i="15"/>
  <c r="GS27" i="15"/>
  <c r="GT27" i="15"/>
  <c r="GU27" i="15"/>
  <c r="GV27" i="15"/>
  <c r="GW27" i="15"/>
  <c r="GX27" i="15"/>
  <c r="GY27" i="15"/>
  <c r="GZ27" i="15"/>
  <c r="HA27" i="15"/>
  <c r="HB27" i="15"/>
  <c r="HC27" i="15"/>
  <c r="HD27" i="15"/>
  <c r="HE27" i="15"/>
  <c r="HF27" i="15"/>
  <c r="HG27" i="15"/>
  <c r="HH27" i="15"/>
  <c r="HI27" i="15"/>
  <c r="HJ27" i="15"/>
  <c r="HK27" i="15"/>
  <c r="HL27" i="15"/>
  <c r="HM27" i="15"/>
  <c r="HN27" i="15"/>
  <c r="HO27" i="15"/>
  <c r="HP27" i="15"/>
  <c r="HQ27" i="15"/>
  <c r="HR27" i="15"/>
  <c r="HS27" i="15"/>
  <c r="HT27" i="15"/>
  <c r="HU27" i="15"/>
  <c r="HV27" i="15"/>
  <c r="HW27" i="15"/>
  <c r="HX27" i="15"/>
  <c r="HY27" i="15"/>
  <c r="HZ27" i="15"/>
  <c r="IA27" i="15"/>
  <c r="IB27" i="15"/>
  <c r="IC27" i="15"/>
  <c r="ID27" i="15"/>
  <c r="IE27" i="15"/>
  <c r="IF27" i="15"/>
  <c r="IG27" i="15"/>
  <c r="IH27" i="15"/>
  <c r="II27" i="15"/>
  <c r="IJ27" i="15"/>
  <c r="IK27" i="15"/>
  <c r="IL27" i="15"/>
  <c r="IM27" i="15"/>
  <c r="IN27" i="15"/>
  <c r="IO27" i="15"/>
  <c r="IP27" i="15"/>
  <c r="IQ27" i="15"/>
  <c r="IR27" i="15"/>
  <c r="IS27" i="15"/>
  <c r="IT27" i="15"/>
  <c r="IU27" i="15"/>
  <c r="IV27" i="15"/>
  <c r="A28" i="15"/>
  <c r="B28" i="15"/>
  <c r="C28" i="15"/>
  <c r="D28" i="15"/>
  <c r="E28" i="15"/>
  <c r="F28" i="15"/>
  <c r="G28" i="15"/>
  <c r="H28" i="15"/>
  <c r="I28" i="15"/>
  <c r="J28" i="15"/>
  <c r="K28" i="15"/>
  <c r="L28" i="15"/>
  <c r="M28" i="15"/>
  <c r="N28" i="15"/>
  <c r="O28" i="15"/>
  <c r="P28" i="15"/>
  <c r="Q28" i="15"/>
  <c r="R28" i="15"/>
  <c r="S28" i="15"/>
  <c r="T28" i="15"/>
  <c r="U28" i="15"/>
  <c r="V28" i="15"/>
  <c r="W28" i="15"/>
  <c r="X28" i="15"/>
  <c r="Y28" i="15"/>
  <c r="Z28" i="15"/>
  <c r="AA28" i="15"/>
  <c r="AB28" i="15"/>
  <c r="AC28" i="15"/>
  <c r="AD28" i="15"/>
  <c r="AE28" i="15"/>
  <c r="AF28" i="15"/>
  <c r="AG28" i="15"/>
  <c r="AH28" i="15"/>
  <c r="AI28" i="15"/>
  <c r="AJ28" i="15"/>
  <c r="AK28" i="15"/>
  <c r="AL28" i="15"/>
  <c r="AM28" i="15"/>
  <c r="AN28" i="15"/>
  <c r="AO28" i="15"/>
  <c r="AP28" i="15"/>
  <c r="AQ28" i="15"/>
  <c r="AR28" i="15"/>
  <c r="AS28" i="15"/>
  <c r="AT28" i="15"/>
  <c r="AU28" i="15"/>
  <c r="AV28" i="15"/>
  <c r="AW28" i="15"/>
  <c r="AX28" i="15"/>
  <c r="AY28" i="15"/>
  <c r="AZ28" i="15"/>
  <c r="BA28" i="15"/>
  <c r="BB28" i="15"/>
  <c r="BC28" i="15"/>
  <c r="BD28" i="15"/>
  <c r="BE28" i="15"/>
  <c r="BF28" i="15"/>
  <c r="BG28" i="15"/>
  <c r="BH28" i="15"/>
  <c r="BI28" i="15"/>
  <c r="BJ28" i="15"/>
  <c r="BK28" i="15"/>
  <c r="BL28" i="15"/>
  <c r="BM28" i="15"/>
  <c r="BN28" i="15"/>
  <c r="BO28" i="15"/>
  <c r="BP28" i="15"/>
  <c r="BQ28" i="15"/>
  <c r="BR28" i="15"/>
  <c r="BS28" i="15"/>
  <c r="BT28" i="15"/>
  <c r="BU28" i="15"/>
  <c r="BV28" i="15"/>
  <c r="BW28" i="15"/>
  <c r="BX28" i="15"/>
  <c r="BY28" i="15"/>
  <c r="BZ28" i="15"/>
  <c r="CA28" i="15"/>
  <c r="CB28" i="15"/>
  <c r="CC28" i="15"/>
  <c r="CD28" i="15"/>
  <c r="CE28" i="15"/>
  <c r="CF28" i="15"/>
  <c r="CG28" i="15"/>
  <c r="CH28" i="15"/>
  <c r="CI28" i="15"/>
  <c r="CJ28" i="15"/>
  <c r="CK28" i="15"/>
  <c r="CL28" i="15"/>
  <c r="CM28" i="15"/>
  <c r="CN28" i="15"/>
  <c r="CO28" i="15"/>
  <c r="CP28" i="15"/>
  <c r="CQ28" i="15"/>
  <c r="CR28" i="15"/>
  <c r="CS28" i="15"/>
  <c r="CT28" i="15"/>
  <c r="CU28" i="15"/>
  <c r="CV28" i="15"/>
  <c r="CW28" i="15"/>
  <c r="CX28" i="15"/>
  <c r="CY28" i="15"/>
  <c r="CZ28" i="15"/>
  <c r="DA28" i="15"/>
  <c r="DB28" i="15"/>
  <c r="DC28" i="15"/>
  <c r="DD28" i="15"/>
  <c r="DE28" i="15"/>
  <c r="DF28" i="15"/>
  <c r="DG28" i="15"/>
  <c r="DH28" i="15"/>
  <c r="DI28" i="15"/>
  <c r="DJ28" i="15"/>
  <c r="DK28" i="15"/>
  <c r="DL28" i="15"/>
  <c r="DM28" i="15"/>
  <c r="DN28" i="15"/>
  <c r="DO28" i="15"/>
  <c r="DP28" i="15"/>
  <c r="DQ28" i="15"/>
  <c r="DR28" i="15"/>
  <c r="DS28" i="15"/>
  <c r="DT28" i="15"/>
  <c r="DU28" i="15"/>
  <c r="DV28" i="15"/>
  <c r="DW28" i="15"/>
  <c r="DX28" i="15"/>
  <c r="DY28" i="15"/>
  <c r="DZ28" i="15"/>
  <c r="EA28" i="15"/>
  <c r="EB28" i="15"/>
  <c r="EC28" i="15"/>
  <c r="ED28" i="15"/>
  <c r="EE28" i="15"/>
  <c r="EF28" i="15"/>
  <c r="EG28" i="15"/>
  <c r="EH28" i="15"/>
  <c r="EI28" i="15"/>
  <c r="EJ28" i="15"/>
  <c r="EK28" i="15"/>
  <c r="EL28" i="15"/>
  <c r="EM28" i="15"/>
  <c r="EN28" i="15"/>
  <c r="EO28" i="15"/>
  <c r="EP28" i="15"/>
  <c r="EQ28" i="15"/>
  <c r="ER28" i="15"/>
  <c r="ES28" i="15"/>
  <c r="ET28" i="15"/>
  <c r="EU28" i="15"/>
  <c r="EV28" i="15"/>
  <c r="EW28" i="15"/>
  <c r="EX28" i="15"/>
  <c r="EY28" i="15"/>
  <c r="EZ28" i="15"/>
  <c r="FA28" i="15"/>
  <c r="FB28" i="15"/>
  <c r="FC28" i="15"/>
  <c r="FD28" i="15"/>
  <c r="FE28" i="15"/>
  <c r="FF28" i="15"/>
  <c r="FG28" i="15"/>
  <c r="FH28" i="15"/>
  <c r="FI28" i="15"/>
  <c r="FJ28" i="15"/>
  <c r="FK28" i="15"/>
  <c r="FL28" i="15"/>
  <c r="FM28" i="15"/>
  <c r="FN28" i="15"/>
  <c r="FO28" i="15"/>
  <c r="FP28" i="15"/>
  <c r="FQ28" i="15"/>
  <c r="FR28" i="15"/>
  <c r="FS28" i="15"/>
  <c r="FT28" i="15"/>
  <c r="FU28" i="15"/>
  <c r="FV28" i="15"/>
  <c r="FW28" i="15"/>
  <c r="FX28" i="15"/>
  <c r="FY28" i="15"/>
  <c r="FZ28" i="15"/>
  <c r="GA28" i="15"/>
  <c r="GB28" i="15"/>
  <c r="GC28" i="15"/>
  <c r="GD28" i="15"/>
  <c r="GE28" i="15"/>
  <c r="GF28" i="15"/>
  <c r="GG28" i="15"/>
  <c r="GH28" i="15"/>
  <c r="GI28" i="15"/>
  <c r="GJ28" i="15"/>
  <c r="GK28" i="15"/>
  <c r="GL28" i="15"/>
  <c r="GM28" i="15"/>
  <c r="GN28" i="15"/>
  <c r="GO28" i="15"/>
  <c r="GP28" i="15"/>
  <c r="GQ28" i="15"/>
  <c r="GR28" i="15"/>
  <c r="GS28" i="15"/>
  <c r="GT28" i="15"/>
  <c r="GU28" i="15"/>
  <c r="GV28" i="15"/>
  <c r="GW28" i="15"/>
  <c r="GX28" i="15"/>
  <c r="GY28" i="15"/>
  <c r="GZ28" i="15"/>
  <c r="HA28" i="15"/>
  <c r="HB28" i="15"/>
  <c r="HC28" i="15"/>
  <c r="HD28" i="15"/>
  <c r="HE28" i="15"/>
  <c r="HF28" i="15"/>
  <c r="HG28" i="15"/>
  <c r="HH28" i="15"/>
  <c r="HI28" i="15"/>
  <c r="HJ28" i="15"/>
  <c r="HK28" i="15"/>
  <c r="HL28" i="15"/>
  <c r="HM28" i="15"/>
  <c r="HN28" i="15"/>
  <c r="HO28" i="15"/>
  <c r="HP28" i="15"/>
  <c r="HQ28" i="15"/>
  <c r="HR28" i="15"/>
  <c r="HS28" i="15"/>
  <c r="HT28" i="15"/>
  <c r="HU28" i="15"/>
  <c r="HV28" i="15"/>
  <c r="HW28" i="15"/>
  <c r="HX28" i="15"/>
  <c r="HY28" i="15"/>
  <c r="HZ28" i="15"/>
  <c r="IA28" i="15"/>
  <c r="IB28" i="15"/>
  <c r="IC28" i="15"/>
  <c r="ID28" i="15"/>
  <c r="IE28" i="15"/>
  <c r="IF28" i="15"/>
  <c r="IG28" i="15"/>
  <c r="IH28" i="15"/>
  <c r="II28" i="15"/>
  <c r="IJ28" i="15"/>
  <c r="IK28" i="15"/>
  <c r="IL28" i="15"/>
  <c r="IM28" i="15"/>
  <c r="IN28" i="15"/>
  <c r="IO28" i="15"/>
  <c r="IP28" i="15"/>
  <c r="IQ28" i="15"/>
  <c r="IR28" i="15"/>
  <c r="IS28" i="15"/>
  <c r="IT28" i="15"/>
  <c r="IU28" i="15"/>
  <c r="IV28" i="15"/>
  <c r="A29" i="15"/>
  <c r="B29" i="15"/>
  <c r="C29" i="15"/>
  <c r="D29" i="15"/>
  <c r="E29" i="15"/>
  <c r="F29" i="15"/>
  <c r="G29" i="15"/>
  <c r="H29" i="15"/>
  <c r="I29" i="15"/>
  <c r="J29" i="15"/>
  <c r="K29" i="15"/>
  <c r="L29" i="15"/>
  <c r="M29" i="15"/>
  <c r="N29" i="15"/>
  <c r="O29" i="15"/>
  <c r="P29" i="15"/>
  <c r="Q29" i="15"/>
  <c r="R29" i="15"/>
  <c r="S29" i="15"/>
  <c r="T29" i="15"/>
  <c r="U29" i="15"/>
  <c r="V29" i="15"/>
  <c r="W29" i="15"/>
  <c r="X29" i="15"/>
  <c r="Y29" i="15"/>
  <c r="Z29" i="15"/>
  <c r="AA29" i="15"/>
  <c r="AB29" i="15"/>
  <c r="AC29" i="15"/>
  <c r="AD29" i="15"/>
  <c r="AE29" i="15"/>
  <c r="AF29" i="15"/>
  <c r="AG29" i="15"/>
  <c r="AH29" i="15"/>
  <c r="AI29" i="15"/>
  <c r="AJ29" i="15"/>
  <c r="AK29" i="15"/>
  <c r="AL29" i="15"/>
  <c r="AM29" i="15"/>
  <c r="AN29" i="15"/>
  <c r="AO29" i="15"/>
  <c r="AP29" i="15"/>
  <c r="AQ29" i="15"/>
  <c r="AR29" i="15"/>
  <c r="AS29" i="15"/>
  <c r="AT29" i="15"/>
  <c r="AU29" i="15"/>
  <c r="AV29" i="15"/>
  <c r="AW29" i="15"/>
  <c r="AX29" i="15"/>
  <c r="AY29" i="15"/>
  <c r="AZ29" i="15"/>
  <c r="BA29" i="15"/>
  <c r="BB29" i="15"/>
  <c r="BC29" i="15"/>
  <c r="BD29" i="15"/>
  <c r="BE29" i="15"/>
  <c r="BF29" i="15"/>
  <c r="BG29" i="15"/>
  <c r="BH29" i="15"/>
  <c r="BI29" i="15"/>
  <c r="BJ29" i="15"/>
  <c r="BK29" i="15"/>
  <c r="BL29" i="15"/>
  <c r="BM29" i="15"/>
  <c r="BN29" i="15"/>
  <c r="BO29" i="15"/>
  <c r="BP29" i="15"/>
  <c r="BQ29" i="15"/>
  <c r="BR29" i="15"/>
  <c r="BS29" i="15"/>
  <c r="BT29" i="15"/>
  <c r="BU29" i="15"/>
  <c r="BV29" i="15"/>
  <c r="BW29" i="15"/>
  <c r="BX29" i="15"/>
  <c r="BY29" i="15"/>
  <c r="BZ29" i="15"/>
  <c r="CA29" i="15"/>
  <c r="CB29" i="15"/>
  <c r="CC29" i="15"/>
  <c r="CD29" i="15"/>
  <c r="CE29" i="15"/>
  <c r="CF29" i="15"/>
  <c r="CG29" i="15"/>
  <c r="CH29" i="15"/>
  <c r="CI29" i="15"/>
  <c r="CJ29" i="15"/>
  <c r="CK29" i="15"/>
  <c r="CL29" i="15"/>
  <c r="CM29" i="15"/>
  <c r="CN29" i="15"/>
  <c r="CO29" i="15"/>
  <c r="CP29" i="15"/>
  <c r="CQ29" i="15"/>
  <c r="CR29" i="15"/>
  <c r="CS29" i="15"/>
  <c r="CT29" i="15"/>
  <c r="CU29" i="15"/>
  <c r="CV29" i="15"/>
  <c r="CW29" i="15"/>
  <c r="CX29" i="15"/>
  <c r="CY29" i="15"/>
  <c r="CZ29" i="15"/>
  <c r="DA29" i="15"/>
  <c r="DB29" i="15"/>
  <c r="DC29" i="15"/>
  <c r="DD29" i="15"/>
  <c r="DE29" i="15"/>
  <c r="DF29" i="15"/>
  <c r="DG29" i="15"/>
  <c r="DH29" i="15"/>
  <c r="DI29" i="15"/>
  <c r="DJ29" i="15"/>
  <c r="DK29" i="15"/>
  <c r="DL29" i="15"/>
  <c r="DM29" i="15"/>
  <c r="DN29" i="15"/>
  <c r="DO29" i="15"/>
  <c r="DP29" i="15"/>
  <c r="DQ29" i="15"/>
  <c r="DR29" i="15"/>
  <c r="DS29" i="15"/>
  <c r="DT29" i="15"/>
  <c r="DU29" i="15"/>
  <c r="DV29" i="15"/>
  <c r="DW29" i="15"/>
  <c r="DX29" i="15"/>
  <c r="DY29" i="15"/>
  <c r="DZ29" i="15"/>
  <c r="EA29" i="15"/>
  <c r="EB29" i="15"/>
  <c r="EC29" i="15"/>
  <c r="ED29" i="15"/>
  <c r="EE29" i="15"/>
  <c r="EF29" i="15"/>
  <c r="EG29" i="15"/>
  <c r="EH29" i="15"/>
  <c r="EI29" i="15"/>
  <c r="EJ29" i="15"/>
  <c r="EK29" i="15"/>
  <c r="EL29" i="15"/>
  <c r="EM29" i="15"/>
  <c r="EN29" i="15"/>
  <c r="EO29" i="15"/>
  <c r="EP29" i="15"/>
  <c r="EQ29" i="15"/>
  <c r="ER29" i="15"/>
  <c r="ES29" i="15"/>
  <c r="ET29" i="15"/>
  <c r="EU29" i="15"/>
  <c r="EV29" i="15"/>
  <c r="EW29" i="15"/>
  <c r="EX29" i="15"/>
  <c r="EY29" i="15"/>
  <c r="EZ29" i="15"/>
  <c r="FA29" i="15"/>
  <c r="FB29" i="15"/>
  <c r="FC29" i="15"/>
  <c r="FD29" i="15"/>
  <c r="FE29" i="15"/>
  <c r="FF29" i="15"/>
  <c r="FG29" i="15"/>
  <c r="FH29" i="15"/>
  <c r="FI29" i="15"/>
  <c r="FJ29" i="15"/>
  <c r="FK29" i="15"/>
  <c r="FL29" i="15"/>
  <c r="FM29" i="15"/>
  <c r="FN29" i="15"/>
  <c r="FO29" i="15"/>
  <c r="FP29" i="15"/>
  <c r="FQ29" i="15"/>
  <c r="FR29" i="15"/>
  <c r="FS29" i="15"/>
  <c r="FT29" i="15"/>
  <c r="FU29" i="15"/>
  <c r="FV29" i="15"/>
  <c r="FW29" i="15"/>
  <c r="FX29" i="15"/>
  <c r="FY29" i="15"/>
  <c r="FZ29" i="15"/>
  <c r="GA29" i="15"/>
  <c r="GB29" i="15"/>
  <c r="GC29" i="15"/>
  <c r="GD29" i="15"/>
  <c r="GE29" i="15"/>
  <c r="GF29" i="15"/>
  <c r="GG29" i="15"/>
  <c r="GH29" i="15"/>
  <c r="GI29" i="15"/>
  <c r="GJ29" i="15"/>
  <c r="GK29" i="15"/>
  <c r="GL29" i="15"/>
  <c r="GM29" i="15"/>
  <c r="GN29" i="15"/>
  <c r="GO29" i="15"/>
  <c r="GP29" i="15"/>
  <c r="GQ29" i="15"/>
  <c r="GR29" i="15"/>
  <c r="GS29" i="15"/>
  <c r="GT29" i="15"/>
  <c r="GU29" i="15"/>
  <c r="GV29" i="15"/>
  <c r="GW29" i="15"/>
  <c r="GX29" i="15"/>
  <c r="GY29" i="15"/>
  <c r="GZ29" i="15"/>
  <c r="HA29" i="15"/>
  <c r="HB29" i="15"/>
  <c r="HC29" i="15"/>
  <c r="HD29" i="15"/>
  <c r="HE29" i="15"/>
  <c r="HF29" i="15"/>
  <c r="HG29" i="15"/>
  <c r="HH29" i="15"/>
  <c r="HI29" i="15"/>
  <c r="HJ29" i="15"/>
  <c r="HK29" i="15"/>
  <c r="HL29" i="15"/>
  <c r="HM29" i="15"/>
  <c r="HN29" i="15"/>
  <c r="HO29" i="15"/>
  <c r="HP29" i="15"/>
  <c r="HQ29" i="15"/>
  <c r="HR29" i="15"/>
  <c r="HS29" i="15"/>
  <c r="HT29" i="15"/>
  <c r="HU29" i="15"/>
  <c r="HV29" i="15"/>
  <c r="HW29" i="15"/>
  <c r="HX29" i="15"/>
  <c r="HY29" i="15"/>
  <c r="HZ29" i="15"/>
  <c r="IA29" i="15"/>
  <c r="IB29" i="15"/>
  <c r="IC29" i="15"/>
  <c r="ID29" i="15"/>
  <c r="IE29" i="15"/>
  <c r="IF29" i="15"/>
  <c r="IG29" i="15"/>
  <c r="IH29" i="15"/>
  <c r="II29" i="15"/>
  <c r="IJ29" i="15"/>
  <c r="IK29" i="15"/>
  <c r="IL29" i="15"/>
  <c r="IM29" i="15"/>
  <c r="IN29" i="15"/>
  <c r="IO29" i="15"/>
  <c r="IP29" i="15"/>
  <c r="IQ29" i="15"/>
  <c r="IR29" i="15"/>
  <c r="IS29" i="15"/>
  <c r="IT29" i="15"/>
  <c r="IU29" i="15"/>
  <c r="IV29" i="15"/>
  <c r="A30" i="15"/>
  <c r="B30" i="15"/>
  <c r="C30" i="15"/>
  <c r="D30" i="15"/>
  <c r="E30" i="15"/>
  <c r="F30" i="15"/>
  <c r="G30" i="15"/>
  <c r="H30" i="15"/>
  <c r="I30" i="15"/>
  <c r="J30" i="15"/>
  <c r="K30" i="15"/>
  <c r="L30" i="15"/>
  <c r="M30" i="15"/>
  <c r="N30" i="15"/>
  <c r="O30" i="15"/>
  <c r="P30" i="15"/>
  <c r="Q30" i="15"/>
  <c r="R30" i="15"/>
  <c r="S30" i="15"/>
  <c r="T30" i="15"/>
  <c r="U30" i="15"/>
  <c r="V30" i="15"/>
  <c r="W30" i="15"/>
  <c r="X30" i="15"/>
  <c r="Y30" i="15"/>
  <c r="Z30" i="15"/>
  <c r="AA30" i="15"/>
  <c r="AB30" i="15"/>
  <c r="AC30" i="15"/>
  <c r="AD30" i="15"/>
  <c r="AE30" i="15"/>
  <c r="AF30" i="15"/>
  <c r="AG30" i="15"/>
  <c r="AH30" i="15"/>
  <c r="AI30" i="15"/>
  <c r="AJ30" i="15"/>
  <c r="AK30" i="15"/>
  <c r="AL30" i="15"/>
  <c r="AM30" i="15"/>
  <c r="AN30" i="15"/>
  <c r="AO30" i="15"/>
  <c r="AP30" i="15"/>
  <c r="AQ30" i="15"/>
  <c r="AR30" i="15"/>
  <c r="AS30" i="15"/>
  <c r="AT30" i="15"/>
  <c r="AU30" i="15"/>
  <c r="AV30" i="15"/>
  <c r="AW30" i="15"/>
  <c r="AX30" i="15"/>
  <c r="AY30" i="15"/>
  <c r="AZ30" i="15"/>
  <c r="BA30" i="15"/>
  <c r="BB30" i="15"/>
  <c r="BC30" i="15"/>
  <c r="BD30" i="15"/>
  <c r="BE30" i="15"/>
  <c r="BF30" i="15"/>
  <c r="BG30" i="15"/>
  <c r="BH30" i="15"/>
  <c r="BI30" i="15"/>
  <c r="BJ30" i="15"/>
  <c r="BK30" i="15"/>
  <c r="BL30" i="15"/>
  <c r="BM30" i="15"/>
  <c r="BN30" i="15"/>
  <c r="BO30" i="15"/>
  <c r="BP30" i="15"/>
  <c r="BQ30" i="15"/>
  <c r="BR30" i="15"/>
  <c r="BS30" i="15"/>
  <c r="BT30" i="15"/>
  <c r="BU30" i="15"/>
  <c r="BV30" i="15"/>
  <c r="BW30" i="15"/>
  <c r="BX30" i="15"/>
  <c r="BY30" i="15"/>
  <c r="BZ30" i="15"/>
  <c r="CA30" i="15"/>
  <c r="CB30" i="15"/>
  <c r="CC30" i="15"/>
  <c r="CD30" i="15"/>
  <c r="CE30" i="15"/>
  <c r="CF30" i="15"/>
  <c r="CG30" i="15"/>
  <c r="CH30" i="15"/>
  <c r="CI30" i="15"/>
  <c r="CJ30" i="15"/>
  <c r="CK30" i="15"/>
  <c r="CL30" i="15"/>
  <c r="CM30" i="15"/>
  <c r="CN30" i="15"/>
  <c r="CO30" i="15"/>
  <c r="CP30" i="15"/>
  <c r="CQ30" i="15"/>
  <c r="CR30" i="15"/>
  <c r="CS30" i="15"/>
  <c r="CT30" i="15"/>
  <c r="CU30" i="15"/>
  <c r="CV30" i="15"/>
  <c r="CW30" i="15"/>
  <c r="CX30" i="15"/>
  <c r="CY30" i="15"/>
  <c r="CZ30" i="15"/>
  <c r="DA30" i="15"/>
  <c r="DB30" i="15"/>
  <c r="DC30" i="15"/>
  <c r="DD30" i="15"/>
  <c r="DE30" i="15"/>
  <c r="DF30" i="15"/>
  <c r="DG30" i="15"/>
  <c r="DH30" i="15"/>
  <c r="DI30" i="15"/>
  <c r="DJ30" i="15"/>
  <c r="DK30" i="15"/>
  <c r="DL30" i="15"/>
  <c r="DM30" i="15"/>
  <c r="DN30" i="15"/>
  <c r="DO30" i="15"/>
  <c r="DP30" i="15"/>
  <c r="DQ30" i="15"/>
  <c r="DR30" i="15"/>
  <c r="DS30" i="15"/>
  <c r="DT30" i="15"/>
  <c r="DU30" i="15"/>
  <c r="DV30" i="15"/>
  <c r="DW30" i="15"/>
  <c r="DX30" i="15"/>
  <c r="DY30" i="15"/>
  <c r="DZ30" i="15"/>
  <c r="EA30" i="15"/>
  <c r="EB30" i="15"/>
  <c r="EC30" i="15"/>
  <c r="ED30" i="15"/>
  <c r="EE30" i="15"/>
  <c r="EF30" i="15"/>
  <c r="EG30" i="15"/>
  <c r="EH30" i="15"/>
  <c r="EI30" i="15"/>
  <c r="EJ30" i="15"/>
  <c r="EK30" i="15"/>
  <c r="EL30" i="15"/>
  <c r="EM30" i="15"/>
  <c r="EN30" i="15"/>
  <c r="EO30" i="15"/>
  <c r="EP30" i="15"/>
  <c r="EQ30" i="15"/>
  <c r="ER30" i="15"/>
  <c r="ES30" i="15"/>
  <c r="ET30" i="15"/>
  <c r="EU30" i="15"/>
  <c r="EV30" i="15"/>
  <c r="EW30" i="15"/>
  <c r="EX30" i="15"/>
  <c r="EY30" i="15"/>
  <c r="EZ30" i="15"/>
  <c r="FA30" i="15"/>
  <c r="FB30" i="15"/>
  <c r="FC30" i="15"/>
  <c r="FD30" i="15"/>
  <c r="FE30" i="15"/>
  <c r="FF30" i="15"/>
  <c r="FG30" i="15"/>
  <c r="FH30" i="15"/>
  <c r="FI30" i="15"/>
  <c r="FJ30" i="15"/>
  <c r="FK30" i="15"/>
  <c r="FL30" i="15"/>
  <c r="FM30" i="15"/>
  <c r="FN30" i="15"/>
  <c r="FO30" i="15"/>
  <c r="FP30" i="15"/>
  <c r="FQ30" i="15"/>
  <c r="FR30" i="15"/>
  <c r="FS30" i="15"/>
  <c r="FT30" i="15"/>
  <c r="FU30" i="15"/>
  <c r="FV30" i="15"/>
  <c r="FW30" i="15"/>
  <c r="FX30" i="15"/>
  <c r="FY30" i="15"/>
  <c r="FZ30" i="15"/>
  <c r="GA30" i="15"/>
  <c r="GB30" i="15"/>
  <c r="GC30" i="15"/>
  <c r="GD30" i="15"/>
  <c r="GE30" i="15"/>
  <c r="GF30" i="15"/>
  <c r="GG30" i="15"/>
  <c r="GH30" i="15"/>
  <c r="GI30" i="15"/>
  <c r="GJ30" i="15"/>
  <c r="GK30" i="15"/>
  <c r="GL30" i="15"/>
  <c r="GM30" i="15"/>
  <c r="GN30" i="15"/>
  <c r="GO30" i="15"/>
  <c r="GP30" i="15"/>
  <c r="GQ30" i="15"/>
  <c r="GR30" i="15"/>
  <c r="GS30" i="15"/>
  <c r="GT30" i="15"/>
  <c r="GU30" i="15"/>
  <c r="GV30" i="15"/>
  <c r="GW30" i="15"/>
  <c r="GX30" i="15"/>
  <c r="GY30" i="15"/>
  <c r="GZ30" i="15"/>
  <c r="HA30" i="15"/>
  <c r="HB30" i="15"/>
  <c r="HC30" i="15"/>
  <c r="HD30" i="15"/>
  <c r="HE30" i="15"/>
  <c r="HF30" i="15"/>
  <c r="HG30" i="15"/>
  <c r="HH30" i="15"/>
  <c r="HI30" i="15"/>
  <c r="HJ30" i="15"/>
  <c r="HK30" i="15"/>
  <c r="HL30" i="15"/>
  <c r="HM30" i="15"/>
  <c r="HN30" i="15"/>
  <c r="HO30" i="15"/>
  <c r="HP30" i="15"/>
  <c r="HQ30" i="15"/>
  <c r="HR30" i="15"/>
  <c r="HS30" i="15"/>
  <c r="HT30" i="15"/>
  <c r="HU30" i="15"/>
  <c r="HV30" i="15"/>
  <c r="HW30" i="15"/>
  <c r="HX30" i="15"/>
  <c r="HY30" i="15"/>
  <c r="HZ30" i="15"/>
  <c r="IA30" i="15"/>
  <c r="IB30" i="15"/>
  <c r="IC30" i="15"/>
  <c r="ID30" i="15"/>
  <c r="IE30" i="15"/>
  <c r="IF30" i="15"/>
  <c r="IG30" i="15"/>
  <c r="IH30" i="15"/>
  <c r="II30" i="15"/>
  <c r="IJ30" i="15"/>
  <c r="IK30" i="15"/>
  <c r="IL30" i="15"/>
  <c r="IM30" i="15"/>
  <c r="IN30" i="15"/>
  <c r="IO30" i="15"/>
  <c r="IP30" i="15"/>
  <c r="IQ30" i="15"/>
  <c r="IR30" i="15"/>
  <c r="IS30" i="15"/>
  <c r="IT30" i="15"/>
  <c r="IU30" i="15"/>
  <c r="IV30" i="15"/>
  <c r="A31" i="15"/>
  <c r="B31" i="15"/>
  <c r="C31" i="15"/>
  <c r="D31" i="15"/>
  <c r="E31" i="15"/>
  <c r="F31" i="15"/>
  <c r="G31" i="15"/>
  <c r="H31" i="15"/>
  <c r="I31" i="15"/>
  <c r="J31" i="15"/>
  <c r="K31" i="15"/>
  <c r="L31" i="15"/>
  <c r="M31" i="15"/>
  <c r="N31" i="15"/>
  <c r="O31" i="15"/>
  <c r="P31" i="15"/>
  <c r="Q31" i="15"/>
  <c r="R31" i="15"/>
  <c r="S31" i="15"/>
  <c r="T31" i="15"/>
  <c r="U31" i="15"/>
  <c r="V31" i="15"/>
  <c r="W31" i="15"/>
  <c r="X31" i="15"/>
  <c r="Y31" i="15"/>
  <c r="Z31" i="15"/>
  <c r="AA31" i="15"/>
  <c r="AB31" i="15"/>
  <c r="AC31" i="15"/>
  <c r="AD31" i="15"/>
  <c r="AE31" i="15"/>
  <c r="AF31" i="15"/>
  <c r="AG31" i="15"/>
  <c r="AH31" i="15"/>
  <c r="AI31" i="15"/>
  <c r="AJ31" i="15"/>
  <c r="AK31" i="15"/>
  <c r="AL31" i="15"/>
  <c r="AM31" i="15"/>
  <c r="AN31" i="15"/>
  <c r="AO31" i="15"/>
  <c r="AP31" i="15"/>
  <c r="AQ31" i="15"/>
  <c r="AR31" i="15"/>
  <c r="AS31" i="15"/>
  <c r="AT31" i="15"/>
  <c r="AU31" i="15"/>
  <c r="AV31" i="15"/>
  <c r="AW31" i="15"/>
  <c r="AX31" i="15"/>
  <c r="AY31" i="15"/>
  <c r="AZ31" i="15"/>
  <c r="BA31" i="15"/>
  <c r="BB31" i="15"/>
  <c r="BC31" i="15"/>
  <c r="BD31" i="15"/>
  <c r="BE31" i="15"/>
  <c r="BF31" i="15"/>
  <c r="BG31" i="15"/>
  <c r="BH31" i="15"/>
  <c r="BI31" i="15"/>
  <c r="BJ31" i="15"/>
  <c r="BK31" i="15"/>
  <c r="BL31" i="15"/>
  <c r="BM31" i="15"/>
  <c r="BN31" i="15"/>
  <c r="BO31" i="15"/>
  <c r="BP31" i="15"/>
  <c r="BQ31" i="15"/>
  <c r="BR31" i="15"/>
  <c r="BS31" i="15"/>
  <c r="BT31" i="15"/>
  <c r="BU31" i="15"/>
  <c r="BV31" i="15"/>
  <c r="BW31" i="15"/>
  <c r="BX31" i="15"/>
  <c r="BY31" i="15"/>
  <c r="BZ31" i="15"/>
  <c r="CA31" i="15"/>
  <c r="CB31" i="15"/>
  <c r="CC31" i="15"/>
  <c r="CD31" i="15"/>
  <c r="CE31" i="15"/>
  <c r="CF31" i="15"/>
  <c r="CG31" i="15"/>
  <c r="CH31" i="15"/>
  <c r="CI31" i="15"/>
  <c r="CJ31" i="15"/>
  <c r="CK31" i="15"/>
  <c r="CL31" i="15"/>
  <c r="CM31" i="15"/>
  <c r="CN31" i="15"/>
  <c r="CO31" i="15"/>
  <c r="CP31" i="15"/>
  <c r="CQ31" i="15"/>
  <c r="CR31" i="15"/>
  <c r="CS31" i="15"/>
  <c r="CT31" i="15"/>
  <c r="CU31" i="15"/>
  <c r="CV31" i="15"/>
  <c r="CW31" i="15"/>
  <c r="CX31" i="15"/>
  <c r="CY31" i="15"/>
  <c r="CZ31" i="15"/>
  <c r="DA31" i="15"/>
  <c r="DB31" i="15"/>
  <c r="DC31" i="15"/>
  <c r="DD31" i="15"/>
  <c r="DE31" i="15"/>
  <c r="DF31" i="15"/>
  <c r="DG31" i="15"/>
  <c r="DH31" i="15"/>
  <c r="DI31" i="15"/>
  <c r="DJ31" i="15"/>
  <c r="DK31" i="15"/>
  <c r="DL31" i="15"/>
  <c r="DM31" i="15"/>
  <c r="DN31" i="15"/>
  <c r="DO31" i="15"/>
  <c r="DP31" i="15"/>
  <c r="DQ31" i="15"/>
  <c r="DR31" i="15"/>
  <c r="DS31" i="15"/>
  <c r="DT31" i="15"/>
  <c r="DU31" i="15"/>
  <c r="DV31" i="15"/>
  <c r="DW31" i="15"/>
  <c r="DX31" i="15"/>
  <c r="DY31" i="15"/>
  <c r="DZ31" i="15"/>
  <c r="EA31" i="15"/>
  <c r="EB31" i="15"/>
  <c r="EC31" i="15"/>
  <c r="ED31" i="15"/>
  <c r="EE31" i="15"/>
  <c r="EF31" i="15"/>
  <c r="EG31" i="15"/>
  <c r="EH31" i="15"/>
  <c r="EI31" i="15"/>
  <c r="EJ31" i="15"/>
  <c r="EK31" i="15"/>
  <c r="EL31" i="15"/>
  <c r="EM31" i="15"/>
  <c r="EN31" i="15"/>
  <c r="EO31" i="15"/>
  <c r="EP31" i="15"/>
  <c r="EQ31" i="15"/>
  <c r="ER31" i="15"/>
  <c r="ES31" i="15"/>
  <c r="ET31" i="15"/>
  <c r="EU31" i="15"/>
  <c r="EV31" i="15"/>
  <c r="EW31" i="15"/>
  <c r="EX31" i="15"/>
  <c r="EY31" i="15"/>
  <c r="EZ31" i="15"/>
  <c r="FA31" i="15"/>
  <c r="FB31" i="15"/>
  <c r="FC31" i="15"/>
  <c r="FD31" i="15"/>
  <c r="FE31" i="15"/>
  <c r="FF31" i="15"/>
  <c r="FG31" i="15"/>
  <c r="FH31" i="15"/>
  <c r="FI31" i="15"/>
  <c r="FJ31" i="15"/>
  <c r="FK31" i="15"/>
  <c r="FL31" i="15"/>
  <c r="FM31" i="15"/>
  <c r="FN31" i="15"/>
  <c r="FO31" i="15"/>
  <c r="FP31" i="15"/>
  <c r="FQ31" i="15"/>
  <c r="FR31" i="15"/>
  <c r="FS31" i="15"/>
  <c r="FT31" i="15"/>
  <c r="FU31" i="15"/>
  <c r="FV31" i="15"/>
  <c r="FW31" i="15"/>
  <c r="FX31" i="15"/>
  <c r="FY31" i="15"/>
  <c r="FZ31" i="15"/>
  <c r="GA31" i="15"/>
  <c r="GB31" i="15"/>
  <c r="GC31" i="15"/>
  <c r="GD31" i="15"/>
  <c r="GE31" i="15"/>
  <c r="GF31" i="15"/>
  <c r="GG31" i="15"/>
  <c r="GH31" i="15"/>
  <c r="GI31" i="15"/>
  <c r="GJ31" i="15"/>
  <c r="GK31" i="15"/>
  <c r="GL31" i="15"/>
  <c r="GM31" i="15"/>
  <c r="GN31" i="15"/>
  <c r="GO31" i="15"/>
  <c r="GP31" i="15"/>
  <c r="GQ31" i="15"/>
  <c r="GR31" i="15"/>
  <c r="GS31" i="15"/>
  <c r="GT31" i="15"/>
  <c r="GU31" i="15"/>
  <c r="GV31" i="15"/>
  <c r="GW31" i="15"/>
  <c r="GX31" i="15"/>
  <c r="GY31" i="15"/>
  <c r="GZ31" i="15"/>
  <c r="HA31" i="15"/>
  <c r="HB31" i="15"/>
  <c r="HC31" i="15"/>
  <c r="HD31" i="15"/>
  <c r="HE31" i="15"/>
  <c r="HF31" i="15"/>
  <c r="HG31" i="15"/>
  <c r="HH31" i="15"/>
  <c r="HI31" i="15"/>
  <c r="HJ31" i="15"/>
  <c r="HK31" i="15"/>
  <c r="HL31" i="15"/>
  <c r="HM31" i="15"/>
  <c r="HN31" i="15"/>
  <c r="HO31" i="15"/>
  <c r="HP31" i="15"/>
  <c r="HQ31" i="15"/>
  <c r="HR31" i="15"/>
  <c r="HS31" i="15"/>
  <c r="HT31" i="15"/>
  <c r="HU31" i="15"/>
  <c r="HV31" i="15"/>
  <c r="HW31" i="15"/>
  <c r="HX31" i="15"/>
  <c r="HY31" i="15"/>
  <c r="HZ31" i="15"/>
  <c r="IA31" i="15"/>
  <c r="IB31" i="15"/>
  <c r="IC31" i="15"/>
  <c r="ID31" i="15"/>
  <c r="IE31" i="15"/>
  <c r="IF31" i="15"/>
  <c r="IG31" i="15"/>
  <c r="IH31" i="15"/>
  <c r="II31" i="15"/>
  <c r="IJ31" i="15"/>
  <c r="IK31" i="15"/>
  <c r="IL31" i="15"/>
  <c r="IM31" i="15"/>
  <c r="IN31" i="15"/>
  <c r="IO31" i="15"/>
  <c r="IP31" i="15"/>
  <c r="IQ31" i="15"/>
  <c r="IR31" i="15"/>
  <c r="IS31" i="15"/>
  <c r="IT31" i="15"/>
  <c r="IU31" i="15"/>
  <c r="IV31" i="15"/>
  <c r="A32" i="15"/>
  <c r="B32" i="15"/>
  <c r="C32" i="15"/>
  <c r="D32"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AG32" i="15"/>
  <c r="AH32" i="15"/>
  <c r="AI32" i="15"/>
  <c r="AJ32" i="15"/>
  <c r="AK32" i="15"/>
  <c r="AL32" i="15"/>
  <c r="AM32" i="15"/>
  <c r="AN32" i="15"/>
  <c r="AO32" i="15"/>
  <c r="AP32" i="15"/>
  <c r="AQ32" i="15"/>
  <c r="AR32" i="15"/>
  <c r="AS32" i="15"/>
  <c r="AT32" i="15"/>
  <c r="AU32" i="15"/>
  <c r="AV32" i="15"/>
  <c r="AW32" i="15"/>
  <c r="AX32" i="15"/>
  <c r="AY32" i="15"/>
  <c r="AZ32" i="15"/>
  <c r="BA32" i="15"/>
  <c r="BB32" i="15"/>
  <c r="BC32" i="15"/>
  <c r="BD32" i="15"/>
  <c r="BE32" i="15"/>
  <c r="BF32" i="15"/>
  <c r="BG32" i="15"/>
  <c r="BH32" i="15"/>
  <c r="BI32" i="15"/>
  <c r="BJ32" i="15"/>
  <c r="BK32" i="15"/>
  <c r="BL32" i="15"/>
  <c r="BM32" i="15"/>
  <c r="BN32" i="15"/>
  <c r="BO32" i="15"/>
  <c r="BP32" i="15"/>
  <c r="BQ32" i="15"/>
  <c r="BR32" i="15"/>
  <c r="BS32" i="15"/>
  <c r="BT32" i="15"/>
  <c r="BU32" i="15"/>
  <c r="BV32" i="15"/>
  <c r="BW32" i="15"/>
  <c r="BX32" i="15"/>
  <c r="BY32" i="15"/>
  <c r="BZ32" i="15"/>
  <c r="CA32" i="15"/>
  <c r="CB32" i="15"/>
  <c r="CC32" i="15"/>
  <c r="CD32" i="15"/>
  <c r="CE32" i="15"/>
  <c r="CF32" i="15"/>
  <c r="CG32" i="15"/>
  <c r="CH32" i="15"/>
  <c r="CI32" i="15"/>
  <c r="CJ32" i="15"/>
  <c r="CK32" i="15"/>
  <c r="CL32" i="15"/>
  <c r="CM32" i="15"/>
  <c r="CN32" i="15"/>
  <c r="CO32" i="15"/>
  <c r="CP32" i="15"/>
  <c r="CQ32" i="15"/>
  <c r="CR32" i="15"/>
  <c r="CS32" i="15"/>
  <c r="CT32" i="15"/>
  <c r="CU32" i="15"/>
  <c r="CV32" i="15"/>
  <c r="CW32" i="15"/>
  <c r="CX32" i="15"/>
  <c r="CY32" i="15"/>
  <c r="CZ32" i="15"/>
  <c r="DA32" i="15"/>
  <c r="DB32" i="15"/>
  <c r="DC32" i="15"/>
  <c r="DD32" i="15"/>
  <c r="DE32" i="15"/>
  <c r="DF32" i="15"/>
  <c r="DG32" i="15"/>
  <c r="DH32" i="15"/>
  <c r="DI32" i="15"/>
  <c r="DJ32" i="15"/>
  <c r="DK32" i="15"/>
  <c r="DL32" i="15"/>
  <c r="DM32" i="15"/>
  <c r="DN32" i="15"/>
  <c r="DO32" i="15"/>
  <c r="DP32" i="15"/>
  <c r="DQ32" i="15"/>
  <c r="DR32" i="15"/>
  <c r="DS32" i="15"/>
  <c r="DT32" i="15"/>
  <c r="DU32" i="15"/>
  <c r="DV32" i="15"/>
  <c r="DW32" i="15"/>
  <c r="DX32" i="15"/>
  <c r="DY32" i="15"/>
  <c r="DZ32" i="15"/>
  <c r="EA32" i="15"/>
  <c r="EB32" i="15"/>
  <c r="EC32" i="15"/>
  <c r="ED32" i="15"/>
  <c r="EE32" i="15"/>
  <c r="EF32" i="15"/>
  <c r="EG32" i="15"/>
  <c r="EH32" i="15"/>
  <c r="EI32" i="15"/>
  <c r="EJ32" i="15"/>
  <c r="EK32" i="15"/>
  <c r="EL32" i="15"/>
  <c r="EM32" i="15"/>
  <c r="EN32" i="15"/>
  <c r="EO32" i="15"/>
  <c r="EP32" i="15"/>
  <c r="EQ32" i="15"/>
  <c r="ER32" i="15"/>
  <c r="ES32" i="15"/>
  <c r="ET32" i="15"/>
  <c r="EU32" i="15"/>
  <c r="EV32" i="15"/>
  <c r="EW32" i="15"/>
  <c r="EX32" i="15"/>
  <c r="EY32" i="15"/>
  <c r="EZ32" i="15"/>
  <c r="FA32" i="15"/>
  <c r="FB32" i="15"/>
  <c r="FC32" i="15"/>
  <c r="FD32" i="15"/>
  <c r="FE32" i="15"/>
  <c r="FF32" i="15"/>
  <c r="FG32" i="15"/>
  <c r="FH32" i="15"/>
  <c r="FI32" i="15"/>
  <c r="FJ32" i="15"/>
  <c r="FK32" i="15"/>
  <c r="FL32" i="15"/>
  <c r="FM32" i="15"/>
  <c r="FN32" i="15"/>
  <c r="FO32" i="15"/>
  <c r="FP32" i="15"/>
  <c r="FQ32" i="15"/>
  <c r="FR32" i="15"/>
  <c r="FS32" i="15"/>
  <c r="FT32" i="15"/>
  <c r="FU32" i="15"/>
  <c r="FV32" i="15"/>
  <c r="FW32" i="15"/>
  <c r="FX32" i="15"/>
  <c r="FY32" i="15"/>
  <c r="FZ32" i="15"/>
  <c r="GA32" i="15"/>
  <c r="GB32" i="15"/>
  <c r="GC32" i="15"/>
  <c r="GD32" i="15"/>
  <c r="GE32" i="15"/>
  <c r="GF32" i="15"/>
  <c r="GG32" i="15"/>
  <c r="GH32" i="15"/>
  <c r="GI32" i="15"/>
  <c r="GJ32" i="15"/>
  <c r="GK32" i="15"/>
  <c r="GL32" i="15"/>
  <c r="GM32" i="15"/>
  <c r="GN32" i="15"/>
  <c r="GO32" i="15"/>
  <c r="GP32" i="15"/>
  <c r="GQ32" i="15"/>
  <c r="GR32" i="15"/>
  <c r="GS32" i="15"/>
  <c r="GT32" i="15"/>
  <c r="GU32" i="15"/>
  <c r="GV32" i="15"/>
  <c r="GW32" i="15"/>
  <c r="GX32" i="15"/>
  <c r="GY32" i="15"/>
  <c r="GZ32" i="15"/>
  <c r="HA32" i="15"/>
  <c r="HB32" i="15"/>
  <c r="HC32" i="15"/>
  <c r="HD32" i="15"/>
  <c r="HE32" i="15"/>
  <c r="HF32" i="15"/>
  <c r="HG32" i="15"/>
  <c r="HH32" i="15"/>
  <c r="HI32" i="15"/>
  <c r="HJ32" i="15"/>
  <c r="HK32" i="15"/>
  <c r="HL32" i="15"/>
  <c r="HM32" i="15"/>
  <c r="HN32" i="15"/>
  <c r="HO32" i="15"/>
  <c r="HP32" i="15"/>
  <c r="HQ32" i="15"/>
  <c r="HR32" i="15"/>
  <c r="HS32" i="15"/>
  <c r="HT32" i="15"/>
  <c r="HU32" i="15"/>
  <c r="HV32" i="15"/>
  <c r="HW32" i="15"/>
  <c r="HX32" i="15"/>
  <c r="HY32" i="15"/>
  <c r="HZ32" i="15"/>
  <c r="IA32" i="15"/>
  <c r="IB32" i="15"/>
  <c r="IC32" i="15"/>
  <c r="ID32" i="15"/>
  <c r="IE32" i="15"/>
  <c r="IF32" i="15"/>
  <c r="IG32" i="15"/>
  <c r="IH32" i="15"/>
  <c r="II32" i="15"/>
  <c r="IJ32" i="15"/>
  <c r="IK32" i="15"/>
  <c r="IL32" i="15"/>
  <c r="IM32" i="15"/>
  <c r="IN32" i="15"/>
  <c r="IO32" i="15"/>
  <c r="IP32" i="15"/>
  <c r="IQ32" i="15"/>
  <c r="IR32" i="15"/>
  <c r="IS32" i="15"/>
  <c r="IT32" i="15"/>
  <c r="IU32" i="15"/>
  <c r="IV32" i="15"/>
  <c r="A33" i="15"/>
  <c r="B33" i="15"/>
  <c r="C33" i="15"/>
  <c r="D33"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AG33" i="15"/>
  <c r="AH33" i="15"/>
  <c r="AI33" i="15"/>
  <c r="AJ33" i="15"/>
  <c r="AK33" i="15"/>
  <c r="AL33" i="15"/>
  <c r="AM33" i="15"/>
  <c r="AN33" i="15"/>
  <c r="AO33" i="15"/>
  <c r="AP33" i="15"/>
  <c r="AQ33" i="15"/>
  <c r="AR33" i="15"/>
  <c r="AS33" i="15"/>
  <c r="AT33" i="15"/>
  <c r="AU33" i="15"/>
  <c r="AV33" i="15"/>
  <c r="AW33" i="15"/>
  <c r="AX33" i="15"/>
  <c r="AY33" i="15"/>
  <c r="AZ33" i="15"/>
  <c r="BA33" i="15"/>
  <c r="BB33" i="15"/>
  <c r="BC33" i="15"/>
  <c r="BD33" i="15"/>
  <c r="BE33" i="15"/>
  <c r="BF33" i="15"/>
  <c r="BG33" i="15"/>
  <c r="BH33" i="15"/>
  <c r="BI33" i="15"/>
  <c r="BJ33" i="15"/>
  <c r="BK33" i="15"/>
  <c r="BL33" i="15"/>
  <c r="BM33" i="15"/>
  <c r="BN33" i="15"/>
  <c r="BO33" i="15"/>
  <c r="BP33" i="15"/>
  <c r="BQ33" i="15"/>
  <c r="BR33" i="15"/>
  <c r="BS33" i="15"/>
  <c r="BT33" i="15"/>
  <c r="BU33" i="15"/>
  <c r="BV33" i="15"/>
  <c r="BW33" i="15"/>
  <c r="BX33" i="15"/>
  <c r="BY33" i="15"/>
  <c r="BZ33" i="15"/>
  <c r="CA33" i="15"/>
  <c r="CB33" i="15"/>
  <c r="CC33" i="15"/>
  <c r="CD33" i="15"/>
  <c r="CE33" i="15"/>
  <c r="CF33" i="15"/>
  <c r="CG33" i="15"/>
  <c r="CH33" i="15"/>
  <c r="CI33" i="15"/>
  <c r="CJ33" i="15"/>
  <c r="CK33" i="15"/>
  <c r="CL33" i="15"/>
  <c r="CM33" i="15"/>
  <c r="CN33" i="15"/>
  <c r="CO33" i="15"/>
  <c r="CP33" i="15"/>
  <c r="CQ33" i="15"/>
  <c r="CR33" i="15"/>
  <c r="CS33" i="15"/>
  <c r="CT33" i="15"/>
  <c r="CU33" i="15"/>
  <c r="CV33" i="15"/>
  <c r="CW33" i="15"/>
  <c r="CX33" i="15"/>
  <c r="CY33" i="15"/>
  <c r="CZ33" i="15"/>
  <c r="DA33" i="15"/>
  <c r="DB33" i="15"/>
  <c r="DC33" i="15"/>
  <c r="DD33" i="15"/>
  <c r="DE33" i="15"/>
  <c r="DF33" i="15"/>
  <c r="DG33" i="15"/>
  <c r="DH33" i="15"/>
  <c r="DI33" i="15"/>
  <c r="DJ33" i="15"/>
  <c r="DK33" i="15"/>
  <c r="DL33" i="15"/>
  <c r="DM33" i="15"/>
  <c r="DN33" i="15"/>
  <c r="DO33" i="15"/>
  <c r="DP33" i="15"/>
  <c r="DQ33" i="15"/>
  <c r="DR33" i="15"/>
  <c r="DS33" i="15"/>
  <c r="DT33" i="15"/>
  <c r="DU33" i="15"/>
  <c r="DV33" i="15"/>
  <c r="DW33" i="15"/>
  <c r="DX33" i="15"/>
  <c r="DY33" i="15"/>
  <c r="DZ33" i="15"/>
  <c r="EA33" i="15"/>
  <c r="EB33" i="15"/>
  <c r="EC33" i="15"/>
  <c r="ED33" i="15"/>
  <c r="EE33" i="15"/>
  <c r="EF33" i="15"/>
  <c r="EG33" i="15"/>
  <c r="EH33" i="15"/>
  <c r="EI33" i="15"/>
  <c r="EJ33" i="15"/>
  <c r="EK33" i="15"/>
  <c r="EL33" i="15"/>
  <c r="EM33" i="15"/>
  <c r="EN33" i="15"/>
  <c r="EO33" i="15"/>
  <c r="EP33" i="15"/>
  <c r="EQ33" i="15"/>
  <c r="ER33" i="15"/>
  <c r="ES33" i="15"/>
  <c r="ET33" i="15"/>
  <c r="EU33" i="15"/>
  <c r="EV33" i="15"/>
  <c r="EW33" i="15"/>
  <c r="EX33" i="15"/>
  <c r="EY33" i="15"/>
  <c r="EZ33" i="15"/>
  <c r="FA33" i="15"/>
  <c r="FB33" i="15"/>
  <c r="FC33" i="15"/>
  <c r="FD33" i="15"/>
  <c r="FE33" i="15"/>
  <c r="FF33" i="15"/>
  <c r="FG33" i="15"/>
  <c r="FH33" i="15"/>
  <c r="FI33" i="15"/>
  <c r="FJ33" i="15"/>
  <c r="FK33" i="15"/>
  <c r="FL33" i="15"/>
  <c r="FM33" i="15"/>
  <c r="FN33" i="15"/>
  <c r="FO33" i="15"/>
  <c r="FP33" i="15"/>
  <c r="FQ33" i="15"/>
  <c r="FR33" i="15"/>
  <c r="FS33" i="15"/>
  <c r="FT33" i="15"/>
  <c r="FU33" i="15"/>
  <c r="FV33" i="15"/>
  <c r="FW33" i="15"/>
  <c r="FX33" i="15"/>
  <c r="FY33" i="15"/>
  <c r="FZ33" i="15"/>
  <c r="GA33" i="15"/>
  <c r="GB33" i="15"/>
  <c r="GC33" i="15"/>
  <c r="GD33" i="15"/>
  <c r="GE33" i="15"/>
  <c r="GF33" i="15"/>
  <c r="GG33" i="15"/>
  <c r="GH33" i="15"/>
  <c r="GI33" i="15"/>
  <c r="GJ33" i="15"/>
  <c r="GK33" i="15"/>
  <c r="GL33" i="15"/>
  <c r="GM33" i="15"/>
  <c r="GN33" i="15"/>
  <c r="GO33" i="15"/>
  <c r="GP33" i="15"/>
  <c r="GQ33" i="15"/>
  <c r="GR33" i="15"/>
  <c r="GS33" i="15"/>
  <c r="GT33" i="15"/>
  <c r="GU33" i="15"/>
  <c r="GV33" i="15"/>
  <c r="GW33" i="15"/>
  <c r="GX33" i="15"/>
  <c r="GY33" i="15"/>
  <c r="GZ33" i="15"/>
  <c r="HA33" i="15"/>
  <c r="HB33" i="15"/>
  <c r="HC33" i="15"/>
  <c r="HD33" i="15"/>
  <c r="HE33" i="15"/>
  <c r="HF33" i="15"/>
  <c r="HG33" i="15"/>
  <c r="HH33" i="15"/>
  <c r="HI33" i="15"/>
  <c r="HJ33" i="15"/>
  <c r="HK33" i="15"/>
  <c r="HL33" i="15"/>
  <c r="HM33" i="15"/>
  <c r="HN33" i="15"/>
  <c r="HO33" i="15"/>
  <c r="HP33" i="15"/>
  <c r="HQ33" i="15"/>
  <c r="HR33" i="15"/>
  <c r="HS33" i="15"/>
  <c r="HT33" i="15"/>
  <c r="HU33" i="15"/>
  <c r="HV33" i="15"/>
  <c r="HW33" i="15"/>
  <c r="HX33" i="15"/>
  <c r="HY33" i="15"/>
  <c r="HZ33" i="15"/>
  <c r="IA33" i="15"/>
  <c r="IB33" i="15"/>
  <c r="IC33" i="15"/>
  <c r="ID33" i="15"/>
  <c r="IE33" i="15"/>
  <c r="IF33" i="15"/>
  <c r="IG33" i="15"/>
  <c r="IH33" i="15"/>
  <c r="II33" i="15"/>
  <c r="IJ33" i="15"/>
  <c r="IK33" i="15"/>
  <c r="IL33" i="15"/>
  <c r="IM33" i="15"/>
  <c r="IN33" i="15"/>
  <c r="IO33" i="15"/>
  <c r="IP33" i="15"/>
  <c r="IQ33" i="15"/>
  <c r="IR33" i="15"/>
  <c r="IS33" i="15"/>
  <c r="IT33" i="15"/>
  <c r="IU33" i="15"/>
  <c r="IV33" i="15"/>
  <c r="A34" i="15"/>
  <c r="B34" i="15"/>
  <c r="C34" i="15"/>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AV34" i="15"/>
  <c r="AW34" i="15"/>
  <c r="AX34" i="15"/>
  <c r="AY34" i="15"/>
  <c r="AZ34" i="15"/>
  <c r="BA34" i="15"/>
  <c r="BB34" i="15"/>
  <c r="BC34" i="15"/>
  <c r="BD34" i="15"/>
  <c r="BE34" i="15"/>
  <c r="BF34" i="15"/>
  <c r="BG34" i="15"/>
  <c r="BH34" i="15"/>
  <c r="BI34" i="15"/>
  <c r="BJ34" i="15"/>
  <c r="BK34" i="15"/>
  <c r="BL34" i="15"/>
  <c r="BM34" i="15"/>
  <c r="BN34" i="15"/>
  <c r="BO34" i="15"/>
  <c r="BP34" i="15"/>
  <c r="BQ34" i="15"/>
  <c r="BR34" i="15"/>
  <c r="BS34" i="15"/>
  <c r="BT34" i="15"/>
  <c r="BU34" i="15"/>
  <c r="BV34" i="15"/>
  <c r="BW34" i="15"/>
  <c r="BX34" i="15"/>
  <c r="BY34" i="15"/>
  <c r="BZ34" i="15"/>
  <c r="CA34" i="15"/>
  <c r="CB34" i="15"/>
  <c r="CC34" i="15"/>
  <c r="CD34" i="15"/>
  <c r="CE34" i="15"/>
  <c r="CF34" i="15"/>
  <c r="CG34" i="15"/>
  <c r="CH34" i="15"/>
  <c r="CI34" i="15"/>
  <c r="CJ34" i="15"/>
  <c r="CK34" i="15"/>
  <c r="CL34" i="15"/>
  <c r="CM34" i="15"/>
  <c r="CN34" i="15"/>
  <c r="CO34" i="15"/>
  <c r="CP34" i="15"/>
  <c r="CQ34" i="15"/>
  <c r="CR34" i="15"/>
  <c r="CS34" i="15"/>
  <c r="CT34" i="15"/>
  <c r="CU34" i="15"/>
  <c r="CV34" i="15"/>
  <c r="CW34" i="15"/>
  <c r="CX34" i="15"/>
  <c r="CY34" i="15"/>
  <c r="CZ34" i="15"/>
  <c r="DA34" i="15"/>
  <c r="DB34" i="15"/>
  <c r="DC34" i="15"/>
  <c r="DD34" i="15"/>
  <c r="DE34" i="15"/>
  <c r="DF34" i="15"/>
  <c r="DG34" i="15"/>
  <c r="DH34" i="15"/>
  <c r="DI34" i="15"/>
  <c r="DJ34" i="15"/>
  <c r="DK34" i="15"/>
  <c r="DL34" i="15"/>
  <c r="DM34" i="15"/>
  <c r="DN34" i="15"/>
  <c r="DO34" i="15"/>
  <c r="DP34" i="15"/>
  <c r="DQ34" i="15"/>
  <c r="DR34" i="15"/>
  <c r="DS34" i="15"/>
  <c r="DT34" i="15"/>
  <c r="DU34" i="15"/>
  <c r="DV34" i="15"/>
  <c r="DW34" i="15"/>
  <c r="DX34" i="15"/>
  <c r="DY34" i="15"/>
  <c r="DZ34" i="15"/>
  <c r="EA34" i="15"/>
  <c r="EB34" i="15"/>
  <c r="EC34" i="15"/>
  <c r="ED34" i="15"/>
  <c r="EE34" i="15"/>
  <c r="EF34" i="15"/>
  <c r="EG34" i="15"/>
  <c r="EH34" i="15"/>
  <c r="EI34" i="15"/>
  <c r="EJ34" i="15"/>
  <c r="EK34" i="15"/>
  <c r="EL34" i="15"/>
  <c r="EM34" i="15"/>
  <c r="EN34" i="15"/>
  <c r="EO34" i="15"/>
  <c r="EP34" i="15"/>
  <c r="EQ34" i="15"/>
  <c r="ER34" i="15"/>
  <c r="ES34" i="15"/>
  <c r="ET34" i="15"/>
  <c r="EU34" i="15"/>
  <c r="EV34" i="15"/>
  <c r="EW34" i="15"/>
  <c r="EX34" i="15"/>
  <c r="EY34" i="15"/>
  <c r="EZ34" i="15"/>
  <c r="FA34" i="15"/>
  <c r="FB34" i="15"/>
  <c r="FC34" i="15"/>
  <c r="FD34" i="15"/>
  <c r="FE34" i="15"/>
  <c r="FF34" i="15"/>
  <c r="FG34" i="15"/>
  <c r="FH34" i="15"/>
  <c r="FI34" i="15"/>
  <c r="FJ34" i="15"/>
  <c r="FK34" i="15"/>
  <c r="FL34" i="15"/>
  <c r="FM34" i="15"/>
  <c r="FN34" i="15"/>
  <c r="FO34" i="15"/>
  <c r="FP34" i="15"/>
  <c r="FQ34" i="15"/>
  <c r="FR34" i="15"/>
  <c r="FS34" i="15"/>
  <c r="FT34" i="15"/>
  <c r="FU34" i="15"/>
  <c r="FV34" i="15"/>
  <c r="FW34" i="15"/>
  <c r="FX34" i="15"/>
  <c r="FY34" i="15"/>
  <c r="FZ34" i="15"/>
  <c r="GA34" i="15"/>
  <c r="GB34" i="15"/>
  <c r="GC34" i="15"/>
  <c r="GD34" i="15"/>
  <c r="GE34" i="15"/>
  <c r="GF34" i="15"/>
  <c r="GG34" i="15"/>
  <c r="GH34" i="15"/>
  <c r="GI34" i="15"/>
  <c r="GJ34" i="15"/>
  <c r="GK34" i="15"/>
  <c r="GL34" i="15"/>
  <c r="GM34" i="15"/>
  <c r="GN34" i="15"/>
  <c r="GO34" i="15"/>
  <c r="GP34" i="15"/>
  <c r="GQ34" i="15"/>
  <c r="GR34" i="15"/>
  <c r="GS34" i="15"/>
  <c r="GT34" i="15"/>
  <c r="GU34" i="15"/>
  <c r="GV34" i="15"/>
  <c r="GW34" i="15"/>
  <c r="GX34" i="15"/>
  <c r="GY34" i="15"/>
  <c r="GZ34" i="15"/>
  <c r="HA34" i="15"/>
  <c r="HB34" i="15"/>
  <c r="HC34" i="15"/>
  <c r="HD34" i="15"/>
  <c r="HE34" i="15"/>
  <c r="HF34" i="15"/>
  <c r="HG34" i="15"/>
  <c r="HH34" i="15"/>
  <c r="HI34" i="15"/>
  <c r="HJ34" i="15"/>
  <c r="HK34" i="15"/>
  <c r="HL34" i="15"/>
  <c r="HM34" i="15"/>
  <c r="HN34" i="15"/>
  <c r="HO34" i="15"/>
  <c r="HP34" i="15"/>
  <c r="HQ34" i="15"/>
  <c r="HR34" i="15"/>
  <c r="HS34" i="15"/>
  <c r="HT34" i="15"/>
  <c r="HU34" i="15"/>
  <c r="HV34" i="15"/>
  <c r="HW34" i="15"/>
  <c r="HX34" i="15"/>
  <c r="HY34" i="15"/>
  <c r="HZ34" i="15"/>
  <c r="IA34" i="15"/>
  <c r="IB34" i="15"/>
  <c r="IC34" i="15"/>
  <c r="ID34" i="15"/>
  <c r="IE34" i="15"/>
  <c r="IF34" i="15"/>
  <c r="IG34" i="15"/>
  <c r="IH34" i="15"/>
  <c r="II34" i="15"/>
  <c r="IJ34" i="15"/>
  <c r="IK34" i="15"/>
  <c r="IL34" i="15"/>
  <c r="IM34" i="15"/>
  <c r="IN34" i="15"/>
  <c r="IO34" i="15"/>
  <c r="IP34" i="15"/>
  <c r="IQ34" i="15"/>
  <c r="IR34" i="15"/>
  <c r="IS34" i="15"/>
  <c r="IT34" i="15"/>
  <c r="IU34" i="15"/>
  <c r="IV34" i="15"/>
  <c r="A35" i="15"/>
  <c r="B35" i="15"/>
  <c r="C35" i="15"/>
  <c r="D35"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AV35" i="15"/>
  <c r="AW35" i="15"/>
  <c r="AX35" i="15"/>
  <c r="AY35" i="15"/>
  <c r="AZ35" i="15"/>
  <c r="BA35" i="15"/>
  <c r="BB35" i="15"/>
  <c r="BC35" i="15"/>
  <c r="BD35" i="15"/>
  <c r="BE35" i="15"/>
  <c r="BF35" i="15"/>
  <c r="BG35" i="15"/>
  <c r="BH35" i="15"/>
  <c r="BI35" i="15"/>
  <c r="BJ35" i="15"/>
  <c r="BK35" i="15"/>
  <c r="BL35" i="15"/>
  <c r="BM35" i="15"/>
  <c r="BN35" i="15"/>
  <c r="BO35" i="15"/>
  <c r="BP35" i="15"/>
  <c r="BQ35" i="15"/>
  <c r="BR35" i="15"/>
  <c r="BS35" i="15"/>
  <c r="BT35" i="15"/>
  <c r="BU35" i="15"/>
  <c r="BV35" i="15"/>
  <c r="BW35" i="15"/>
  <c r="BX35" i="15"/>
  <c r="BY35" i="15"/>
  <c r="BZ35" i="15"/>
  <c r="CA35" i="15"/>
  <c r="CB35" i="15"/>
  <c r="CC35" i="15"/>
  <c r="CD35" i="15"/>
  <c r="CE35" i="15"/>
  <c r="CF35" i="15"/>
  <c r="CG35" i="15"/>
  <c r="CH35" i="15"/>
  <c r="CI35" i="15"/>
  <c r="CJ35" i="15"/>
  <c r="CK35" i="15"/>
  <c r="CL35" i="15"/>
  <c r="CM35" i="15"/>
  <c r="CN35" i="15"/>
  <c r="CO35" i="15"/>
  <c r="CP35" i="15"/>
  <c r="CQ35" i="15"/>
  <c r="CR35" i="15"/>
  <c r="CS35" i="15"/>
  <c r="CT35" i="15"/>
  <c r="CU35" i="15"/>
  <c r="CV35" i="15"/>
  <c r="CW35" i="15"/>
  <c r="CX35" i="15"/>
  <c r="CY35" i="15"/>
  <c r="CZ35" i="15"/>
  <c r="DA35" i="15"/>
  <c r="DB35" i="15"/>
  <c r="DC35" i="15"/>
  <c r="DD35" i="15"/>
  <c r="DE35" i="15"/>
  <c r="DF35" i="15"/>
  <c r="DG35" i="15"/>
  <c r="DH35" i="15"/>
  <c r="DI35" i="15"/>
  <c r="DJ35" i="15"/>
  <c r="DK35" i="15"/>
  <c r="DL35" i="15"/>
  <c r="DM35" i="15"/>
  <c r="DN35" i="15"/>
  <c r="DO35" i="15"/>
  <c r="DP35" i="15"/>
  <c r="DQ35" i="15"/>
  <c r="DR35" i="15"/>
  <c r="DS35" i="15"/>
  <c r="DT35" i="15"/>
  <c r="DU35" i="15"/>
  <c r="DV35" i="15"/>
  <c r="DW35" i="15"/>
  <c r="DX35" i="15"/>
  <c r="DY35" i="15"/>
  <c r="DZ35" i="15"/>
  <c r="EA35" i="15"/>
  <c r="EB35" i="15"/>
  <c r="EC35" i="15"/>
  <c r="ED35" i="15"/>
  <c r="EE35" i="15"/>
  <c r="EF35" i="15"/>
  <c r="EG35" i="15"/>
  <c r="EH35" i="15"/>
  <c r="EI35" i="15"/>
  <c r="EJ35" i="15"/>
  <c r="EK35" i="15"/>
  <c r="EL35" i="15"/>
  <c r="EM35" i="15"/>
  <c r="EN35" i="15"/>
  <c r="EO35" i="15"/>
  <c r="EP35" i="15"/>
  <c r="EQ35" i="15"/>
  <c r="ER35" i="15"/>
  <c r="ES35" i="15"/>
  <c r="ET35" i="15"/>
  <c r="EU35" i="15"/>
  <c r="EV35" i="15"/>
  <c r="EW35" i="15"/>
  <c r="EX35" i="15"/>
  <c r="EY35" i="15"/>
  <c r="EZ35" i="15"/>
  <c r="FA35" i="15"/>
  <c r="FB35" i="15"/>
  <c r="FC35" i="15"/>
  <c r="FD35" i="15"/>
  <c r="FE35" i="15"/>
  <c r="FF35" i="15"/>
  <c r="FG35" i="15"/>
  <c r="FH35" i="15"/>
  <c r="FI35" i="15"/>
  <c r="FJ35" i="15"/>
  <c r="FK35" i="15"/>
  <c r="FL35" i="15"/>
  <c r="FM35" i="15"/>
  <c r="FN35" i="15"/>
  <c r="FO35" i="15"/>
  <c r="FP35" i="15"/>
  <c r="FQ35" i="15"/>
  <c r="FR35" i="15"/>
  <c r="FS35" i="15"/>
  <c r="FT35" i="15"/>
  <c r="FU35" i="15"/>
  <c r="FV35" i="15"/>
  <c r="FW35" i="15"/>
  <c r="FX35" i="15"/>
  <c r="FY35" i="15"/>
  <c r="FZ35" i="15"/>
  <c r="GA35" i="15"/>
  <c r="GB35" i="15"/>
  <c r="GC35" i="15"/>
  <c r="GD35" i="15"/>
  <c r="GE35" i="15"/>
  <c r="GF35" i="15"/>
  <c r="GG35" i="15"/>
  <c r="GH35" i="15"/>
  <c r="GI35" i="15"/>
  <c r="GJ35" i="15"/>
  <c r="GK35" i="15"/>
  <c r="GL35" i="15"/>
  <c r="GM35" i="15"/>
  <c r="GN35" i="15"/>
  <c r="GO35" i="15"/>
  <c r="GP35" i="15"/>
  <c r="GQ35" i="15"/>
  <c r="GR35" i="15"/>
  <c r="GS35" i="15"/>
  <c r="GT35" i="15"/>
  <c r="GU35" i="15"/>
  <c r="GV35" i="15"/>
  <c r="GW35" i="15"/>
  <c r="GX35" i="15"/>
  <c r="GY35" i="15"/>
  <c r="GZ35" i="15"/>
  <c r="HA35" i="15"/>
  <c r="HB35" i="15"/>
  <c r="HC35" i="15"/>
  <c r="HD35" i="15"/>
  <c r="HE35" i="15"/>
  <c r="HF35" i="15"/>
  <c r="HG35" i="15"/>
  <c r="HH35" i="15"/>
  <c r="HI35" i="15"/>
  <c r="HJ35" i="15"/>
  <c r="HK35" i="15"/>
  <c r="HL35" i="15"/>
  <c r="HM35" i="15"/>
  <c r="HN35" i="15"/>
  <c r="HO35" i="15"/>
  <c r="HP35" i="15"/>
  <c r="HQ35" i="15"/>
  <c r="HR35" i="15"/>
  <c r="HS35" i="15"/>
  <c r="HT35" i="15"/>
  <c r="HU35" i="15"/>
  <c r="HV35" i="15"/>
  <c r="HW35" i="15"/>
  <c r="HX35" i="15"/>
  <c r="HY35" i="15"/>
  <c r="HZ35" i="15"/>
  <c r="IA35" i="15"/>
  <c r="IB35" i="15"/>
  <c r="IC35" i="15"/>
  <c r="ID35" i="15"/>
  <c r="IE35" i="15"/>
  <c r="IF35" i="15"/>
  <c r="IG35" i="15"/>
  <c r="IH35" i="15"/>
  <c r="II35" i="15"/>
  <c r="IJ35" i="15"/>
  <c r="IK35" i="15"/>
  <c r="IL35" i="15"/>
  <c r="IM35" i="15"/>
  <c r="IN35" i="15"/>
  <c r="IO35" i="15"/>
  <c r="IP35" i="15"/>
  <c r="IQ35" i="15"/>
  <c r="IR35" i="15"/>
  <c r="IS35" i="15"/>
  <c r="IT35" i="15"/>
  <c r="IU35" i="15"/>
  <c r="IV35" i="15"/>
  <c r="A36" i="15"/>
  <c r="B36" i="15"/>
  <c r="C36" i="15"/>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AV36" i="15"/>
  <c r="AW36" i="15"/>
  <c r="AX36" i="15"/>
  <c r="AY36" i="15"/>
  <c r="AZ36" i="15"/>
  <c r="BA36" i="15"/>
  <c r="BB36" i="15"/>
  <c r="BC36" i="15"/>
  <c r="BD36" i="15"/>
  <c r="BE36" i="15"/>
  <c r="BF36" i="15"/>
  <c r="BG36" i="15"/>
  <c r="BH36" i="15"/>
  <c r="BI36" i="15"/>
  <c r="BJ36" i="15"/>
  <c r="BK36" i="15"/>
  <c r="BL36" i="15"/>
  <c r="BM36" i="15"/>
  <c r="BN36" i="15"/>
  <c r="BO36" i="15"/>
  <c r="BP36" i="15"/>
  <c r="BQ36" i="15"/>
  <c r="BR36" i="15"/>
  <c r="BS36" i="15"/>
  <c r="BT36" i="15"/>
  <c r="BU36" i="15"/>
  <c r="BV36" i="15"/>
  <c r="BW36" i="15"/>
  <c r="BX36" i="15"/>
  <c r="BY36" i="15"/>
  <c r="BZ36" i="15"/>
  <c r="CA36" i="15"/>
  <c r="CB36" i="15"/>
  <c r="CC36" i="15"/>
  <c r="CD36" i="15"/>
  <c r="CE36" i="15"/>
  <c r="CF36" i="15"/>
  <c r="CG36" i="15"/>
  <c r="CH36" i="15"/>
  <c r="CI36" i="15"/>
  <c r="CJ36" i="15"/>
  <c r="CK36" i="15"/>
  <c r="CL36" i="15"/>
  <c r="CM36" i="15"/>
  <c r="CN36" i="15"/>
  <c r="CO36" i="15"/>
  <c r="CP36" i="15"/>
  <c r="CQ36" i="15"/>
  <c r="CR36" i="15"/>
  <c r="CS36" i="15"/>
  <c r="CT36" i="15"/>
  <c r="CU36" i="15"/>
  <c r="CV36" i="15"/>
  <c r="CW36" i="15"/>
  <c r="CX36" i="15"/>
  <c r="CY36" i="15"/>
  <c r="CZ36" i="15"/>
  <c r="DA36" i="15"/>
  <c r="DB36" i="15"/>
  <c r="DC36" i="15"/>
  <c r="DD36" i="15"/>
  <c r="DE36" i="15"/>
  <c r="DF36" i="15"/>
  <c r="DG36" i="15"/>
  <c r="DH36" i="15"/>
  <c r="DI36" i="15"/>
  <c r="DJ36" i="15"/>
  <c r="DK36" i="15"/>
  <c r="DL36" i="15"/>
  <c r="DM36" i="15"/>
  <c r="DN36" i="15"/>
  <c r="DO36" i="15"/>
  <c r="DP36" i="15"/>
  <c r="DQ36" i="15"/>
  <c r="DR36" i="15"/>
  <c r="DS36" i="15"/>
  <c r="DT36" i="15"/>
  <c r="DU36" i="15"/>
  <c r="DV36" i="15"/>
  <c r="DW36" i="15"/>
  <c r="DX36" i="15"/>
  <c r="DY36" i="15"/>
  <c r="DZ36" i="15"/>
  <c r="EA36" i="15"/>
  <c r="EB36" i="15"/>
  <c r="EC36" i="15"/>
  <c r="ED36" i="15"/>
  <c r="EE36" i="15"/>
  <c r="EF36" i="15"/>
  <c r="EG36" i="15"/>
  <c r="EH36" i="15"/>
  <c r="EI36" i="15"/>
  <c r="EJ36" i="15"/>
  <c r="EK36" i="15"/>
  <c r="EL36" i="15"/>
  <c r="EM36" i="15"/>
  <c r="EN36" i="15"/>
  <c r="EO36" i="15"/>
  <c r="EP36" i="15"/>
  <c r="EQ36" i="15"/>
  <c r="ER36" i="15"/>
  <c r="ES36" i="15"/>
  <c r="ET36" i="15"/>
  <c r="EU36" i="15"/>
  <c r="EV36" i="15"/>
  <c r="EW36" i="15"/>
  <c r="EX36" i="15"/>
  <c r="EY36" i="15"/>
  <c r="EZ36" i="15"/>
  <c r="FA36" i="15"/>
  <c r="FB36" i="15"/>
  <c r="FC36" i="15"/>
  <c r="FD36" i="15"/>
  <c r="FE36" i="15"/>
  <c r="FF36" i="15"/>
  <c r="FG36" i="15"/>
  <c r="FH36" i="15"/>
  <c r="FI36" i="15"/>
  <c r="FJ36" i="15"/>
  <c r="FK36" i="15"/>
  <c r="FL36" i="15"/>
  <c r="FM36" i="15"/>
  <c r="FN36" i="15"/>
  <c r="FO36" i="15"/>
  <c r="FP36" i="15"/>
  <c r="FQ36" i="15"/>
  <c r="FR36" i="15"/>
  <c r="FS36" i="15"/>
  <c r="FT36" i="15"/>
  <c r="FU36" i="15"/>
  <c r="FV36" i="15"/>
  <c r="FW36" i="15"/>
  <c r="FX36" i="15"/>
  <c r="FY36" i="15"/>
  <c r="FZ36" i="15"/>
  <c r="GA36" i="15"/>
  <c r="GB36" i="15"/>
  <c r="GC36" i="15"/>
  <c r="GD36" i="15"/>
  <c r="GE36" i="15"/>
  <c r="GF36" i="15"/>
  <c r="GG36" i="15"/>
  <c r="GH36" i="15"/>
  <c r="GI36" i="15"/>
  <c r="GJ36" i="15"/>
  <c r="GK36" i="15"/>
  <c r="GL36" i="15"/>
  <c r="GM36" i="15"/>
  <c r="GN36" i="15"/>
  <c r="GO36" i="15"/>
  <c r="GP36" i="15"/>
  <c r="GQ36" i="15"/>
  <c r="GR36" i="15"/>
  <c r="GS36" i="15"/>
  <c r="GT36" i="15"/>
  <c r="GU36" i="15"/>
  <c r="GV36" i="15"/>
  <c r="GW36" i="15"/>
  <c r="GX36" i="15"/>
  <c r="GY36" i="15"/>
  <c r="GZ36" i="15"/>
  <c r="HA36" i="15"/>
  <c r="HB36" i="15"/>
  <c r="HC36" i="15"/>
  <c r="HD36" i="15"/>
  <c r="HE36" i="15"/>
  <c r="HF36" i="15"/>
  <c r="HG36" i="15"/>
  <c r="HH36" i="15"/>
  <c r="HI36" i="15"/>
  <c r="HJ36" i="15"/>
  <c r="HK36" i="15"/>
  <c r="HL36" i="15"/>
  <c r="HM36" i="15"/>
  <c r="HN36" i="15"/>
  <c r="HO36" i="15"/>
  <c r="HP36" i="15"/>
  <c r="HQ36" i="15"/>
  <c r="HR36" i="15"/>
  <c r="HS36" i="15"/>
  <c r="HT36" i="15"/>
  <c r="HU36" i="15"/>
  <c r="HV36" i="15"/>
  <c r="HW36" i="15"/>
  <c r="HX36" i="15"/>
  <c r="HY36" i="15"/>
  <c r="HZ36" i="15"/>
  <c r="IA36" i="15"/>
  <c r="IB36" i="15"/>
  <c r="IC36" i="15"/>
  <c r="ID36" i="15"/>
  <c r="IE36" i="15"/>
  <c r="IF36" i="15"/>
  <c r="IG36" i="15"/>
  <c r="IH36" i="15"/>
  <c r="II36" i="15"/>
  <c r="IJ36" i="15"/>
  <c r="IK36" i="15"/>
  <c r="IL36" i="15"/>
  <c r="IM36" i="15"/>
  <c r="IN36" i="15"/>
  <c r="IO36" i="15"/>
  <c r="IP36" i="15"/>
  <c r="IQ36" i="15"/>
  <c r="IR36" i="15"/>
  <c r="IS36" i="15"/>
  <c r="IT36" i="15"/>
  <c r="IU36" i="15"/>
  <c r="IV36" i="15"/>
  <c r="A37" i="15"/>
  <c r="B37" i="15"/>
  <c r="C37"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AV37" i="15"/>
  <c r="AW37" i="15"/>
  <c r="AX37" i="15"/>
  <c r="AY37" i="15"/>
  <c r="AZ37" i="15"/>
  <c r="BA37" i="15"/>
  <c r="BB37" i="15"/>
  <c r="BC37" i="15"/>
  <c r="BD37" i="15"/>
  <c r="BE37" i="15"/>
  <c r="BF37" i="15"/>
  <c r="BG37" i="15"/>
  <c r="BH37" i="15"/>
  <c r="BI37" i="15"/>
  <c r="BJ37" i="15"/>
  <c r="BK37" i="15"/>
  <c r="BL37" i="15"/>
  <c r="BM37" i="15"/>
  <c r="BN37" i="15"/>
  <c r="BO37" i="15"/>
  <c r="BP37" i="15"/>
  <c r="BQ37" i="15"/>
  <c r="BR37" i="15"/>
  <c r="BS37" i="15"/>
  <c r="BT37" i="15"/>
  <c r="BU37" i="15"/>
  <c r="BV37" i="15"/>
  <c r="BW37" i="15"/>
  <c r="BX37" i="15"/>
  <c r="BY37" i="15"/>
  <c r="BZ37" i="15"/>
  <c r="CA37" i="15"/>
  <c r="CB37" i="15"/>
  <c r="CC37" i="15"/>
  <c r="CD37" i="15"/>
  <c r="CE37" i="15"/>
  <c r="CF37" i="15"/>
  <c r="CG37" i="15"/>
  <c r="CH37" i="15"/>
  <c r="CI37" i="15"/>
  <c r="CJ37" i="15"/>
  <c r="CK37" i="15"/>
  <c r="CL37" i="15"/>
  <c r="CM37" i="15"/>
  <c r="CN37" i="15"/>
  <c r="CO37" i="15"/>
  <c r="CP37" i="15"/>
  <c r="CQ37" i="15"/>
  <c r="CR37" i="15"/>
  <c r="CS37" i="15"/>
  <c r="CT37" i="15"/>
  <c r="CU37" i="15"/>
  <c r="CV37" i="15"/>
  <c r="CW37" i="15"/>
  <c r="CX37" i="15"/>
  <c r="CY37" i="15"/>
  <c r="CZ37" i="15"/>
  <c r="DA37" i="15"/>
  <c r="DB37" i="15"/>
  <c r="DC37" i="15"/>
  <c r="DD37" i="15"/>
  <c r="DE37" i="15"/>
  <c r="DF37" i="15"/>
  <c r="DG37" i="15"/>
  <c r="DH37" i="15"/>
  <c r="DI37" i="15"/>
  <c r="DJ37" i="15"/>
  <c r="DK37" i="15"/>
  <c r="DL37" i="15"/>
  <c r="DM37" i="15"/>
  <c r="DN37" i="15"/>
  <c r="DO37" i="15"/>
  <c r="DP37" i="15"/>
  <c r="DQ37" i="15"/>
  <c r="DR37" i="15"/>
  <c r="DS37" i="15"/>
  <c r="DT37" i="15"/>
  <c r="DU37" i="15"/>
  <c r="DV37" i="15"/>
  <c r="DW37" i="15"/>
  <c r="DX37" i="15"/>
  <c r="DY37" i="15"/>
  <c r="DZ37" i="15"/>
  <c r="EA37" i="15"/>
  <c r="EB37" i="15"/>
  <c r="EC37" i="15"/>
  <c r="ED37" i="15"/>
  <c r="EE37" i="15"/>
  <c r="EF37" i="15"/>
  <c r="EG37" i="15"/>
  <c r="EH37" i="15"/>
  <c r="EI37" i="15"/>
  <c r="EJ37" i="15"/>
  <c r="EK37" i="15"/>
  <c r="EL37" i="15"/>
  <c r="EM37" i="15"/>
  <c r="EN37" i="15"/>
  <c r="EO37" i="15"/>
  <c r="EP37" i="15"/>
  <c r="EQ37" i="15"/>
  <c r="ER37" i="15"/>
  <c r="ES37" i="15"/>
  <c r="ET37" i="15"/>
  <c r="EU37" i="15"/>
  <c r="EV37" i="15"/>
  <c r="EW37" i="15"/>
  <c r="EX37" i="15"/>
  <c r="EY37" i="15"/>
  <c r="EZ37" i="15"/>
  <c r="FA37" i="15"/>
  <c r="FB37" i="15"/>
  <c r="FC37" i="15"/>
  <c r="FD37" i="15"/>
  <c r="FE37" i="15"/>
  <c r="FF37" i="15"/>
  <c r="FG37" i="15"/>
  <c r="FH37" i="15"/>
  <c r="FI37" i="15"/>
  <c r="FJ37" i="15"/>
  <c r="FK37" i="15"/>
  <c r="FL37" i="15"/>
  <c r="FM37" i="15"/>
  <c r="FN37" i="15"/>
  <c r="FO37" i="15"/>
  <c r="FP37" i="15"/>
  <c r="FQ37" i="15"/>
  <c r="FR37" i="15"/>
  <c r="FS37" i="15"/>
  <c r="FT37" i="15"/>
  <c r="FU37" i="15"/>
  <c r="FV37" i="15"/>
  <c r="FW37" i="15"/>
  <c r="FX37" i="15"/>
  <c r="FY37" i="15"/>
  <c r="FZ37" i="15"/>
  <c r="GA37" i="15"/>
  <c r="GB37" i="15"/>
  <c r="GC37" i="15"/>
  <c r="GD37" i="15"/>
  <c r="GE37" i="15"/>
  <c r="GF37" i="15"/>
  <c r="GG37" i="15"/>
  <c r="GH37" i="15"/>
  <c r="GI37" i="15"/>
  <c r="GJ37" i="15"/>
  <c r="GK37" i="15"/>
  <c r="GL37" i="15"/>
  <c r="GM37" i="15"/>
  <c r="GN37" i="15"/>
  <c r="GO37" i="15"/>
  <c r="GP37" i="15"/>
  <c r="GQ37" i="15"/>
  <c r="GR37" i="15"/>
  <c r="GS37" i="15"/>
  <c r="GT37" i="15"/>
  <c r="GU37" i="15"/>
  <c r="GV37" i="15"/>
  <c r="GW37" i="15"/>
  <c r="GX37" i="15"/>
  <c r="GY37" i="15"/>
  <c r="GZ37" i="15"/>
  <c r="HA37" i="15"/>
  <c r="HB37" i="15"/>
  <c r="HC37" i="15"/>
  <c r="HD37" i="15"/>
  <c r="HE37" i="15"/>
  <c r="HF37" i="15"/>
  <c r="HG37" i="15"/>
  <c r="HH37" i="15"/>
  <c r="HI37" i="15"/>
  <c r="HJ37" i="15"/>
  <c r="HK37" i="15"/>
  <c r="HL37" i="15"/>
  <c r="HM37" i="15"/>
  <c r="HN37" i="15"/>
  <c r="HO37" i="15"/>
  <c r="HP37" i="15"/>
  <c r="HQ37" i="15"/>
  <c r="HR37" i="15"/>
  <c r="HS37" i="15"/>
  <c r="HT37" i="15"/>
  <c r="HU37" i="15"/>
  <c r="HV37" i="15"/>
  <c r="HW37" i="15"/>
  <c r="HX37" i="15"/>
  <c r="HY37" i="15"/>
  <c r="HZ37" i="15"/>
  <c r="IA37" i="15"/>
  <c r="IB37" i="15"/>
  <c r="IC37" i="15"/>
  <c r="ID37" i="15"/>
  <c r="IE37" i="15"/>
  <c r="IF37" i="15"/>
  <c r="IG37" i="15"/>
  <c r="IH37" i="15"/>
  <c r="II37" i="15"/>
  <c r="IJ37" i="15"/>
  <c r="IK37" i="15"/>
  <c r="IL37" i="15"/>
  <c r="IM37" i="15"/>
  <c r="IN37" i="15"/>
  <c r="IO37" i="15"/>
  <c r="IP37" i="15"/>
  <c r="IQ37" i="15"/>
  <c r="IR37" i="15"/>
  <c r="IS37" i="15"/>
  <c r="IT37" i="15"/>
  <c r="IU37" i="15"/>
  <c r="IV37" i="15"/>
  <c r="A38" i="15"/>
  <c r="B38" i="15"/>
  <c r="C38"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AV38" i="15"/>
  <c r="AW38" i="15"/>
  <c r="AX38" i="15"/>
  <c r="AY38" i="15"/>
  <c r="AZ38" i="15"/>
  <c r="BA38" i="15"/>
  <c r="BB38" i="15"/>
  <c r="BC38" i="15"/>
  <c r="BD38" i="15"/>
  <c r="BE38" i="15"/>
  <c r="BF38" i="15"/>
  <c r="BG38" i="15"/>
  <c r="BH38" i="15"/>
  <c r="BI38" i="15"/>
  <c r="BJ38" i="15"/>
  <c r="BK38" i="15"/>
  <c r="BL38" i="15"/>
  <c r="BM38" i="15"/>
  <c r="BN38" i="15"/>
  <c r="BO38" i="15"/>
  <c r="BP38" i="15"/>
  <c r="BQ38" i="15"/>
  <c r="BR38" i="15"/>
  <c r="BS38" i="15"/>
  <c r="BT38" i="15"/>
  <c r="BU38" i="15"/>
  <c r="BV38" i="15"/>
  <c r="BW38" i="15"/>
  <c r="BX38" i="15"/>
  <c r="BY38" i="15"/>
  <c r="BZ38" i="15"/>
  <c r="CA38" i="15"/>
  <c r="CB38" i="15"/>
  <c r="CC38" i="15"/>
  <c r="CD38" i="15"/>
  <c r="CE38" i="15"/>
  <c r="CF38" i="15"/>
  <c r="CG38" i="15"/>
  <c r="CH38" i="15"/>
  <c r="CI38" i="15"/>
  <c r="CJ38" i="15"/>
  <c r="CK38" i="15"/>
  <c r="CL38" i="15"/>
  <c r="CM38" i="15"/>
  <c r="CN38" i="15"/>
  <c r="CO38" i="15"/>
  <c r="CP38" i="15"/>
  <c r="CQ38" i="15"/>
  <c r="CR38" i="15"/>
  <c r="CS38" i="15"/>
  <c r="CT38" i="15"/>
  <c r="CU38" i="15"/>
  <c r="CV38" i="15"/>
  <c r="CW38" i="15"/>
  <c r="CX38" i="15"/>
  <c r="CY38" i="15"/>
  <c r="CZ38" i="15"/>
  <c r="DA38" i="15"/>
  <c r="DB38" i="15"/>
  <c r="DC38" i="15"/>
  <c r="DD38" i="15"/>
  <c r="DE38" i="15"/>
  <c r="DF38" i="15"/>
  <c r="DG38" i="15"/>
  <c r="DH38" i="15"/>
  <c r="DI38" i="15"/>
  <c r="DJ38" i="15"/>
  <c r="DK38" i="15"/>
  <c r="DL38" i="15"/>
  <c r="DM38" i="15"/>
  <c r="DN38" i="15"/>
  <c r="DO38" i="15"/>
  <c r="DP38" i="15"/>
  <c r="DQ38" i="15"/>
  <c r="DR38" i="15"/>
  <c r="DS38" i="15"/>
  <c r="DT38" i="15"/>
  <c r="DU38" i="15"/>
  <c r="DV38" i="15"/>
  <c r="DW38" i="15"/>
  <c r="DX38" i="15"/>
  <c r="DY38" i="15"/>
  <c r="DZ38" i="15"/>
  <c r="EA38" i="15"/>
  <c r="EB38" i="15"/>
  <c r="EC38" i="15"/>
  <c r="ED38" i="15"/>
  <c r="EE38" i="15"/>
  <c r="EF38" i="15"/>
  <c r="EG38" i="15"/>
  <c r="EH38" i="15"/>
  <c r="EI38" i="15"/>
  <c r="EJ38" i="15"/>
  <c r="EK38" i="15"/>
  <c r="EL38" i="15"/>
  <c r="EM38" i="15"/>
  <c r="EN38" i="15"/>
  <c r="EO38" i="15"/>
  <c r="EP38" i="15"/>
  <c r="EQ38" i="15"/>
  <c r="ER38" i="15"/>
  <c r="ES38" i="15"/>
  <c r="ET38" i="15"/>
  <c r="EU38" i="15"/>
  <c r="EV38" i="15"/>
  <c r="EW38" i="15"/>
  <c r="EX38" i="15"/>
  <c r="EY38" i="15"/>
  <c r="EZ38" i="15"/>
  <c r="FA38" i="15"/>
  <c r="FB38" i="15"/>
  <c r="FC38" i="15"/>
  <c r="FD38" i="15"/>
  <c r="FE38" i="15"/>
  <c r="FF38" i="15"/>
  <c r="FG38" i="15"/>
  <c r="FH38" i="15"/>
  <c r="FI38" i="15"/>
  <c r="FJ38" i="15"/>
  <c r="FK38" i="15"/>
  <c r="FL38" i="15"/>
  <c r="FM38" i="15"/>
  <c r="FN38" i="15"/>
  <c r="FO38" i="15"/>
  <c r="FP38" i="15"/>
  <c r="FQ38" i="15"/>
  <c r="FR38" i="15"/>
  <c r="FS38" i="15"/>
  <c r="FT38" i="15"/>
  <c r="FU38" i="15"/>
  <c r="FV38" i="15"/>
  <c r="FW38" i="15"/>
  <c r="FX38" i="15"/>
  <c r="FY38" i="15"/>
  <c r="FZ38" i="15"/>
  <c r="GA38" i="15"/>
  <c r="GB38" i="15"/>
  <c r="GC38" i="15"/>
  <c r="GD38" i="15"/>
  <c r="GE38" i="15"/>
  <c r="GF38" i="15"/>
  <c r="GG38" i="15"/>
  <c r="GH38" i="15"/>
  <c r="GI38" i="15"/>
  <c r="GJ38" i="15"/>
  <c r="GK38" i="15"/>
  <c r="GL38" i="15"/>
  <c r="GM38" i="15"/>
  <c r="GN38" i="15"/>
  <c r="GO38" i="15"/>
  <c r="GP38" i="15"/>
  <c r="GQ38" i="15"/>
  <c r="GR38" i="15"/>
  <c r="GS38" i="15"/>
  <c r="GT38" i="15"/>
  <c r="GU38" i="15"/>
  <c r="GV38" i="15"/>
  <c r="GW38" i="15"/>
  <c r="GX38" i="15"/>
  <c r="GY38" i="15"/>
  <c r="GZ38" i="15"/>
  <c r="HA38" i="15"/>
  <c r="HB38" i="15"/>
  <c r="HC38" i="15"/>
  <c r="HD38" i="15"/>
  <c r="HE38" i="15"/>
  <c r="HF38" i="15"/>
  <c r="HG38" i="15"/>
  <c r="HH38" i="15"/>
  <c r="HI38" i="15"/>
  <c r="HJ38" i="15"/>
  <c r="HK38" i="15"/>
  <c r="HL38" i="15"/>
  <c r="HM38" i="15"/>
  <c r="HN38" i="15"/>
  <c r="HO38" i="15"/>
  <c r="HP38" i="15"/>
  <c r="HQ38" i="15"/>
  <c r="HR38" i="15"/>
  <c r="HS38" i="15"/>
  <c r="HT38" i="15"/>
  <c r="HU38" i="15"/>
  <c r="HV38" i="15"/>
  <c r="HW38" i="15"/>
  <c r="HX38" i="15"/>
  <c r="HY38" i="15"/>
  <c r="HZ38" i="15"/>
  <c r="IA38" i="15"/>
  <c r="IB38" i="15"/>
  <c r="IC38" i="15"/>
  <c r="ID38" i="15"/>
  <c r="IE38" i="15"/>
  <c r="IF38" i="15"/>
  <c r="IG38" i="15"/>
  <c r="IH38" i="15"/>
  <c r="II38" i="15"/>
  <c r="IJ38" i="15"/>
  <c r="IK38" i="15"/>
  <c r="IL38" i="15"/>
  <c r="IM38" i="15"/>
  <c r="IN38" i="15"/>
  <c r="IO38" i="15"/>
  <c r="IP38" i="15"/>
  <c r="IQ38" i="15"/>
  <c r="IR38" i="15"/>
  <c r="IS38" i="15"/>
  <c r="IT38" i="15"/>
  <c r="IU38" i="15"/>
  <c r="IV38" i="15"/>
  <c r="A39" i="15"/>
  <c r="B39" i="15"/>
  <c r="C39"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AV39" i="15"/>
  <c r="AW39" i="15"/>
  <c r="AX39" i="15"/>
  <c r="AY39" i="15"/>
  <c r="AZ39" i="15"/>
  <c r="BA39" i="15"/>
  <c r="BB39" i="15"/>
  <c r="BC39" i="15"/>
  <c r="BD39" i="15"/>
  <c r="BE39" i="15"/>
  <c r="BF39" i="15"/>
  <c r="BG39" i="15"/>
  <c r="BH39" i="15"/>
  <c r="BI39" i="15"/>
  <c r="BJ39" i="15"/>
  <c r="BK39" i="15"/>
  <c r="BL39" i="15"/>
  <c r="BM39" i="15"/>
  <c r="BN39" i="15"/>
  <c r="BO39" i="15"/>
  <c r="BP39" i="15"/>
  <c r="BQ39" i="15"/>
  <c r="BR39" i="15"/>
  <c r="BS39" i="15"/>
  <c r="BT39" i="15"/>
  <c r="BU39" i="15"/>
  <c r="BV39" i="15"/>
  <c r="BW39" i="15"/>
  <c r="BX39" i="15"/>
  <c r="BY39" i="15"/>
  <c r="BZ39" i="15"/>
  <c r="CA39" i="15"/>
  <c r="CB39" i="15"/>
  <c r="CC39" i="15"/>
  <c r="CD39" i="15"/>
  <c r="CE39" i="15"/>
  <c r="CF39" i="15"/>
  <c r="CG39" i="15"/>
  <c r="CH39" i="15"/>
  <c r="CI39" i="15"/>
  <c r="CJ39" i="15"/>
  <c r="CK39" i="15"/>
  <c r="CL39" i="15"/>
  <c r="CM39" i="15"/>
  <c r="CN39" i="15"/>
  <c r="CO39" i="15"/>
  <c r="CP39" i="15"/>
  <c r="CQ39" i="15"/>
  <c r="CR39" i="15"/>
  <c r="CS39" i="15"/>
  <c r="CT39" i="15"/>
  <c r="CU39" i="15"/>
  <c r="CV39" i="15"/>
  <c r="CW39" i="15"/>
  <c r="CX39" i="15"/>
  <c r="CY39" i="15"/>
  <c r="CZ39" i="15"/>
  <c r="DA39" i="15"/>
  <c r="DB39" i="15"/>
  <c r="DC39" i="15"/>
  <c r="DD39" i="15"/>
  <c r="DE39" i="15"/>
  <c r="DF39" i="15"/>
  <c r="DG39" i="15"/>
  <c r="DH39" i="15"/>
  <c r="DI39" i="15"/>
  <c r="DJ39" i="15"/>
  <c r="DK39" i="15"/>
  <c r="DL39" i="15"/>
  <c r="DM39" i="15"/>
  <c r="DN39" i="15"/>
  <c r="DO39" i="15"/>
  <c r="DP39" i="15"/>
  <c r="DQ39" i="15"/>
  <c r="DR39" i="15"/>
  <c r="DS39" i="15"/>
  <c r="DT39" i="15"/>
  <c r="DU39" i="15"/>
  <c r="DV39" i="15"/>
  <c r="DW39" i="15"/>
  <c r="DX39" i="15"/>
  <c r="DY39" i="15"/>
  <c r="DZ39" i="15"/>
  <c r="EA39" i="15"/>
  <c r="EB39" i="15"/>
  <c r="EC39" i="15"/>
  <c r="ED39" i="15"/>
  <c r="EE39" i="15"/>
  <c r="EF39" i="15"/>
  <c r="EG39" i="15"/>
  <c r="EH39" i="15"/>
  <c r="EI39" i="15"/>
  <c r="EJ39" i="15"/>
  <c r="EK39" i="15"/>
  <c r="EL39" i="15"/>
  <c r="EM39" i="15"/>
  <c r="EN39" i="15"/>
  <c r="EO39" i="15"/>
  <c r="EP39" i="15"/>
  <c r="EQ39" i="15"/>
  <c r="ER39" i="15"/>
  <c r="ES39" i="15"/>
  <c r="ET39" i="15"/>
  <c r="EU39" i="15"/>
  <c r="EV39" i="15"/>
  <c r="EW39" i="15"/>
  <c r="EX39" i="15"/>
  <c r="EY39" i="15"/>
  <c r="EZ39" i="15"/>
  <c r="FA39" i="15"/>
  <c r="FB39" i="15"/>
  <c r="FC39" i="15"/>
  <c r="FD39" i="15"/>
  <c r="FE39" i="15"/>
  <c r="FF39" i="15"/>
  <c r="FG39" i="15"/>
  <c r="FH39" i="15"/>
  <c r="FI39" i="15"/>
  <c r="FJ39" i="15"/>
  <c r="FK39" i="15"/>
  <c r="FL39" i="15"/>
  <c r="FM39" i="15"/>
  <c r="FN39" i="15"/>
  <c r="FO39" i="15"/>
  <c r="FP39" i="15"/>
  <c r="FQ39" i="15"/>
  <c r="FR39" i="15"/>
  <c r="FS39" i="15"/>
  <c r="FT39" i="15"/>
  <c r="FU39" i="15"/>
  <c r="FV39" i="15"/>
  <c r="FW39" i="15"/>
  <c r="FX39" i="15"/>
  <c r="FY39" i="15"/>
  <c r="FZ39" i="15"/>
  <c r="GA39" i="15"/>
  <c r="GB39" i="15"/>
  <c r="GC39" i="15"/>
  <c r="GD39" i="15"/>
  <c r="GE39" i="15"/>
  <c r="GF39" i="15"/>
  <c r="GG39" i="15"/>
  <c r="GH39" i="15"/>
  <c r="GI39" i="15"/>
  <c r="GJ39" i="15"/>
  <c r="GK39" i="15"/>
  <c r="GL39" i="15"/>
  <c r="GM39" i="15"/>
  <c r="GN39" i="15"/>
  <c r="GO39" i="15"/>
  <c r="GP39" i="15"/>
  <c r="GQ39" i="15"/>
  <c r="GR39" i="15"/>
  <c r="GS39" i="15"/>
  <c r="GT39" i="15"/>
  <c r="GU39" i="15"/>
  <c r="GV39" i="15"/>
  <c r="GW39" i="15"/>
  <c r="GX39" i="15"/>
  <c r="GY39" i="15"/>
  <c r="GZ39" i="15"/>
  <c r="HA39" i="15"/>
  <c r="HB39" i="15"/>
  <c r="HC39" i="15"/>
  <c r="HD39" i="15"/>
  <c r="HE39" i="15"/>
  <c r="HF39" i="15"/>
  <c r="HG39" i="15"/>
  <c r="HH39" i="15"/>
  <c r="HI39" i="15"/>
  <c r="HJ39" i="15"/>
  <c r="HK39" i="15"/>
  <c r="HL39" i="15"/>
  <c r="HM39" i="15"/>
  <c r="HN39" i="15"/>
  <c r="HO39" i="15"/>
  <c r="HP39" i="15"/>
  <c r="HQ39" i="15"/>
  <c r="HR39" i="15"/>
  <c r="HS39" i="15"/>
  <c r="HT39" i="15"/>
  <c r="HU39" i="15"/>
  <c r="HV39" i="15"/>
  <c r="HW39" i="15"/>
  <c r="HX39" i="15"/>
  <c r="HY39" i="15"/>
  <c r="HZ39" i="15"/>
  <c r="IA39" i="15"/>
  <c r="IB39" i="15"/>
  <c r="IC39" i="15"/>
  <c r="ID39" i="15"/>
  <c r="IE39" i="15"/>
  <c r="IF39" i="15"/>
  <c r="IG39" i="15"/>
  <c r="IH39" i="15"/>
  <c r="II39" i="15"/>
  <c r="IJ39" i="15"/>
  <c r="IK39" i="15"/>
  <c r="IL39" i="15"/>
  <c r="IM39" i="15"/>
  <c r="IN39" i="15"/>
  <c r="IO39" i="15"/>
  <c r="IP39" i="15"/>
  <c r="IQ39" i="15"/>
  <c r="IR39" i="15"/>
  <c r="IS39" i="15"/>
  <c r="IT39" i="15"/>
  <c r="IU39" i="15"/>
  <c r="IV39" i="15"/>
  <c r="A40" i="15"/>
  <c r="B40" i="15"/>
  <c r="C40" i="15"/>
  <c r="D40"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AV40" i="15"/>
  <c r="AW40" i="15"/>
  <c r="AX40" i="15"/>
  <c r="AY40" i="15"/>
  <c r="AZ40" i="15"/>
  <c r="BA40" i="15"/>
  <c r="BB40" i="15"/>
  <c r="BC40" i="15"/>
  <c r="BD40" i="15"/>
  <c r="BE40" i="15"/>
  <c r="BF40" i="15"/>
  <c r="BG40" i="15"/>
  <c r="BH40" i="15"/>
  <c r="BI40" i="15"/>
  <c r="BJ40" i="15"/>
  <c r="BK40" i="15"/>
  <c r="BL40" i="15"/>
  <c r="BM40" i="15"/>
  <c r="BN40" i="15"/>
  <c r="BO40" i="15"/>
  <c r="BP40" i="15"/>
  <c r="BQ40" i="15"/>
  <c r="BR40" i="15"/>
  <c r="BS40" i="15"/>
  <c r="BT40" i="15"/>
  <c r="BU40" i="15"/>
  <c r="BV40" i="15"/>
  <c r="BW40" i="15"/>
  <c r="BX40" i="15"/>
  <c r="BY40" i="15"/>
  <c r="BZ40" i="15"/>
  <c r="CA40" i="15"/>
  <c r="CB40" i="15"/>
  <c r="CC40" i="15"/>
  <c r="CD40" i="15"/>
  <c r="CE40" i="15"/>
  <c r="CF40" i="15"/>
  <c r="CG40" i="15"/>
  <c r="CH40" i="15"/>
  <c r="CI40" i="15"/>
  <c r="CJ40" i="15"/>
  <c r="CK40" i="15"/>
  <c r="CL40" i="15"/>
  <c r="CM40" i="15"/>
  <c r="CN40" i="15"/>
  <c r="CO40" i="15"/>
  <c r="CP40" i="15"/>
  <c r="CQ40" i="15"/>
  <c r="CR40" i="15"/>
  <c r="CS40" i="15"/>
  <c r="CT40" i="15"/>
  <c r="CU40" i="15"/>
  <c r="CV40" i="15"/>
  <c r="CW40" i="15"/>
  <c r="CX40" i="15"/>
  <c r="CY40" i="15"/>
  <c r="CZ40" i="15"/>
  <c r="DA40" i="15"/>
  <c r="DB40" i="15"/>
  <c r="DC40" i="15"/>
  <c r="DD40" i="15"/>
  <c r="DE40" i="15"/>
  <c r="DF40" i="15"/>
  <c r="DG40" i="15"/>
  <c r="DH40" i="15"/>
  <c r="DI40" i="15"/>
  <c r="DJ40" i="15"/>
  <c r="DK40" i="15"/>
  <c r="DL40" i="15"/>
  <c r="DM40" i="15"/>
  <c r="DN40" i="15"/>
  <c r="DO40" i="15"/>
  <c r="DP40" i="15"/>
  <c r="DQ40" i="15"/>
  <c r="DR40" i="15"/>
  <c r="DS40" i="15"/>
  <c r="DT40" i="15"/>
  <c r="DU40" i="15"/>
  <c r="DV40" i="15"/>
  <c r="DW40" i="15"/>
  <c r="DX40" i="15"/>
  <c r="DY40" i="15"/>
  <c r="DZ40" i="15"/>
  <c r="EA40" i="15"/>
  <c r="EB40" i="15"/>
  <c r="EC40" i="15"/>
  <c r="ED40" i="15"/>
  <c r="EE40" i="15"/>
  <c r="EF40" i="15"/>
  <c r="EG40" i="15"/>
  <c r="EH40" i="15"/>
  <c r="EI40" i="15"/>
  <c r="EJ40" i="15"/>
  <c r="EK40" i="15"/>
  <c r="EL40" i="15"/>
  <c r="EM40" i="15"/>
  <c r="EN40" i="15"/>
  <c r="EO40" i="15"/>
  <c r="EP40" i="15"/>
  <c r="EQ40" i="15"/>
  <c r="ER40" i="15"/>
  <c r="ES40" i="15"/>
  <c r="ET40" i="15"/>
  <c r="EU40" i="15"/>
  <c r="EV40" i="15"/>
  <c r="EW40" i="15"/>
  <c r="EX40" i="15"/>
  <c r="EY40" i="15"/>
  <c r="EZ40" i="15"/>
  <c r="FA40" i="15"/>
  <c r="FB40" i="15"/>
  <c r="FC40" i="15"/>
  <c r="FD40" i="15"/>
  <c r="FE40" i="15"/>
  <c r="FF40" i="15"/>
  <c r="FG40" i="15"/>
  <c r="FH40" i="15"/>
  <c r="FI40" i="15"/>
  <c r="FJ40" i="15"/>
  <c r="FK40" i="15"/>
  <c r="FL40" i="15"/>
  <c r="FM40" i="15"/>
  <c r="FN40" i="15"/>
  <c r="FO40" i="15"/>
  <c r="FP40" i="15"/>
  <c r="FQ40" i="15"/>
  <c r="FR40" i="15"/>
  <c r="FS40" i="15"/>
  <c r="FT40" i="15"/>
  <c r="FU40" i="15"/>
  <c r="FV40" i="15"/>
  <c r="FW40" i="15"/>
  <c r="FX40" i="15"/>
  <c r="FY40" i="15"/>
  <c r="FZ40" i="15"/>
  <c r="GA40" i="15"/>
  <c r="GB40" i="15"/>
  <c r="GC40" i="15"/>
  <c r="GD40" i="15"/>
  <c r="GE40" i="15"/>
  <c r="GF40" i="15"/>
  <c r="GG40" i="15"/>
  <c r="GH40" i="15"/>
  <c r="GI40" i="15"/>
  <c r="GJ40" i="15"/>
  <c r="GK40" i="15"/>
  <c r="GL40" i="15"/>
  <c r="GM40" i="15"/>
  <c r="GN40" i="15"/>
  <c r="GO40" i="15"/>
  <c r="GP40" i="15"/>
  <c r="GQ40" i="15"/>
  <c r="GR40" i="15"/>
  <c r="GS40" i="15"/>
  <c r="GT40" i="15"/>
  <c r="GU40" i="15"/>
  <c r="GV40" i="15"/>
  <c r="GW40" i="15"/>
  <c r="GX40" i="15"/>
  <c r="GY40" i="15"/>
  <c r="GZ40" i="15"/>
  <c r="HA40" i="15"/>
  <c r="HB40" i="15"/>
  <c r="HC40" i="15"/>
  <c r="HD40" i="15"/>
  <c r="HE40" i="15"/>
  <c r="HF40" i="15"/>
  <c r="HG40" i="15"/>
  <c r="HH40" i="15"/>
  <c r="HI40" i="15"/>
  <c r="HJ40" i="15"/>
  <c r="HK40" i="15"/>
  <c r="HL40" i="15"/>
  <c r="HM40" i="15"/>
  <c r="HN40" i="15"/>
  <c r="HO40" i="15"/>
  <c r="HP40" i="15"/>
  <c r="HQ40" i="15"/>
  <c r="HR40" i="15"/>
  <c r="HS40" i="15"/>
  <c r="HT40" i="15"/>
  <c r="HU40" i="15"/>
  <c r="HV40" i="15"/>
  <c r="HW40" i="15"/>
  <c r="HX40" i="15"/>
  <c r="HY40" i="15"/>
  <c r="HZ40" i="15"/>
  <c r="IA40" i="15"/>
  <c r="IB40" i="15"/>
  <c r="IC40" i="15"/>
  <c r="ID40" i="15"/>
  <c r="IE40" i="15"/>
  <c r="IF40" i="15"/>
  <c r="IG40" i="15"/>
  <c r="IH40" i="15"/>
  <c r="II40" i="15"/>
  <c r="IJ40" i="15"/>
  <c r="IK40" i="15"/>
  <c r="IL40" i="15"/>
  <c r="IM40" i="15"/>
  <c r="IN40" i="15"/>
  <c r="IO40" i="15"/>
  <c r="IP40" i="15"/>
  <c r="IQ40" i="15"/>
  <c r="IR40" i="15"/>
  <c r="IS40" i="15"/>
  <c r="IT40" i="15"/>
  <c r="IU40" i="15"/>
  <c r="IV40" i="15"/>
  <c r="A41" i="15"/>
  <c r="B41" i="15"/>
  <c r="C41" i="15"/>
  <c r="D41"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AH41" i="15"/>
  <c r="AI41" i="15"/>
  <c r="AJ41" i="15"/>
  <c r="AK41" i="15"/>
  <c r="AL41" i="15"/>
  <c r="AM41" i="15"/>
  <c r="AN41" i="15"/>
  <c r="AO41" i="15"/>
  <c r="AP41" i="15"/>
  <c r="AQ41" i="15"/>
  <c r="AR41" i="15"/>
  <c r="AS41" i="15"/>
  <c r="AT41" i="15"/>
  <c r="AU41" i="15"/>
  <c r="AV41" i="15"/>
  <c r="AW41" i="15"/>
  <c r="AX41" i="15"/>
  <c r="AY41" i="15"/>
  <c r="AZ41" i="15"/>
  <c r="BA41" i="15"/>
  <c r="BB41" i="15"/>
  <c r="BC41" i="15"/>
  <c r="BD41" i="15"/>
  <c r="BE41" i="15"/>
  <c r="BF41" i="15"/>
  <c r="BG41" i="15"/>
  <c r="BH41" i="15"/>
  <c r="BI41" i="15"/>
  <c r="BJ41" i="15"/>
  <c r="BK41" i="15"/>
  <c r="BL41" i="15"/>
  <c r="BM41" i="15"/>
  <c r="BN41" i="15"/>
  <c r="BO41" i="15"/>
  <c r="BP41" i="15"/>
  <c r="BQ41" i="15"/>
  <c r="BR41" i="15"/>
  <c r="BS41" i="15"/>
  <c r="BT41" i="15"/>
  <c r="BU41" i="15"/>
  <c r="BV41" i="15"/>
  <c r="BW41" i="15"/>
  <c r="BX41" i="15"/>
  <c r="BY41" i="15"/>
  <c r="BZ41" i="15"/>
  <c r="CA41" i="15"/>
  <c r="CB41" i="15"/>
  <c r="CC41" i="15"/>
  <c r="CD41" i="15"/>
  <c r="CE41" i="15"/>
  <c r="CF41" i="15"/>
  <c r="CG41" i="15"/>
  <c r="CH41" i="15"/>
  <c r="CI41" i="15"/>
  <c r="CJ41" i="15"/>
  <c r="CK41" i="15"/>
  <c r="CL41" i="15"/>
  <c r="CM41" i="15"/>
  <c r="CN41" i="15"/>
  <c r="CO41" i="15"/>
  <c r="CP41" i="15"/>
  <c r="CQ41" i="15"/>
  <c r="CR41" i="15"/>
  <c r="CS41" i="15"/>
  <c r="CT41" i="15"/>
  <c r="CU41" i="15"/>
  <c r="CV41" i="15"/>
  <c r="CW41" i="15"/>
  <c r="CX41" i="15"/>
  <c r="CY41" i="15"/>
  <c r="CZ41" i="15"/>
  <c r="DA41" i="15"/>
  <c r="DB41" i="15"/>
  <c r="DC41" i="15"/>
  <c r="DD41" i="15"/>
  <c r="DE41" i="15"/>
  <c r="DF41" i="15"/>
  <c r="DG41" i="15"/>
  <c r="DH41" i="15"/>
  <c r="DI41" i="15"/>
  <c r="DJ41" i="15"/>
  <c r="DK41" i="15"/>
  <c r="DL41" i="15"/>
  <c r="DM41" i="15"/>
  <c r="DN41" i="15"/>
  <c r="DO41" i="15"/>
  <c r="DP41" i="15"/>
  <c r="DQ41" i="15"/>
  <c r="DR41" i="15"/>
  <c r="DS41" i="15"/>
  <c r="DT41" i="15"/>
  <c r="DU41" i="15"/>
  <c r="DV41" i="15"/>
  <c r="DW41" i="15"/>
  <c r="DX41" i="15"/>
  <c r="DY41" i="15"/>
  <c r="DZ41" i="15"/>
  <c r="EA41" i="15"/>
  <c r="EB41" i="15"/>
  <c r="EC41" i="15"/>
  <c r="ED41" i="15"/>
  <c r="EE41" i="15"/>
  <c r="EF41" i="15"/>
  <c r="EG41" i="15"/>
  <c r="EH41" i="15"/>
  <c r="EI41" i="15"/>
  <c r="EJ41" i="15"/>
  <c r="EK41" i="15"/>
  <c r="EL41" i="15"/>
  <c r="EM41" i="15"/>
  <c r="EN41" i="15"/>
  <c r="EO41" i="15"/>
  <c r="EP41" i="15"/>
  <c r="EQ41" i="15"/>
  <c r="ER41" i="15"/>
  <c r="ES41" i="15"/>
  <c r="ET41" i="15"/>
  <c r="EU41" i="15"/>
  <c r="EV41" i="15"/>
  <c r="EW41" i="15"/>
  <c r="EX41" i="15"/>
  <c r="EY41" i="15"/>
  <c r="EZ41" i="15"/>
  <c r="FA41" i="15"/>
  <c r="FB41" i="15"/>
  <c r="FC41" i="15"/>
  <c r="FD41" i="15"/>
  <c r="FE41" i="15"/>
  <c r="FF41" i="15"/>
  <c r="FG41" i="15"/>
  <c r="FH41" i="15"/>
  <c r="FI41" i="15"/>
  <c r="FJ41" i="15"/>
  <c r="FK41" i="15"/>
  <c r="FL41" i="15"/>
  <c r="FM41" i="15"/>
  <c r="FN41" i="15"/>
  <c r="FO41" i="15"/>
  <c r="FP41" i="15"/>
  <c r="FQ41" i="15"/>
  <c r="FR41" i="15"/>
  <c r="FS41" i="15"/>
  <c r="FT41" i="15"/>
  <c r="FU41" i="15"/>
  <c r="FV41" i="15"/>
  <c r="FW41" i="15"/>
  <c r="FX41" i="15"/>
  <c r="FY41" i="15"/>
  <c r="FZ41" i="15"/>
  <c r="GA41" i="15"/>
  <c r="GB41" i="15"/>
  <c r="GC41" i="15"/>
  <c r="GD41" i="15"/>
  <c r="GE41" i="15"/>
  <c r="GF41" i="15"/>
  <c r="GG41" i="15"/>
  <c r="GH41" i="15"/>
  <c r="GI41" i="15"/>
  <c r="GJ41" i="15"/>
  <c r="GK41" i="15"/>
  <c r="GL41" i="15"/>
  <c r="GM41" i="15"/>
  <c r="GN41" i="15"/>
  <c r="GO41" i="15"/>
  <c r="GP41" i="15"/>
  <c r="GQ41" i="15"/>
  <c r="GR41" i="15"/>
  <c r="GS41" i="15"/>
  <c r="GT41" i="15"/>
  <c r="GU41" i="15"/>
  <c r="GV41" i="15"/>
  <c r="GW41" i="15"/>
  <c r="GX41" i="15"/>
  <c r="GY41" i="15"/>
  <c r="GZ41" i="15"/>
  <c r="HA41" i="15"/>
  <c r="HB41" i="15"/>
  <c r="HC41" i="15"/>
  <c r="HD41" i="15"/>
  <c r="HE41" i="15"/>
  <c r="HF41" i="15"/>
  <c r="HG41" i="15"/>
  <c r="HH41" i="15"/>
  <c r="HI41" i="15"/>
  <c r="HJ41" i="15"/>
  <c r="HK41" i="15"/>
  <c r="HL41" i="15"/>
  <c r="HM41" i="15"/>
  <c r="HN41" i="15"/>
  <c r="HO41" i="15"/>
  <c r="HP41" i="15"/>
  <c r="HQ41" i="15"/>
  <c r="HR41" i="15"/>
  <c r="HS41" i="15"/>
  <c r="HT41" i="15"/>
  <c r="HU41" i="15"/>
  <c r="HV41" i="15"/>
  <c r="HW41" i="15"/>
  <c r="HX41" i="15"/>
  <c r="HY41" i="15"/>
  <c r="HZ41" i="15"/>
  <c r="IA41" i="15"/>
  <c r="IB41" i="15"/>
  <c r="IC41" i="15"/>
  <c r="ID41" i="15"/>
  <c r="IE41" i="15"/>
  <c r="IF41" i="15"/>
  <c r="IG41" i="15"/>
  <c r="IH41" i="15"/>
  <c r="II41" i="15"/>
  <c r="IJ41" i="15"/>
  <c r="IK41" i="15"/>
  <c r="IL41" i="15"/>
  <c r="IM41" i="15"/>
  <c r="IN41" i="15"/>
  <c r="IO41" i="15"/>
  <c r="IP41" i="15"/>
  <c r="IQ41" i="15"/>
  <c r="IR41" i="15"/>
  <c r="IS41" i="15"/>
  <c r="IT41" i="15"/>
  <c r="IU41" i="15"/>
  <c r="IV41" i="15"/>
  <c r="A42" i="15"/>
  <c r="B42" i="15"/>
  <c r="C42" i="15"/>
  <c r="D42"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AG42" i="15"/>
  <c r="AH42" i="15"/>
  <c r="AI42" i="15"/>
  <c r="AJ42" i="15"/>
  <c r="AK42" i="15"/>
  <c r="AL42" i="15"/>
  <c r="AM42" i="15"/>
  <c r="AN42" i="15"/>
  <c r="AO42" i="15"/>
  <c r="AP42" i="15"/>
  <c r="AQ42" i="15"/>
  <c r="AR42" i="15"/>
  <c r="AS42" i="15"/>
  <c r="AT42" i="15"/>
  <c r="AU42" i="15"/>
  <c r="AV42" i="15"/>
  <c r="AW42" i="15"/>
  <c r="AX42" i="15"/>
  <c r="AY42" i="15"/>
  <c r="AZ42" i="15"/>
  <c r="BA42" i="15"/>
  <c r="BB42" i="15"/>
  <c r="BC42" i="15"/>
  <c r="BD42" i="15"/>
  <c r="BE42" i="15"/>
  <c r="BF42" i="15"/>
  <c r="BG42" i="15"/>
  <c r="BH42" i="15"/>
  <c r="BI42" i="15"/>
  <c r="BJ42" i="15"/>
  <c r="BK42" i="15"/>
  <c r="BL42" i="15"/>
  <c r="BM42" i="15"/>
  <c r="BN42" i="15"/>
  <c r="BO42" i="15"/>
  <c r="BP42" i="15"/>
  <c r="BQ42" i="15"/>
  <c r="BR42" i="15"/>
  <c r="BS42" i="15"/>
  <c r="BT42" i="15"/>
  <c r="BU42" i="15"/>
  <c r="BV42" i="15"/>
  <c r="BW42" i="15"/>
  <c r="BX42" i="15"/>
  <c r="BY42" i="15"/>
  <c r="BZ42" i="15"/>
  <c r="CA42" i="15"/>
  <c r="CB42" i="15"/>
  <c r="CC42" i="15"/>
  <c r="CD42" i="15"/>
  <c r="CE42" i="15"/>
  <c r="CF42" i="15"/>
  <c r="CG42" i="15"/>
  <c r="CH42" i="15"/>
  <c r="CI42" i="15"/>
  <c r="CJ42" i="15"/>
  <c r="CK42" i="15"/>
  <c r="CL42" i="15"/>
  <c r="CM42" i="15"/>
  <c r="CN42" i="15"/>
  <c r="CO42" i="15"/>
  <c r="CP42" i="15"/>
  <c r="CQ42" i="15"/>
  <c r="CR42" i="15"/>
  <c r="CS42" i="15"/>
  <c r="CT42" i="15"/>
  <c r="CU42" i="15"/>
  <c r="CV42" i="15"/>
  <c r="CW42" i="15"/>
  <c r="CX42" i="15"/>
  <c r="CY42" i="15"/>
  <c r="CZ42" i="15"/>
  <c r="DA42" i="15"/>
  <c r="DB42" i="15"/>
  <c r="DC42" i="15"/>
  <c r="DD42" i="15"/>
  <c r="DE42" i="15"/>
  <c r="DF42" i="15"/>
  <c r="DG42" i="15"/>
  <c r="DH42" i="15"/>
  <c r="DI42" i="15"/>
  <c r="DJ42" i="15"/>
  <c r="DK42" i="15"/>
  <c r="DL42" i="15"/>
  <c r="DM42" i="15"/>
  <c r="DN42" i="15"/>
  <c r="DO42" i="15"/>
  <c r="DP42" i="15"/>
  <c r="DQ42" i="15"/>
  <c r="DR42" i="15"/>
  <c r="DS42" i="15"/>
  <c r="DT42" i="15"/>
  <c r="DU42" i="15"/>
  <c r="DV42" i="15"/>
  <c r="DW42" i="15"/>
  <c r="DX42" i="15"/>
  <c r="DY42" i="15"/>
  <c r="DZ42" i="15"/>
  <c r="EA42" i="15"/>
  <c r="EB42" i="15"/>
  <c r="EC42" i="15"/>
  <c r="ED42" i="15"/>
  <c r="EE42" i="15"/>
  <c r="EF42" i="15"/>
  <c r="EG42" i="15"/>
  <c r="EH42" i="15"/>
  <c r="EI42" i="15"/>
  <c r="EJ42" i="15"/>
  <c r="EK42" i="15"/>
  <c r="EL42" i="15"/>
  <c r="EM42" i="15"/>
  <c r="EN42" i="15"/>
  <c r="EO42" i="15"/>
  <c r="EP42" i="15"/>
  <c r="EQ42" i="15"/>
  <c r="ER42" i="15"/>
  <c r="ES42" i="15"/>
  <c r="ET42" i="15"/>
  <c r="EU42" i="15"/>
  <c r="EV42" i="15"/>
  <c r="EW42" i="15"/>
  <c r="EX42" i="15"/>
  <c r="EY42" i="15"/>
  <c r="EZ42" i="15"/>
  <c r="FA42" i="15"/>
  <c r="FB42" i="15"/>
  <c r="FC42" i="15"/>
  <c r="FD42" i="15"/>
  <c r="FE42" i="15"/>
  <c r="FF42" i="15"/>
  <c r="FG42" i="15"/>
  <c r="FH42" i="15"/>
  <c r="FI42" i="15"/>
  <c r="FJ42" i="15"/>
  <c r="FK42" i="15"/>
  <c r="FL42" i="15"/>
  <c r="FM42" i="15"/>
  <c r="FN42" i="15"/>
  <c r="FO42" i="15"/>
  <c r="FP42" i="15"/>
  <c r="FQ42" i="15"/>
  <c r="FR42" i="15"/>
  <c r="FS42" i="15"/>
  <c r="FT42" i="15"/>
  <c r="FU42" i="15"/>
  <c r="FV42" i="15"/>
  <c r="FW42" i="15"/>
  <c r="FX42" i="15"/>
  <c r="FY42" i="15"/>
  <c r="FZ42" i="15"/>
  <c r="GA42" i="15"/>
  <c r="GB42" i="15"/>
  <c r="GC42" i="15"/>
  <c r="GD42" i="15"/>
  <c r="GE42" i="15"/>
  <c r="GF42" i="15"/>
  <c r="GG42" i="15"/>
  <c r="GH42" i="15"/>
  <c r="GI42" i="15"/>
  <c r="GJ42" i="15"/>
  <c r="GK42" i="15"/>
  <c r="GL42" i="15"/>
  <c r="GM42" i="15"/>
  <c r="GN42" i="15"/>
  <c r="GO42" i="15"/>
  <c r="GP42" i="15"/>
  <c r="GQ42" i="15"/>
  <c r="GR42" i="15"/>
  <c r="GS42" i="15"/>
  <c r="GT42" i="15"/>
  <c r="GU42" i="15"/>
  <c r="GV42" i="15"/>
  <c r="GW42" i="15"/>
  <c r="GX42" i="15"/>
  <c r="GY42" i="15"/>
  <c r="GZ42" i="15"/>
  <c r="HA42" i="15"/>
  <c r="HB42" i="15"/>
  <c r="HC42" i="15"/>
  <c r="HD42" i="15"/>
  <c r="HE42" i="15"/>
  <c r="HF42" i="15"/>
  <c r="HG42" i="15"/>
  <c r="HH42" i="15"/>
  <c r="HI42" i="15"/>
  <c r="HJ42" i="15"/>
  <c r="HK42" i="15"/>
  <c r="HL42" i="15"/>
  <c r="HM42" i="15"/>
  <c r="HN42" i="15"/>
  <c r="HO42" i="15"/>
  <c r="HP42" i="15"/>
  <c r="HQ42" i="15"/>
  <c r="HR42" i="15"/>
  <c r="HS42" i="15"/>
  <c r="HT42" i="15"/>
  <c r="HU42" i="15"/>
  <c r="HV42" i="15"/>
  <c r="HW42" i="15"/>
  <c r="HX42" i="15"/>
  <c r="HY42" i="15"/>
  <c r="HZ42" i="15"/>
  <c r="IA42" i="15"/>
  <c r="IB42" i="15"/>
  <c r="IC42" i="15"/>
  <c r="ID42" i="15"/>
  <c r="IE42" i="15"/>
  <c r="IF42" i="15"/>
  <c r="IG42" i="15"/>
  <c r="IH42" i="15"/>
  <c r="II42" i="15"/>
  <c r="IJ42" i="15"/>
  <c r="IK42" i="15"/>
  <c r="IL42" i="15"/>
  <c r="IM42" i="15"/>
  <c r="IN42" i="15"/>
  <c r="IO42" i="15"/>
  <c r="IP42" i="15"/>
  <c r="IQ42" i="15"/>
  <c r="IR42" i="15"/>
  <c r="IS42" i="15"/>
  <c r="IT42" i="15"/>
  <c r="IU42" i="15"/>
  <c r="IV42" i="15"/>
  <c r="A43" i="15"/>
  <c r="B43" i="15"/>
  <c r="C43" i="15"/>
  <c r="D43"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AH43" i="15"/>
  <c r="AI43" i="15"/>
  <c r="AJ43" i="15"/>
  <c r="AK43" i="15"/>
  <c r="AL43" i="15"/>
  <c r="AM43" i="15"/>
  <c r="AN43" i="15"/>
  <c r="AO43" i="15"/>
  <c r="AP43" i="15"/>
  <c r="AQ43" i="15"/>
  <c r="AR43" i="15"/>
  <c r="AS43" i="15"/>
  <c r="AT43" i="15"/>
  <c r="AU43" i="15"/>
  <c r="AV43" i="15"/>
  <c r="AW43" i="15"/>
  <c r="AX43" i="15"/>
  <c r="AY43" i="15"/>
  <c r="AZ43" i="15"/>
  <c r="BA43" i="15"/>
  <c r="BB43" i="15"/>
  <c r="BC43" i="15"/>
  <c r="BD43" i="15"/>
  <c r="BE43" i="15"/>
  <c r="BF43" i="15"/>
  <c r="BG43" i="15"/>
  <c r="BH43" i="15"/>
  <c r="BI43" i="15"/>
  <c r="BJ43" i="15"/>
  <c r="BK43" i="15"/>
  <c r="BL43" i="15"/>
  <c r="BM43" i="15"/>
  <c r="BN43" i="15"/>
  <c r="BO43" i="15"/>
  <c r="BP43" i="15"/>
  <c r="BQ43" i="15"/>
  <c r="BR43" i="15"/>
  <c r="BS43" i="15"/>
  <c r="BT43" i="15"/>
  <c r="BU43" i="15"/>
  <c r="BV43" i="15"/>
  <c r="BW43" i="15"/>
  <c r="BX43" i="15"/>
  <c r="BY43" i="15"/>
  <c r="BZ43" i="15"/>
  <c r="CA43" i="15"/>
  <c r="CB43" i="15"/>
  <c r="CC43" i="15"/>
  <c r="CD43" i="15"/>
  <c r="CE43" i="15"/>
  <c r="CF43" i="15"/>
  <c r="CG43" i="15"/>
  <c r="CH43" i="15"/>
  <c r="CI43" i="15"/>
  <c r="CJ43" i="15"/>
  <c r="CK43" i="15"/>
  <c r="CL43" i="15"/>
  <c r="CM43" i="15"/>
  <c r="CN43" i="15"/>
  <c r="CO43" i="15"/>
  <c r="CP43" i="15"/>
  <c r="CQ43" i="15"/>
  <c r="CR43" i="15"/>
  <c r="CS43" i="15"/>
  <c r="CT43" i="15"/>
  <c r="CU43" i="15"/>
  <c r="CV43" i="15"/>
  <c r="CW43" i="15"/>
  <c r="CX43" i="15"/>
  <c r="CY43" i="15"/>
  <c r="CZ43" i="15"/>
  <c r="DA43" i="15"/>
  <c r="DB43" i="15"/>
  <c r="DC43" i="15"/>
  <c r="DD43" i="15"/>
  <c r="DE43" i="15"/>
  <c r="DF43" i="15"/>
  <c r="DG43" i="15"/>
  <c r="DH43" i="15"/>
  <c r="DI43" i="15"/>
  <c r="DJ43" i="15"/>
  <c r="DK43" i="15"/>
  <c r="DL43" i="15"/>
  <c r="DM43" i="15"/>
  <c r="DN43" i="15"/>
  <c r="DO43" i="15"/>
  <c r="DP43" i="15"/>
  <c r="DQ43" i="15"/>
  <c r="DR43" i="15"/>
  <c r="DS43" i="15"/>
  <c r="DT43" i="15"/>
  <c r="DU43" i="15"/>
  <c r="DV43" i="15"/>
  <c r="DW43" i="15"/>
  <c r="DX43" i="15"/>
  <c r="DY43" i="15"/>
  <c r="DZ43" i="15"/>
  <c r="EA43" i="15"/>
  <c r="EB43" i="15"/>
  <c r="EC43" i="15"/>
  <c r="ED43" i="15"/>
  <c r="EE43" i="15"/>
  <c r="EF43" i="15"/>
  <c r="EG43" i="15"/>
  <c r="EH43" i="15"/>
  <c r="EI43" i="15"/>
  <c r="EJ43" i="15"/>
  <c r="EK43" i="15"/>
  <c r="EL43" i="15"/>
  <c r="EM43" i="15"/>
  <c r="EN43" i="15"/>
  <c r="EO43" i="15"/>
  <c r="EP43" i="15"/>
  <c r="EQ43" i="15"/>
  <c r="ER43" i="15"/>
  <c r="ES43" i="15"/>
  <c r="ET43" i="15"/>
  <c r="EU43" i="15"/>
  <c r="EV43" i="15"/>
  <c r="EW43" i="15"/>
  <c r="EX43" i="15"/>
  <c r="EY43" i="15"/>
  <c r="EZ43" i="15"/>
  <c r="FA43" i="15"/>
  <c r="FB43" i="15"/>
  <c r="FC43" i="15"/>
  <c r="FD43" i="15"/>
  <c r="FE43" i="15"/>
  <c r="FF43" i="15"/>
  <c r="FG43" i="15"/>
  <c r="FH43" i="15"/>
  <c r="FI43" i="15"/>
  <c r="FJ43" i="15"/>
  <c r="FK43" i="15"/>
  <c r="FL43" i="15"/>
  <c r="FM43" i="15"/>
  <c r="FN43" i="15"/>
  <c r="FO43" i="15"/>
  <c r="FP43" i="15"/>
  <c r="FQ43" i="15"/>
  <c r="FR43" i="15"/>
  <c r="FS43" i="15"/>
  <c r="FT43" i="15"/>
  <c r="FU43" i="15"/>
  <c r="FV43" i="15"/>
  <c r="FW43" i="15"/>
  <c r="FX43" i="15"/>
  <c r="FY43" i="15"/>
  <c r="FZ43" i="15"/>
  <c r="GA43" i="15"/>
  <c r="GB43" i="15"/>
  <c r="GC43" i="15"/>
  <c r="GD43" i="15"/>
  <c r="GE43" i="15"/>
  <c r="GF43" i="15"/>
  <c r="GG43" i="15"/>
  <c r="GH43" i="15"/>
  <c r="GI43" i="15"/>
  <c r="GJ43" i="15"/>
  <c r="GK43" i="15"/>
  <c r="GL43" i="15"/>
  <c r="GM43" i="15"/>
  <c r="GN43" i="15"/>
  <c r="GO43" i="15"/>
  <c r="GP43" i="15"/>
  <c r="GQ43" i="15"/>
  <c r="GR43" i="15"/>
  <c r="GS43" i="15"/>
  <c r="GT43" i="15"/>
  <c r="GU43" i="15"/>
  <c r="GV43" i="15"/>
  <c r="GW43" i="15"/>
  <c r="GX43" i="15"/>
  <c r="GY43" i="15"/>
  <c r="GZ43" i="15"/>
  <c r="HA43" i="15"/>
  <c r="HB43" i="15"/>
  <c r="HC43" i="15"/>
  <c r="HD43" i="15"/>
  <c r="HE43" i="15"/>
  <c r="HF43" i="15"/>
  <c r="HG43" i="15"/>
  <c r="HH43" i="15"/>
  <c r="HI43" i="15"/>
  <c r="HJ43" i="15"/>
  <c r="HK43" i="15"/>
  <c r="HL43" i="15"/>
  <c r="HM43" i="15"/>
  <c r="HN43" i="15"/>
  <c r="HO43" i="15"/>
  <c r="HP43" i="15"/>
  <c r="HQ43" i="15"/>
  <c r="HR43" i="15"/>
  <c r="HS43" i="15"/>
  <c r="HT43" i="15"/>
  <c r="HU43" i="15"/>
  <c r="HV43" i="15"/>
  <c r="HW43" i="15"/>
  <c r="HX43" i="15"/>
  <c r="HY43" i="15"/>
  <c r="HZ43" i="15"/>
  <c r="IA43" i="15"/>
  <c r="IB43" i="15"/>
  <c r="IC43" i="15"/>
  <c r="ID43" i="15"/>
  <c r="IE43" i="15"/>
  <c r="IF43" i="15"/>
  <c r="IG43" i="15"/>
  <c r="IH43" i="15"/>
  <c r="II43" i="15"/>
  <c r="IJ43" i="15"/>
  <c r="IK43" i="15"/>
  <c r="IL43" i="15"/>
  <c r="IM43" i="15"/>
  <c r="IN43" i="15"/>
  <c r="IO43" i="15"/>
  <c r="IP43" i="15"/>
  <c r="IQ43" i="15"/>
  <c r="IR43" i="15"/>
  <c r="IS43" i="15"/>
  <c r="IT43" i="15"/>
  <c r="IU43" i="15"/>
  <c r="IV43" i="15"/>
  <c r="A44" i="15"/>
  <c r="B44" i="15"/>
  <c r="C44" i="15"/>
  <c r="D44"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AG44" i="15"/>
  <c r="AH44" i="15"/>
  <c r="AI44" i="15"/>
  <c r="AJ44" i="15"/>
  <c r="AK44" i="15"/>
  <c r="AL44" i="15"/>
  <c r="AM44" i="15"/>
  <c r="AN44" i="15"/>
  <c r="AO44" i="15"/>
  <c r="AP44" i="15"/>
  <c r="AQ44" i="15"/>
  <c r="AR44" i="15"/>
  <c r="AS44" i="15"/>
  <c r="AT44" i="15"/>
  <c r="AU44" i="15"/>
  <c r="AV44" i="15"/>
  <c r="AW44" i="15"/>
  <c r="AX44" i="15"/>
  <c r="AY44" i="15"/>
  <c r="AZ44" i="15"/>
  <c r="BA44" i="15"/>
  <c r="BB44" i="15"/>
  <c r="BC44" i="15"/>
  <c r="BD44" i="15"/>
  <c r="BE44" i="15"/>
  <c r="BF44" i="15"/>
  <c r="BG44" i="15"/>
  <c r="BH44" i="15"/>
  <c r="BI44" i="15"/>
  <c r="BJ44" i="15"/>
  <c r="BK44" i="15"/>
  <c r="BL44" i="15"/>
  <c r="BM44" i="15"/>
  <c r="BN44" i="15"/>
  <c r="BO44" i="15"/>
  <c r="BP44" i="15"/>
  <c r="BQ44" i="15"/>
  <c r="BR44" i="15"/>
  <c r="BS44" i="15"/>
  <c r="BT44" i="15"/>
  <c r="BU44" i="15"/>
  <c r="BV44" i="15"/>
  <c r="BW44" i="15"/>
  <c r="BX44" i="15"/>
  <c r="BY44" i="15"/>
  <c r="BZ44" i="15"/>
  <c r="CA44" i="15"/>
  <c r="CB44" i="15"/>
  <c r="CC44" i="15"/>
  <c r="CD44" i="15"/>
  <c r="CE44" i="15"/>
  <c r="CF44" i="15"/>
  <c r="CG44" i="15"/>
  <c r="CH44" i="15"/>
  <c r="CI44" i="15"/>
  <c r="CJ44" i="15"/>
  <c r="CK44" i="15"/>
  <c r="CL44" i="15"/>
  <c r="CM44" i="15"/>
  <c r="CN44" i="15"/>
  <c r="CO44" i="15"/>
  <c r="CP44" i="15"/>
  <c r="CQ44" i="15"/>
  <c r="CR44" i="15"/>
  <c r="CS44" i="15"/>
  <c r="CT44" i="15"/>
  <c r="CU44" i="15"/>
  <c r="CV44" i="15"/>
  <c r="CW44" i="15"/>
  <c r="CX44" i="15"/>
  <c r="CY44" i="15"/>
  <c r="CZ44" i="15"/>
  <c r="DA44" i="15"/>
  <c r="DB44" i="15"/>
  <c r="DC44" i="15"/>
  <c r="DD44" i="15"/>
  <c r="DE44" i="15"/>
  <c r="DF44" i="15"/>
  <c r="DG44" i="15"/>
  <c r="DH44" i="15"/>
  <c r="DI44" i="15"/>
  <c r="DJ44" i="15"/>
  <c r="DK44" i="15"/>
  <c r="DL44" i="15"/>
  <c r="DM44" i="15"/>
  <c r="DN44" i="15"/>
  <c r="DO44" i="15"/>
  <c r="DP44" i="15"/>
  <c r="DQ44" i="15"/>
  <c r="DR44" i="15"/>
  <c r="DS44" i="15"/>
  <c r="DT44" i="15"/>
  <c r="DU44" i="15"/>
  <c r="DV44" i="15"/>
  <c r="DW44" i="15"/>
  <c r="DX44" i="15"/>
  <c r="DY44" i="15"/>
  <c r="DZ44" i="15"/>
  <c r="EA44" i="15"/>
  <c r="EB44" i="15"/>
  <c r="EC44" i="15"/>
  <c r="ED44" i="15"/>
  <c r="EE44" i="15"/>
  <c r="EF44" i="15"/>
  <c r="EG44" i="15"/>
  <c r="EH44" i="15"/>
  <c r="EI44" i="15"/>
  <c r="EJ44" i="15"/>
  <c r="EK44" i="15"/>
  <c r="EL44" i="15"/>
  <c r="EM44" i="15"/>
  <c r="EN44" i="15"/>
  <c r="EO44" i="15"/>
  <c r="EP44" i="15"/>
  <c r="EQ44" i="15"/>
  <c r="ER44" i="15"/>
  <c r="ES44" i="15"/>
  <c r="ET44" i="15"/>
  <c r="EU44" i="15"/>
  <c r="EV44" i="15"/>
  <c r="EW44" i="15"/>
  <c r="EX44" i="15"/>
  <c r="EY44" i="15"/>
  <c r="EZ44" i="15"/>
  <c r="FA44" i="15"/>
  <c r="FB44" i="15"/>
  <c r="FC44" i="15"/>
  <c r="FD44" i="15"/>
  <c r="FE44" i="15"/>
  <c r="FF44" i="15"/>
  <c r="FG44" i="15"/>
  <c r="FH44" i="15"/>
  <c r="FI44" i="15"/>
  <c r="FJ44" i="15"/>
  <c r="FK44" i="15"/>
  <c r="FL44" i="15"/>
  <c r="FM44" i="15"/>
  <c r="FN44" i="15"/>
  <c r="FO44" i="15"/>
  <c r="FP44" i="15"/>
  <c r="FQ44" i="15"/>
  <c r="FR44" i="15"/>
  <c r="FS44" i="15"/>
  <c r="FT44" i="15"/>
  <c r="FU44" i="15"/>
  <c r="FV44" i="15"/>
  <c r="FW44" i="15"/>
  <c r="FX44" i="15"/>
  <c r="FY44" i="15"/>
  <c r="FZ44" i="15"/>
  <c r="GA44" i="15"/>
  <c r="GB44" i="15"/>
  <c r="GC44" i="15"/>
  <c r="GD44" i="15"/>
  <c r="GE44" i="15"/>
  <c r="GF44" i="15"/>
  <c r="GG44" i="15"/>
  <c r="GH44" i="15"/>
  <c r="GI44" i="15"/>
  <c r="GJ44" i="15"/>
  <c r="GK44" i="15"/>
  <c r="GL44" i="15"/>
  <c r="GM44" i="15"/>
  <c r="GN44" i="15"/>
  <c r="GO44" i="15"/>
  <c r="GP44" i="15"/>
  <c r="GQ44" i="15"/>
  <c r="GR44" i="15"/>
  <c r="GS44" i="15"/>
  <c r="GT44" i="15"/>
  <c r="GU44" i="15"/>
  <c r="GV44" i="15"/>
  <c r="GW44" i="15"/>
  <c r="GX44" i="15"/>
  <c r="GY44" i="15"/>
  <c r="GZ44" i="15"/>
  <c r="HA44" i="15"/>
  <c r="HB44" i="15"/>
  <c r="HC44" i="15"/>
  <c r="HD44" i="15"/>
  <c r="HE44" i="15"/>
  <c r="HF44" i="15"/>
  <c r="HG44" i="15"/>
  <c r="HH44" i="15"/>
  <c r="HI44" i="15"/>
  <c r="HJ44" i="15"/>
  <c r="HK44" i="15"/>
  <c r="HL44" i="15"/>
  <c r="HM44" i="15"/>
  <c r="HN44" i="15"/>
  <c r="HO44" i="15"/>
  <c r="HP44" i="15"/>
  <c r="HQ44" i="15"/>
  <c r="HR44" i="15"/>
  <c r="HS44" i="15"/>
  <c r="HT44" i="15"/>
  <c r="HU44" i="15"/>
  <c r="HV44" i="15"/>
  <c r="HW44" i="15"/>
  <c r="HX44" i="15"/>
  <c r="HY44" i="15"/>
  <c r="HZ44" i="15"/>
  <c r="IA44" i="15"/>
  <c r="IB44" i="15"/>
  <c r="IC44" i="15"/>
  <c r="ID44" i="15"/>
  <c r="IE44" i="15"/>
  <c r="IF44" i="15"/>
  <c r="IG44" i="15"/>
  <c r="IH44" i="15"/>
  <c r="II44" i="15"/>
  <c r="IJ44" i="15"/>
  <c r="IK44" i="15"/>
  <c r="IL44" i="15"/>
  <c r="IM44" i="15"/>
  <c r="IN44" i="15"/>
  <c r="IO44" i="15"/>
  <c r="IP44" i="15"/>
  <c r="IQ44" i="15"/>
  <c r="IR44" i="15"/>
  <c r="IS44" i="15"/>
  <c r="IT44" i="15"/>
  <c r="IU44" i="15"/>
  <c r="IV44" i="15"/>
  <c r="A45" i="15"/>
  <c r="B45" i="15"/>
  <c r="C45" i="15"/>
  <c r="D45"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AH45" i="15"/>
  <c r="AI45" i="15"/>
  <c r="AJ45" i="15"/>
  <c r="AK45" i="15"/>
  <c r="AL45" i="15"/>
  <c r="AM45" i="15"/>
  <c r="AN45" i="15"/>
  <c r="AO45" i="15"/>
  <c r="AP45" i="15"/>
  <c r="AQ45" i="15"/>
  <c r="AR45" i="15"/>
  <c r="AS45" i="15"/>
  <c r="AT45" i="15"/>
  <c r="AU45" i="15"/>
  <c r="AV45" i="15"/>
  <c r="AW45" i="15"/>
  <c r="AX45" i="15"/>
  <c r="AY45" i="15"/>
  <c r="AZ45" i="15"/>
  <c r="BA45" i="15"/>
  <c r="BB45" i="15"/>
  <c r="BC45" i="15"/>
  <c r="BD45" i="15"/>
  <c r="BE45" i="15"/>
  <c r="BF45" i="15"/>
  <c r="BG45" i="15"/>
  <c r="BH45" i="15"/>
  <c r="BI45" i="15"/>
  <c r="BJ45" i="15"/>
  <c r="BK45" i="15"/>
  <c r="BL45" i="15"/>
  <c r="BM45" i="15"/>
  <c r="BN45" i="15"/>
  <c r="BO45" i="15"/>
  <c r="BP45" i="15"/>
  <c r="BQ45" i="15"/>
  <c r="BR45" i="15"/>
  <c r="BS45" i="15"/>
  <c r="BT45" i="15"/>
  <c r="BU45" i="15"/>
  <c r="BV45" i="15"/>
  <c r="BW45" i="15"/>
  <c r="BX45" i="15"/>
  <c r="BY45" i="15"/>
  <c r="BZ45" i="15"/>
  <c r="CA45" i="15"/>
  <c r="CB45" i="15"/>
  <c r="CC45" i="15"/>
  <c r="CD45" i="15"/>
  <c r="CE45" i="15"/>
  <c r="CF45" i="15"/>
  <c r="CG45" i="15"/>
  <c r="CH45" i="15"/>
  <c r="CI45" i="15"/>
  <c r="CJ45" i="15"/>
  <c r="CK45" i="15"/>
  <c r="CL45" i="15"/>
  <c r="CM45" i="15"/>
  <c r="CN45" i="15"/>
  <c r="CO45" i="15"/>
  <c r="CP45" i="15"/>
  <c r="CQ45" i="15"/>
  <c r="CR45" i="15"/>
  <c r="CS45" i="15"/>
  <c r="CT45" i="15"/>
  <c r="CU45" i="15"/>
  <c r="CV45" i="15"/>
  <c r="CW45" i="15"/>
  <c r="CX45" i="15"/>
  <c r="CY45" i="15"/>
  <c r="CZ45" i="15"/>
  <c r="DA45" i="15"/>
  <c r="DB45" i="15"/>
  <c r="DC45" i="15"/>
  <c r="DD45" i="15"/>
  <c r="DE45" i="15"/>
  <c r="DF45" i="15"/>
  <c r="DG45" i="15"/>
  <c r="DH45" i="15"/>
  <c r="DI45" i="15"/>
  <c r="DJ45" i="15"/>
  <c r="DK45" i="15"/>
  <c r="DL45" i="15"/>
  <c r="DM45" i="15"/>
  <c r="DN45" i="15"/>
  <c r="DO45" i="15"/>
  <c r="DP45" i="15"/>
  <c r="DQ45" i="15"/>
  <c r="DR45" i="15"/>
  <c r="DS45" i="15"/>
  <c r="DT45" i="15"/>
  <c r="DU45" i="15"/>
  <c r="DV45" i="15"/>
  <c r="DW45" i="15"/>
  <c r="DX45" i="15"/>
  <c r="DY45" i="15"/>
  <c r="DZ45" i="15"/>
  <c r="EA45" i="15"/>
  <c r="EB45" i="15"/>
  <c r="EC45" i="15"/>
  <c r="ED45" i="15"/>
  <c r="EE45" i="15"/>
  <c r="EF45" i="15"/>
  <c r="EG45" i="15"/>
  <c r="EH45" i="15"/>
  <c r="EI45" i="15"/>
  <c r="EJ45" i="15"/>
  <c r="EK45" i="15"/>
  <c r="EL45" i="15"/>
  <c r="EM45" i="15"/>
  <c r="EN45" i="15"/>
  <c r="EO45" i="15"/>
  <c r="EP45" i="15"/>
  <c r="EQ45" i="15"/>
  <c r="ER45" i="15"/>
  <c r="ES45" i="15"/>
  <c r="ET45" i="15"/>
  <c r="EU45" i="15"/>
  <c r="EV45" i="15"/>
  <c r="EW45" i="15"/>
  <c r="EX45" i="15"/>
  <c r="EY45" i="15"/>
  <c r="EZ45" i="15"/>
  <c r="FA45" i="15"/>
  <c r="FB45" i="15"/>
  <c r="FC45" i="15"/>
  <c r="FD45" i="15"/>
  <c r="FE45" i="15"/>
  <c r="FF45" i="15"/>
  <c r="FG45" i="15"/>
  <c r="FH45" i="15"/>
  <c r="FI45" i="15"/>
  <c r="FJ45" i="15"/>
  <c r="FK45" i="15"/>
  <c r="FL45" i="15"/>
  <c r="FM45" i="15"/>
  <c r="FN45" i="15"/>
  <c r="FO45" i="15"/>
  <c r="FP45" i="15"/>
  <c r="FQ45" i="15"/>
  <c r="FR45" i="15"/>
  <c r="FS45" i="15"/>
  <c r="FT45" i="15"/>
  <c r="FU45" i="15"/>
  <c r="FV45" i="15"/>
  <c r="FW45" i="15"/>
  <c r="FX45" i="15"/>
  <c r="FY45" i="15"/>
  <c r="FZ45" i="15"/>
  <c r="GA45" i="15"/>
  <c r="GB45" i="15"/>
  <c r="GC45" i="15"/>
  <c r="GD45" i="15"/>
  <c r="GE45" i="15"/>
  <c r="GF45" i="15"/>
  <c r="GG45" i="15"/>
  <c r="GH45" i="15"/>
  <c r="GI45" i="15"/>
  <c r="GJ45" i="15"/>
  <c r="GK45" i="15"/>
  <c r="GL45" i="15"/>
  <c r="GM45" i="15"/>
  <c r="GN45" i="15"/>
  <c r="GO45" i="15"/>
  <c r="GP45" i="15"/>
  <c r="GQ45" i="15"/>
  <c r="GR45" i="15"/>
  <c r="GS45" i="15"/>
  <c r="GT45" i="15"/>
  <c r="GU45" i="15"/>
  <c r="GV45" i="15"/>
  <c r="GW45" i="15"/>
  <c r="GX45" i="15"/>
  <c r="GY45" i="15"/>
  <c r="GZ45" i="15"/>
  <c r="HA45" i="15"/>
  <c r="HB45" i="15"/>
  <c r="HC45" i="15"/>
  <c r="HD45" i="15"/>
  <c r="HE45" i="15"/>
  <c r="HF45" i="15"/>
  <c r="HG45" i="15"/>
  <c r="HH45" i="15"/>
  <c r="HI45" i="15"/>
  <c r="HJ45" i="15"/>
  <c r="HK45" i="15"/>
  <c r="HL45" i="15"/>
  <c r="HM45" i="15"/>
  <c r="HN45" i="15"/>
  <c r="HO45" i="15"/>
  <c r="HP45" i="15"/>
  <c r="HQ45" i="15"/>
  <c r="HR45" i="15"/>
  <c r="HS45" i="15"/>
  <c r="HT45" i="15"/>
  <c r="HU45" i="15"/>
  <c r="HV45" i="15"/>
  <c r="HW45" i="15"/>
  <c r="HX45" i="15"/>
  <c r="HY45" i="15"/>
  <c r="HZ45" i="15"/>
  <c r="IA45" i="15"/>
  <c r="IB45" i="15"/>
  <c r="IC45" i="15"/>
  <c r="ID45" i="15"/>
  <c r="IE45" i="15"/>
  <c r="IF45" i="15"/>
  <c r="IG45" i="15"/>
  <c r="IH45" i="15"/>
  <c r="II45" i="15"/>
  <c r="IJ45" i="15"/>
  <c r="IK45" i="15"/>
  <c r="IL45" i="15"/>
  <c r="IM45" i="15"/>
  <c r="IN45" i="15"/>
  <c r="IO45" i="15"/>
  <c r="IP45" i="15"/>
  <c r="IQ45" i="15"/>
  <c r="IR45" i="15"/>
  <c r="IS45" i="15"/>
  <c r="IT45" i="15"/>
  <c r="IU45" i="15"/>
  <c r="IV45" i="15"/>
  <c r="A46" i="15"/>
  <c r="B46" i="15"/>
  <c r="C46" i="15"/>
  <c r="D46"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AG46" i="15"/>
  <c r="AH46" i="15"/>
  <c r="AI46" i="15"/>
  <c r="AJ46" i="15"/>
  <c r="AK46" i="15"/>
  <c r="AL46" i="15"/>
  <c r="AM46" i="15"/>
  <c r="AN46" i="15"/>
  <c r="AO46" i="15"/>
  <c r="AP46" i="15"/>
  <c r="AQ46" i="15"/>
  <c r="AR46" i="15"/>
  <c r="AS46" i="15"/>
  <c r="AT46" i="15"/>
  <c r="AU46" i="15"/>
  <c r="AV46" i="15"/>
  <c r="AW46" i="15"/>
  <c r="AX46" i="15"/>
  <c r="AY46" i="15"/>
  <c r="AZ46" i="15"/>
  <c r="BA46" i="15"/>
  <c r="BB46" i="15"/>
  <c r="BC46" i="15"/>
  <c r="BD46" i="15"/>
  <c r="BE46" i="15"/>
  <c r="BF46" i="15"/>
  <c r="BG46" i="15"/>
  <c r="BH46" i="15"/>
  <c r="BI46" i="15"/>
  <c r="BJ46" i="15"/>
  <c r="BK46" i="15"/>
  <c r="BL46" i="15"/>
  <c r="BM46" i="15"/>
  <c r="BN46" i="15"/>
  <c r="BO46" i="15"/>
  <c r="BP46" i="15"/>
  <c r="BQ46" i="15"/>
  <c r="BR46" i="15"/>
  <c r="BS46" i="15"/>
  <c r="BT46" i="15"/>
  <c r="BU46" i="15"/>
  <c r="BV46" i="15"/>
  <c r="BW46" i="15"/>
  <c r="BX46" i="15"/>
  <c r="BY46" i="15"/>
  <c r="BZ46" i="15"/>
  <c r="CA46" i="15"/>
  <c r="CB46" i="15"/>
  <c r="CC46" i="15"/>
  <c r="CD46" i="15"/>
  <c r="CE46" i="15"/>
  <c r="CF46" i="15"/>
  <c r="CG46" i="15"/>
  <c r="CH46" i="15"/>
  <c r="CI46" i="15"/>
  <c r="CJ46" i="15"/>
  <c r="CK46" i="15"/>
  <c r="CL46" i="15"/>
  <c r="CM46" i="15"/>
  <c r="CN46" i="15"/>
  <c r="CO46" i="15"/>
  <c r="CP46" i="15"/>
  <c r="CQ46" i="15"/>
  <c r="CR46" i="15"/>
  <c r="CS46" i="15"/>
  <c r="CT46" i="15"/>
  <c r="CU46" i="15"/>
  <c r="CV46" i="15"/>
  <c r="CW46" i="15"/>
  <c r="CX46" i="15"/>
  <c r="CY46" i="15"/>
  <c r="CZ46" i="15"/>
  <c r="DA46" i="15"/>
  <c r="DB46" i="15"/>
  <c r="DC46" i="15"/>
  <c r="DD46" i="15"/>
  <c r="DE46" i="15"/>
  <c r="DF46" i="15"/>
  <c r="DG46" i="15"/>
  <c r="DH46" i="15"/>
  <c r="DI46" i="15"/>
  <c r="DJ46" i="15"/>
  <c r="DK46" i="15"/>
  <c r="DL46" i="15"/>
  <c r="DM46" i="15"/>
  <c r="DN46" i="15"/>
  <c r="DO46" i="15"/>
  <c r="DP46" i="15"/>
  <c r="DQ46" i="15"/>
  <c r="DR46" i="15"/>
  <c r="DS46" i="15"/>
  <c r="DT46" i="15"/>
  <c r="DU46" i="15"/>
  <c r="DV46" i="15"/>
  <c r="DW46" i="15"/>
  <c r="DX46" i="15"/>
  <c r="DY46" i="15"/>
  <c r="DZ46" i="15"/>
  <c r="EA46" i="15"/>
  <c r="EB46" i="15"/>
  <c r="EC46" i="15"/>
  <c r="ED46" i="15"/>
  <c r="EE46" i="15"/>
  <c r="EF46" i="15"/>
  <c r="EG46" i="15"/>
  <c r="EH46" i="15"/>
  <c r="EI46" i="15"/>
  <c r="EJ46" i="15"/>
  <c r="EK46" i="15"/>
  <c r="EL46" i="15"/>
  <c r="EM46" i="15"/>
  <c r="EN46" i="15"/>
  <c r="EO46" i="15"/>
  <c r="EP46" i="15"/>
  <c r="EQ46" i="15"/>
  <c r="ER46" i="15"/>
  <c r="ES46" i="15"/>
  <c r="ET46" i="15"/>
  <c r="EU46" i="15"/>
  <c r="EV46" i="15"/>
  <c r="EW46" i="15"/>
  <c r="EX46" i="15"/>
  <c r="EY46" i="15"/>
  <c r="EZ46" i="15"/>
  <c r="FA46" i="15"/>
  <c r="FB46" i="15"/>
  <c r="FC46" i="15"/>
  <c r="FD46" i="15"/>
  <c r="FE46" i="15"/>
  <c r="FF46" i="15"/>
  <c r="FG46" i="15"/>
  <c r="FH46" i="15"/>
  <c r="FI46" i="15"/>
  <c r="FJ46" i="15"/>
  <c r="FK46" i="15"/>
  <c r="FL46" i="15"/>
  <c r="FM46" i="15"/>
  <c r="FN46" i="15"/>
  <c r="FO46" i="15"/>
  <c r="FP46" i="15"/>
  <c r="FQ46" i="15"/>
  <c r="FR46" i="15"/>
  <c r="FS46" i="15"/>
  <c r="FT46" i="15"/>
  <c r="FU46" i="15"/>
  <c r="FV46" i="15"/>
  <c r="FW46" i="15"/>
  <c r="FX46" i="15"/>
  <c r="FY46" i="15"/>
  <c r="FZ46" i="15"/>
  <c r="GA46" i="15"/>
  <c r="GB46" i="15"/>
  <c r="GC46" i="15"/>
  <c r="GD46" i="15"/>
  <c r="GE46" i="15"/>
  <c r="GF46" i="15"/>
  <c r="GG46" i="15"/>
  <c r="GH46" i="15"/>
  <c r="GI46" i="15"/>
  <c r="GJ46" i="15"/>
  <c r="GK46" i="15"/>
  <c r="GL46" i="15"/>
  <c r="GM46" i="15"/>
  <c r="GN46" i="15"/>
  <c r="GO46" i="15"/>
  <c r="GP46" i="15"/>
  <c r="GQ46" i="15"/>
  <c r="GR46" i="15"/>
  <c r="GS46" i="15"/>
  <c r="GT46" i="15"/>
  <c r="GU46" i="15"/>
  <c r="GV46" i="15"/>
  <c r="GW46" i="15"/>
  <c r="GX46" i="15"/>
  <c r="GY46" i="15"/>
  <c r="GZ46" i="15"/>
  <c r="HA46" i="15"/>
  <c r="HB46" i="15"/>
  <c r="HC46" i="15"/>
  <c r="HD46" i="15"/>
  <c r="HE46" i="15"/>
  <c r="HF46" i="15"/>
  <c r="HG46" i="15"/>
  <c r="HH46" i="15"/>
  <c r="HI46" i="15"/>
  <c r="HJ46" i="15"/>
  <c r="HK46" i="15"/>
  <c r="HL46" i="15"/>
  <c r="HM46" i="15"/>
  <c r="HN46" i="15"/>
  <c r="HO46" i="15"/>
  <c r="HP46" i="15"/>
  <c r="HQ46" i="15"/>
  <c r="HR46" i="15"/>
  <c r="HS46" i="15"/>
  <c r="HT46" i="15"/>
  <c r="HU46" i="15"/>
  <c r="HV46" i="15"/>
  <c r="HW46" i="15"/>
  <c r="HX46" i="15"/>
  <c r="HY46" i="15"/>
  <c r="HZ46" i="15"/>
  <c r="IA46" i="15"/>
  <c r="IB46" i="15"/>
  <c r="IC46" i="15"/>
  <c r="ID46" i="15"/>
  <c r="IE46" i="15"/>
  <c r="IF46" i="15"/>
  <c r="IG46" i="15"/>
  <c r="IH46" i="15"/>
  <c r="II46" i="15"/>
  <c r="IJ46" i="15"/>
  <c r="IK46" i="15"/>
  <c r="IL46" i="15"/>
  <c r="IM46" i="15"/>
  <c r="IN46" i="15"/>
  <c r="IO46" i="15"/>
  <c r="IP46" i="15"/>
  <c r="IQ46" i="15"/>
  <c r="IR46" i="15"/>
  <c r="IS46" i="15"/>
  <c r="IT46" i="15"/>
  <c r="IU46" i="15"/>
  <c r="IV46" i="15"/>
  <c r="A47" i="15"/>
  <c r="B47" i="15"/>
  <c r="C47" i="15"/>
  <c r="D47"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AG47" i="15"/>
  <c r="AH47" i="15"/>
  <c r="AI47" i="15"/>
  <c r="AJ47" i="15"/>
  <c r="AK47" i="15"/>
  <c r="AL47" i="15"/>
  <c r="AM47" i="15"/>
  <c r="AN47" i="15"/>
  <c r="AO47" i="15"/>
  <c r="AP47" i="15"/>
  <c r="AQ47" i="15"/>
  <c r="AR47" i="15"/>
  <c r="AS47" i="15"/>
  <c r="AT47" i="15"/>
  <c r="AU47" i="15"/>
  <c r="AV47" i="15"/>
  <c r="AW47" i="15"/>
  <c r="AX47" i="15"/>
  <c r="AY47" i="15"/>
  <c r="AZ47" i="15"/>
  <c r="BA47" i="15"/>
  <c r="BB47" i="15"/>
  <c r="BC47" i="15"/>
  <c r="BD47" i="15"/>
  <c r="BE47" i="15"/>
  <c r="BF47" i="15"/>
  <c r="BG47" i="15"/>
  <c r="BH47" i="15"/>
  <c r="BI47" i="15"/>
  <c r="BJ47" i="15"/>
  <c r="BK47" i="15"/>
  <c r="BL47" i="15"/>
  <c r="BM47" i="15"/>
  <c r="BN47" i="15"/>
  <c r="BO47" i="15"/>
  <c r="BP47" i="15"/>
  <c r="BQ47" i="15"/>
  <c r="BR47" i="15"/>
  <c r="BS47" i="15"/>
  <c r="BT47" i="15"/>
  <c r="BU47" i="15"/>
  <c r="BV47" i="15"/>
  <c r="BW47" i="15"/>
  <c r="BX47" i="15"/>
  <c r="BY47" i="15"/>
  <c r="BZ47" i="15"/>
  <c r="CA47" i="15"/>
  <c r="CB47" i="15"/>
  <c r="CC47" i="15"/>
  <c r="CD47" i="15"/>
  <c r="CE47" i="15"/>
  <c r="CF47" i="15"/>
  <c r="CG47" i="15"/>
  <c r="CH47" i="15"/>
  <c r="CI47" i="15"/>
  <c r="CJ47" i="15"/>
  <c r="CK47" i="15"/>
  <c r="CL47" i="15"/>
  <c r="CM47" i="15"/>
  <c r="CN47" i="15"/>
  <c r="CO47" i="15"/>
  <c r="CP47" i="15"/>
  <c r="CQ47" i="15"/>
  <c r="CR47" i="15"/>
  <c r="CS47" i="15"/>
  <c r="CT47" i="15"/>
  <c r="CU47" i="15"/>
  <c r="CV47" i="15"/>
  <c r="CW47" i="15"/>
  <c r="CX47" i="15"/>
  <c r="CY47" i="15"/>
  <c r="CZ47" i="15"/>
  <c r="DA47" i="15"/>
  <c r="DB47" i="15"/>
  <c r="DC47" i="15"/>
  <c r="DD47" i="15"/>
  <c r="DE47" i="15"/>
  <c r="DF47" i="15"/>
  <c r="DG47" i="15"/>
  <c r="DH47" i="15"/>
  <c r="DI47" i="15"/>
  <c r="DJ47" i="15"/>
  <c r="DK47" i="15"/>
  <c r="DL47" i="15"/>
  <c r="DM47" i="15"/>
  <c r="DN47" i="15"/>
  <c r="DO47" i="15"/>
  <c r="DP47" i="15"/>
  <c r="DQ47" i="15"/>
  <c r="DR47" i="15"/>
  <c r="DS47" i="15"/>
  <c r="DT47" i="15"/>
  <c r="DU47" i="15"/>
  <c r="DV47" i="15"/>
  <c r="DW47" i="15"/>
  <c r="DX47" i="15"/>
  <c r="DY47" i="15"/>
  <c r="DZ47" i="15"/>
  <c r="EA47" i="15"/>
  <c r="EB47" i="15"/>
  <c r="EC47" i="15"/>
  <c r="ED47" i="15"/>
  <c r="EE47" i="15"/>
  <c r="EF47" i="15"/>
  <c r="EG47" i="15"/>
  <c r="EH47" i="15"/>
  <c r="EI47" i="15"/>
  <c r="EJ47" i="15"/>
  <c r="EK47" i="15"/>
  <c r="EL47" i="15"/>
  <c r="EM47" i="15"/>
  <c r="EN47" i="15"/>
  <c r="EO47" i="15"/>
  <c r="EP47" i="15"/>
  <c r="EQ47" i="15"/>
  <c r="ER47" i="15"/>
  <c r="ES47" i="15"/>
  <c r="ET47" i="15"/>
  <c r="EU47" i="15"/>
  <c r="EV47" i="15"/>
  <c r="EW47" i="15"/>
  <c r="EX47" i="15"/>
  <c r="EY47" i="15"/>
  <c r="EZ47" i="15"/>
  <c r="FA47" i="15"/>
  <c r="FB47" i="15"/>
  <c r="FC47" i="15"/>
  <c r="FD47" i="15"/>
  <c r="FE47" i="15"/>
  <c r="FF47" i="15"/>
  <c r="FG47" i="15"/>
  <c r="FH47" i="15"/>
  <c r="FI47" i="15"/>
  <c r="FJ47" i="15"/>
  <c r="FK47" i="15"/>
  <c r="FL47" i="15"/>
  <c r="FM47" i="15"/>
  <c r="FN47" i="15"/>
  <c r="FO47" i="15"/>
  <c r="FP47" i="15"/>
  <c r="FQ47" i="15"/>
  <c r="FR47" i="15"/>
  <c r="FS47" i="15"/>
  <c r="FT47" i="15"/>
  <c r="FU47" i="15"/>
  <c r="FV47" i="15"/>
  <c r="FW47" i="15"/>
  <c r="FX47" i="15"/>
  <c r="FY47" i="15"/>
  <c r="FZ47" i="15"/>
  <c r="GA47" i="15"/>
  <c r="GB47" i="15"/>
  <c r="GC47" i="15"/>
  <c r="GD47" i="15"/>
  <c r="GE47" i="15"/>
  <c r="GF47" i="15"/>
  <c r="GG47" i="15"/>
  <c r="GH47" i="15"/>
  <c r="GI47" i="15"/>
  <c r="GJ47" i="15"/>
  <c r="GK47" i="15"/>
  <c r="GL47" i="15"/>
  <c r="GM47" i="15"/>
  <c r="GN47" i="15"/>
  <c r="GO47" i="15"/>
  <c r="GP47" i="15"/>
  <c r="GQ47" i="15"/>
  <c r="GR47" i="15"/>
  <c r="GS47" i="15"/>
  <c r="GT47" i="15"/>
  <c r="GU47" i="15"/>
  <c r="GV47" i="15"/>
  <c r="GW47" i="15"/>
  <c r="GX47" i="15"/>
  <c r="GY47" i="15"/>
  <c r="GZ47" i="15"/>
  <c r="HA47" i="15"/>
  <c r="HB47" i="15"/>
  <c r="HC47" i="15"/>
  <c r="HD47" i="15"/>
  <c r="HE47" i="15"/>
  <c r="HF47" i="15"/>
  <c r="HG47" i="15"/>
  <c r="HH47" i="15"/>
  <c r="HI47" i="15"/>
  <c r="HJ47" i="15"/>
  <c r="HK47" i="15"/>
  <c r="HL47" i="15"/>
  <c r="HM47" i="15"/>
  <c r="HN47" i="15"/>
  <c r="HO47" i="15"/>
  <c r="HP47" i="15"/>
  <c r="HQ47" i="15"/>
  <c r="HR47" i="15"/>
  <c r="HS47" i="15"/>
  <c r="HT47" i="15"/>
  <c r="HU47" i="15"/>
  <c r="HV47" i="15"/>
  <c r="HW47" i="15"/>
  <c r="HX47" i="15"/>
  <c r="HY47" i="15"/>
  <c r="HZ47" i="15"/>
  <c r="IA47" i="15"/>
  <c r="IB47" i="15"/>
  <c r="IC47" i="15"/>
  <c r="ID47" i="15"/>
  <c r="IE47" i="15"/>
  <c r="IF47" i="15"/>
  <c r="IG47" i="15"/>
  <c r="IH47" i="15"/>
  <c r="II47" i="15"/>
  <c r="IJ47" i="15"/>
  <c r="IK47" i="15"/>
  <c r="IL47" i="15"/>
  <c r="IM47" i="15"/>
  <c r="IN47" i="15"/>
  <c r="IO47" i="15"/>
  <c r="IP47" i="15"/>
  <c r="IQ47" i="15"/>
  <c r="IR47" i="15"/>
  <c r="IS47" i="15"/>
  <c r="IT47" i="15"/>
  <c r="IU47" i="15"/>
  <c r="IV47" i="15"/>
  <c r="A48" i="15"/>
  <c r="B48" i="15"/>
  <c r="C48" i="15"/>
  <c r="D48"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AG48" i="15"/>
  <c r="AH48" i="15"/>
  <c r="AI48" i="15"/>
  <c r="AJ48" i="15"/>
  <c r="AK48" i="15"/>
  <c r="AL48" i="15"/>
  <c r="AM48" i="15"/>
  <c r="AN48" i="15"/>
  <c r="AO48" i="15"/>
  <c r="AP48" i="15"/>
  <c r="AQ48" i="15"/>
  <c r="AR48" i="15"/>
  <c r="AS48" i="15"/>
  <c r="AT48" i="15"/>
  <c r="AU48" i="15"/>
  <c r="AV48" i="15"/>
  <c r="AW48" i="15"/>
  <c r="AX48" i="15"/>
  <c r="AY48" i="15"/>
  <c r="AZ48" i="15"/>
  <c r="BA48" i="15"/>
  <c r="BB48" i="15"/>
  <c r="BC48" i="15"/>
  <c r="BD48" i="15"/>
  <c r="BE48" i="15"/>
  <c r="BF48" i="15"/>
  <c r="BG48" i="15"/>
  <c r="BH48" i="15"/>
  <c r="BI48" i="15"/>
  <c r="BJ48" i="15"/>
  <c r="BK48" i="15"/>
  <c r="BL48" i="15"/>
  <c r="BM48" i="15"/>
  <c r="BN48" i="15"/>
  <c r="BO48" i="15"/>
  <c r="BP48" i="15"/>
  <c r="BQ48" i="15"/>
  <c r="BR48" i="15"/>
  <c r="BS48" i="15"/>
  <c r="BT48" i="15"/>
  <c r="BU48" i="15"/>
  <c r="BV48" i="15"/>
  <c r="BW48" i="15"/>
  <c r="BX48" i="15"/>
  <c r="BY48" i="15"/>
  <c r="BZ48" i="15"/>
  <c r="CA48" i="15"/>
  <c r="CB48" i="15"/>
  <c r="CC48" i="15"/>
  <c r="CD48" i="15"/>
  <c r="CE48" i="15"/>
  <c r="CF48" i="15"/>
  <c r="CG48" i="15"/>
  <c r="CH48" i="15"/>
  <c r="CI48" i="15"/>
  <c r="CJ48" i="15"/>
  <c r="CK48" i="15"/>
  <c r="CL48" i="15"/>
  <c r="CM48" i="15"/>
  <c r="CN48" i="15"/>
  <c r="CO48" i="15"/>
  <c r="CP48" i="15"/>
  <c r="CQ48" i="15"/>
  <c r="CR48" i="15"/>
  <c r="CS48" i="15"/>
  <c r="CT48" i="15"/>
  <c r="CU48" i="15"/>
  <c r="CV48" i="15"/>
  <c r="CW48" i="15"/>
  <c r="CX48" i="15"/>
  <c r="CY48" i="15"/>
  <c r="CZ48" i="15"/>
  <c r="DA48" i="15"/>
  <c r="DB48" i="15"/>
  <c r="DC48" i="15"/>
  <c r="DD48" i="15"/>
  <c r="DE48" i="15"/>
  <c r="DF48" i="15"/>
  <c r="DG48" i="15"/>
  <c r="DH48" i="15"/>
  <c r="DI48" i="15"/>
  <c r="DJ48" i="15"/>
  <c r="DK48" i="15"/>
  <c r="DL48" i="15"/>
  <c r="DM48" i="15"/>
  <c r="DN48" i="15"/>
  <c r="DO48" i="15"/>
  <c r="DP48" i="15"/>
  <c r="DQ48" i="15"/>
  <c r="DR48" i="15"/>
  <c r="DS48" i="15"/>
  <c r="DT48" i="15"/>
  <c r="DU48" i="15"/>
  <c r="DV48" i="15"/>
  <c r="DW48" i="15"/>
  <c r="DX48" i="15"/>
  <c r="DY48" i="15"/>
  <c r="DZ48" i="15"/>
  <c r="EA48" i="15"/>
  <c r="EB48" i="15"/>
  <c r="EC48" i="15"/>
  <c r="ED48" i="15"/>
  <c r="EE48" i="15"/>
  <c r="EF48" i="15"/>
  <c r="EG48" i="15"/>
  <c r="EH48" i="15"/>
  <c r="EI48" i="15"/>
  <c r="EJ48" i="15"/>
  <c r="EK48" i="15"/>
  <c r="EL48" i="15"/>
  <c r="EM48" i="15"/>
  <c r="EN48" i="15"/>
  <c r="EO48" i="15"/>
  <c r="EP48" i="15"/>
  <c r="EQ48" i="15"/>
  <c r="ER48" i="15"/>
  <c r="ES48" i="15"/>
  <c r="ET48" i="15"/>
  <c r="EU48" i="15"/>
  <c r="EV48" i="15"/>
  <c r="EW48" i="15"/>
  <c r="EX48" i="15"/>
  <c r="EY48" i="15"/>
  <c r="EZ48" i="15"/>
  <c r="FA48" i="15"/>
  <c r="FB48" i="15"/>
  <c r="FC48" i="15"/>
  <c r="FD48" i="15"/>
  <c r="FE48" i="15"/>
  <c r="FF48" i="15"/>
  <c r="FG48" i="15"/>
  <c r="FH48" i="15"/>
  <c r="FI48" i="15"/>
  <c r="FJ48" i="15"/>
  <c r="FK48" i="15"/>
  <c r="FL48" i="15"/>
  <c r="FM48" i="15"/>
  <c r="FN48" i="15"/>
  <c r="FO48" i="15"/>
  <c r="FP48" i="15"/>
  <c r="FQ48" i="15"/>
  <c r="FR48" i="15"/>
  <c r="FS48" i="15"/>
  <c r="FT48" i="15"/>
  <c r="FU48" i="15"/>
  <c r="FV48" i="15"/>
  <c r="FW48" i="15"/>
  <c r="FX48" i="15"/>
  <c r="FY48" i="15"/>
  <c r="FZ48" i="15"/>
  <c r="GA48" i="15"/>
  <c r="GB48" i="15"/>
  <c r="GC48" i="15"/>
  <c r="GD48" i="15"/>
  <c r="GE48" i="15"/>
  <c r="GF48" i="15"/>
  <c r="GG48" i="15"/>
  <c r="GH48" i="15"/>
  <c r="GI48" i="15"/>
  <c r="GJ48" i="15"/>
  <c r="GK48" i="15"/>
  <c r="GL48" i="15"/>
  <c r="GM48" i="15"/>
  <c r="GN48" i="15"/>
  <c r="GO48" i="15"/>
  <c r="GP48" i="15"/>
  <c r="GQ48" i="15"/>
  <c r="GR48" i="15"/>
  <c r="GS48" i="15"/>
  <c r="GT48" i="15"/>
  <c r="GU48" i="15"/>
  <c r="GV48" i="15"/>
  <c r="GW48" i="15"/>
  <c r="GX48" i="15"/>
  <c r="GY48" i="15"/>
  <c r="GZ48" i="15"/>
  <c r="HA48" i="15"/>
  <c r="HB48" i="15"/>
  <c r="HC48" i="15"/>
  <c r="HD48" i="15"/>
  <c r="HE48" i="15"/>
  <c r="HF48" i="15"/>
  <c r="HG48" i="15"/>
  <c r="HH48" i="15"/>
  <c r="HI48" i="15"/>
  <c r="HJ48" i="15"/>
  <c r="HK48" i="15"/>
  <c r="HL48" i="15"/>
  <c r="HM48" i="15"/>
  <c r="HN48" i="15"/>
  <c r="HO48" i="15"/>
  <c r="HP48" i="15"/>
  <c r="HQ48" i="15"/>
  <c r="HR48" i="15"/>
  <c r="HS48" i="15"/>
  <c r="HT48" i="15"/>
  <c r="HU48" i="15"/>
  <c r="HV48" i="15"/>
  <c r="HW48" i="15"/>
  <c r="HX48" i="15"/>
  <c r="HY48" i="15"/>
  <c r="HZ48" i="15"/>
  <c r="IA48" i="15"/>
  <c r="IB48" i="15"/>
  <c r="IC48" i="15"/>
  <c r="ID48" i="15"/>
  <c r="IE48" i="15"/>
  <c r="IF48" i="15"/>
  <c r="IG48" i="15"/>
  <c r="IH48" i="15"/>
  <c r="II48" i="15"/>
  <c r="IJ48" i="15"/>
  <c r="IK48" i="15"/>
  <c r="IL48" i="15"/>
  <c r="IM48" i="15"/>
  <c r="IN48" i="15"/>
  <c r="IO48" i="15"/>
  <c r="IP48" i="15"/>
  <c r="IQ48" i="15"/>
  <c r="IR48" i="15"/>
  <c r="IS48" i="15"/>
  <c r="IT48" i="15"/>
  <c r="IU48" i="15"/>
  <c r="IV48" i="15"/>
  <c r="A49" i="15"/>
  <c r="B49" i="15"/>
  <c r="C49" i="15"/>
  <c r="D49"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AG49" i="15"/>
  <c r="AH49" i="15"/>
  <c r="AI49" i="15"/>
  <c r="AJ49" i="15"/>
  <c r="AK49" i="15"/>
  <c r="AL49" i="15"/>
  <c r="AM49" i="15"/>
  <c r="AN49" i="15"/>
  <c r="AO49" i="15"/>
  <c r="AP49" i="15"/>
  <c r="AQ49" i="15"/>
  <c r="AR49" i="15"/>
  <c r="AS49" i="15"/>
  <c r="AT49" i="15"/>
  <c r="AU49" i="15"/>
  <c r="AV49" i="15"/>
  <c r="AW49" i="15"/>
  <c r="AX49" i="15"/>
  <c r="AY49" i="15"/>
  <c r="AZ49" i="15"/>
  <c r="BA49" i="15"/>
  <c r="BB49" i="15"/>
  <c r="BC49" i="15"/>
  <c r="BD49" i="15"/>
  <c r="BE49" i="15"/>
  <c r="BF49" i="15"/>
  <c r="BG49" i="15"/>
  <c r="BH49" i="15"/>
  <c r="BI49" i="15"/>
  <c r="BJ49" i="15"/>
  <c r="BK49" i="15"/>
  <c r="BL49" i="15"/>
  <c r="BM49" i="15"/>
  <c r="BN49" i="15"/>
  <c r="BO49" i="15"/>
  <c r="BP49" i="15"/>
  <c r="BQ49" i="15"/>
  <c r="BR49" i="15"/>
  <c r="BS49" i="15"/>
  <c r="BT49" i="15"/>
  <c r="BU49" i="15"/>
  <c r="BV49" i="15"/>
  <c r="BW49" i="15"/>
  <c r="BX49" i="15"/>
  <c r="BY49" i="15"/>
  <c r="BZ49" i="15"/>
  <c r="CA49" i="15"/>
  <c r="CB49" i="15"/>
  <c r="CC49" i="15"/>
  <c r="CD49" i="15"/>
  <c r="CE49" i="15"/>
  <c r="CF49" i="15"/>
  <c r="CG49" i="15"/>
  <c r="CH49" i="15"/>
  <c r="CI49" i="15"/>
  <c r="CJ49" i="15"/>
  <c r="CK49" i="15"/>
  <c r="CL49" i="15"/>
  <c r="CM49" i="15"/>
  <c r="CN49" i="15"/>
  <c r="CO49" i="15"/>
  <c r="CP49" i="15"/>
  <c r="CQ49" i="15"/>
  <c r="CR49" i="15"/>
  <c r="CS49" i="15"/>
  <c r="CT49" i="15"/>
  <c r="CU49" i="15"/>
  <c r="CV49" i="15"/>
  <c r="CW49" i="15"/>
  <c r="CX49" i="15"/>
  <c r="CY49" i="15"/>
  <c r="CZ49" i="15"/>
  <c r="DA49" i="15"/>
  <c r="DB49" i="15"/>
  <c r="DC49" i="15"/>
  <c r="DD49" i="15"/>
  <c r="DE49" i="15"/>
  <c r="DF49" i="15"/>
  <c r="DG49" i="15"/>
  <c r="DH49" i="15"/>
  <c r="DI49" i="15"/>
  <c r="DJ49" i="15"/>
  <c r="DK49" i="15"/>
  <c r="DL49" i="15"/>
  <c r="DM49" i="15"/>
  <c r="DN49" i="15"/>
  <c r="DO49" i="15"/>
  <c r="DP49" i="15"/>
  <c r="DQ49" i="15"/>
  <c r="DR49" i="15"/>
  <c r="DS49" i="15"/>
  <c r="DT49" i="15"/>
  <c r="DU49" i="15"/>
  <c r="DV49" i="15"/>
  <c r="DW49" i="15"/>
  <c r="DX49" i="15"/>
  <c r="DY49" i="15"/>
  <c r="DZ49" i="15"/>
  <c r="EA49" i="15"/>
  <c r="EB49" i="15"/>
  <c r="EC49" i="15"/>
  <c r="ED49" i="15"/>
  <c r="EE49" i="15"/>
  <c r="EF49" i="15"/>
  <c r="EG49" i="15"/>
  <c r="EH49" i="15"/>
  <c r="EI49" i="15"/>
  <c r="EJ49" i="15"/>
  <c r="EK49" i="15"/>
  <c r="EL49" i="15"/>
  <c r="EM49" i="15"/>
  <c r="EN49" i="15"/>
  <c r="EO49" i="15"/>
  <c r="EP49" i="15"/>
  <c r="EQ49" i="15"/>
  <c r="ER49" i="15"/>
  <c r="ES49" i="15"/>
  <c r="ET49" i="15"/>
  <c r="EU49" i="15"/>
  <c r="EV49" i="15"/>
  <c r="EW49" i="15"/>
  <c r="EX49" i="15"/>
  <c r="EY49" i="15"/>
  <c r="EZ49" i="15"/>
  <c r="FA49" i="15"/>
  <c r="FB49" i="15"/>
  <c r="FC49" i="15"/>
  <c r="FD49" i="15"/>
  <c r="FE49" i="15"/>
  <c r="FF49" i="15"/>
  <c r="FG49" i="15"/>
  <c r="FH49" i="15"/>
  <c r="FI49" i="15"/>
  <c r="FJ49" i="15"/>
  <c r="FK49" i="15"/>
  <c r="FL49" i="15"/>
  <c r="FM49" i="15"/>
  <c r="FN49" i="15"/>
  <c r="FO49" i="15"/>
  <c r="FP49" i="15"/>
  <c r="FQ49" i="15"/>
  <c r="FR49" i="15"/>
  <c r="FS49" i="15"/>
  <c r="FT49" i="15"/>
  <c r="FU49" i="15"/>
  <c r="FV49" i="15"/>
  <c r="FW49" i="15"/>
  <c r="FX49" i="15"/>
  <c r="FY49" i="15"/>
  <c r="FZ49" i="15"/>
  <c r="GA49" i="15"/>
  <c r="GB49" i="15"/>
  <c r="GC49" i="15"/>
  <c r="GD49" i="15"/>
  <c r="GE49" i="15"/>
  <c r="GF49" i="15"/>
  <c r="GG49" i="15"/>
  <c r="GH49" i="15"/>
  <c r="GI49" i="15"/>
  <c r="GJ49" i="15"/>
  <c r="GK49" i="15"/>
  <c r="GL49" i="15"/>
  <c r="GM49" i="15"/>
  <c r="GN49" i="15"/>
  <c r="GO49" i="15"/>
  <c r="GP49" i="15"/>
  <c r="GQ49" i="15"/>
  <c r="GR49" i="15"/>
  <c r="GS49" i="15"/>
  <c r="GT49" i="15"/>
  <c r="GU49" i="15"/>
  <c r="GV49" i="15"/>
  <c r="GW49" i="15"/>
  <c r="GX49" i="15"/>
  <c r="GY49" i="15"/>
  <c r="GZ49" i="15"/>
  <c r="HA49" i="15"/>
  <c r="HB49" i="15"/>
  <c r="HC49" i="15"/>
  <c r="HD49" i="15"/>
  <c r="HE49" i="15"/>
  <c r="HF49" i="15"/>
  <c r="HG49" i="15"/>
  <c r="HH49" i="15"/>
  <c r="HI49" i="15"/>
  <c r="HJ49" i="15"/>
  <c r="HK49" i="15"/>
  <c r="HL49" i="15"/>
  <c r="HM49" i="15"/>
  <c r="HN49" i="15"/>
  <c r="HO49" i="15"/>
  <c r="HP49" i="15"/>
  <c r="HQ49" i="15"/>
  <c r="HR49" i="15"/>
  <c r="HS49" i="15"/>
  <c r="HT49" i="15"/>
  <c r="HU49" i="15"/>
  <c r="HV49" i="15"/>
  <c r="HW49" i="15"/>
  <c r="HX49" i="15"/>
  <c r="HY49" i="15"/>
  <c r="HZ49" i="15"/>
  <c r="IA49" i="15"/>
  <c r="IB49" i="15"/>
  <c r="IC49" i="15"/>
  <c r="ID49" i="15"/>
  <c r="IE49" i="15"/>
  <c r="IF49" i="15"/>
  <c r="IG49" i="15"/>
  <c r="IH49" i="15"/>
  <c r="II49" i="15"/>
  <c r="IJ49" i="15"/>
  <c r="IK49" i="15"/>
  <c r="IL49" i="15"/>
  <c r="IM49" i="15"/>
  <c r="IN49" i="15"/>
  <c r="IO49" i="15"/>
  <c r="IP49" i="15"/>
  <c r="IQ49" i="15"/>
  <c r="IR49" i="15"/>
  <c r="IS49" i="15"/>
  <c r="IT49" i="15"/>
  <c r="IU49" i="15"/>
  <c r="IV49" i="15"/>
  <c r="A50" i="15"/>
  <c r="B50" i="15"/>
  <c r="C50" i="15"/>
  <c r="D50" i="15"/>
  <c r="E50" i="15"/>
  <c r="F50"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AG50" i="15"/>
  <c r="AH50" i="15"/>
  <c r="AI50" i="15"/>
  <c r="AJ50" i="15"/>
  <c r="AK50" i="15"/>
  <c r="AL50" i="15"/>
  <c r="AM50" i="15"/>
  <c r="AN50" i="15"/>
  <c r="AO50" i="15"/>
  <c r="AP50" i="15"/>
  <c r="AQ50" i="15"/>
  <c r="AR50" i="15"/>
  <c r="AS50" i="15"/>
  <c r="AT50" i="15"/>
  <c r="AU50" i="15"/>
  <c r="AV50" i="15"/>
  <c r="AW50" i="15"/>
  <c r="AX50" i="15"/>
  <c r="AY50" i="15"/>
  <c r="AZ50" i="15"/>
  <c r="BA50" i="15"/>
  <c r="BB50" i="15"/>
  <c r="BC50" i="15"/>
  <c r="BD50" i="15"/>
  <c r="BE50" i="15"/>
  <c r="BF50" i="15"/>
  <c r="BG50" i="15"/>
  <c r="BH50" i="15"/>
  <c r="BI50" i="15"/>
  <c r="BJ50" i="15"/>
  <c r="BK50" i="15"/>
  <c r="BL50" i="15"/>
  <c r="BM50" i="15"/>
  <c r="BN50" i="15"/>
  <c r="BO50" i="15"/>
  <c r="BP50" i="15"/>
  <c r="BQ50" i="15"/>
  <c r="BR50" i="15"/>
  <c r="BS50" i="15"/>
  <c r="BT50" i="15"/>
  <c r="BU50" i="15"/>
  <c r="BV50" i="15"/>
  <c r="BW50" i="15"/>
  <c r="BX50" i="15"/>
  <c r="BY50" i="15"/>
  <c r="BZ50" i="15"/>
  <c r="CA50" i="15"/>
  <c r="CB50" i="15"/>
  <c r="CC50" i="15"/>
  <c r="CD50" i="15"/>
  <c r="CE50" i="15"/>
  <c r="CF50" i="15"/>
  <c r="CG50" i="15"/>
  <c r="CH50" i="15"/>
  <c r="CI50" i="15"/>
  <c r="CJ50" i="15"/>
  <c r="CK50" i="15"/>
  <c r="CL50" i="15"/>
  <c r="CM50" i="15"/>
  <c r="CN50" i="15"/>
  <c r="CO50" i="15"/>
  <c r="CP50" i="15"/>
  <c r="CQ50" i="15"/>
  <c r="CR50" i="15"/>
  <c r="CS50" i="15"/>
  <c r="CT50" i="15"/>
  <c r="CU50" i="15"/>
  <c r="CV50" i="15"/>
  <c r="CW50" i="15"/>
  <c r="CX50" i="15"/>
  <c r="CY50" i="15"/>
  <c r="CZ50" i="15"/>
  <c r="DA50" i="15"/>
  <c r="DB50" i="15"/>
  <c r="DC50" i="15"/>
  <c r="DD50" i="15"/>
  <c r="DE50" i="15"/>
  <c r="DF50" i="15"/>
  <c r="DG50" i="15"/>
  <c r="DH50" i="15"/>
  <c r="DI50" i="15"/>
  <c r="DJ50" i="15"/>
  <c r="DK50" i="15"/>
  <c r="DL50" i="15"/>
  <c r="DM50" i="15"/>
  <c r="DN50" i="15"/>
  <c r="DO50" i="15"/>
  <c r="DP50" i="15"/>
  <c r="DQ50" i="15"/>
  <c r="DR50" i="15"/>
  <c r="DS50" i="15"/>
  <c r="DT50" i="15"/>
  <c r="DU50" i="15"/>
  <c r="DV50" i="15"/>
  <c r="DW50" i="15"/>
  <c r="DX50" i="15"/>
  <c r="DY50" i="15"/>
  <c r="DZ50" i="15"/>
  <c r="EA50" i="15"/>
  <c r="EB50" i="15"/>
  <c r="EC50" i="15"/>
  <c r="ED50" i="15"/>
  <c r="EE50" i="15"/>
  <c r="EF50" i="15"/>
  <c r="EG50" i="15"/>
  <c r="EH50" i="15"/>
  <c r="EI50" i="15"/>
  <c r="EJ50" i="15"/>
  <c r="EK50" i="15"/>
  <c r="EL50" i="15"/>
  <c r="EM50" i="15"/>
  <c r="EN50" i="15"/>
  <c r="EO50" i="15"/>
  <c r="EP50" i="15"/>
  <c r="EQ50" i="15"/>
  <c r="ER50" i="15"/>
  <c r="ES50" i="15"/>
  <c r="ET50" i="15"/>
  <c r="EU50" i="15"/>
  <c r="EV50" i="15"/>
  <c r="EW50" i="15"/>
  <c r="EX50" i="15"/>
  <c r="EY50" i="15"/>
  <c r="EZ50" i="15"/>
  <c r="FA50" i="15"/>
  <c r="FB50" i="15"/>
  <c r="FC50" i="15"/>
  <c r="FD50" i="15"/>
  <c r="FE50" i="15"/>
  <c r="FF50" i="15"/>
  <c r="FG50" i="15"/>
  <c r="FH50" i="15"/>
  <c r="FI50" i="15"/>
  <c r="FJ50" i="15"/>
  <c r="FK50" i="15"/>
  <c r="FL50" i="15"/>
  <c r="FM50" i="15"/>
  <c r="FN50" i="15"/>
  <c r="FO50" i="15"/>
  <c r="FP50" i="15"/>
  <c r="FQ50" i="15"/>
  <c r="FR50" i="15"/>
  <c r="FS50" i="15"/>
  <c r="FT50" i="15"/>
  <c r="FU50" i="15"/>
  <c r="FV50" i="15"/>
  <c r="FW50" i="15"/>
  <c r="FX50" i="15"/>
  <c r="FY50" i="15"/>
  <c r="FZ50" i="15"/>
  <c r="GA50" i="15"/>
  <c r="GB50" i="15"/>
  <c r="GC50" i="15"/>
  <c r="GD50" i="15"/>
  <c r="GE50" i="15"/>
  <c r="GF50" i="15"/>
  <c r="GG50" i="15"/>
  <c r="GH50" i="15"/>
  <c r="GI50" i="15"/>
  <c r="GJ50" i="15"/>
  <c r="GK50" i="15"/>
  <c r="GL50" i="15"/>
  <c r="GM50" i="15"/>
  <c r="GN50" i="15"/>
  <c r="GO50" i="15"/>
  <c r="GP50" i="15"/>
  <c r="GQ50" i="15"/>
  <c r="GR50" i="15"/>
  <c r="GS50" i="15"/>
  <c r="GT50" i="15"/>
  <c r="GU50" i="15"/>
  <c r="GV50" i="15"/>
  <c r="GW50" i="15"/>
  <c r="GX50" i="15"/>
  <c r="GY50" i="15"/>
  <c r="GZ50" i="15"/>
  <c r="HA50" i="15"/>
  <c r="HB50" i="15"/>
  <c r="HC50" i="15"/>
  <c r="HD50" i="15"/>
  <c r="HE50" i="15"/>
  <c r="HF50" i="15"/>
  <c r="HG50" i="15"/>
  <c r="HH50" i="15"/>
  <c r="HI50" i="15"/>
  <c r="HJ50" i="15"/>
  <c r="HK50" i="15"/>
  <c r="HL50" i="15"/>
  <c r="HM50" i="15"/>
  <c r="HN50" i="15"/>
  <c r="HO50" i="15"/>
  <c r="HP50" i="15"/>
  <c r="HQ50" i="15"/>
  <c r="HR50" i="15"/>
  <c r="HS50" i="15"/>
  <c r="HT50" i="15"/>
  <c r="HU50" i="15"/>
  <c r="HV50" i="15"/>
  <c r="HW50" i="15"/>
  <c r="HX50" i="15"/>
  <c r="HY50" i="15"/>
  <c r="HZ50" i="15"/>
  <c r="IA50" i="15"/>
  <c r="IB50" i="15"/>
  <c r="IC50" i="15"/>
  <c r="ID50" i="15"/>
  <c r="IE50" i="15"/>
  <c r="IF50" i="15"/>
  <c r="IG50" i="15"/>
  <c r="IH50" i="15"/>
  <c r="II50" i="15"/>
  <c r="IJ50" i="15"/>
  <c r="IK50" i="15"/>
  <c r="IL50" i="15"/>
  <c r="IM50" i="15"/>
  <c r="IN50" i="15"/>
  <c r="IO50" i="15"/>
  <c r="IP50" i="15"/>
  <c r="IQ50" i="15"/>
  <c r="IR50" i="15"/>
  <c r="IS50" i="15"/>
  <c r="IT50" i="15"/>
  <c r="IU50" i="15"/>
  <c r="IV50" i="15"/>
  <c r="A51" i="15"/>
  <c r="B51" i="15"/>
  <c r="C51" i="15"/>
  <c r="D51" i="15"/>
  <c r="E51" i="15"/>
  <c r="F51"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AG51" i="15"/>
  <c r="AH51" i="15"/>
  <c r="AI51" i="15"/>
  <c r="AJ51" i="15"/>
  <c r="AK51" i="15"/>
  <c r="AL51" i="15"/>
  <c r="AM51" i="15"/>
  <c r="AN51" i="15"/>
  <c r="AO51" i="15"/>
  <c r="AP51" i="15"/>
  <c r="AQ51" i="15"/>
  <c r="AR51" i="15"/>
  <c r="AS51" i="15"/>
  <c r="AT51" i="15"/>
  <c r="AU51" i="15"/>
  <c r="AV51" i="15"/>
  <c r="AW51" i="15"/>
  <c r="AX51" i="15"/>
  <c r="AY51" i="15"/>
  <c r="AZ51" i="15"/>
  <c r="BA51" i="15"/>
  <c r="BB51" i="15"/>
  <c r="BC51" i="15"/>
  <c r="BD51" i="15"/>
  <c r="BE51" i="15"/>
  <c r="BF51" i="15"/>
  <c r="BG51" i="15"/>
  <c r="BH51" i="15"/>
  <c r="BI51" i="15"/>
  <c r="BJ51" i="15"/>
  <c r="BK51" i="15"/>
  <c r="BL51" i="15"/>
  <c r="BM51" i="15"/>
  <c r="BN51" i="15"/>
  <c r="BO51" i="15"/>
  <c r="BP51" i="15"/>
  <c r="BQ51" i="15"/>
  <c r="BR51" i="15"/>
  <c r="BS51" i="15"/>
  <c r="BT51" i="15"/>
  <c r="BU51" i="15"/>
  <c r="BV51" i="15"/>
  <c r="BW51" i="15"/>
  <c r="BX51" i="15"/>
  <c r="BY51" i="15"/>
  <c r="BZ51" i="15"/>
  <c r="CA51" i="15"/>
  <c r="CB51" i="15"/>
  <c r="CC51" i="15"/>
  <c r="CD51" i="15"/>
  <c r="CE51" i="15"/>
  <c r="CF51" i="15"/>
  <c r="CG51" i="15"/>
  <c r="CH51" i="15"/>
  <c r="CI51" i="15"/>
  <c r="CJ51" i="15"/>
  <c r="CK51" i="15"/>
  <c r="CL51" i="15"/>
  <c r="CM51" i="15"/>
  <c r="CN51" i="15"/>
  <c r="CO51" i="15"/>
  <c r="CP51" i="15"/>
  <c r="CQ51" i="15"/>
  <c r="CR51" i="15"/>
  <c r="CS51" i="15"/>
  <c r="CT51" i="15"/>
  <c r="CU51" i="15"/>
  <c r="CV51" i="15"/>
  <c r="CW51" i="15"/>
  <c r="CX51" i="15"/>
  <c r="CY51" i="15"/>
  <c r="CZ51" i="15"/>
  <c r="DA51" i="15"/>
  <c r="DB51" i="15"/>
  <c r="DC51" i="15"/>
  <c r="DD51" i="15"/>
  <c r="DE51" i="15"/>
  <c r="DF51" i="15"/>
  <c r="DG51" i="15"/>
  <c r="DH51" i="15"/>
  <c r="DI51" i="15"/>
  <c r="DJ51" i="15"/>
  <c r="DK51" i="15"/>
  <c r="DL51" i="15"/>
  <c r="DM51" i="15"/>
  <c r="DN51" i="15"/>
  <c r="DO51" i="15"/>
  <c r="DP51" i="15"/>
  <c r="DQ51" i="15"/>
  <c r="DR51" i="15"/>
  <c r="DS51" i="15"/>
  <c r="DT51" i="15"/>
  <c r="DU51" i="15"/>
  <c r="DV51" i="15"/>
  <c r="DW51" i="15"/>
  <c r="DX51" i="15"/>
  <c r="DY51" i="15"/>
  <c r="DZ51" i="15"/>
  <c r="EA51" i="15"/>
  <c r="EB51" i="15"/>
  <c r="EC51" i="15"/>
  <c r="ED51" i="15"/>
  <c r="EE51" i="15"/>
  <c r="EF51" i="15"/>
  <c r="EG51" i="15"/>
  <c r="EH51" i="15"/>
  <c r="EI51" i="15"/>
  <c r="EJ51" i="15"/>
  <c r="EK51" i="15"/>
  <c r="EL51" i="15"/>
  <c r="EM51" i="15"/>
  <c r="EN51" i="15"/>
  <c r="EO51" i="15"/>
  <c r="EP51" i="15"/>
  <c r="EQ51" i="15"/>
  <c r="ER51" i="15"/>
  <c r="ES51" i="15"/>
  <c r="ET51" i="15"/>
  <c r="EU51" i="15"/>
  <c r="EV51" i="15"/>
  <c r="EW51" i="15"/>
  <c r="EX51" i="15"/>
  <c r="EY51" i="15"/>
  <c r="EZ51" i="15"/>
  <c r="FA51" i="15"/>
  <c r="FB51" i="15"/>
  <c r="FC51" i="15"/>
  <c r="FD51" i="15"/>
  <c r="FE51" i="15"/>
  <c r="FF51" i="15"/>
  <c r="FG51" i="15"/>
  <c r="FH51" i="15"/>
  <c r="FI51" i="15"/>
  <c r="FJ51" i="15"/>
  <c r="FK51" i="15"/>
  <c r="FL51" i="15"/>
  <c r="FM51" i="15"/>
  <c r="FN51" i="15"/>
  <c r="FO51" i="15"/>
  <c r="FP51" i="15"/>
  <c r="FQ51" i="15"/>
  <c r="FR51" i="15"/>
  <c r="FS51" i="15"/>
  <c r="FT51" i="15"/>
  <c r="FU51" i="15"/>
  <c r="FV51" i="15"/>
  <c r="FW51" i="15"/>
  <c r="FX51" i="15"/>
  <c r="FY51" i="15"/>
  <c r="FZ51" i="15"/>
  <c r="GA51" i="15"/>
  <c r="GB51" i="15"/>
  <c r="GC51" i="15"/>
  <c r="GD51" i="15"/>
  <c r="GE51" i="15"/>
  <c r="GF51" i="15"/>
  <c r="GG51" i="15"/>
  <c r="GH51" i="15"/>
  <c r="GI51" i="15"/>
  <c r="GJ51" i="15"/>
  <c r="GK51" i="15"/>
  <c r="GL51" i="15"/>
  <c r="GM51" i="15"/>
  <c r="GN51" i="15"/>
  <c r="GO51" i="15"/>
  <c r="GP51" i="15"/>
  <c r="GQ51" i="15"/>
  <c r="GR51" i="15"/>
  <c r="GS51" i="15"/>
  <c r="GT51" i="15"/>
  <c r="GU51" i="15"/>
  <c r="GV51" i="15"/>
  <c r="GW51" i="15"/>
  <c r="GX51" i="15"/>
  <c r="GY51" i="15"/>
  <c r="GZ51" i="15"/>
  <c r="HA51" i="15"/>
  <c r="HB51" i="15"/>
  <c r="HC51" i="15"/>
  <c r="HD51" i="15"/>
  <c r="HE51" i="15"/>
  <c r="HF51" i="15"/>
  <c r="HG51" i="15"/>
  <c r="HH51" i="15"/>
  <c r="HI51" i="15"/>
  <c r="HJ51" i="15"/>
  <c r="HK51" i="15"/>
  <c r="HL51" i="15"/>
  <c r="HM51" i="15"/>
  <c r="HN51" i="15"/>
  <c r="HO51" i="15"/>
  <c r="HP51" i="15"/>
  <c r="HQ51" i="15"/>
  <c r="HR51" i="15"/>
  <c r="HS51" i="15"/>
  <c r="HT51" i="15"/>
  <c r="HU51" i="15"/>
  <c r="HV51" i="15"/>
  <c r="HW51" i="15"/>
  <c r="HX51" i="15"/>
  <c r="HY51" i="15"/>
  <c r="HZ51" i="15"/>
  <c r="IA51" i="15"/>
  <c r="IB51" i="15"/>
  <c r="IC51" i="15"/>
  <c r="ID51" i="15"/>
  <c r="IE51" i="15"/>
  <c r="IF51" i="15"/>
  <c r="IG51" i="15"/>
  <c r="IH51" i="15"/>
  <c r="II51" i="15"/>
  <c r="IJ51" i="15"/>
  <c r="IK51" i="15"/>
  <c r="IL51" i="15"/>
  <c r="IM51" i="15"/>
  <c r="IN51" i="15"/>
  <c r="IO51" i="15"/>
  <c r="IP51" i="15"/>
  <c r="IQ51" i="15"/>
  <c r="IR51" i="15"/>
  <c r="IS51" i="15"/>
  <c r="IT51" i="15"/>
  <c r="IU51" i="15"/>
  <c r="IV51" i="15"/>
  <c r="A52" i="15"/>
  <c r="B52" i="15"/>
  <c r="C52" i="15"/>
  <c r="D52" i="15"/>
  <c r="E52" i="15"/>
  <c r="F52" i="15"/>
  <c r="G52" i="15"/>
  <c r="H52" i="15"/>
  <c r="I52" i="15"/>
  <c r="J52" i="15"/>
  <c r="K52" i="15"/>
  <c r="L52" i="15"/>
  <c r="M52" i="15"/>
  <c r="N52" i="15"/>
  <c r="O52" i="15"/>
  <c r="P52" i="15"/>
  <c r="Q52" i="15"/>
  <c r="R52" i="15"/>
  <c r="S52" i="15"/>
  <c r="T52" i="15"/>
  <c r="U52" i="15"/>
  <c r="V52" i="15"/>
  <c r="W52" i="15"/>
  <c r="X52" i="15"/>
  <c r="Y52" i="15"/>
  <c r="Z52" i="15"/>
  <c r="AA52" i="15"/>
  <c r="AB52" i="15"/>
  <c r="AC52" i="15"/>
  <c r="AD52" i="15"/>
  <c r="AE52" i="15"/>
  <c r="AF52" i="15"/>
  <c r="AG52" i="15"/>
  <c r="AH52" i="15"/>
  <c r="AI52" i="15"/>
  <c r="AJ52" i="15"/>
  <c r="AK52" i="15"/>
  <c r="AL52" i="15"/>
  <c r="AM52" i="15"/>
  <c r="AN52" i="15"/>
  <c r="AO52" i="15"/>
  <c r="AP52" i="15"/>
  <c r="AQ52" i="15"/>
  <c r="AR52" i="15"/>
  <c r="AS52" i="15"/>
  <c r="AT52" i="15"/>
  <c r="AU52" i="15"/>
  <c r="AV52" i="15"/>
  <c r="AW52" i="15"/>
  <c r="AX52" i="15"/>
  <c r="AY52" i="15"/>
  <c r="AZ52" i="15"/>
  <c r="BA52" i="15"/>
  <c r="BB52" i="15"/>
  <c r="BC52" i="15"/>
  <c r="BD52" i="15"/>
  <c r="BE52" i="15"/>
  <c r="BF52" i="15"/>
  <c r="BG52" i="15"/>
  <c r="BH52" i="15"/>
  <c r="BI52" i="15"/>
  <c r="BJ52" i="15"/>
  <c r="BK52" i="15"/>
  <c r="BL52" i="15"/>
  <c r="BM52" i="15"/>
  <c r="BN52" i="15"/>
  <c r="BO52" i="15"/>
  <c r="BP52" i="15"/>
  <c r="BQ52" i="15"/>
  <c r="BR52" i="15"/>
  <c r="BS52" i="15"/>
  <c r="BT52" i="15"/>
  <c r="BU52" i="15"/>
  <c r="BV52" i="15"/>
  <c r="BW52" i="15"/>
  <c r="BX52" i="15"/>
  <c r="BY52" i="15"/>
  <c r="BZ52" i="15"/>
  <c r="CA52" i="15"/>
  <c r="CB52" i="15"/>
  <c r="CC52" i="15"/>
  <c r="CD52" i="15"/>
  <c r="CE52" i="15"/>
  <c r="CF52" i="15"/>
  <c r="CG52" i="15"/>
  <c r="CH52" i="15"/>
  <c r="CI52" i="15"/>
  <c r="CJ52" i="15"/>
  <c r="CK52" i="15"/>
  <c r="CL52" i="15"/>
  <c r="CM52" i="15"/>
  <c r="CN52" i="15"/>
  <c r="CO52" i="15"/>
  <c r="CP52" i="15"/>
  <c r="CQ52" i="15"/>
  <c r="CR52" i="15"/>
  <c r="CS52" i="15"/>
  <c r="CT52" i="15"/>
  <c r="CU52" i="15"/>
  <c r="CV52" i="15"/>
  <c r="CW52" i="15"/>
  <c r="CX52" i="15"/>
  <c r="CY52" i="15"/>
  <c r="CZ52" i="15"/>
  <c r="DA52" i="15"/>
  <c r="DB52" i="15"/>
  <c r="DC52" i="15"/>
  <c r="DD52" i="15"/>
  <c r="DE52" i="15"/>
  <c r="DF52" i="15"/>
  <c r="DG52" i="15"/>
  <c r="DH52" i="15"/>
  <c r="DI52" i="15"/>
  <c r="DJ52" i="15"/>
  <c r="DK52" i="15"/>
  <c r="DL52" i="15"/>
  <c r="DM52" i="15"/>
  <c r="DN52" i="15"/>
  <c r="DO52" i="15"/>
  <c r="DP52" i="15"/>
  <c r="DQ52" i="15"/>
  <c r="DR52" i="15"/>
  <c r="DS52" i="15"/>
  <c r="DT52" i="15"/>
  <c r="DU52" i="15"/>
  <c r="DV52" i="15"/>
  <c r="DW52" i="15"/>
  <c r="DX52" i="15"/>
  <c r="DY52" i="15"/>
  <c r="DZ52" i="15"/>
  <c r="EA52" i="15"/>
  <c r="EB52" i="15"/>
  <c r="EC52" i="15"/>
  <c r="ED52" i="15"/>
  <c r="EE52" i="15"/>
  <c r="EF52" i="15"/>
  <c r="EG52" i="15"/>
  <c r="EH52" i="15"/>
  <c r="EI52" i="15"/>
  <c r="EJ52" i="15"/>
  <c r="EK52" i="15"/>
  <c r="EL52" i="15"/>
  <c r="EM52" i="15"/>
  <c r="EN52" i="15"/>
  <c r="EO52" i="15"/>
  <c r="EP52" i="15"/>
  <c r="EQ52" i="15"/>
  <c r="ER52" i="15"/>
  <c r="ES52" i="15"/>
  <c r="ET52" i="15"/>
  <c r="EU52" i="15"/>
  <c r="EV52" i="15"/>
  <c r="EW52" i="15"/>
  <c r="EX52" i="15"/>
  <c r="EY52" i="15"/>
  <c r="EZ52" i="15"/>
  <c r="FA52" i="15"/>
  <c r="FB52" i="15"/>
  <c r="FC52" i="15"/>
  <c r="FD52" i="15"/>
  <c r="FE52" i="15"/>
  <c r="FF52" i="15"/>
  <c r="FG52" i="15"/>
  <c r="FH52" i="15"/>
  <c r="FI52" i="15"/>
  <c r="FJ52" i="15"/>
  <c r="FK52" i="15"/>
  <c r="FL52" i="15"/>
  <c r="FM52" i="15"/>
  <c r="FN52" i="15"/>
  <c r="FO52" i="15"/>
  <c r="FP52" i="15"/>
  <c r="FQ52" i="15"/>
  <c r="FR52" i="15"/>
  <c r="FS52" i="15"/>
  <c r="FT52" i="15"/>
  <c r="FU52" i="15"/>
  <c r="FV52" i="15"/>
  <c r="FW52" i="15"/>
  <c r="FX52" i="15"/>
  <c r="FY52" i="15"/>
  <c r="FZ52" i="15"/>
  <c r="GA52" i="15"/>
  <c r="GB52" i="15"/>
  <c r="GC52" i="15"/>
  <c r="GD52" i="15"/>
  <c r="GE52" i="15"/>
  <c r="GF52" i="15"/>
  <c r="GG52" i="15"/>
  <c r="GH52" i="15"/>
  <c r="GI52" i="15"/>
  <c r="GJ52" i="15"/>
  <c r="GK52" i="15"/>
  <c r="GL52" i="15"/>
  <c r="GM52" i="15"/>
  <c r="GN52" i="15"/>
  <c r="GO52" i="15"/>
  <c r="GP52" i="15"/>
  <c r="GQ52" i="15"/>
  <c r="GR52" i="15"/>
  <c r="GS52" i="15"/>
  <c r="GT52" i="15"/>
  <c r="GU52" i="15"/>
  <c r="GV52" i="15"/>
  <c r="GW52" i="15"/>
  <c r="GX52" i="15"/>
  <c r="GY52" i="15"/>
  <c r="GZ52" i="15"/>
  <c r="HA52" i="15"/>
  <c r="HB52" i="15"/>
  <c r="HC52" i="15"/>
  <c r="HD52" i="15"/>
  <c r="HE52" i="15"/>
  <c r="HF52" i="15"/>
  <c r="HG52" i="15"/>
  <c r="HH52" i="15"/>
  <c r="HI52" i="15"/>
  <c r="HJ52" i="15"/>
  <c r="HK52" i="15"/>
  <c r="HL52" i="15"/>
  <c r="HM52" i="15"/>
  <c r="HN52" i="15"/>
  <c r="HO52" i="15"/>
  <c r="HP52" i="15"/>
  <c r="HQ52" i="15"/>
  <c r="HR52" i="15"/>
  <c r="HS52" i="15"/>
  <c r="HT52" i="15"/>
  <c r="HU52" i="15"/>
  <c r="HV52" i="15"/>
  <c r="HW52" i="15"/>
  <c r="HX52" i="15"/>
  <c r="HY52" i="15"/>
  <c r="HZ52" i="15"/>
  <c r="IA52" i="15"/>
  <c r="IB52" i="15"/>
  <c r="IC52" i="15"/>
  <c r="ID52" i="15"/>
  <c r="IE52" i="15"/>
  <c r="IF52" i="15"/>
  <c r="IG52" i="15"/>
  <c r="IH52" i="15"/>
  <c r="II52" i="15"/>
  <c r="IJ52" i="15"/>
  <c r="IK52" i="15"/>
  <c r="IL52" i="15"/>
  <c r="IM52" i="15"/>
  <c r="IN52" i="15"/>
  <c r="IO52" i="15"/>
  <c r="IP52" i="15"/>
  <c r="IQ52" i="15"/>
  <c r="IR52" i="15"/>
  <c r="IS52" i="15"/>
  <c r="IT52" i="15"/>
  <c r="IU52" i="15"/>
  <c r="IV52" i="15"/>
  <c r="A53" i="15"/>
  <c r="B53" i="15"/>
  <c r="C53" i="15"/>
  <c r="D53" i="15"/>
  <c r="E53" i="15"/>
  <c r="F53" i="15"/>
  <c r="G53" i="15"/>
  <c r="H53" i="15"/>
  <c r="I53" i="15"/>
  <c r="J53" i="15"/>
  <c r="K53" i="15"/>
  <c r="L53" i="15"/>
  <c r="M53" i="15"/>
  <c r="N53" i="15"/>
  <c r="O53" i="15"/>
  <c r="P53" i="15"/>
  <c r="Q53" i="15"/>
  <c r="R53" i="15"/>
  <c r="S53" i="15"/>
  <c r="T53" i="15"/>
  <c r="U53" i="15"/>
  <c r="V53" i="15"/>
  <c r="W53" i="15"/>
  <c r="X53" i="15"/>
  <c r="Y53" i="15"/>
  <c r="Z53" i="15"/>
  <c r="AA53" i="15"/>
  <c r="AB53" i="15"/>
  <c r="AC53" i="15"/>
  <c r="AD53" i="15"/>
  <c r="AE53" i="15"/>
  <c r="AF53" i="15"/>
  <c r="AG53" i="15"/>
  <c r="AH53" i="15"/>
  <c r="AI53" i="15"/>
  <c r="AJ53" i="15"/>
  <c r="AK53" i="15"/>
  <c r="AL53" i="15"/>
  <c r="AM53" i="15"/>
  <c r="AN53" i="15"/>
  <c r="AO53" i="15"/>
  <c r="AP53" i="15"/>
  <c r="AQ53" i="15"/>
  <c r="AR53" i="15"/>
  <c r="AS53" i="15"/>
  <c r="AT53" i="15"/>
  <c r="AU53" i="15"/>
  <c r="AV53" i="15"/>
  <c r="AW53" i="15"/>
  <c r="AX53" i="15"/>
  <c r="AY53" i="15"/>
  <c r="AZ53" i="15"/>
  <c r="BA53" i="15"/>
  <c r="BB53" i="15"/>
  <c r="BC53" i="15"/>
  <c r="BD53" i="15"/>
  <c r="BE53" i="15"/>
  <c r="BF53" i="15"/>
  <c r="BG53" i="15"/>
  <c r="BH53" i="15"/>
  <c r="BI53" i="15"/>
  <c r="BJ53" i="15"/>
  <c r="BK53" i="15"/>
  <c r="BL53" i="15"/>
  <c r="BM53" i="15"/>
  <c r="BN53" i="15"/>
  <c r="BO53" i="15"/>
  <c r="BP53" i="15"/>
  <c r="BQ53" i="15"/>
  <c r="BR53" i="15"/>
  <c r="BS53" i="15"/>
  <c r="BT53" i="15"/>
  <c r="BU53" i="15"/>
  <c r="BV53" i="15"/>
  <c r="BW53" i="15"/>
  <c r="BX53" i="15"/>
  <c r="BY53" i="15"/>
  <c r="BZ53" i="15"/>
  <c r="CA53" i="15"/>
  <c r="CB53" i="15"/>
  <c r="CC53" i="15"/>
  <c r="CD53" i="15"/>
  <c r="CE53" i="15"/>
  <c r="CF53" i="15"/>
  <c r="CG53" i="15"/>
  <c r="CH53" i="15"/>
  <c r="CI53" i="15"/>
  <c r="CJ53" i="15"/>
  <c r="CK53" i="15"/>
  <c r="CL53" i="15"/>
  <c r="CM53" i="15"/>
  <c r="CN53" i="15"/>
  <c r="CO53" i="15"/>
  <c r="CP53" i="15"/>
  <c r="CQ53" i="15"/>
  <c r="CR53" i="15"/>
  <c r="CS53" i="15"/>
  <c r="CT53" i="15"/>
  <c r="CU53" i="15"/>
  <c r="CV53" i="15"/>
  <c r="CW53" i="15"/>
  <c r="CX53" i="15"/>
  <c r="CY53" i="15"/>
  <c r="CZ53" i="15"/>
  <c r="DA53" i="15"/>
  <c r="DB53" i="15"/>
  <c r="DC53" i="15"/>
  <c r="DD53" i="15"/>
  <c r="DE53" i="15"/>
  <c r="DF53" i="15"/>
  <c r="DG53" i="15"/>
  <c r="DH53" i="15"/>
  <c r="DI53" i="15"/>
  <c r="DJ53" i="15"/>
  <c r="DK53" i="15"/>
  <c r="DL53" i="15"/>
  <c r="DM53" i="15"/>
  <c r="DN53" i="15"/>
  <c r="DO53" i="15"/>
  <c r="DP53" i="15"/>
  <c r="DQ53" i="15"/>
  <c r="DR53" i="15"/>
  <c r="DS53" i="15"/>
  <c r="DT53" i="15"/>
  <c r="DU53" i="15"/>
  <c r="DV53" i="15"/>
  <c r="DW53" i="15"/>
  <c r="DX53" i="15"/>
  <c r="DY53" i="15"/>
  <c r="DZ53" i="15"/>
  <c r="EA53" i="15"/>
  <c r="EB53" i="15"/>
  <c r="EC53" i="15"/>
  <c r="ED53" i="15"/>
  <c r="EE53" i="15"/>
  <c r="EF53" i="15"/>
  <c r="EG53" i="15"/>
  <c r="EH53" i="15"/>
  <c r="EI53" i="15"/>
  <c r="EJ53" i="15"/>
  <c r="EK53" i="15"/>
  <c r="EL53" i="15"/>
  <c r="EM53" i="15"/>
  <c r="EN53" i="15"/>
  <c r="EO53" i="15"/>
  <c r="EP53" i="15"/>
  <c r="EQ53" i="15"/>
  <c r="ER53" i="15"/>
  <c r="ES53" i="15"/>
  <c r="ET53" i="15"/>
  <c r="EU53" i="15"/>
  <c r="EV53" i="15"/>
  <c r="EW53" i="15"/>
  <c r="EX53" i="15"/>
  <c r="EY53" i="15"/>
  <c r="EZ53" i="15"/>
  <c r="FA53" i="15"/>
  <c r="FB53" i="15"/>
  <c r="FC53" i="15"/>
  <c r="FD53" i="15"/>
  <c r="FE53" i="15"/>
  <c r="FF53" i="15"/>
  <c r="FG53" i="15"/>
  <c r="FH53" i="15"/>
  <c r="FI53" i="15"/>
  <c r="FJ53" i="15"/>
  <c r="FK53" i="15"/>
  <c r="FL53" i="15"/>
  <c r="FM53" i="15"/>
  <c r="FN53" i="15"/>
  <c r="FO53" i="15"/>
  <c r="FP53" i="15"/>
  <c r="FQ53" i="15"/>
  <c r="FR53" i="15"/>
  <c r="FS53" i="15"/>
  <c r="FT53" i="15"/>
  <c r="FU53" i="15"/>
  <c r="FV53" i="15"/>
  <c r="FW53" i="15"/>
  <c r="FX53" i="15"/>
  <c r="FY53" i="15"/>
  <c r="FZ53" i="15"/>
  <c r="GA53" i="15"/>
  <c r="GB53" i="15"/>
  <c r="GC53" i="15"/>
  <c r="GD53" i="15"/>
  <c r="GE53" i="15"/>
  <c r="GF53" i="15"/>
  <c r="GG53" i="15"/>
  <c r="GH53" i="15"/>
  <c r="GI53" i="15"/>
  <c r="GJ53" i="15"/>
  <c r="GK53" i="15"/>
  <c r="GL53" i="15"/>
  <c r="GM53" i="15"/>
  <c r="GN53" i="15"/>
  <c r="GO53" i="15"/>
  <c r="GP53" i="15"/>
  <c r="GQ53" i="15"/>
  <c r="GR53" i="15"/>
  <c r="GS53" i="15"/>
  <c r="GT53" i="15"/>
  <c r="GU53" i="15"/>
  <c r="GV53" i="15"/>
  <c r="GW53" i="15"/>
  <c r="GX53" i="15"/>
  <c r="GY53" i="15"/>
  <c r="GZ53" i="15"/>
  <c r="HA53" i="15"/>
  <c r="HB53" i="15"/>
  <c r="HC53" i="15"/>
  <c r="HD53" i="15"/>
  <c r="HE53" i="15"/>
  <c r="HF53" i="15"/>
  <c r="HG53" i="15"/>
  <c r="HH53" i="15"/>
  <c r="HI53" i="15"/>
  <c r="HJ53" i="15"/>
  <c r="HK53" i="15"/>
  <c r="HL53" i="15"/>
  <c r="HM53" i="15"/>
  <c r="HN53" i="15"/>
  <c r="HO53" i="15"/>
  <c r="HP53" i="15"/>
  <c r="HQ53" i="15"/>
  <c r="HR53" i="15"/>
  <c r="HS53" i="15"/>
  <c r="HT53" i="15"/>
  <c r="HU53" i="15"/>
  <c r="HV53" i="15"/>
  <c r="HW53" i="15"/>
  <c r="HX53" i="15"/>
  <c r="HY53" i="15"/>
  <c r="HZ53" i="15"/>
  <c r="IA53" i="15"/>
  <c r="IB53" i="15"/>
  <c r="IC53" i="15"/>
  <c r="ID53" i="15"/>
  <c r="IE53" i="15"/>
  <c r="IF53" i="15"/>
  <c r="IG53" i="15"/>
  <c r="IH53" i="15"/>
  <c r="II53" i="15"/>
  <c r="IJ53" i="15"/>
  <c r="IK53" i="15"/>
  <c r="IL53" i="15"/>
  <c r="IM53" i="15"/>
  <c r="IN53" i="15"/>
  <c r="IO53" i="15"/>
  <c r="IP53" i="15"/>
  <c r="IQ53" i="15"/>
  <c r="IR53" i="15"/>
  <c r="IS53" i="15"/>
  <c r="IT53" i="15"/>
  <c r="IU53" i="15"/>
  <c r="IV53" i="15"/>
  <c r="A54" i="15"/>
  <c r="B54" i="15"/>
  <c r="C54" i="15"/>
  <c r="D54" i="15"/>
  <c r="E54" i="15"/>
  <c r="F54" i="15"/>
  <c r="G54" i="15"/>
  <c r="H54" i="15"/>
  <c r="I54" i="15"/>
  <c r="J54" i="15"/>
  <c r="K54" i="15"/>
  <c r="L54" i="15"/>
  <c r="M54" i="15"/>
  <c r="N54" i="15"/>
  <c r="O54" i="15"/>
  <c r="P54" i="15"/>
  <c r="Q54" i="15"/>
  <c r="R54" i="15"/>
  <c r="S54" i="15"/>
  <c r="T54" i="15"/>
  <c r="U54" i="15"/>
  <c r="V54" i="15"/>
  <c r="W54" i="15"/>
  <c r="X54" i="15"/>
  <c r="Y54" i="15"/>
  <c r="Z54" i="15"/>
  <c r="AA54" i="15"/>
  <c r="AB54" i="15"/>
  <c r="AC54" i="15"/>
  <c r="AD54" i="15"/>
  <c r="AE54" i="15"/>
  <c r="AF54" i="15"/>
  <c r="AG54" i="15"/>
  <c r="AH54" i="15"/>
  <c r="AI54" i="15"/>
  <c r="AJ54" i="15"/>
  <c r="AK54" i="15"/>
  <c r="AL54" i="15"/>
  <c r="AM54" i="15"/>
  <c r="AN54" i="15"/>
  <c r="AO54" i="15"/>
  <c r="AP54" i="15"/>
  <c r="AQ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U54" i="15"/>
  <c r="BV54" i="15"/>
  <c r="BW54" i="15"/>
  <c r="BX54" i="15"/>
  <c r="BY54" i="15"/>
  <c r="BZ54" i="15"/>
  <c r="CA54" i="15"/>
  <c r="CB54" i="15"/>
  <c r="CC54" i="15"/>
  <c r="CD54" i="15"/>
  <c r="CE54" i="15"/>
  <c r="CF54" i="15"/>
  <c r="CG54" i="15"/>
  <c r="CH54" i="15"/>
  <c r="CI54" i="15"/>
  <c r="CJ54" i="15"/>
  <c r="CK54" i="15"/>
  <c r="CL54" i="15"/>
  <c r="CM54" i="15"/>
  <c r="CN54" i="15"/>
  <c r="CO54" i="15"/>
  <c r="CP54" i="15"/>
  <c r="CQ54" i="15"/>
  <c r="CR54" i="15"/>
  <c r="CS54" i="15"/>
  <c r="CT54" i="15"/>
  <c r="CU54" i="15"/>
  <c r="CV54" i="15"/>
  <c r="CW54" i="15"/>
  <c r="CX54" i="15"/>
  <c r="CY54" i="15"/>
  <c r="CZ54" i="15"/>
  <c r="DA54" i="15"/>
  <c r="DB54" i="15"/>
  <c r="DC54" i="15"/>
  <c r="DD54" i="15"/>
  <c r="DE54" i="15"/>
  <c r="DF54" i="15"/>
  <c r="DG54" i="15"/>
  <c r="DH54" i="15"/>
  <c r="DI54" i="15"/>
  <c r="DJ54" i="15"/>
  <c r="DK54" i="15"/>
  <c r="DL54" i="15"/>
  <c r="DM54" i="15"/>
  <c r="DN54" i="15"/>
  <c r="DO54" i="15"/>
  <c r="DP54" i="15"/>
  <c r="DQ54" i="15"/>
  <c r="DR54" i="15"/>
  <c r="DS54" i="15"/>
  <c r="DT54" i="15"/>
  <c r="DU54" i="15"/>
  <c r="DV54" i="15"/>
  <c r="DW54" i="15"/>
  <c r="DX54" i="15"/>
  <c r="DY54" i="15"/>
  <c r="DZ54" i="15"/>
  <c r="EA54" i="15"/>
  <c r="EB54" i="15"/>
  <c r="EC54" i="15"/>
  <c r="ED54" i="15"/>
  <c r="EE54" i="15"/>
  <c r="EF54" i="15"/>
  <c r="EG54" i="15"/>
  <c r="EH54" i="15"/>
  <c r="EI54" i="15"/>
  <c r="EJ54" i="15"/>
  <c r="EK54" i="15"/>
  <c r="EL54" i="15"/>
  <c r="EM54" i="15"/>
  <c r="EN54" i="15"/>
  <c r="EO54" i="15"/>
  <c r="EP54" i="15"/>
  <c r="EQ54" i="15"/>
  <c r="ER54" i="15"/>
  <c r="ES54" i="15"/>
  <c r="ET54" i="15"/>
  <c r="EU54" i="15"/>
  <c r="EV54" i="15"/>
  <c r="EW54" i="15"/>
  <c r="EX54" i="15"/>
  <c r="EY54" i="15"/>
  <c r="EZ54" i="15"/>
  <c r="FA54" i="15"/>
  <c r="FB54" i="15"/>
  <c r="FC54" i="15"/>
  <c r="FD54" i="15"/>
  <c r="FE54" i="15"/>
  <c r="FF54" i="15"/>
  <c r="FG54" i="15"/>
  <c r="FH54" i="15"/>
  <c r="FI54" i="15"/>
  <c r="FJ54" i="15"/>
  <c r="FK54" i="15"/>
  <c r="FL54" i="15"/>
  <c r="FM54" i="15"/>
  <c r="FN54" i="15"/>
  <c r="FO54" i="15"/>
  <c r="FP54" i="15"/>
  <c r="FQ54" i="15"/>
  <c r="FR54" i="15"/>
  <c r="FS54" i="15"/>
  <c r="FT54" i="15"/>
  <c r="FU54" i="15"/>
  <c r="FV54" i="15"/>
  <c r="FW54" i="15"/>
  <c r="FX54" i="15"/>
  <c r="FY54" i="15"/>
  <c r="FZ54" i="15"/>
  <c r="GA54" i="15"/>
  <c r="GB54" i="15"/>
  <c r="GC54" i="15"/>
  <c r="GD54" i="15"/>
  <c r="GE54" i="15"/>
  <c r="GF54" i="15"/>
  <c r="GG54" i="15"/>
  <c r="GH54" i="15"/>
  <c r="GI54" i="15"/>
  <c r="GJ54" i="15"/>
  <c r="GK54" i="15"/>
  <c r="GL54" i="15"/>
  <c r="GM54" i="15"/>
  <c r="GN54" i="15"/>
  <c r="GO54" i="15"/>
  <c r="GP54" i="15"/>
  <c r="GQ54" i="15"/>
  <c r="GR54" i="15"/>
  <c r="GS54" i="15"/>
  <c r="GT54" i="15"/>
  <c r="GU54" i="15"/>
  <c r="GV54" i="15"/>
  <c r="GW54" i="15"/>
  <c r="GX54" i="15"/>
  <c r="GY54" i="15"/>
  <c r="GZ54" i="15"/>
  <c r="HA54" i="15"/>
  <c r="HB54" i="15"/>
  <c r="HC54" i="15"/>
  <c r="HD54" i="15"/>
  <c r="HE54" i="15"/>
  <c r="HF54" i="15"/>
  <c r="HG54" i="15"/>
  <c r="HH54" i="15"/>
  <c r="HI54" i="15"/>
  <c r="HJ54" i="15"/>
  <c r="HK54" i="15"/>
  <c r="HL54" i="15"/>
  <c r="HM54" i="15"/>
  <c r="HN54" i="15"/>
  <c r="HO54" i="15"/>
  <c r="HP54" i="15"/>
  <c r="HQ54" i="15"/>
  <c r="HR54" i="15"/>
  <c r="HS54" i="15"/>
  <c r="HT54" i="15"/>
  <c r="HU54" i="15"/>
  <c r="HV54" i="15"/>
  <c r="HW54" i="15"/>
  <c r="HX54" i="15"/>
  <c r="HY54" i="15"/>
  <c r="HZ54" i="15"/>
  <c r="IA54" i="15"/>
  <c r="IB54" i="15"/>
  <c r="IC54" i="15"/>
  <c r="ID54" i="15"/>
  <c r="IE54" i="15"/>
  <c r="IF54" i="15"/>
  <c r="IG54" i="15"/>
  <c r="IH54" i="15"/>
  <c r="II54" i="15"/>
  <c r="IJ54" i="15"/>
  <c r="IK54" i="15"/>
  <c r="IL54" i="15"/>
  <c r="IM54" i="15"/>
  <c r="IN54" i="15"/>
  <c r="IO54" i="15"/>
  <c r="IP54" i="15"/>
  <c r="IQ54" i="15"/>
  <c r="IR54" i="15"/>
  <c r="IS54" i="15"/>
  <c r="IT54" i="15"/>
  <c r="IU54" i="15"/>
  <c r="IV54" i="15"/>
  <c r="A55" i="15"/>
  <c r="B55" i="15"/>
  <c r="C55" i="15"/>
  <c r="D55" i="15"/>
  <c r="E55" i="15"/>
  <c r="F55" i="15"/>
  <c r="G55" i="15"/>
  <c r="H55" i="15"/>
  <c r="I55" i="15"/>
  <c r="J55" i="15"/>
  <c r="K55" i="15"/>
  <c r="L55" i="15"/>
  <c r="M55" i="15"/>
  <c r="N55" i="15"/>
  <c r="O55" i="15"/>
  <c r="P55" i="15"/>
  <c r="Q55" i="15"/>
  <c r="R55" i="15"/>
  <c r="S55" i="15"/>
  <c r="T55" i="15"/>
  <c r="U55" i="15"/>
  <c r="V55" i="15"/>
  <c r="W55" i="15"/>
  <c r="X55" i="15"/>
  <c r="Y55" i="15"/>
  <c r="Z55" i="15"/>
  <c r="AA55" i="15"/>
  <c r="AB55" i="15"/>
  <c r="AC55" i="15"/>
  <c r="AD55" i="15"/>
  <c r="AE55" i="15"/>
  <c r="AF55" i="15"/>
  <c r="AG55" i="15"/>
  <c r="AH55" i="15"/>
  <c r="AI55" i="15"/>
  <c r="AJ55" i="15"/>
  <c r="AK55" i="15"/>
  <c r="AL55" i="15"/>
  <c r="AM55" i="15"/>
  <c r="AN55" i="15"/>
  <c r="AO55" i="15"/>
  <c r="AP55" i="15"/>
  <c r="AQ55" i="15"/>
  <c r="AR55" i="15"/>
  <c r="AS55" i="15"/>
  <c r="AT55" i="15"/>
  <c r="AU55" i="15"/>
  <c r="AV55" i="15"/>
  <c r="AW55" i="15"/>
  <c r="AX55" i="15"/>
  <c r="AY55" i="15"/>
  <c r="AZ55" i="15"/>
  <c r="BA55" i="15"/>
  <c r="BB55" i="15"/>
  <c r="BC55" i="15"/>
  <c r="BD55" i="15"/>
  <c r="BE55" i="15"/>
  <c r="BF55" i="15"/>
  <c r="BG55" i="15"/>
  <c r="BH55" i="15"/>
  <c r="BI55" i="15"/>
  <c r="BJ55" i="15"/>
  <c r="BK55" i="15"/>
  <c r="BL55" i="15"/>
  <c r="BM55" i="15"/>
  <c r="BN55" i="15"/>
  <c r="BO55" i="15"/>
  <c r="BP55" i="15"/>
  <c r="BQ55" i="15"/>
  <c r="BR55" i="15"/>
  <c r="BS55" i="15"/>
  <c r="BT55" i="15"/>
  <c r="BU55" i="15"/>
  <c r="BV55" i="15"/>
  <c r="BW55" i="15"/>
  <c r="BX55" i="15"/>
  <c r="BY55" i="15"/>
  <c r="BZ55" i="15"/>
  <c r="CA55" i="15"/>
  <c r="CB55" i="15"/>
  <c r="CC55" i="15"/>
  <c r="CD55" i="15"/>
  <c r="CE55" i="15"/>
  <c r="CF55" i="15"/>
  <c r="CG55" i="15"/>
  <c r="CH55" i="15"/>
  <c r="CI55" i="15"/>
  <c r="CJ55" i="15"/>
  <c r="CK55" i="15"/>
  <c r="CL55" i="15"/>
  <c r="CM55" i="15"/>
  <c r="CN55" i="15"/>
  <c r="CO55" i="15"/>
  <c r="CP55" i="15"/>
  <c r="CQ55" i="15"/>
  <c r="CR55" i="15"/>
  <c r="CS55" i="15"/>
  <c r="CT55" i="15"/>
  <c r="CU55" i="15"/>
  <c r="CV55" i="15"/>
  <c r="CW55" i="15"/>
  <c r="CX55" i="15"/>
  <c r="CY55" i="15"/>
  <c r="CZ55" i="15"/>
  <c r="DA55" i="15"/>
  <c r="DB55" i="15"/>
  <c r="DC55" i="15"/>
  <c r="DD55" i="15"/>
  <c r="DE55" i="15"/>
  <c r="DF55" i="15"/>
  <c r="DG55" i="15"/>
  <c r="DH55" i="15"/>
  <c r="DI55" i="15"/>
  <c r="DJ55" i="15"/>
  <c r="DK55" i="15"/>
  <c r="DL55" i="15"/>
  <c r="DM55" i="15"/>
  <c r="DN55" i="15"/>
  <c r="DO55" i="15"/>
  <c r="DP55" i="15"/>
  <c r="DQ55" i="15"/>
  <c r="DR55" i="15"/>
  <c r="DS55" i="15"/>
  <c r="DT55" i="15"/>
  <c r="DU55" i="15"/>
  <c r="DV55" i="15"/>
  <c r="DW55" i="15"/>
  <c r="DX55" i="15"/>
  <c r="DY55" i="15"/>
  <c r="DZ55" i="15"/>
  <c r="EA55" i="15"/>
  <c r="EB55" i="15"/>
  <c r="EC55" i="15"/>
  <c r="ED55" i="15"/>
  <c r="EE55" i="15"/>
  <c r="EF55" i="15"/>
  <c r="EG55" i="15"/>
  <c r="EH55" i="15"/>
  <c r="EI55" i="15"/>
  <c r="EJ55" i="15"/>
  <c r="EK55" i="15"/>
  <c r="EL55" i="15"/>
  <c r="EM55" i="15"/>
  <c r="EN55" i="15"/>
  <c r="EO55" i="15"/>
  <c r="EP55" i="15"/>
  <c r="EQ55" i="15"/>
  <c r="ER55" i="15"/>
  <c r="ES55" i="15"/>
  <c r="ET55" i="15"/>
  <c r="EU55" i="15"/>
  <c r="EV55" i="15"/>
  <c r="EW55" i="15"/>
  <c r="EX55" i="15"/>
  <c r="EY55" i="15"/>
  <c r="EZ55" i="15"/>
  <c r="FA55" i="15"/>
  <c r="FB55" i="15"/>
  <c r="FC55" i="15"/>
  <c r="FD55" i="15"/>
  <c r="FE55" i="15"/>
  <c r="FF55" i="15"/>
  <c r="FG55" i="15"/>
  <c r="FH55" i="15"/>
  <c r="FI55" i="15"/>
  <c r="FJ55" i="15"/>
  <c r="FK55" i="15"/>
  <c r="FL55" i="15"/>
  <c r="FM55" i="15"/>
  <c r="FN55" i="15"/>
  <c r="FO55" i="15"/>
  <c r="FP55" i="15"/>
  <c r="FQ55" i="15"/>
  <c r="FR55" i="15"/>
  <c r="FS55" i="15"/>
  <c r="FT55" i="15"/>
  <c r="FU55" i="15"/>
  <c r="FV55" i="15"/>
  <c r="FW55" i="15"/>
  <c r="FX55" i="15"/>
  <c r="FY55" i="15"/>
  <c r="FZ55" i="15"/>
  <c r="GA55" i="15"/>
  <c r="GB55" i="15"/>
  <c r="GC55" i="15"/>
  <c r="GD55" i="15"/>
  <c r="GE55" i="15"/>
  <c r="GF55" i="15"/>
  <c r="GG55" i="15"/>
  <c r="GH55" i="15"/>
  <c r="GI55" i="15"/>
  <c r="GJ55" i="15"/>
  <c r="GK55" i="15"/>
  <c r="GL55" i="15"/>
  <c r="GM55" i="15"/>
  <c r="GN55" i="15"/>
  <c r="GO55" i="15"/>
  <c r="GP55" i="15"/>
  <c r="GQ55" i="15"/>
  <c r="GR55" i="15"/>
  <c r="GS55" i="15"/>
  <c r="GT55" i="15"/>
  <c r="GU55" i="15"/>
  <c r="GV55" i="15"/>
  <c r="GW55" i="15"/>
  <c r="GX55" i="15"/>
  <c r="GY55" i="15"/>
  <c r="GZ55" i="15"/>
  <c r="HA55" i="15"/>
  <c r="HB55" i="15"/>
  <c r="HC55" i="15"/>
  <c r="HD55" i="15"/>
  <c r="HE55" i="15"/>
  <c r="HF55" i="15"/>
  <c r="HG55" i="15"/>
  <c r="HH55" i="15"/>
  <c r="HI55" i="15"/>
  <c r="HJ55" i="15"/>
  <c r="HK55" i="15"/>
  <c r="HL55" i="15"/>
  <c r="HM55" i="15"/>
  <c r="HN55" i="15"/>
  <c r="HO55" i="15"/>
  <c r="HP55" i="15"/>
  <c r="HQ55" i="15"/>
  <c r="HR55" i="15"/>
  <c r="HS55" i="15"/>
  <c r="HT55" i="15"/>
  <c r="HU55" i="15"/>
  <c r="HV55" i="15"/>
  <c r="HW55" i="15"/>
  <c r="HX55" i="15"/>
  <c r="HY55" i="15"/>
  <c r="HZ55" i="15"/>
  <c r="IA55" i="15"/>
  <c r="IB55" i="15"/>
  <c r="IC55" i="15"/>
  <c r="ID55" i="15"/>
  <c r="IE55" i="15"/>
  <c r="IF55" i="15"/>
  <c r="IG55" i="15"/>
  <c r="IH55" i="15"/>
  <c r="II55" i="15"/>
  <c r="IJ55" i="15"/>
  <c r="IK55" i="15"/>
  <c r="IL55" i="15"/>
  <c r="IM55" i="15"/>
  <c r="IN55" i="15"/>
  <c r="IO55" i="15"/>
  <c r="IP55" i="15"/>
  <c r="IQ55" i="15"/>
  <c r="IR55" i="15"/>
  <c r="IS55" i="15"/>
  <c r="IT55" i="15"/>
  <c r="IU55" i="15"/>
  <c r="IV55" i="15"/>
  <c r="A56" i="15"/>
  <c r="B56" i="15"/>
  <c r="C56" i="15"/>
  <c r="D56" i="15"/>
  <c r="E56" i="15"/>
  <c r="F56" i="15"/>
  <c r="G56" i="15"/>
  <c r="H56" i="15"/>
  <c r="I56" i="15"/>
  <c r="J56" i="15"/>
  <c r="K56" i="15"/>
  <c r="L56" i="15"/>
  <c r="M56" i="15"/>
  <c r="N56" i="15"/>
  <c r="O56" i="15"/>
  <c r="P56" i="15"/>
  <c r="Q56" i="15"/>
  <c r="R56" i="15"/>
  <c r="S56" i="15"/>
  <c r="T56" i="15"/>
  <c r="U56" i="15"/>
  <c r="V56" i="15"/>
  <c r="W56" i="15"/>
  <c r="X56" i="15"/>
  <c r="Y56" i="15"/>
  <c r="Z56" i="15"/>
  <c r="AA56" i="15"/>
  <c r="AB56" i="15"/>
  <c r="AC56" i="15"/>
  <c r="AD56" i="15"/>
  <c r="AE56" i="15"/>
  <c r="AF56" i="15"/>
  <c r="AG56" i="15"/>
  <c r="AH56" i="15"/>
  <c r="AI56" i="15"/>
  <c r="AJ56" i="15"/>
  <c r="AK56" i="15"/>
  <c r="AL56" i="15"/>
  <c r="AM56" i="15"/>
  <c r="AN56" i="15"/>
  <c r="AO56" i="15"/>
  <c r="AP56" i="15"/>
  <c r="AQ56" i="15"/>
  <c r="AR56" i="15"/>
  <c r="AS56" i="15"/>
  <c r="AT56" i="15"/>
  <c r="AU56" i="15"/>
  <c r="AV56" i="15"/>
  <c r="AW56" i="15"/>
  <c r="AX56" i="15"/>
  <c r="AY56" i="15"/>
  <c r="AZ56" i="15"/>
  <c r="BA56" i="15"/>
  <c r="BB56" i="15"/>
  <c r="BC56" i="15"/>
  <c r="BD56" i="15"/>
  <c r="BE56" i="15"/>
  <c r="BF56" i="15"/>
  <c r="BG56" i="15"/>
  <c r="BH56" i="15"/>
  <c r="BI56" i="15"/>
  <c r="BJ56" i="15"/>
  <c r="BK56" i="15"/>
  <c r="BL56" i="15"/>
  <c r="BM56" i="15"/>
  <c r="BN56" i="15"/>
  <c r="BO56" i="15"/>
  <c r="BP56" i="15"/>
  <c r="BQ56" i="15"/>
  <c r="BR56" i="15"/>
  <c r="BS56" i="15"/>
  <c r="BT56" i="15"/>
  <c r="BU56" i="15"/>
  <c r="BV56" i="15"/>
  <c r="BW56" i="15"/>
  <c r="BX56" i="15"/>
  <c r="BY56" i="15"/>
  <c r="BZ56" i="15"/>
  <c r="CA56" i="15"/>
  <c r="CB56" i="15"/>
  <c r="CC56" i="15"/>
  <c r="CD56" i="15"/>
  <c r="CE56" i="15"/>
  <c r="CF56" i="15"/>
  <c r="CG56" i="15"/>
  <c r="CH56" i="15"/>
  <c r="CI56" i="15"/>
  <c r="CJ56" i="15"/>
  <c r="CK56" i="15"/>
  <c r="CL56" i="15"/>
  <c r="CM56" i="15"/>
  <c r="CN56" i="15"/>
  <c r="CO56" i="15"/>
  <c r="CP56" i="15"/>
  <c r="CQ56" i="15"/>
  <c r="CR56" i="15"/>
  <c r="CS56" i="15"/>
  <c r="CT56" i="15"/>
  <c r="CU56" i="15"/>
  <c r="CV56" i="15"/>
  <c r="CW56" i="15"/>
  <c r="CX56" i="15"/>
  <c r="CY56" i="15"/>
  <c r="CZ56" i="15"/>
  <c r="DA56" i="15"/>
  <c r="DB56" i="15"/>
  <c r="DC56" i="15"/>
  <c r="DD56" i="15"/>
  <c r="DE56" i="15"/>
  <c r="DF56" i="15"/>
  <c r="DG56" i="15"/>
  <c r="DH56" i="15"/>
  <c r="DI56" i="15"/>
  <c r="DJ56" i="15"/>
  <c r="DK56" i="15"/>
  <c r="DL56" i="15"/>
  <c r="DM56" i="15"/>
  <c r="DN56" i="15"/>
  <c r="DO56" i="15"/>
  <c r="DP56" i="15"/>
  <c r="DQ56" i="15"/>
  <c r="DR56" i="15"/>
  <c r="DS56" i="15"/>
  <c r="DT56" i="15"/>
  <c r="DU56" i="15"/>
  <c r="DV56" i="15"/>
  <c r="DW56" i="15"/>
  <c r="DX56" i="15"/>
  <c r="DY56" i="15"/>
  <c r="DZ56" i="15"/>
  <c r="EA56" i="15"/>
  <c r="EB56" i="15"/>
  <c r="EC56" i="15"/>
  <c r="ED56" i="15"/>
  <c r="EE56" i="15"/>
  <c r="EF56" i="15"/>
  <c r="EG56" i="15"/>
  <c r="EH56" i="15"/>
  <c r="EI56" i="15"/>
  <c r="EJ56" i="15"/>
  <c r="EK56" i="15"/>
  <c r="EL56" i="15"/>
  <c r="EM56" i="15"/>
  <c r="EN56" i="15"/>
  <c r="EO56" i="15"/>
  <c r="EP56" i="15"/>
  <c r="EQ56" i="15"/>
  <c r="ER56" i="15"/>
  <c r="ES56" i="15"/>
  <c r="ET56" i="15"/>
  <c r="EU56" i="15"/>
  <c r="EV56" i="15"/>
  <c r="EW56" i="15"/>
  <c r="EX56" i="15"/>
  <c r="EY56" i="15"/>
  <c r="EZ56" i="15"/>
  <c r="FA56" i="15"/>
  <c r="FB56" i="15"/>
  <c r="FC56" i="15"/>
  <c r="FD56" i="15"/>
  <c r="FE56" i="15"/>
  <c r="FF56" i="15"/>
  <c r="FG56" i="15"/>
  <c r="FH56" i="15"/>
  <c r="FI56" i="15"/>
  <c r="FJ56" i="15"/>
  <c r="FK56" i="15"/>
  <c r="FL56" i="15"/>
  <c r="FM56" i="15"/>
  <c r="FN56" i="15"/>
  <c r="FO56" i="15"/>
  <c r="FP56" i="15"/>
  <c r="FQ56" i="15"/>
  <c r="FR56" i="15"/>
  <c r="FS56" i="15"/>
  <c r="FT56" i="15"/>
  <c r="FU56" i="15"/>
  <c r="FV56" i="15"/>
  <c r="FW56" i="15"/>
  <c r="FX56" i="15"/>
  <c r="FY56" i="15"/>
  <c r="FZ56" i="15"/>
  <c r="GA56" i="15"/>
  <c r="GB56" i="15"/>
  <c r="GC56" i="15"/>
  <c r="GD56" i="15"/>
  <c r="GE56" i="15"/>
  <c r="GF56" i="15"/>
  <c r="GG56" i="15"/>
  <c r="GH56" i="15"/>
  <c r="GI56" i="15"/>
  <c r="GJ56" i="15"/>
  <c r="GK56" i="15"/>
  <c r="GL56" i="15"/>
  <c r="GM56" i="15"/>
  <c r="GN56" i="15"/>
  <c r="GO56" i="15"/>
  <c r="GP56" i="15"/>
  <c r="GQ56" i="15"/>
  <c r="GR56" i="15"/>
  <c r="GS56" i="15"/>
  <c r="GT56" i="15"/>
  <c r="GU56" i="15"/>
  <c r="GV56" i="15"/>
  <c r="GW56" i="15"/>
  <c r="GX56" i="15"/>
  <c r="GY56" i="15"/>
  <c r="GZ56" i="15"/>
  <c r="HA56" i="15"/>
  <c r="HB56" i="15"/>
  <c r="HC56" i="15"/>
  <c r="HD56" i="15"/>
  <c r="HE56" i="15"/>
  <c r="HF56" i="15"/>
  <c r="HG56" i="15"/>
  <c r="HH56" i="15"/>
  <c r="HI56" i="15"/>
  <c r="HJ56" i="15"/>
  <c r="HK56" i="15"/>
  <c r="HL56" i="15"/>
  <c r="HM56" i="15"/>
  <c r="HN56" i="15"/>
  <c r="HO56" i="15"/>
  <c r="HP56" i="15"/>
  <c r="HQ56" i="15"/>
  <c r="HR56" i="15"/>
  <c r="HS56" i="15"/>
  <c r="HT56" i="15"/>
  <c r="HU56" i="15"/>
  <c r="HV56" i="15"/>
  <c r="HW56" i="15"/>
  <c r="HX56" i="15"/>
  <c r="HY56" i="15"/>
  <c r="HZ56" i="15"/>
  <c r="IA56" i="15"/>
  <c r="IB56" i="15"/>
  <c r="IC56" i="15"/>
  <c r="ID56" i="15"/>
  <c r="IE56" i="15"/>
  <c r="IF56" i="15"/>
  <c r="IG56" i="15"/>
  <c r="IH56" i="15"/>
  <c r="II56" i="15"/>
  <c r="IJ56" i="15"/>
  <c r="IK56" i="15"/>
  <c r="IL56" i="15"/>
  <c r="IM56" i="15"/>
  <c r="IN56" i="15"/>
  <c r="IO56" i="15"/>
  <c r="IP56" i="15"/>
  <c r="IQ56" i="15"/>
  <c r="IR56" i="15"/>
  <c r="IS56" i="15"/>
  <c r="IT56" i="15"/>
  <c r="IU56" i="15"/>
  <c r="IV56" i="15"/>
  <c r="A57" i="15"/>
  <c r="B57" i="15"/>
  <c r="C57" i="15"/>
  <c r="D57" i="15"/>
  <c r="E57" i="15"/>
  <c r="F57"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AG57" i="15"/>
  <c r="AH57" i="15"/>
  <c r="AI57" i="15"/>
  <c r="AJ57" i="15"/>
  <c r="AK57" i="15"/>
  <c r="AL57" i="15"/>
  <c r="AM57" i="15"/>
  <c r="AN57" i="15"/>
  <c r="AO57" i="15"/>
  <c r="AP57" i="15"/>
  <c r="AQ57" i="15"/>
  <c r="AR57" i="15"/>
  <c r="AS57" i="15"/>
  <c r="AT57" i="15"/>
  <c r="AU57" i="15"/>
  <c r="AV57" i="15"/>
  <c r="AW57" i="15"/>
  <c r="AX57" i="15"/>
  <c r="AY57" i="15"/>
  <c r="AZ57" i="15"/>
  <c r="BA57" i="15"/>
  <c r="BB57" i="15"/>
  <c r="BC57" i="15"/>
  <c r="BD57" i="15"/>
  <c r="BE57" i="15"/>
  <c r="BF57" i="15"/>
  <c r="BG57" i="15"/>
  <c r="BH57" i="15"/>
  <c r="BI57" i="15"/>
  <c r="BJ57" i="15"/>
  <c r="BK57" i="15"/>
  <c r="BL57" i="15"/>
  <c r="BM57" i="15"/>
  <c r="BN57" i="15"/>
  <c r="BO57" i="15"/>
  <c r="BP57" i="15"/>
  <c r="BQ57" i="15"/>
  <c r="BR57" i="15"/>
  <c r="BS57" i="15"/>
  <c r="BT57" i="15"/>
  <c r="BU57" i="15"/>
  <c r="BV57" i="15"/>
  <c r="BW57" i="15"/>
  <c r="BX57" i="15"/>
  <c r="BY57" i="15"/>
  <c r="BZ57" i="15"/>
  <c r="CA57" i="15"/>
  <c r="CB57" i="15"/>
  <c r="CC57" i="15"/>
  <c r="CD57" i="15"/>
  <c r="CE57" i="15"/>
  <c r="CF57" i="15"/>
  <c r="CG57" i="15"/>
  <c r="CH57" i="15"/>
  <c r="CI57" i="15"/>
  <c r="CJ57" i="15"/>
  <c r="CK57" i="15"/>
  <c r="CL57" i="15"/>
  <c r="CM57" i="15"/>
  <c r="CN57" i="15"/>
  <c r="CO57" i="15"/>
  <c r="CP57" i="15"/>
  <c r="CQ57" i="15"/>
  <c r="CR57" i="15"/>
  <c r="CS57" i="15"/>
  <c r="CT57" i="15"/>
  <c r="CU57" i="15"/>
  <c r="CV57" i="15"/>
  <c r="CW57" i="15"/>
  <c r="CX57" i="15"/>
  <c r="CY57" i="15"/>
  <c r="CZ57" i="15"/>
  <c r="DA57" i="15"/>
  <c r="DB57" i="15"/>
  <c r="DC57" i="15"/>
  <c r="DD57" i="15"/>
  <c r="DE57" i="15"/>
  <c r="DF57" i="15"/>
  <c r="DG57" i="15"/>
  <c r="DH57" i="15"/>
  <c r="DI57" i="15"/>
  <c r="DJ57" i="15"/>
  <c r="DK57" i="15"/>
  <c r="DL57" i="15"/>
  <c r="DM57" i="15"/>
  <c r="DN57" i="15"/>
  <c r="DO57" i="15"/>
  <c r="DP57" i="15"/>
  <c r="DQ57" i="15"/>
  <c r="DR57" i="15"/>
  <c r="DS57" i="15"/>
  <c r="DT57" i="15"/>
  <c r="DU57" i="15"/>
  <c r="DV57" i="15"/>
  <c r="DW57" i="15"/>
  <c r="DX57" i="15"/>
  <c r="DY57" i="15"/>
  <c r="DZ57" i="15"/>
  <c r="EA57" i="15"/>
  <c r="EB57" i="15"/>
  <c r="EC57" i="15"/>
  <c r="ED57" i="15"/>
  <c r="EE57" i="15"/>
  <c r="EF57" i="15"/>
  <c r="EG57" i="15"/>
  <c r="EH57" i="15"/>
  <c r="EI57" i="15"/>
  <c r="EJ57" i="15"/>
  <c r="EK57" i="15"/>
  <c r="EL57" i="15"/>
  <c r="EM57" i="15"/>
  <c r="EN57" i="15"/>
  <c r="EO57" i="15"/>
  <c r="EP57" i="15"/>
  <c r="EQ57" i="15"/>
  <c r="ER57" i="15"/>
  <c r="ES57" i="15"/>
  <c r="ET57" i="15"/>
  <c r="EU57" i="15"/>
  <c r="EV57" i="15"/>
  <c r="EW57" i="15"/>
  <c r="EX57" i="15"/>
  <c r="EY57" i="15"/>
  <c r="EZ57" i="15"/>
  <c r="FA57" i="15"/>
  <c r="FB57" i="15"/>
  <c r="FC57" i="15"/>
  <c r="FD57" i="15"/>
  <c r="FE57" i="15"/>
  <c r="FF57" i="15"/>
  <c r="FG57" i="15"/>
  <c r="FH57" i="15"/>
  <c r="FI57" i="15"/>
  <c r="FJ57" i="15"/>
  <c r="FK57" i="15"/>
  <c r="FL57" i="15"/>
  <c r="FM57" i="15"/>
  <c r="FN57" i="15"/>
  <c r="FO57" i="15"/>
  <c r="FP57" i="15"/>
  <c r="FQ57" i="15"/>
  <c r="FR57" i="15"/>
  <c r="FS57" i="15"/>
  <c r="FT57" i="15"/>
  <c r="FU57" i="15"/>
  <c r="FV57" i="15"/>
  <c r="FW57" i="15"/>
  <c r="FX57" i="15"/>
  <c r="FY57" i="15"/>
  <c r="FZ57" i="15"/>
  <c r="GA57" i="15"/>
  <c r="GB57" i="15"/>
  <c r="GC57" i="15"/>
  <c r="GD57" i="15"/>
  <c r="GE57" i="15"/>
  <c r="GF57" i="15"/>
  <c r="GG57" i="15"/>
  <c r="GH57" i="15"/>
  <c r="GI57" i="15"/>
  <c r="GJ57" i="15"/>
  <c r="GK57" i="15"/>
  <c r="GL57" i="15"/>
  <c r="GM57" i="15"/>
  <c r="GN57" i="15"/>
  <c r="GO57" i="15"/>
  <c r="GP57" i="15"/>
  <c r="GQ57" i="15"/>
  <c r="GR57" i="15"/>
  <c r="GS57" i="15"/>
  <c r="GT57" i="15"/>
  <c r="GU57" i="15"/>
  <c r="GV57" i="15"/>
  <c r="GW57" i="15"/>
  <c r="GX57" i="15"/>
  <c r="GY57" i="15"/>
  <c r="GZ57" i="15"/>
  <c r="HA57" i="15"/>
  <c r="HB57" i="15"/>
  <c r="HC57" i="15"/>
  <c r="HD57" i="15"/>
  <c r="HE57" i="15"/>
  <c r="HF57" i="15"/>
  <c r="HG57" i="15"/>
  <c r="HH57" i="15"/>
  <c r="HI57" i="15"/>
  <c r="HJ57" i="15"/>
  <c r="HK57" i="15"/>
  <c r="HL57" i="15"/>
  <c r="HM57" i="15"/>
  <c r="HN57" i="15"/>
  <c r="HO57" i="15"/>
  <c r="HP57" i="15"/>
  <c r="HQ57" i="15"/>
  <c r="HR57" i="15"/>
  <c r="HS57" i="15"/>
  <c r="HT57" i="15"/>
  <c r="HU57" i="15"/>
  <c r="HV57" i="15"/>
  <c r="HW57" i="15"/>
  <c r="HX57" i="15"/>
  <c r="HY57" i="15"/>
  <c r="HZ57" i="15"/>
  <c r="IA57" i="15"/>
  <c r="IB57" i="15"/>
  <c r="IC57" i="15"/>
  <c r="ID57" i="15"/>
  <c r="IE57" i="15"/>
  <c r="IF57" i="15"/>
  <c r="IG57" i="15"/>
  <c r="IH57" i="15"/>
  <c r="II57" i="15"/>
  <c r="IJ57" i="15"/>
  <c r="IK57" i="15"/>
  <c r="IL57" i="15"/>
  <c r="IM57" i="15"/>
  <c r="IN57" i="15"/>
  <c r="IO57" i="15"/>
  <c r="IP57" i="15"/>
  <c r="IQ57" i="15"/>
  <c r="IR57" i="15"/>
  <c r="IS57" i="15"/>
  <c r="IT57" i="15"/>
  <c r="IU57" i="15"/>
  <c r="IV57" i="15"/>
  <c r="A58" i="15"/>
  <c r="B58" i="15"/>
  <c r="C58" i="15"/>
  <c r="D58" i="15"/>
  <c r="E58" i="15"/>
  <c r="F58"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AG58" i="15"/>
  <c r="AH58" i="15"/>
  <c r="AI58" i="15"/>
  <c r="AJ58" i="15"/>
  <c r="AK58" i="15"/>
  <c r="AL58" i="15"/>
  <c r="AM58" i="15"/>
  <c r="AN58" i="15"/>
  <c r="AO58" i="15"/>
  <c r="AP58" i="15"/>
  <c r="AQ58" i="15"/>
  <c r="AR58" i="15"/>
  <c r="AS58" i="15"/>
  <c r="AT58" i="15"/>
  <c r="AU58" i="15"/>
  <c r="AV58" i="15"/>
  <c r="AW58" i="15"/>
  <c r="AX58" i="15"/>
  <c r="AY58" i="15"/>
  <c r="AZ58" i="15"/>
  <c r="BA58" i="15"/>
  <c r="BB58" i="15"/>
  <c r="BC58" i="15"/>
  <c r="BD58" i="15"/>
  <c r="BE58" i="15"/>
  <c r="BF58" i="15"/>
  <c r="BG58" i="15"/>
  <c r="BH58" i="15"/>
  <c r="BI58" i="15"/>
  <c r="BJ58" i="15"/>
  <c r="BK58" i="15"/>
  <c r="BL58" i="15"/>
  <c r="BM58" i="15"/>
  <c r="BN58" i="15"/>
  <c r="BO58" i="15"/>
  <c r="BP58" i="15"/>
  <c r="BQ58" i="15"/>
  <c r="BR58" i="15"/>
  <c r="BS58" i="15"/>
  <c r="BT58" i="15"/>
  <c r="BU58" i="15"/>
  <c r="BV58" i="15"/>
  <c r="BW58" i="15"/>
  <c r="BX58" i="15"/>
  <c r="BY58" i="15"/>
  <c r="BZ58" i="15"/>
  <c r="CA58" i="15"/>
  <c r="CB58" i="15"/>
  <c r="CC58" i="15"/>
  <c r="CD58" i="15"/>
  <c r="CE58" i="15"/>
  <c r="CF58" i="15"/>
  <c r="CG58" i="15"/>
  <c r="CH58" i="15"/>
  <c r="CI58" i="15"/>
  <c r="CJ58" i="15"/>
  <c r="CK58" i="15"/>
  <c r="CL58" i="15"/>
  <c r="CM58" i="15"/>
  <c r="CN58" i="15"/>
  <c r="CO58" i="15"/>
  <c r="CP58" i="15"/>
  <c r="CQ58" i="15"/>
  <c r="CR58" i="15"/>
  <c r="CS58" i="15"/>
  <c r="CT58" i="15"/>
  <c r="CU58" i="15"/>
  <c r="CV58" i="15"/>
  <c r="CW58" i="15"/>
  <c r="CX58" i="15"/>
  <c r="CY58" i="15"/>
  <c r="CZ58" i="15"/>
  <c r="DA58" i="15"/>
  <c r="DB58" i="15"/>
  <c r="DC58" i="15"/>
  <c r="DD58" i="15"/>
  <c r="DE58" i="15"/>
  <c r="DF58" i="15"/>
  <c r="DG58" i="15"/>
  <c r="DH58" i="15"/>
  <c r="DI58" i="15"/>
  <c r="DJ58" i="15"/>
  <c r="DK58" i="15"/>
  <c r="DL58" i="15"/>
  <c r="DM58" i="15"/>
  <c r="DN58" i="15"/>
  <c r="DO58" i="15"/>
  <c r="DP58" i="15"/>
  <c r="DQ58" i="15"/>
  <c r="DR58" i="15"/>
  <c r="DS58" i="15"/>
  <c r="DT58" i="15"/>
  <c r="DU58" i="15"/>
  <c r="DV58" i="15"/>
  <c r="DW58" i="15"/>
  <c r="DX58" i="15"/>
  <c r="DY58" i="15"/>
  <c r="DZ58" i="15"/>
  <c r="EA58" i="15"/>
  <c r="EB58" i="15"/>
  <c r="EC58" i="15"/>
  <c r="ED58" i="15"/>
  <c r="EE58" i="15"/>
  <c r="EF58" i="15"/>
  <c r="EG58" i="15"/>
  <c r="EH58" i="15"/>
  <c r="EI58" i="15"/>
  <c r="EJ58" i="15"/>
  <c r="EK58" i="15"/>
  <c r="EL58" i="15"/>
  <c r="EM58" i="15"/>
  <c r="EN58" i="15"/>
  <c r="EO58" i="15"/>
  <c r="EP58" i="15"/>
  <c r="EQ58" i="15"/>
  <c r="ER58" i="15"/>
  <c r="ES58" i="15"/>
  <c r="ET58" i="15"/>
  <c r="EU58" i="15"/>
  <c r="EV58" i="15"/>
  <c r="EW58" i="15"/>
  <c r="EX58" i="15"/>
  <c r="EY58" i="15"/>
  <c r="EZ58" i="15"/>
  <c r="FA58" i="15"/>
  <c r="FB58" i="15"/>
  <c r="FC58" i="15"/>
  <c r="FD58" i="15"/>
  <c r="FE58" i="15"/>
  <c r="FF58" i="15"/>
  <c r="FG58" i="15"/>
  <c r="FH58" i="15"/>
  <c r="FI58" i="15"/>
  <c r="FJ58" i="15"/>
  <c r="FK58" i="15"/>
  <c r="FL58" i="15"/>
  <c r="FM58" i="15"/>
  <c r="FN58" i="15"/>
  <c r="FO58" i="15"/>
  <c r="FP58" i="15"/>
  <c r="FQ58" i="15"/>
  <c r="FR58" i="15"/>
  <c r="FS58" i="15"/>
  <c r="FT58" i="15"/>
  <c r="FU58" i="15"/>
  <c r="FV58" i="15"/>
  <c r="FW58" i="15"/>
  <c r="FX58" i="15"/>
  <c r="FY58" i="15"/>
  <c r="FZ58" i="15"/>
  <c r="GA58" i="15"/>
  <c r="GB58" i="15"/>
  <c r="GC58" i="15"/>
  <c r="GD58" i="15"/>
  <c r="GE58" i="15"/>
  <c r="GF58" i="15"/>
  <c r="GG58" i="15"/>
  <c r="GH58" i="15"/>
  <c r="GI58" i="15"/>
  <c r="GJ58" i="15"/>
  <c r="GK58" i="15"/>
  <c r="GL58" i="15"/>
  <c r="GM58" i="15"/>
  <c r="GN58" i="15"/>
  <c r="GO58" i="15"/>
  <c r="GP58" i="15"/>
  <c r="GQ58" i="15"/>
  <c r="GR58" i="15"/>
  <c r="GS58" i="15"/>
  <c r="GT58" i="15"/>
  <c r="GU58" i="15"/>
  <c r="GV58" i="15"/>
  <c r="GW58" i="15"/>
  <c r="GX58" i="15"/>
  <c r="GY58" i="15"/>
  <c r="GZ58" i="15"/>
  <c r="HA58" i="15"/>
  <c r="HB58" i="15"/>
  <c r="HC58" i="15"/>
  <c r="HD58" i="15"/>
  <c r="HE58" i="15"/>
  <c r="HF58" i="15"/>
  <c r="HG58" i="15"/>
  <c r="HH58" i="15"/>
  <c r="HI58" i="15"/>
  <c r="HJ58" i="15"/>
  <c r="HK58" i="15"/>
  <c r="HL58" i="15"/>
  <c r="HM58" i="15"/>
  <c r="HN58" i="15"/>
  <c r="HO58" i="15"/>
  <c r="HP58" i="15"/>
  <c r="HQ58" i="15"/>
  <c r="HR58" i="15"/>
  <c r="HS58" i="15"/>
  <c r="HT58" i="15"/>
  <c r="HU58" i="15"/>
  <c r="HV58" i="15"/>
  <c r="HW58" i="15"/>
  <c r="HX58" i="15"/>
  <c r="HY58" i="15"/>
  <c r="HZ58" i="15"/>
  <c r="IA58" i="15"/>
  <c r="IB58" i="15"/>
  <c r="IC58" i="15"/>
  <c r="ID58" i="15"/>
  <c r="IE58" i="15"/>
  <c r="IF58" i="15"/>
  <c r="IG58" i="15"/>
  <c r="IH58" i="15"/>
  <c r="II58" i="15"/>
  <c r="IJ58" i="15"/>
  <c r="IK58" i="15"/>
  <c r="IL58" i="15"/>
  <c r="IM58" i="15"/>
  <c r="IN58" i="15"/>
  <c r="IO58" i="15"/>
  <c r="IP58" i="15"/>
  <c r="IQ58" i="15"/>
  <c r="IR58" i="15"/>
  <c r="IS58" i="15"/>
  <c r="IT58" i="15"/>
  <c r="IU58" i="15"/>
  <c r="IV58" i="15"/>
  <c r="A59" i="15"/>
  <c r="B59" i="15"/>
  <c r="C59" i="15"/>
  <c r="D59" i="15"/>
  <c r="E59" i="15"/>
  <c r="F59"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AG59" i="15"/>
  <c r="AH59" i="15"/>
  <c r="AI59" i="15"/>
  <c r="AJ59" i="15"/>
  <c r="AK59" i="15"/>
  <c r="AL59" i="15"/>
  <c r="AM59" i="15"/>
  <c r="AN59" i="15"/>
  <c r="AO59" i="15"/>
  <c r="AP59" i="15"/>
  <c r="AQ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U59" i="15"/>
  <c r="BV59" i="15"/>
  <c r="BW59" i="15"/>
  <c r="BX59" i="15"/>
  <c r="BY59" i="15"/>
  <c r="BZ59" i="15"/>
  <c r="CA59" i="15"/>
  <c r="CB59" i="15"/>
  <c r="CC59" i="15"/>
  <c r="CD59" i="15"/>
  <c r="CE59" i="15"/>
  <c r="CF59" i="15"/>
  <c r="CG59" i="15"/>
  <c r="CH59" i="15"/>
  <c r="CI59" i="15"/>
  <c r="CJ59" i="15"/>
  <c r="CK59" i="15"/>
  <c r="CL59" i="15"/>
  <c r="CM59" i="15"/>
  <c r="CN59" i="15"/>
  <c r="CO59" i="15"/>
  <c r="CP59" i="15"/>
  <c r="CQ59" i="15"/>
  <c r="CR59" i="15"/>
  <c r="CS59" i="15"/>
  <c r="CT59" i="15"/>
  <c r="CU59" i="15"/>
  <c r="CV59" i="15"/>
  <c r="CW59" i="15"/>
  <c r="CX59" i="15"/>
  <c r="CY59" i="15"/>
  <c r="CZ59" i="15"/>
  <c r="DA59" i="15"/>
  <c r="DB59" i="15"/>
  <c r="DC59" i="15"/>
  <c r="DD59" i="15"/>
  <c r="DE59" i="15"/>
  <c r="DF59" i="15"/>
  <c r="DG59" i="15"/>
  <c r="DH59" i="15"/>
  <c r="DI59" i="15"/>
  <c r="DJ59" i="15"/>
  <c r="DK59" i="15"/>
  <c r="DL59" i="15"/>
  <c r="DM59" i="15"/>
  <c r="DN59" i="15"/>
  <c r="DO59" i="15"/>
  <c r="DP59" i="15"/>
  <c r="DQ59" i="15"/>
  <c r="DR59" i="15"/>
  <c r="DS59" i="15"/>
  <c r="DT59" i="15"/>
  <c r="DU59" i="15"/>
  <c r="DV59" i="15"/>
  <c r="DW59" i="15"/>
  <c r="DX59" i="15"/>
  <c r="DY59" i="15"/>
  <c r="DZ59" i="15"/>
  <c r="EA59" i="15"/>
  <c r="EB59" i="15"/>
  <c r="EC59" i="15"/>
  <c r="ED59" i="15"/>
  <c r="EE59" i="15"/>
  <c r="EF59" i="15"/>
  <c r="EG59" i="15"/>
  <c r="EH59" i="15"/>
  <c r="EI59" i="15"/>
  <c r="EJ59" i="15"/>
  <c r="EK59" i="15"/>
  <c r="EL59" i="15"/>
  <c r="EM59" i="15"/>
  <c r="EN59" i="15"/>
  <c r="EO59" i="15"/>
  <c r="EP59" i="15"/>
  <c r="EQ59" i="15"/>
  <c r="ER59" i="15"/>
  <c r="ES59" i="15"/>
  <c r="ET59" i="15"/>
  <c r="EU59" i="15"/>
  <c r="EV59" i="15"/>
  <c r="EW59" i="15"/>
  <c r="EX59" i="15"/>
  <c r="EY59" i="15"/>
  <c r="EZ59" i="15"/>
  <c r="FA59" i="15"/>
  <c r="FB59" i="15"/>
  <c r="FC59" i="15"/>
  <c r="FD59" i="15"/>
  <c r="FE59" i="15"/>
  <c r="FF59" i="15"/>
  <c r="FG59" i="15"/>
  <c r="FH59" i="15"/>
  <c r="FI59" i="15"/>
  <c r="FJ59" i="15"/>
  <c r="FK59" i="15"/>
  <c r="FL59" i="15"/>
  <c r="FM59" i="15"/>
  <c r="FN59" i="15"/>
  <c r="FO59" i="15"/>
  <c r="FP59" i="15"/>
  <c r="FQ59" i="15"/>
  <c r="FR59" i="15"/>
  <c r="FS59" i="15"/>
  <c r="FT59" i="15"/>
  <c r="FU59" i="15"/>
  <c r="FV59" i="15"/>
  <c r="FW59" i="15"/>
  <c r="FX59" i="15"/>
  <c r="FY59" i="15"/>
  <c r="FZ59" i="15"/>
  <c r="GA59" i="15"/>
  <c r="GB59" i="15"/>
  <c r="GC59" i="15"/>
  <c r="GD59" i="15"/>
  <c r="GE59" i="15"/>
  <c r="GF59" i="15"/>
  <c r="GG59" i="15"/>
  <c r="GH59" i="15"/>
  <c r="GI59" i="15"/>
  <c r="GJ59" i="15"/>
  <c r="GK59" i="15"/>
  <c r="GL59" i="15"/>
  <c r="GM59" i="15"/>
  <c r="GN59" i="15"/>
  <c r="GO59" i="15"/>
  <c r="GP59" i="15"/>
  <c r="GQ59" i="15"/>
  <c r="GR59" i="15"/>
  <c r="GS59" i="15"/>
  <c r="GT59" i="15"/>
  <c r="GU59" i="15"/>
  <c r="GV59" i="15"/>
  <c r="GW59" i="15"/>
  <c r="GX59" i="15"/>
  <c r="GY59" i="15"/>
  <c r="GZ59" i="15"/>
  <c r="HA59" i="15"/>
  <c r="HB59" i="15"/>
  <c r="HC59" i="15"/>
  <c r="HD59" i="15"/>
  <c r="HE59" i="15"/>
  <c r="HF59" i="15"/>
  <c r="HG59" i="15"/>
  <c r="HH59" i="15"/>
  <c r="HI59" i="15"/>
  <c r="HJ59" i="15"/>
  <c r="HK59" i="15"/>
  <c r="HL59" i="15"/>
  <c r="HM59" i="15"/>
  <c r="HN59" i="15"/>
  <c r="HO59" i="15"/>
  <c r="HP59" i="15"/>
  <c r="HQ59" i="15"/>
  <c r="HR59" i="15"/>
  <c r="HS59" i="15"/>
  <c r="HT59" i="15"/>
  <c r="HU59" i="15"/>
  <c r="HV59" i="15"/>
  <c r="HW59" i="15"/>
  <c r="HX59" i="15"/>
  <c r="HY59" i="15"/>
  <c r="HZ59" i="15"/>
  <c r="IA59" i="15"/>
  <c r="IB59" i="15"/>
  <c r="IC59" i="15"/>
  <c r="ID59" i="15"/>
  <c r="IE59" i="15"/>
  <c r="IF59" i="15"/>
  <c r="IG59" i="15"/>
  <c r="IH59" i="15"/>
  <c r="II59" i="15"/>
  <c r="IJ59" i="15"/>
  <c r="IK59" i="15"/>
  <c r="IL59" i="15"/>
  <c r="IM59" i="15"/>
  <c r="IN59" i="15"/>
  <c r="IO59" i="15"/>
  <c r="IP59" i="15"/>
  <c r="IQ59" i="15"/>
  <c r="IR59" i="15"/>
  <c r="IS59" i="15"/>
  <c r="IT59" i="15"/>
  <c r="IU59" i="15"/>
  <c r="IV59" i="15"/>
  <c r="A60" i="15"/>
  <c r="B60" i="15"/>
  <c r="C60" i="15"/>
  <c r="D60" i="15"/>
  <c r="E60" i="15"/>
  <c r="F60"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AG60" i="15"/>
  <c r="AH60" i="15"/>
  <c r="AI60" i="15"/>
  <c r="AJ60" i="15"/>
  <c r="AK60" i="15"/>
  <c r="AL60" i="15"/>
  <c r="AM60" i="15"/>
  <c r="AN60" i="15"/>
  <c r="AO60" i="15"/>
  <c r="AP60" i="15"/>
  <c r="AQ60" i="15"/>
  <c r="AR60" i="15"/>
  <c r="AS60" i="15"/>
  <c r="AT60" i="15"/>
  <c r="AU60" i="15"/>
  <c r="AV60" i="15"/>
  <c r="AW60" i="15"/>
  <c r="AX60" i="15"/>
  <c r="AY60" i="15"/>
  <c r="AZ60" i="15"/>
  <c r="BA60" i="15"/>
  <c r="BB60" i="15"/>
  <c r="BC60" i="15"/>
  <c r="BD60" i="15"/>
  <c r="BE60" i="15"/>
  <c r="BF60" i="15"/>
  <c r="BG60" i="15"/>
  <c r="BH60" i="15"/>
  <c r="BI60" i="15"/>
  <c r="BJ60" i="15"/>
  <c r="BK60" i="15"/>
  <c r="BL60" i="15"/>
  <c r="BM60" i="15"/>
  <c r="BN60" i="15"/>
  <c r="BO60" i="15"/>
  <c r="BP60" i="15"/>
  <c r="BQ60" i="15"/>
  <c r="BR60" i="15"/>
  <c r="BS60" i="15"/>
  <c r="BT60" i="15"/>
  <c r="BU60" i="15"/>
  <c r="BV60" i="15"/>
  <c r="BW60" i="15"/>
  <c r="BX60" i="15"/>
  <c r="BY60" i="15"/>
  <c r="BZ60" i="15"/>
  <c r="CA60" i="15"/>
  <c r="CB60" i="15"/>
  <c r="CC60" i="15"/>
  <c r="CD60" i="15"/>
  <c r="CE60" i="15"/>
  <c r="CF60" i="15"/>
  <c r="CG60" i="15"/>
  <c r="CH60" i="15"/>
  <c r="CI60" i="15"/>
  <c r="CJ60" i="15"/>
  <c r="CK60" i="15"/>
  <c r="CL60" i="15"/>
  <c r="CM60" i="15"/>
  <c r="CN60" i="15"/>
  <c r="CO60" i="15"/>
  <c r="CP60" i="15"/>
  <c r="CQ60" i="15"/>
  <c r="CR60" i="15"/>
  <c r="CS60" i="15"/>
  <c r="CT60" i="15"/>
  <c r="CU60" i="15"/>
  <c r="CV60" i="15"/>
  <c r="CW60" i="15"/>
  <c r="CX60" i="15"/>
  <c r="CY60" i="15"/>
  <c r="CZ60" i="15"/>
  <c r="DA60" i="15"/>
  <c r="DB60" i="15"/>
  <c r="DC60" i="15"/>
  <c r="DD60" i="15"/>
  <c r="DE60" i="15"/>
  <c r="DF60" i="15"/>
  <c r="DG60" i="15"/>
  <c r="DH60" i="15"/>
  <c r="DI60" i="15"/>
  <c r="DJ60" i="15"/>
  <c r="DK60" i="15"/>
  <c r="DL60" i="15"/>
  <c r="DM60" i="15"/>
  <c r="DN60" i="15"/>
  <c r="DO60" i="15"/>
  <c r="DP60" i="15"/>
  <c r="DQ60" i="15"/>
  <c r="DR60" i="15"/>
  <c r="DS60" i="15"/>
  <c r="DT60" i="15"/>
  <c r="DU60" i="15"/>
  <c r="DV60" i="15"/>
  <c r="DW60" i="15"/>
  <c r="DX60" i="15"/>
  <c r="DY60" i="15"/>
  <c r="DZ60" i="15"/>
  <c r="EA60" i="15"/>
  <c r="EB60" i="15"/>
  <c r="EC60" i="15"/>
  <c r="ED60" i="15"/>
  <c r="EE60" i="15"/>
  <c r="EF60" i="15"/>
  <c r="EG60" i="15"/>
  <c r="EH60" i="15"/>
  <c r="EI60" i="15"/>
  <c r="EJ60" i="15"/>
  <c r="EK60" i="15"/>
  <c r="EL60" i="15"/>
  <c r="EM60" i="15"/>
  <c r="EN60" i="15"/>
  <c r="EO60" i="15"/>
  <c r="EP60" i="15"/>
  <c r="EQ60" i="15"/>
  <c r="ER60" i="15"/>
  <c r="ES60" i="15"/>
  <c r="ET60" i="15"/>
  <c r="EU60" i="15"/>
  <c r="EV60" i="15"/>
  <c r="EW60" i="15"/>
  <c r="EX60" i="15"/>
  <c r="EY60" i="15"/>
  <c r="EZ60" i="15"/>
  <c r="FA60" i="15"/>
  <c r="FB60" i="15"/>
  <c r="FC60" i="15"/>
  <c r="FD60" i="15"/>
  <c r="FE60" i="15"/>
  <c r="FF60" i="15"/>
  <c r="FG60" i="15"/>
  <c r="FH60" i="15"/>
  <c r="FI60" i="15"/>
  <c r="FJ60" i="15"/>
  <c r="FK60" i="15"/>
  <c r="FL60" i="15"/>
  <c r="FM60" i="15"/>
  <c r="FN60" i="15"/>
  <c r="FO60" i="15"/>
  <c r="FP60" i="15"/>
  <c r="FQ60" i="15"/>
  <c r="FR60" i="15"/>
  <c r="FS60" i="15"/>
  <c r="FT60" i="15"/>
  <c r="FU60" i="15"/>
  <c r="FV60" i="15"/>
  <c r="FW60" i="15"/>
  <c r="FX60" i="15"/>
  <c r="FY60" i="15"/>
  <c r="FZ60" i="15"/>
  <c r="GA60" i="15"/>
  <c r="GB60" i="15"/>
  <c r="GC60" i="15"/>
  <c r="GD60" i="15"/>
  <c r="GE60" i="15"/>
  <c r="GF60" i="15"/>
  <c r="GG60" i="15"/>
  <c r="GH60" i="15"/>
  <c r="GI60" i="15"/>
  <c r="GJ60" i="15"/>
  <c r="GK60" i="15"/>
  <c r="GL60" i="15"/>
  <c r="GM60" i="15"/>
  <c r="GN60" i="15"/>
  <c r="GO60" i="15"/>
  <c r="GP60" i="15"/>
  <c r="GQ60" i="15"/>
  <c r="GR60" i="15"/>
  <c r="GS60" i="15"/>
  <c r="GT60" i="15"/>
  <c r="GU60" i="15"/>
  <c r="GV60" i="15"/>
  <c r="GW60" i="15"/>
  <c r="GX60" i="15"/>
  <c r="GY60" i="15"/>
  <c r="GZ60" i="15"/>
  <c r="HA60" i="15"/>
  <c r="HB60" i="15"/>
  <c r="HC60" i="15"/>
  <c r="HD60" i="15"/>
  <c r="HE60" i="15"/>
  <c r="HF60" i="15"/>
  <c r="HG60" i="15"/>
  <c r="HH60" i="15"/>
  <c r="HI60" i="15"/>
  <c r="HJ60" i="15"/>
  <c r="HK60" i="15"/>
  <c r="HL60" i="15"/>
  <c r="HM60" i="15"/>
  <c r="HN60" i="15"/>
  <c r="HO60" i="15"/>
  <c r="HP60" i="15"/>
  <c r="HQ60" i="15"/>
  <c r="HR60" i="15"/>
  <c r="HS60" i="15"/>
  <c r="HT60" i="15"/>
  <c r="HU60" i="15"/>
  <c r="HV60" i="15"/>
  <c r="HW60" i="15"/>
  <c r="HX60" i="15"/>
  <c r="HY60" i="15"/>
  <c r="HZ60" i="15"/>
  <c r="IA60" i="15"/>
  <c r="IB60" i="15"/>
  <c r="IC60" i="15"/>
  <c r="ID60" i="15"/>
  <c r="IE60" i="15"/>
  <c r="IF60" i="15"/>
  <c r="IG60" i="15"/>
  <c r="IH60" i="15"/>
  <c r="II60" i="15"/>
  <c r="IJ60" i="15"/>
  <c r="IK60" i="15"/>
  <c r="IL60" i="15"/>
  <c r="IM60" i="15"/>
  <c r="IN60" i="15"/>
  <c r="IO60" i="15"/>
  <c r="IP60" i="15"/>
  <c r="IQ60" i="15"/>
  <c r="IR60" i="15"/>
  <c r="IS60" i="15"/>
  <c r="IT60" i="15"/>
  <c r="IU60" i="15"/>
  <c r="IV60" i="15"/>
  <c r="A61" i="15"/>
  <c r="B61" i="15"/>
  <c r="C61" i="15"/>
  <c r="D61" i="15"/>
  <c r="E61" i="15"/>
  <c r="F61"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AG61" i="15"/>
  <c r="AH61" i="15"/>
  <c r="AI61" i="15"/>
  <c r="AJ61" i="15"/>
  <c r="AK61" i="15"/>
  <c r="AL61" i="15"/>
  <c r="AM61" i="15"/>
  <c r="AN61" i="15"/>
  <c r="AO61" i="15"/>
  <c r="AP61" i="15"/>
  <c r="AQ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U61" i="15"/>
  <c r="BV61" i="15"/>
  <c r="BW61" i="15"/>
  <c r="BX61" i="15"/>
  <c r="BY61" i="15"/>
  <c r="BZ61" i="15"/>
  <c r="CA61" i="15"/>
  <c r="CB61" i="15"/>
  <c r="CC61" i="15"/>
  <c r="CD61" i="15"/>
  <c r="CE61" i="15"/>
  <c r="CF61" i="15"/>
  <c r="CG61" i="15"/>
  <c r="CH61" i="15"/>
  <c r="CI61" i="15"/>
  <c r="CJ61" i="15"/>
  <c r="CK61" i="15"/>
  <c r="CL61" i="15"/>
  <c r="CM61" i="15"/>
  <c r="CN61" i="15"/>
  <c r="CO61" i="15"/>
  <c r="CP61" i="15"/>
  <c r="CQ61" i="15"/>
  <c r="CR61" i="15"/>
  <c r="CS61" i="15"/>
  <c r="CT61" i="15"/>
  <c r="CU61" i="15"/>
  <c r="CV61" i="15"/>
  <c r="CW61" i="15"/>
  <c r="CX61" i="15"/>
  <c r="CY61" i="15"/>
  <c r="CZ61" i="15"/>
  <c r="DA61" i="15"/>
  <c r="DB61" i="15"/>
  <c r="DC61" i="15"/>
  <c r="DD61" i="15"/>
  <c r="DE61" i="15"/>
  <c r="DF61" i="15"/>
  <c r="DG61" i="15"/>
  <c r="DH61" i="15"/>
  <c r="DI61" i="15"/>
  <c r="DJ61" i="15"/>
  <c r="DK61" i="15"/>
  <c r="DL61" i="15"/>
  <c r="DM61" i="15"/>
  <c r="DN61" i="15"/>
  <c r="DO61" i="15"/>
  <c r="DP61" i="15"/>
  <c r="DQ61" i="15"/>
  <c r="DR61" i="15"/>
  <c r="DS61" i="15"/>
  <c r="DT61" i="15"/>
  <c r="DU61" i="15"/>
  <c r="DV61" i="15"/>
  <c r="DW61" i="15"/>
  <c r="DX61" i="15"/>
  <c r="DY61" i="15"/>
  <c r="DZ61" i="15"/>
  <c r="EA61" i="15"/>
  <c r="EB61" i="15"/>
  <c r="EC61" i="15"/>
  <c r="ED61" i="15"/>
  <c r="EE61" i="15"/>
  <c r="EF61" i="15"/>
  <c r="EG61" i="15"/>
  <c r="EH61" i="15"/>
  <c r="EI61" i="15"/>
  <c r="EJ61" i="15"/>
  <c r="EK61" i="15"/>
  <c r="EL61" i="15"/>
  <c r="EM61" i="15"/>
  <c r="EN61" i="15"/>
  <c r="EO61" i="15"/>
  <c r="EP61" i="15"/>
  <c r="EQ61" i="15"/>
  <c r="ER61" i="15"/>
  <c r="ES61" i="15"/>
  <c r="ET61" i="15"/>
  <c r="EU61" i="15"/>
  <c r="EV61" i="15"/>
  <c r="EW61" i="15"/>
  <c r="EX61" i="15"/>
  <c r="EY61" i="15"/>
  <c r="EZ61" i="15"/>
  <c r="FA61" i="15"/>
  <c r="FB61" i="15"/>
  <c r="FC61" i="15"/>
  <c r="FD61" i="15"/>
  <c r="FE61" i="15"/>
  <c r="FF61" i="15"/>
  <c r="FG61" i="15"/>
  <c r="FH61" i="15"/>
  <c r="FI61" i="15"/>
  <c r="FJ61" i="15"/>
  <c r="FK61" i="15"/>
  <c r="FL61" i="15"/>
  <c r="FM61" i="15"/>
  <c r="FN61" i="15"/>
  <c r="FO61" i="15"/>
  <c r="FP61" i="15"/>
  <c r="FQ61" i="15"/>
  <c r="FR61" i="15"/>
  <c r="FS61" i="15"/>
  <c r="FT61" i="15"/>
  <c r="FU61" i="15"/>
  <c r="FV61" i="15"/>
  <c r="FW61" i="15"/>
  <c r="FX61" i="15"/>
  <c r="FY61" i="15"/>
  <c r="FZ61" i="15"/>
  <c r="GA61" i="15"/>
  <c r="GB61" i="15"/>
  <c r="GC61" i="15"/>
  <c r="GD61" i="15"/>
  <c r="GE61" i="15"/>
  <c r="GF61" i="15"/>
  <c r="GG61" i="15"/>
  <c r="GH61" i="15"/>
  <c r="GI61" i="15"/>
  <c r="GJ61" i="15"/>
  <c r="GK61" i="15"/>
  <c r="GL61" i="15"/>
  <c r="GM61" i="15"/>
  <c r="GN61" i="15"/>
  <c r="GO61" i="15"/>
  <c r="GP61" i="15"/>
  <c r="GQ61" i="15"/>
  <c r="GR61" i="15"/>
  <c r="GS61" i="15"/>
  <c r="GT61" i="15"/>
  <c r="GU61" i="15"/>
  <c r="GV61" i="15"/>
  <c r="GW61" i="15"/>
  <c r="GX61" i="15"/>
  <c r="GY61" i="15"/>
  <c r="GZ61" i="15"/>
  <c r="HA61" i="15"/>
  <c r="HB61" i="15"/>
  <c r="HC61" i="15"/>
  <c r="HD61" i="15"/>
  <c r="HE61" i="15"/>
  <c r="HF61" i="15"/>
  <c r="HG61" i="15"/>
  <c r="HH61" i="15"/>
  <c r="HI61" i="15"/>
  <c r="HJ61" i="15"/>
  <c r="HK61" i="15"/>
  <c r="HL61" i="15"/>
  <c r="HM61" i="15"/>
  <c r="HN61" i="15"/>
  <c r="HO61" i="15"/>
  <c r="HP61" i="15"/>
  <c r="HQ61" i="15"/>
  <c r="HR61" i="15"/>
  <c r="HS61" i="15"/>
  <c r="HT61" i="15"/>
  <c r="HU61" i="15"/>
  <c r="HV61" i="15"/>
  <c r="HW61" i="15"/>
  <c r="HX61" i="15"/>
  <c r="HY61" i="15"/>
  <c r="HZ61" i="15"/>
  <c r="IA61" i="15"/>
  <c r="IB61" i="15"/>
  <c r="IC61" i="15"/>
  <c r="ID61" i="15"/>
  <c r="IE61" i="15"/>
  <c r="IF61" i="15"/>
  <c r="IG61" i="15"/>
  <c r="IH61" i="15"/>
  <c r="II61" i="15"/>
  <c r="IJ61" i="15"/>
  <c r="IK61" i="15"/>
  <c r="IL61" i="15"/>
  <c r="IM61" i="15"/>
  <c r="IN61" i="15"/>
  <c r="IO61" i="15"/>
  <c r="IP61" i="15"/>
  <c r="IQ61" i="15"/>
  <c r="IR61" i="15"/>
  <c r="IS61" i="15"/>
  <c r="IT61" i="15"/>
  <c r="IU61" i="15"/>
  <c r="IV61" i="15"/>
  <c r="A62" i="15"/>
  <c r="B62" i="15"/>
  <c r="C62" i="15"/>
  <c r="D62" i="15"/>
  <c r="E62" i="15"/>
  <c r="F62"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AG62" i="15"/>
  <c r="AH62" i="15"/>
  <c r="AI62" i="15"/>
  <c r="AJ62" i="15"/>
  <c r="AK62" i="15"/>
  <c r="AL62" i="15"/>
  <c r="AM62" i="15"/>
  <c r="AN62" i="15"/>
  <c r="AO62" i="15"/>
  <c r="AP62" i="15"/>
  <c r="AQ62" i="15"/>
  <c r="AR62" i="15"/>
  <c r="AS62" i="15"/>
  <c r="AT62" i="15"/>
  <c r="AU62" i="15"/>
  <c r="AV62" i="15"/>
  <c r="AW62" i="15"/>
  <c r="AX62" i="15"/>
  <c r="AY62" i="15"/>
  <c r="AZ62" i="15"/>
  <c r="BA62" i="15"/>
  <c r="BB62" i="15"/>
  <c r="BC62" i="15"/>
  <c r="BD62" i="15"/>
  <c r="BE62" i="15"/>
  <c r="BF62" i="15"/>
  <c r="BG62" i="15"/>
  <c r="BH62" i="15"/>
  <c r="BI62" i="15"/>
  <c r="BJ62" i="15"/>
  <c r="BK62" i="15"/>
  <c r="BL62" i="15"/>
  <c r="BM62" i="15"/>
  <c r="BN62" i="15"/>
  <c r="BO62" i="15"/>
  <c r="BP62" i="15"/>
  <c r="BQ62" i="15"/>
  <c r="BR62" i="15"/>
  <c r="BS62" i="15"/>
  <c r="BT62" i="15"/>
  <c r="BU62" i="15"/>
  <c r="BV62" i="15"/>
  <c r="BW62" i="15"/>
  <c r="BX62" i="15"/>
  <c r="BY62" i="15"/>
  <c r="BZ62" i="15"/>
  <c r="CA62" i="15"/>
  <c r="CB62" i="15"/>
  <c r="CC62" i="15"/>
  <c r="CD62" i="15"/>
  <c r="CE62" i="15"/>
  <c r="CF62" i="15"/>
  <c r="CG62" i="15"/>
  <c r="CH62" i="15"/>
  <c r="CI62" i="15"/>
  <c r="CJ62" i="15"/>
  <c r="CK62" i="15"/>
  <c r="CL62" i="15"/>
  <c r="CM62" i="15"/>
  <c r="CN62" i="15"/>
  <c r="CO62" i="15"/>
  <c r="CP62" i="15"/>
  <c r="CQ62" i="15"/>
  <c r="CR62" i="15"/>
  <c r="CS62" i="15"/>
  <c r="CT62" i="15"/>
  <c r="CU62" i="15"/>
  <c r="CV62" i="15"/>
  <c r="CW62" i="15"/>
  <c r="CX62" i="15"/>
  <c r="CY62" i="15"/>
  <c r="CZ62" i="15"/>
  <c r="DA62" i="15"/>
  <c r="DB62" i="15"/>
  <c r="DC62" i="15"/>
  <c r="DD62" i="15"/>
  <c r="DE62" i="15"/>
  <c r="DF62" i="15"/>
  <c r="DG62" i="15"/>
  <c r="DH62" i="15"/>
  <c r="DI62" i="15"/>
  <c r="DJ62" i="15"/>
  <c r="DK62" i="15"/>
  <c r="DL62" i="15"/>
  <c r="DM62" i="15"/>
  <c r="DN62" i="15"/>
  <c r="DO62" i="15"/>
  <c r="DP62" i="15"/>
  <c r="DQ62" i="15"/>
  <c r="DR62" i="15"/>
  <c r="DS62" i="15"/>
  <c r="DT62" i="15"/>
  <c r="DU62" i="15"/>
  <c r="DV62" i="15"/>
  <c r="DW62" i="15"/>
  <c r="DX62" i="15"/>
  <c r="DY62" i="15"/>
  <c r="DZ62" i="15"/>
  <c r="EA62" i="15"/>
  <c r="EB62" i="15"/>
  <c r="EC62" i="15"/>
  <c r="ED62" i="15"/>
  <c r="EE62" i="15"/>
  <c r="EF62" i="15"/>
  <c r="EG62" i="15"/>
  <c r="EH62" i="15"/>
  <c r="EI62" i="15"/>
  <c r="EJ62" i="15"/>
  <c r="EK62" i="15"/>
  <c r="EL62" i="15"/>
  <c r="EM62" i="15"/>
  <c r="EN62" i="15"/>
  <c r="EO62" i="15"/>
  <c r="EP62" i="15"/>
  <c r="EQ62" i="15"/>
  <c r="ER62" i="15"/>
  <c r="ES62" i="15"/>
  <c r="ET62" i="15"/>
  <c r="EU62" i="15"/>
  <c r="EV62" i="15"/>
  <c r="EW62" i="15"/>
  <c r="EX62" i="15"/>
  <c r="EY62" i="15"/>
  <c r="EZ62" i="15"/>
  <c r="FA62" i="15"/>
  <c r="FB62" i="15"/>
  <c r="FC62" i="15"/>
  <c r="FD62" i="15"/>
  <c r="FE62" i="15"/>
  <c r="FF62" i="15"/>
  <c r="FG62" i="15"/>
  <c r="FH62" i="15"/>
  <c r="FI62" i="15"/>
  <c r="FJ62" i="15"/>
  <c r="FK62" i="15"/>
  <c r="FL62" i="15"/>
  <c r="FM62" i="15"/>
  <c r="FN62" i="15"/>
  <c r="FO62" i="15"/>
  <c r="FP62" i="15"/>
  <c r="FQ62" i="15"/>
  <c r="FR62" i="15"/>
  <c r="FS62" i="15"/>
  <c r="FT62" i="15"/>
  <c r="FU62" i="15"/>
  <c r="FV62" i="15"/>
  <c r="FW62" i="15"/>
  <c r="FX62" i="15"/>
  <c r="FY62" i="15"/>
  <c r="FZ62" i="15"/>
  <c r="GA62" i="15"/>
  <c r="GB62" i="15"/>
  <c r="GC62" i="15"/>
  <c r="GD62" i="15"/>
  <c r="GE62" i="15"/>
  <c r="GF62" i="15"/>
  <c r="GG62" i="15"/>
  <c r="GH62" i="15"/>
  <c r="GI62" i="15"/>
  <c r="GJ62" i="15"/>
  <c r="GK62" i="15"/>
  <c r="GL62" i="15"/>
  <c r="GM62" i="15"/>
  <c r="GN62" i="15"/>
  <c r="GO62" i="15"/>
  <c r="GP62" i="15"/>
  <c r="GQ62" i="15"/>
  <c r="GR62" i="15"/>
  <c r="GS62" i="15"/>
  <c r="GT62" i="15"/>
  <c r="GU62" i="15"/>
  <c r="GV62" i="15"/>
  <c r="GW62" i="15"/>
  <c r="GX62" i="15"/>
  <c r="GY62" i="15"/>
  <c r="GZ62" i="15"/>
  <c r="HA62" i="15"/>
  <c r="HB62" i="15"/>
  <c r="HC62" i="15"/>
  <c r="HD62" i="15"/>
  <c r="HE62" i="15"/>
  <c r="HF62" i="15"/>
  <c r="HG62" i="15"/>
  <c r="HH62" i="15"/>
  <c r="HI62" i="15"/>
  <c r="HJ62" i="15"/>
  <c r="HK62" i="15"/>
  <c r="HL62" i="15"/>
  <c r="HM62" i="15"/>
  <c r="HN62" i="15"/>
  <c r="HO62" i="15"/>
  <c r="HP62" i="15"/>
  <c r="HQ62" i="15"/>
  <c r="HR62" i="15"/>
  <c r="HS62" i="15"/>
  <c r="HT62" i="15"/>
  <c r="HU62" i="15"/>
  <c r="HV62" i="15"/>
  <c r="HW62" i="15"/>
  <c r="HX62" i="15"/>
  <c r="HY62" i="15"/>
  <c r="HZ62" i="15"/>
  <c r="IA62" i="15"/>
  <c r="IB62" i="15"/>
  <c r="IC62" i="15"/>
  <c r="ID62" i="15"/>
  <c r="IE62" i="15"/>
  <c r="IF62" i="15"/>
  <c r="IG62" i="15"/>
  <c r="IH62" i="15"/>
  <c r="II62" i="15"/>
  <c r="IJ62" i="15"/>
  <c r="IK62" i="15"/>
  <c r="IL62" i="15"/>
  <c r="IM62" i="15"/>
  <c r="IN62" i="15"/>
  <c r="IO62" i="15"/>
  <c r="IP62" i="15"/>
  <c r="IQ62" i="15"/>
  <c r="IR62" i="15"/>
  <c r="IS62" i="15"/>
  <c r="IT62" i="15"/>
  <c r="IU62" i="15"/>
  <c r="IV62" i="15"/>
  <c r="A63" i="15"/>
  <c r="B63" i="15"/>
  <c r="C63" i="15"/>
  <c r="D63" i="15"/>
  <c r="E63" i="15"/>
  <c r="F63"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AG63" i="15"/>
  <c r="AH63" i="15"/>
  <c r="AI63" i="15"/>
  <c r="AJ63" i="15"/>
  <c r="AK63" i="15"/>
  <c r="AL63" i="15"/>
  <c r="AM63" i="15"/>
  <c r="AN63" i="15"/>
  <c r="AO63" i="15"/>
  <c r="AP63" i="15"/>
  <c r="AQ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U63" i="15"/>
  <c r="BV63" i="15"/>
  <c r="BW63" i="15"/>
  <c r="BX63" i="15"/>
  <c r="BY63" i="15"/>
  <c r="BZ63" i="15"/>
  <c r="CA63" i="15"/>
  <c r="CB63" i="15"/>
  <c r="CC63" i="15"/>
  <c r="CD63" i="15"/>
  <c r="CE63" i="15"/>
  <c r="CF63" i="15"/>
  <c r="CG63" i="15"/>
  <c r="CH63" i="15"/>
  <c r="CI63" i="15"/>
  <c r="CJ63" i="15"/>
  <c r="CK63" i="15"/>
  <c r="CL63" i="15"/>
  <c r="CM63" i="15"/>
  <c r="CN63" i="15"/>
  <c r="CO63" i="15"/>
  <c r="CP63" i="15"/>
  <c r="CQ63" i="15"/>
  <c r="CR63" i="15"/>
  <c r="CS63" i="15"/>
  <c r="CT63" i="15"/>
  <c r="CU63" i="15"/>
  <c r="CV63" i="15"/>
  <c r="CW63" i="15"/>
  <c r="CX63" i="15"/>
  <c r="CY63" i="15"/>
  <c r="CZ63" i="15"/>
  <c r="DA63" i="15"/>
  <c r="DB63" i="15"/>
  <c r="DC63" i="15"/>
  <c r="DD63" i="15"/>
  <c r="DE63" i="15"/>
  <c r="DF63" i="15"/>
  <c r="DG63" i="15"/>
  <c r="DH63" i="15"/>
  <c r="DI63" i="15"/>
  <c r="DJ63" i="15"/>
  <c r="DK63" i="15"/>
  <c r="DL63" i="15"/>
  <c r="DM63" i="15"/>
  <c r="DN63" i="15"/>
  <c r="DO63" i="15"/>
  <c r="DP63" i="15"/>
  <c r="DQ63" i="15"/>
  <c r="DR63" i="15"/>
  <c r="DS63" i="15"/>
  <c r="DT63" i="15"/>
  <c r="DU63" i="15"/>
  <c r="DV63" i="15"/>
  <c r="DW63" i="15"/>
  <c r="DX63" i="15"/>
  <c r="DY63" i="15"/>
  <c r="DZ63" i="15"/>
  <c r="EA63" i="15"/>
  <c r="EB63" i="15"/>
  <c r="EC63" i="15"/>
  <c r="ED63" i="15"/>
  <c r="EE63" i="15"/>
  <c r="EF63" i="15"/>
  <c r="EG63" i="15"/>
  <c r="EH63" i="15"/>
  <c r="EI63" i="15"/>
  <c r="EJ63" i="15"/>
  <c r="EK63" i="15"/>
  <c r="EL63" i="15"/>
  <c r="EM63" i="15"/>
  <c r="EN63" i="15"/>
  <c r="EO63" i="15"/>
  <c r="EP63" i="15"/>
  <c r="EQ63" i="15"/>
  <c r="ER63" i="15"/>
  <c r="ES63" i="15"/>
  <c r="ET63" i="15"/>
  <c r="EU63" i="15"/>
  <c r="EV63" i="15"/>
  <c r="EW63" i="15"/>
  <c r="EX63" i="15"/>
  <c r="EY63" i="15"/>
  <c r="EZ63" i="15"/>
  <c r="FA63" i="15"/>
  <c r="FB63" i="15"/>
  <c r="FC63" i="15"/>
  <c r="FD63" i="15"/>
  <c r="FE63" i="15"/>
  <c r="FF63" i="15"/>
  <c r="FG63" i="15"/>
  <c r="FH63" i="15"/>
  <c r="FI63" i="15"/>
  <c r="FJ63" i="15"/>
  <c r="FK63" i="15"/>
  <c r="FL63" i="15"/>
  <c r="FM63" i="15"/>
  <c r="FN63" i="15"/>
  <c r="FO63" i="15"/>
  <c r="FP63" i="15"/>
  <c r="FQ63" i="15"/>
  <c r="FR63" i="15"/>
  <c r="FS63" i="15"/>
  <c r="FT63" i="15"/>
  <c r="FU63" i="15"/>
  <c r="FV63" i="15"/>
  <c r="FW63" i="15"/>
  <c r="FX63" i="15"/>
  <c r="FY63" i="15"/>
  <c r="FZ63" i="15"/>
  <c r="GA63" i="15"/>
  <c r="GB63" i="15"/>
  <c r="GC63" i="15"/>
  <c r="GD63" i="15"/>
  <c r="GE63" i="15"/>
  <c r="GF63" i="15"/>
  <c r="GG63" i="15"/>
  <c r="GH63" i="15"/>
  <c r="GI63" i="15"/>
  <c r="GJ63" i="15"/>
  <c r="GK63" i="15"/>
  <c r="GL63" i="15"/>
  <c r="GM63" i="15"/>
  <c r="GN63" i="15"/>
  <c r="GO63" i="15"/>
  <c r="GP63" i="15"/>
  <c r="GQ63" i="15"/>
  <c r="GR63" i="15"/>
  <c r="GS63" i="15"/>
  <c r="GT63" i="15"/>
  <c r="GU63" i="15"/>
  <c r="GV63" i="15"/>
  <c r="GW63" i="15"/>
  <c r="GX63" i="15"/>
  <c r="GY63" i="15"/>
  <c r="GZ63" i="15"/>
  <c r="HA63" i="15"/>
  <c r="HB63" i="15"/>
  <c r="HC63" i="15"/>
  <c r="HD63" i="15"/>
  <c r="HE63" i="15"/>
  <c r="HF63" i="15"/>
  <c r="HG63" i="15"/>
  <c r="HH63" i="15"/>
  <c r="HI63" i="15"/>
  <c r="HJ63" i="15"/>
  <c r="HK63" i="15"/>
  <c r="HL63" i="15"/>
  <c r="HM63" i="15"/>
  <c r="HN63" i="15"/>
  <c r="HO63" i="15"/>
  <c r="HP63" i="15"/>
  <c r="HQ63" i="15"/>
  <c r="HR63" i="15"/>
  <c r="HS63" i="15"/>
  <c r="HT63" i="15"/>
  <c r="HU63" i="15"/>
  <c r="HV63" i="15"/>
  <c r="HW63" i="15"/>
  <c r="HX63" i="15"/>
  <c r="HY63" i="15"/>
  <c r="HZ63" i="15"/>
  <c r="IA63" i="15"/>
  <c r="IB63" i="15"/>
  <c r="IC63" i="15"/>
  <c r="ID63" i="15"/>
  <c r="IE63" i="15"/>
  <c r="IF63" i="15"/>
  <c r="IG63" i="15"/>
  <c r="IH63" i="15"/>
  <c r="II63" i="15"/>
  <c r="IJ63" i="15"/>
  <c r="IK63" i="15"/>
  <c r="IL63" i="15"/>
  <c r="IM63" i="15"/>
  <c r="IN63" i="15"/>
  <c r="IO63" i="15"/>
  <c r="IP63" i="15"/>
  <c r="IQ63" i="15"/>
  <c r="IR63" i="15"/>
  <c r="IS63" i="15"/>
  <c r="IT63" i="15"/>
  <c r="IU63" i="15"/>
  <c r="IV63" i="15"/>
  <c r="A64" i="15"/>
  <c r="B64" i="15"/>
  <c r="C64" i="15"/>
  <c r="D64" i="15"/>
  <c r="E64" i="15"/>
  <c r="F64"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AG64" i="15"/>
  <c r="AH64" i="15"/>
  <c r="AI64" i="15"/>
  <c r="AJ64" i="15"/>
  <c r="AK64" i="15"/>
  <c r="AL64" i="15"/>
  <c r="AM64" i="15"/>
  <c r="AN64" i="15"/>
  <c r="AO64" i="15"/>
  <c r="AP64" i="15"/>
  <c r="AQ64" i="15"/>
  <c r="AR64" i="15"/>
  <c r="AS64" i="15"/>
  <c r="AT64" i="15"/>
  <c r="AU64" i="15"/>
  <c r="AV64" i="15"/>
  <c r="AW64" i="15"/>
  <c r="AX64" i="15"/>
  <c r="AY64" i="15"/>
  <c r="AZ64" i="15"/>
  <c r="BA64" i="15"/>
  <c r="BB64" i="15"/>
  <c r="BC64" i="15"/>
  <c r="BD64" i="15"/>
  <c r="BE64" i="15"/>
  <c r="BF64" i="15"/>
  <c r="BG64" i="15"/>
  <c r="BH64" i="15"/>
  <c r="BI64" i="15"/>
  <c r="BJ64" i="15"/>
  <c r="BK64" i="15"/>
  <c r="BL64" i="15"/>
  <c r="BM64" i="15"/>
  <c r="BN64" i="15"/>
  <c r="BO64" i="15"/>
  <c r="BP64" i="15"/>
  <c r="BQ64" i="15"/>
  <c r="BR64" i="15"/>
  <c r="BS64" i="15"/>
  <c r="BT64" i="15"/>
  <c r="BU64" i="15"/>
  <c r="BV64" i="15"/>
  <c r="BW64" i="15"/>
  <c r="BX64" i="15"/>
  <c r="BY64" i="15"/>
  <c r="BZ64" i="15"/>
  <c r="CA64" i="15"/>
  <c r="CB64" i="15"/>
  <c r="CC64" i="15"/>
  <c r="CD64" i="15"/>
  <c r="CE64" i="15"/>
  <c r="CF64" i="15"/>
  <c r="CG64" i="15"/>
  <c r="CH64" i="15"/>
  <c r="CI64" i="15"/>
  <c r="CJ64" i="15"/>
  <c r="CK64" i="15"/>
  <c r="CL64" i="15"/>
  <c r="CM64" i="15"/>
  <c r="CN64" i="15"/>
  <c r="CO64" i="15"/>
  <c r="CP64" i="15"/>
  <c r="CQ64" i="15"/>
  <c r="CR64" i="15"/>
  <c r="CS64" i="15"/>
  <c r="CT64" i="15"/>
  <c r="CU64" i="15"/>
  <c r="CV64" i="15"/>
  <c r="CW64" i="15"/>
  <c r="CX64" i="15"/>
  <c r="CY64" i="15"/>
  <c r="CZ64" i="15"/>
  <c r="DA64" i="15"/>
  <c r="DB64" i="15"/>
  <c r="DC64" i="15"/>
  <c r="DD64" i="15"/>
  <c r="DE64" i="15"/>
  <c r="DF64" i="15"/>
  <c r="DG64" i="15"/>
  <c r="DH64" i="15"/>
  <c r="DI64" i="15"/>
  <c r="DJ64" i="15"/>
  <c r="DK64" i="15"/>
  <c r="DL64" i="15"/>
  <c r="DM64" i="15"/>
  <c r="DN64" i="15"/>
  <c r="DO64" i="15"/>
  <c r="DP64" i="15"/>
  <c r="DQ64" i="15"/>
  <c r="DR64" i="15"/>
  <c r="DS64" i="15"/>
  <c r="DT64" i="15"/>
  <c r="DU64" i="15"/>
  <c r="DV64" i="15"/>
  <c r="DW64" i="15"/>
  <c r="DX64" i="15"/>
  <c r="DY64" i="15"/>
  <c r="DZ64" i="15"/>
  <c r="EA64" i="15"/>
  <c r="EB64" i="15"/>
  <c r="EC64" i="15"/>
  <c r="ED64" i="15"/>
  <c r="EE64" i="15"/>
  <c r="EF64" i="15"/>
  <c r="EG64" i="15"/>
  <c r="EH64" i="15"/>
  <c r="EI64" i="15"/>
  <c r="EJ64" i="15"/>
  <c r="EK64" i="15"/>
  <c r="EL64" i="15"/>
  <c r="EM64" i="15"/>
  <c r="EN64" i="15"/>
  <c r="EO64" i="15"/>
  <c r="EP64" i="15"/>
  <c r="EQ64" i="15"/>
  <c r="ER64" i="15"/>
  <c r="ES64" i="15"/>
  <c r="ET64" i="15"/>
  <c r="EU64" i="15"/>
  <c r="EV64" i="15"/>
  <c r="EW64" i="15"/>
  <c r="EX64" i="15"/>
  <c r="EY64" i="15"/>
  <c r="EZ64" i="15"/>
  <c r="FA64" i="15"/>
  <c r="FB64" i="15"/>
  <c r="FC64" i="15"/>
  <c r="FD64" i="15"/>
  <c r="FE64" i="15"/>
  <c r="FF64" i="15"/>
  <c r="FG64" i="15"/>
  <c r="FH64" i="15"/>
  <c r="FI64" i="15"/>
  <c r="FJ64" i="15"/>
  <c r="FK64" i="15"/>
  <c r="FL64" i="15"/>
  <c r="FM64" i="15"/>
  <c r="FN64" i="15"/>
  <c r="FO64" i="15"/>
  <c r="FP64" i="15"/>
  <c r="FQ64" i="15"/>
  <c r="FR64" i="15"/>
  <c r="FS64" i="15"/>
  <c r="FT64" i="15"/>
  <c r="FU64" i="15"/>
  <c r="FV64" i="15"/>
  <c r="FW64" i="15"/>
  <c r="FX64" i="15"/>
  <c r="FY64" i="15"/>
  <c r="FZ64" i="15"/>
  <c r="GA64" i="15"/>
  <c r="GB64" i="15"/>
  <c r="GC64" i="15"/>
  <c r="GD64" i="15"/>
  <c r="GE64" i="15"/>
  <c r="GF64" i="15"/>
  <c r="GG64" i="15"/>
  <c r="GH64" i="15"/>
  <c r="GI64" i="15"/>
  <c r="GJ64" i="15"/>
  <c r="GK64" i="15"/>
  <c r="GL64" i="15"/>
  <c r="GM64" i="15"/>
  <c r="GN64" i="15"/>
  <c r="GO64" i="15"/>
  <c r="GP64" i="15"/>
  <c r="GQ64" i="15"/>
  <c r="GR64" i="15"/>
  <c r="GS64" i="15"/>
  <c r="GT64" i="15"/>
  <c r="GU64" i="15"/>
  <c r="GV64" i="15"/>
  <c r="GW64" i="15"/>
  <c r="GX64" i="15"/>
  <c r="GY64" i="15"/>
  <c r="GZ64" i="15"/>
  <c r="HA64" i="15"/>
  <c r="HB64" i="15"/>
  <c r="HC64" i="15"/>
  <c r="HD64" i="15"/>
  <c r="HE64" i="15"/>
  <c r="HF64" i="15"/>
  <c r="HG64" i="15"/>
  <c r="HH64" i="15"/>
  <c r="HI64" i="15"/>
  <c r="HJ64" i="15"/>
  <c r="HK64" i="15"/>
  <c r="HL64" i="15"/>
  <c r="HM64" i="15"/>
  <c r="HN64" i="15"/>
  <c r="HO64" i="15"/>
  <c r="HP64" i="15"/>
  <c r="HQ64" i="15"/>
  <c r="HR64" i="15"/>
  <c r="HS64" i="15"/>
  <c r="HT64" i="15"/>
  <c r="HU64" i="15"/>
  <c r="HV64" i="15"/>
  <c r="HW64" i="15"/>
  <c r="HX64" i="15"/>
  <c r="HY64" i="15"/>
  <c r="HZ64" i="15"/>
  <c r="IA64" i="15"/>
  <c r="IB64" i="15"/>
  <c r="IC64" i="15"/>
  <c r="ID64" i="15"/>
  <c r="IE64" i="15"/>
  <c r="IF64" i="15"/>
  <c r="IG64" i="15"/>
  <c r="IH64" i="15"/>
  <c r="II64" i="15"/>
  <c r="IJ64" i="15"/>
  <c r="IK64" i="15"/>
  <c r="IL64" i="15"/>
  <c r="IM64" i="15"/>
  <c r="IN64" i="15"/>
  <c r="IO64" i="15"/>
  <c r="IP64" i="15"/>
  <c r="IQ64" i="15"/>
  <c r="IR64" i="15"/>
  <c r="IS64" i="15"/>
  <c r="IT64" i="15"/>
  <c r="IU64" i="15"/>
  <c r="IV64" i="15"/>
  <c r="A65" i="15"/>
  <c r="B65" i="15"/>
  <c r="C65" i="15"/>
  <c r="D65" i="15"/>
  <c r="E65" i="15"/>
  <c r="F65"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AG65" i="15"/>
  <c r="AH65" i="15"/>
  <c r="AI65" i="15"/>
  <c r="AJ65" i="15"/>
  <c r="AK65" i="15"/>
  <c r="AL65" i="15"/>
  <c r="AM65" i="15"/>
  <c r="AN65" i="15"/>
  <c r="AO65" i="15"/>
  <c r="AP65" i="15"/>
  <c r="AQ65" i="15"/>
  <c r="AR65" i="15"/>
  <c r="AS65" i="15"/>
  <c r="AT65" i="15"/>
  <c r="AU65" i="15"/>
  <c r="AV65" i="15"/>
  <c r="AW65" i="15"/>
  <c r="AX65" i="15"/>
  <c r="AY65" i="15"/>
  <c r="AZ65" i="15"/>
  <c r="BA65" i="15"/>
  <c r="BB65" i="15"/>
  <c r="BC65" i="15"/>
  <c r="BD65" i="15"/>
  <c r="BE65" i="15"/>
  <c r="BF65" i="15"/>
  <c r="BG65" i="15"/>
  <c r="BH65" i="15"/>
  <c r="BI65" i="15"/>
  <c r="BJ65" i="15"/>
  <c r="BK65" i="15"/>
  <c r="BL65" i="15"/>
  <c r="BM65" i="15"/>
  <c r="BN65" i="15"/>
  <c r="BO65" i="15"/>
  <c r="BP65" i="15"/>
  <c r="BQ65" i="15"/>
  <c r="BR65" i="15"/>
  <c r="BS65" i="15"/>
  <c r="BT65" i="15"/>
  <c r="BU65" i="15"/>
  <c r="BV65" i="15"/>
  <c r="BW65" i="15"/>
  <c r="BX65" i="15"/>
  <c r="BY65" i="15"/>
  <c r="BZ65" i="15"/>
  <c r="CA65" i="15"/>
  <c r="CB65" i="15"/>
  <c r="CC65" i="15"/>
  <c r="CD65" i="15"/>
  <c r="CE65" i="15"/>
  <c r="CF65" i="15"/>
  <c r="CG65" i="15"/>
  <c r="CH65" i="15"/>
  <c r="CI65" i="15"/>
  <c r="CJ65" i="15"/>
  <c r="CK65" i="15"/>
  <c r="CL65" i="15"/>
  <c r="CM65" i="15"/>
  <c r="CN65" i="15"/>
  <c r="CO65" i="15"/>
  <c r="CP65" i="15"/>
  <c r="CQ65" i="15"/>
  <c r="CR65" i="15"/>
  <c r="CS65" i="15"/>
  <c r="CT65" i="15"/>
  <c r="CU65" i="15"/>
  <c r="CV65" i="15"/>
  <c r="CW65" i="15"/>
  <c r="CX65" i="15"/>
  <c r="CY65" i="15"/>
  <c r="CZ65" i="15"/>
  <c r="DA65" i="15"/>
  <c r="DB65" i="15"/>
  <c r="DC65" i="15"/>
  <c r="DD65" i="15"/>
  <c r="DE65" i="15"/>
  <c r="DF65" i="15"/>
  <c r="DG65" i="15"/>
  <c r="DH65" i="15"/>
  <c r="DI65" i="15"/>
  <c r="DJ65" i="15"/>
  <c r="DK65" i="15"/>
  <c r="DL65" i="15"/>
  <c r="DM65" i="15"/>
  <c r="DN65" i="15"/>
  <c r="DO65" i="15"/>
  <c r="DP65" i="15"/>
  <c r="DQ65" i="15"/>
  <c r="DR65" i="15"/>
  <c r="DS65" i="15"/>
  <c r="DT65" i="15"/>
  <c r="DU65" i="15"/>
  <c r="DV65" i="15"/>
  <c r="DW65" i="15"/>
  <c r="DX65" i="15"/>
  <c r="DY65" i="15"/>
  <c r="DZ65" i="15"/>
  <c r="EA65" i="15"/>
  <c r="EB65" i="15"/>
  <c r="EC65" i="15"/>
  <c r="ED65" i="15"/>
  <c r="EE65" i="15"/>
  <c r="EF65" i="15"/>
  <c r="EG65" i="15"/>
  <c r="EH65" i="15"/>
  <c r="EI65" i="15"/>
  <c r="EJ65" i="15"/>
  <c r="EK65" i="15"/>
  <c r="EL65" i="15"/>
  <c r="EM65" i="15"/>
  <c r="EN65" i="15"/>
  <c r="EO65" i="15"/>
  <c r="EP65" i="15"/>
  <c r="EQ65" i="15"/>
  <c r="ER65" i="15"/>
  <c r="ES65" i="15"/>
  <c r="ET65" i="15"/>
  <c r="EU65" i="15"/>
  <c r="EV65" i="15"/>
  <c r="EW65" i="15"/>
  <c r="EX65" i="15"/>
  <c r="EY65" i="15"/>
  <c r="EZ65" i="15"/>
  <c r="FA65" i="15"/>
  <c r="FB65" i="15"/>
  <c r="FC65" i="15"/>
  <c r="FD65" i="15"/>
  <c r="FE65" i="15"/>
  <c r="FF65" i="15"/>
  <c r="FG65" i="15"/>
  <c r="FH65" i="15"/>
  <c r="FI65" i="15"/>
  <c r="FJ65" i="15"/>
  <c r="FK65" i="15"/>
  <c r="FL65" i="15"/>
  <c r="FM65" i="15"/>
  <c r="FN65" i="15"/>
  <c r="FO65" i="15"/>
  <c r="FP65" i="15"/>
  <c r="FQ65" i="15"/>
  <c r="FR65" i="15"/>
  <c r="FS65" i="15"/>
  <c r="FT65" i="15"/>
  <c r="FU65" i="15"/>
  <c r="FV65" i="15"/>
  <c r="FW65" i="15"/>
  <c r="FX65" i="15"/>
  <c r="FY65" i="15"/>
  <c r="FZ65" i="15"/>
  <c r="GA65" i="15"/>
  <c r="GB65" i="15"/>
  <c r="GC65" i="15"/>
  <c r="GD65" i="15"/>
  <c r="GE65" i="15"/>
  <c r="GF65" i="15"/>
  <c r="GG65" i="15"/>
  <c r="GH65" i="15"/>
  <c r="GI65" i="15"/>
  <c r="GJ65" i="15"/>
  <c r="GK65" i="15"/>
  <c r="GL65" i="15"/>
  <c r="GM65" i="15"/>
  <c r="GN65" i="15"/>
  <c r="GO65" i="15"/>
  <c r="GP65" i="15"/>
  <c r="GQ65" i="15"/>
  <c r="GR65" i="15"/>
  <c r="GS65" i="15"/>
  <c r="GT65" i="15"/>
  <c r="GU65" i="15"/>
  <c r="GV65" i="15"/>
  <c r="GW65" i="15"/>
  <c r="GX65" i="15"/>
  <c r="GY65" i="15"/>
  <c r="GZ65" i="15"/>
  <c r="HA65" i="15"/>
  <c r="HB65" i="15"/>
  <c r="HC65" i="15"/>
  <c r="HD65" i="15"/>
  <c r="HE65" i="15"/>
  <c r="HF65" i="15"/>
  <c r="HG65" i="15"/>
  <c r="HH65" i="15"/>
  <c r="HI65" i="15"/>
  <c r="HJ65" i="15"/>
  <c r="HK65" i="15"/>
  <c r="HL65" i="15"/>
  <c r="HM65" i="15"/>
  <c r="HN65" i="15"/>
  <c r="HO65" i="15"/>
  <c r="HP65" i="15"/>
  <c r="HQ65" i="15"/>
  <c r="HR65" i="15"/>
  <c r="HS65" i="15"/>
  <c r="HT65" i="15"/>
  <c r="HU65" i="15"/>
  <c r="HV65" i="15"/>
  <c r="HW65" i="15"/>
  <c r="HX65" i="15"/>
  <c r="HY65" i="15"/>
  <c r="HZ65" i="15"/>
  <c r="IA65" i="15"/>
  <c r="IB65" i="15"/>
  <c r="IC65" i="15"/>
  <c r="ID65" i="15"/>
  <c r="IE65" i="15"/>
  <c r="IF65" i="15"/>
  <c r="IG65" i="15"/>
  <c r="IH65" i="15"/>
  <c r="II65" i="15"/>
  <c r="IJ65" i="15"/>
  <c r="IK65" i="15"/>
  <c r="IL65" i="15"/>
  <c r="IM65" i="15"/>
  <c r="IN65" i="15"/>
  <c r="IO65" i="15"/>
  <c r="IP65" i="15"/>
  <c r="IQ65" i="15"/>
  <c r="IR65" i="15"/>
  <c r="IS65" i="15"/>
  <c r="IT65" i="15"/>
  <c r="IU65" i="15"/>
  <c r="IV65" i="15"/>
  <c r="A66" i="15"/>
  <c r="B66" i="15"/>
  <c r="C66" i="15"/>
  <c r="D66" i="15"/>
  <c r="E66" i="15"/>
  <c r="F66"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AI66" i="15"/>
  <c r="AJ66" i="15"/>
  <c r="AK66" i="15"/>
  <c r="AL66" i="15"/>
  <c r="AM66" i="15"/>
  <c r="AN66" i="15"/>
  <c r="AO66" i="15"/>
  <c r="AP66" i="15"/>
  <c r="AQ66" i="15"/>
  <c r="AR66" i="15"/>
  <c r="AS66" i="15"/>
  <c r="AT66" i="15"/>
  <c r="AU66" i="15"/>
  <c r="AV66" i="15"/>
  <c r="AW66" i="15"/>
  <c r="AX66" i="15"/>
  <c r="AY66" i="15"/>
  <c r="AZ66" i="15"/>
  <c r="BA66" i="15"/>
  <c r="BB66" i="15"/>
  <c r="BC66" i="15"/>
  <c r="BD66" i="15"/>
  <c r="BE66" i="15"/>
  <c r="BF66" i="15"/>
  <c r="BG66" i="15"/>
  <c r="BH66" i="15"/>
  <c r="BI66" i="15"/>
  <c r="BJ66" i="15"/>
  <c r="BK66" i="15"/>
  <c r="BL66" i="15"/>
  <c r="BM66" i="15"/>
  <c r="BN66" i="15"/>
  <c r="BO66" i="15"/>
  <c r="BP66" i="15"/>
  <c r="BQ66" i="15"/>
  <c r="BR66" i="15"/>
  <c r="BS66" i="15"/>
  <c r="BT66" i="15"/>
  <c r="BU66" i="15"/>
  <c r="BV66" i="15"/>
  <c r="BW66" i="15"/>
  <c r="BX66" i="15"/>
  <c r="BY66" i="15"/>
  <c r="BZ66" i="15"/>
  <c r="CA66" i="15"/>
  <c r="CB66" i="15"/>
  <c r="CC66" i="15"/>
  <c r="CD66" i="15"/>
  <c r="CE66" i="15"/>
  <c r="CF66" i="15"/>
  <c r="CG66" i="15"/>
  <c r="CH66" i="15"/>
  <c r="CI66" i="15"/>
  <c r="CJ66" i="15"/>
  <c r="CK66" i="15"/>
  <c r="CL66" i="15"/>
  <c r="CM66" i="15"/>
  <c r="CN66" i="15"/>
  <c r="CO66" i="15"/>
  <c r="CP66" i="15"/>
  <c r="CQ66" i="15"/>
  <c r="CR66" i="15"/>
  <c r="CS66" i="15"/>
  <c r="CT66" i="15"/>
  <c r="CU66" i="15"/>
  <c r="CV66" i="15"/>
  <c r="CW66" i="15"/>
  <c r="CX66" i="15"/>
  <c r="CY66" i="15"/>
  <c r="CZ66" i="15"/>
  <c r="DA66" i="15"/>
  <c r="DB66" i="15"/>
  <c r="DC66" i="15"/>
  <c r="DD66" i="15"/>
  <c r="DE66" i="15"/>
  <c r="DF66" i="15"/>
  <c r="DG66" i="15"/>
  <c r="DH66" i="15"/>
  <c r="DI66" i="15"/>
  <c r="DJ66" i="15"/>
  <c r="DK66" i="15"/>
  <c r="DL66" i="15"/>
  <c r="DM66" i="15"/>
  <c r="DN66" i="15"/>
  <c r="DO66" i="15"/>
  <c r="DP66" i="15"/>
  <c r="DQ66" i="15"/>
  <c r="DR66" i="15"/>
  <c r="DS66" i="15"/>
  <c r="DT66" i="15"/>
  <c r="DU66" i="15"/>
  <c r="DV66" i="15"/>
  <c r="DW66" i="15"/>
  <c r="DX66" i="15"/>
  <c r="DY66" i="15"/>
  <c r="DZ66" i="15"/>
  <c r="EA66" i="15"/>
  <c r="EB66" i="15"/>
  <c r="EC66" i="15"/>
  <c r="ED66" i="15"/>
  <c r="EE66" i="15"/>
  <c r="EF66" i="15"/>
  <c r="EG66" i="15"/>
  <c r="EH66" i="15"/>
  <c r="EI66" i="15"/>
  <c r="EJ66" i="15"/>
  <c r="EK66" i="15"/>
  <c r="EL66" i="15"/>
  <c r="EM66" i="15"/>
  <c r="EN66" i="15"/>
  <c r="EO66" i="15"/>
  <c r="EP66" i="15"/>
  <c r="EQ66" i="15"/>
  <c r="ER66" i="15"/>
  <c r="ES66" i="15"/>
  <c r="ET66" i="15"/>
  <c r="EU66" i="15"/>
  <c r="EV66" i="15"/>
  <c r="EW66" i="15"/>
  <c r="EX66" i="15"/>
  <c r="EY66" i="15"/>
  <c r="EZ66" i="15"/>
  <c r="FA66" i="15"/>
  <c r="FB66" i="15"/>
  <c r="FC66" i="15"/>
  <c r="FD66" i="15"/>
  <c r="FE66" i="15"/>
  <c r="FF66" i="15"/>
  <c r="FG66" i="15"/>
  <c r="FH66" i="15"/>
  <c r="FI66" i="15"/>
  <c r="FJ66" i="15"/>
  <c r="FK66" i="15"/>
  <c r="FL66" i="15"/>
  <c r="FM66" i="15"/>
  <c r="FN66" i="15"/>
  <c r="FO66" i="15"/>
  <c r="FP66" i="15"/>
  <c r="FQ66" i="15"/>
  <c r="FR66" i="15"/>
  <c r="FS66" i="15"/>
  <c r="FT66" i="15"/>
  <c r="FU66" i="15"/>
  <c r="FV66" i="15"/>
  <c r="FW66" i="15"/>
  <c r="FX66" i="15"/>
  <c r="FY66" i="15"/>
  <c r="FZ66" i="15"/>
  <c r="GA66" i="15"/>
  <c r="GB66" i="15"/>
  <c r="GC66" i="15"/>
  <c r="GD66" i="15"/>
  <c r="GE66" i="15"/>
  <c r="GF66" i="15"/>
  <c r="GG66" i="15"/>
  <c r="GH66" i="15"/>
  <c r="GI66" i="15"/>
  <c r="GJ66" i="15"/>
  <c r="GK66" i="15"/>
  <c r="GL66" i="15"/>
  <c r="GM66" i="15"/>
  <c r="GN66" i="15"/>
  <c r="GO66" i="15"/>
  <c r="GP66" i="15"/>
  <c r="GQ66" i="15"/>
  <c r="GR66" i="15"/>
  <c r="GS66" i="15"/>
  <c r="GT66" i="15"/>
  <c r="GU66" i="15"/>
  <c r="GV66" i="15"/>
  <c r="GW66" i="15"/>
  <c r="GX66" i="15"/>
  <c r="GY66" i="15"/>
  <c r="GZ66" i="15"/>
  <c r="HA66" i="15"/>
  <c r="HB66" i="15"/>
  <c r="HC66" i="15"/>
  <c r="HD66" i="15"/>
  <c r="HE66" i="15"/>
  <c r="HF66" i="15"/>
  <c r="HG66" i="15"/>
  <c r="HH66" i="15"/>
  <c r="HI66" i="15"/>
  <c r="HJ66" i="15"/>
  <c r="HK66" i="15"/>
  <c r="HL66" i="15"/>
  <c r="HM66" i="15"/>
  <c r="HN66" i="15"/>
  <c r="HO66" i="15"/>
  <c r="HP66" i="15"/>
  <c r="HQ66" i="15"/>
  <c r="HR66" i="15"/>
  <c r="HS66" i="15"/>
  <c r="HT66" i="15"/>
  <c r="HU66" i="15"/>
  <c r="HV66" i="15"/>
  <c r="HW66" i="15"/>
  <c r="HX66" i="15"/>
  <c r="HY66" i="15"/>
  <c r="HZ66" i="15"/>
  <c r="IA66" i="15"/>
  <c r="IB66" i="15"/>
  <c r="IC66" i="15"/>
  <c r="ID66" i="15"/>
  <c r="IE66" i="15"/>
  <c r="IF66" i="15"/>
  <c r="IG66" i="15"/>
  <c r="IH66" i="15"/>
  <c r="II66" i="15"/>
  <c r="IJ66" i="15"/>
  <c r="IK66" i="15"/>
  <c r="IL66" i="15"/>
  <c r="IM66" i="15"/>
  <c r="IN66" i="15"/>
  <c r="IO66" i="15"/>
  <c r="IP66" i="15"/>
  <c r="IQ66" i="15"/>
  <c r="IR66" i="15"/>
  <c r="IS66" i="15"/>
  <c r="IT66" i="15"/>
  <c r="IU66" i="15"/>
  <c r="IV66" i="15"/>
  <c r="A67" i="15"/>
  <c r="B67" i="15"/>
  <c r="C67" i="15"/>
  <c r="D67" i="15"/>
  <c r="E67" i="15"/>
  <c r="F67"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AG67" i="15"/>
  <c r="AH67" i="15"/>
  <c r="AI67" i="15"/>
  <c r="AJ67" i="15"/>
  <c r="AK67" i="15"/>
  <c r="AL67" i="15"/>
  <c r="AM67" i="15"/>
  <c r="AN67" i="15"/>
  <c r="AO67" i="15"/>
  <c r="AP67" i="15"/>
  <c r="AQ67" i="15"/>
  <c r="AR67" i="15"/>
  <c r="AS67" i="15"/>
  <c r="AT67" i="15"/>
  <c r="AU67" i="15"/>
  <c r="AV67" i="15"/>
  <c r="AW67" i="15"/>
  <c r="AX67" i="15"/>
  <c r="AY67" i="15"/>
  <c r="AZ67" i="15"/>
  <c r="BA67" i="15"/>
  <c r="BB67" i="15"/>
  <c r="BC67" i="15"/>
  <c r="BD67" i="15"/>
  <c r="BE67" i="15"/>
  <c r="BF67" i="15"/>
  <c r="BG67" i="15"/>
  <c r="BH67" i="15"/>
  <c r="BI67" i="15"/>
  <c r="BJ67" i="15"/>
  <c r="BK67" i="15"/>
  <c r="BL67" i="15"/>
  <c r="BM67" i="15"/>
  <c r="BN67" i="15"/>
  <c r="BO67" i="15"/>
  <c r="BP67" i="15"/>
  <c r="BQ67" i="15"/>
  <c r="BR67" i="15"/>
  <c r="BS67" i="15"/>
  <c r="BT67" i="15"/>
  <c r="BU67" i="15"/>
  <c r="BV67" i="15"/>
  <c r="BW67" i="15"/>
  <c r="BX67" i="15"/>
  <c r="BY67" i="15"/>
  <c r="BZ67" i="15"/>
  <c r="CA67" i="15"/>
  <c r="CB67" i="15"/>
  <c r="CC67" i="15"/>
  <c r="CD67" i="15"/>
  <c r="CE67" i="15"/>
  <c r="CF67" i="15"/>
  <c r="CG67" i="15"/>
  <c r="CH67" i="15"/>
  <c r="CI67" i="15"/>
  <c r="CJ67" i="15"/>
  <c r="CK67" i="15"/>
  <c r="CL67" i="15"/>
  <c r="CM67" i="15"/>
  <c r="CN67" i="15"/>
  <c r="CO67" i="15"/>
  <c r="CP67" i="15"/>
  <c r="CQ67" i="15"/>
  <c r="CR67" i="15"/>
  <c r="CS67" i="15"/>
  <c r="CT67" i="15"/>
  <c r="CU67" i="15"/>
  <c r="CV67" i="15"/>
  <c r="CW67" i="15"/>
  <c r="CX67" i="15"/>
  <c r="CY67" i="15"/>
  <c r="CZ67" i="15"/>
  <c r="DA67" i="15"/>
  <c r="DB67" i="15"/>
  <c r="DC67" i="15"/>
  <c r="DD67" i="15"/>
  <c r="DE67" i="15"/>
  <c r="DF67" i="15"/>
  <c r="DG67" i="15"/>
  <c r="DH67" i="15"/>
  <c r="DI67" i="15"/>
  <c r="DJ67" i="15"/>
  <c r="DK67" i="15"/>
  <c r="DL67" i="15"/>
  <c r="DM67" i="15"/>
  <c r="DN67" i="15"/>
  <c r="DO67" i="15"/>
  <c r="DP67" i="15"/>
  <c r="DQ67" i="15"/>
  <c r="DR67" i="15"/>
  <c r="DS67" i="15"/>
  <c r="DT67" i="15"/>
  <c r="DU67" i="15"/>
  <c r="DV67" i="15"/>
  <c r="DW67" i="15"/>
  <c r="DX67" i="15"/>
  <c r="DY67" i="15"/>
  <c r="DZ67" i="15"/>
  <c r="EA67" i="15"/>
  <c r="EB67" i="15"/>
  <c r="EC67" i="15"/>
  <c r="ED67" i="15"/>
  <c r="EE67" i="15"/>
  <c r="EF67" i="15"/>
  <c r="EG67" i="15"/>
  <c r="EH67" i="15"/>
  <c r="EI67" i="15"/>
  <c r="EJ67" i="15"/>
  <c r="EK67" i="15"/>
  <c r="EL67" i="15"/>
  <c r="EM67" i="15"/>
  <c r="EN67" i="15"/>
  <c r="EO67" i="15"/>
  <c r="EP67" i="15"/>
  <c r="EQ67" i="15"/>
  <c r="ER67" i="15"/>
  <c r="ES67" i="15"/>
  <c r="ET67" i="15"/>
  <c r="EU67" i="15"/>
  <c r="EV67" i="15"/>
  <c r="EW67" i="15"/>
  <c r="EX67" i="15"/>
  <c r="EY67" i="15"/>
  <c r="EZ67" i="15"/>
  <c r="FA67" i="15"/>
  <c r="FB67" i="15"/>
  <c r="FC67" i="15"/>
  <c r="FD67" i="15"/>
  <c r="FE67" i="15"/>
  <c r="FF67" i="15"/>
  <c r="FG67" i="15"/>
  <c r="FH67" i="15"/>
  <c r="FI67" i="15"/>
  <c r="FJ67" i="15"/>
  <c r="FK67" i="15"/>
  <c r="FL67" i="15"/>
  <c r="FM67" i="15"/>
  <c r="FN67" i="15"/>
  <c r="FO67" i="15"/>
  <c r="FP67" i="15"/>
  <c r="FQ67" i="15"/>
  <c r="FR67" i="15"/>
  <c r="FS67" i="15"/>
  <c r="FT67" i="15"/>
  <c r="FU67" i="15"/>
  <c r="FV67" i="15"/>
  <c r="FW67" i="15"/>
  <c r="FX67" i="15"/>
  <c r="FY67" i="15"/>
  <c r="FZ67" i="15"/>
  <c r="GA67" i="15"/>
  <c r="GB67" i="15"/>
  <c r="GC67" i="15"/>
  <c r="GD67" i="15"/>
  <c r="GE67" i="15"/>
  <c r="GF67" i="15"/>
  <c r="GG67" i="15"/>
  <c r="GH67" i="15"/>
  <c r="GI67" i="15"/>
  <c r="GJ67" i="15"/>
  <c r="GK67" i="15"/>
  <c r="GL67" i="15"/>
  <c r="GM67" i="15"/>
  <c r="GN67" i="15"/>
  <c r="GO67" i="15"/>
  <c r="GP67" i="15"/>
  <c r="GQ67" i="15"/>
  <c r="GR67" i="15"/>
  <c r="GS67" i="15"/>
  <c r="GT67" i="15"/>
  <c r="GU67" i="15"/>
  <c r="GV67" i="15"/>
  <c r="GW67" i="15"/>
  <c r="GX67" i="15"/>
  <c r="GY67" i="15"/>
  <c r="GZ67" i="15"/>
  <c r="HA67" i="15"/>
  <c r="HB67" i="15"/>
  <c r="HC67" i="15"/>
  <c r="HD67" i="15"/>
  <c r="HE67" i="15"/>
  <c r="HF67" i="15"/>
  <c r="HG67" i="15"/>
  <c r="HH67" i="15"/>
  <c r="HI67" i="15"/>
  <c r="HJ67" i="15"/>
  <c r="HK67" i="15"/>
  <c r="HL67" i="15"/>
  <c r="HM67" i="15"/>
  <c r="HN67" i="15"/>
  <c r="HO67" i="15"/>
  <c r="HP67" i="15"/>
  <c r="HQ67" i="15"/>
  <c r="HR67" i="15"/>
  <c r="HS67" i="15"/>
  <c r="HT67" i="15"/>
  <c r="HU67" i="15"/>
  <c r="HV67" i="15"/>
  <c r="HW67" i="15"/>
  <c r="HX67" i="15"/>
  <c r="HY67" i="15"/>
  <c r="HZ67" i="15"/>
  <c r="IA67" i="15"/>
  <c r="IB67" i="15"/>
  <c r="IC67" i="15"/>
  <c r="ID67" i="15"/>
  <c r="IE67" i="15"/>
  <c r="IF67" i="15"/>
  <c r="IG67" i="15"/>
  <c r="IH67" i="15"/>
  <c r="II67" i="15"/>
  <c r="IJ67" i="15"/>
  <c r="IK67" i="15"/>
  <c r="IL67" i="15"/>
  <c r="IM67" i="15"/>
  <c r="IN67" i="15"/>
  <c r="IO67" i="15"/>
  <c r="IP67" i="15"/>
  <c r="IQ67" i="15"/>
  <c r="IR67" i="15"/>
  <c r="IS67" i="15"/>
  <c r="IT67" i="15"/>
  <c r="IU67" i="15"/>
  <c r="IV67" i="15"/>
  <c r="A68" i="15"/>
  <c r="B68" i="15"/>
  <c r="C68" i="15"/>
  <c r="D68" i="15"/>
  <c r="E68" i="15"/>
  <c r="F68"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AG68" i="15"/>
  <c r="AH68" i="15"/>
  <c r="AI68" i="15"/>
  <c r="AJ68" i="15"/>
  <c r="AK68" i="15"/>
  <c r="AL68" i="15"/>
  <c r="AM68" i="15"/>
  <c r="AN68" i="15"/>
  <c r="AO68" i="15"/>
  <c r="AP68" i="15"/>
  <c r="AQ68" i="15"/>
  <c r="AR68" i="15"/>
  <c r="AS68" i="15"/>
  <c r="AT68" i="15"/>
  <c r="AU68" i="15"/>
  <c r="AV68" i="15"/>
  <c r="AW68" i="15"/>
  <c r="AX68" i="15"/>
  <c r="AY68" i="15"/>
  <c r="AZ68" i="15"/>
  <c r="BA68" i="15"/>
  <c r="BB68" i="15"/>
  <c r="BC68" i="15"/>
  <c r="BD68" i="15"/>
  <c r="BE68" i="15"/>
  <c r="BF68" i="15"/>
  <c r="BG68" i="15"/>
  <c r="BH68" i="15"/>
  <c r="BI68" i="15"/>
  <c r="BJ68" i="15"/>
  <c r="BK68" i="15"/>
  <c r="BL68" i="15"/>
  <c r="BM68" i="15"/>
  <c r="BN68" i="15"/>
  <c r="BO68" i="15"/>
  <c r="BP68" i="15"/>
  <c r="BQ68" i="15"/>
  <c r="BR68" i="15"/>
  <c r="BS68" i="15"/>
  <c r="BT68" i="15"/>
  <c r="BU68" i="15"/>
  <c r="BV68" i="15"/>
  <c r="BW68" i="15"/>
  <c r="BX68" i="15"/>
  <c r="BY68" i="15"/>
  <c r="BZ68" i="15"/>
  <c r="CA68" i="15"/>
  <c r="CB68" i="15"/>
  <c r="CC68" i="15"/>
  <c r="CD68" i="15"/>
  <c r="CE68" i="15"/>
  <c r="CF68" i="15"/>
  <c r="CG68" i="15"/>
  <c r="CH68" i="15"/>
  <c r="CI68" i="15"/>
  <c r="CJ68" i="15"/>
  <c r="CK68" i="15"/>
  <c r="CL68" i="15"/>
  <c r="CM68" i="15"/>
  <c r="CN68" i="15"/>
  <c r="CO68" i="15"/>
  <c r="CP68" i="15"/>
  <c r="CQ68" i="15"/>
  <c r="CR68" i="15"/>
  <c r="CS68" i="15"/>
  <c r="CT68" i="15"/>
  <c r="CU68" i="15"/>
  <c r="CV68" i="15"/>
  <c r="CW68" i="15"/>
  <c r="CX68" i="15"/>
  <c r="CY68" i="15"/>
  <c r="CZ68" i="15"/>
  <c r="DA68" i="15"/>
  <c r="DB68" i="15"/>
  <c r="DC68" i="15"/>
  <c r="DD68" i="15"/>
  <c r="DE68" i="15"/>
  <c r="DF68" i="15"/>
  <c r="DG68" i="15"/>
  <c r="DH68" i="15"/>
  <c r="DI68" i="15"/>
  <c r="DJ68" i="15"/>
  <c r="DK68" i="15"/>
  <c r="DL68" i="15"/>
  <c r="DM68" i="15"/>
  <c r="DN68" i="15"/>
  <c r="DO68" i="15"/>
  <c r="DP68" i="15"/>
  <c r="DQ68" i="15"/>
  <c r="DR68" i="15"/>
  <c r="DS68" i="15"/>
  <c r="DT68" i="15"/>
  <c r="DU68" i="15"/>
  <c r="DV68" i="15"/>
  <c r="DW68" i="15"/>
  <c r="DX68" i="15"/>
  <c r="DY68" i="15"/>
  <c r="DZ68" i="15"/>
  <c r="EA68" i="15"/>
  <c r="EB68" i="15"/>
  <c r="EC68" i="15"/>
  <c r="ED68" i="15"/>
  <c r="EE68" i="15"/>
  <c r="EF68" i="15"/>
  <c r="EG68" i="15"/>
  <c r="EH68" i="15"/>
  <c r="EI68" i="15"/>
  <c r="EJ68" i="15"/>
  <c r="EK68" i="15"/>
  <c r="EL68" i="15"/>
  <c r="EM68" i="15"/>
  <c r="EN68" i="15"/>
  <c r="EO68" i="15"/>
  <c r="EP68" i="15"/>
  <c r="EQ68" i="15"/>
  <c r="ER68" i="15"/>
  <c r="ES68" i="15"/>
  <c r="ET68" i="15"/>
  <c r="EU68" i="15"/>
  <c r="EV68" i="15"/>
  <c r="EW68" i="15"/>
  <c r="EX68" i="15"/>
  <c r="EY68" i="15"/>
  <c r="EZ68" i="15"/>
  <c r="FA68" i="15"/>
  <c r="FB68" i="15"/>
  <c r="FC68" i="15"/>
  <c r="FD68" i="15"/>
  <c r="FE68" i="15"/>
  <c r="FF68" i="15"/>
  <c r="FG68" i="15"/>
  <c r="FH68" i="15"/>
  <c r="FI68" i="15"/>
  <c r="FJ68" i="15"/>
  <c r="FK68" i="15"/>
  <c r="FL68" i="15"/>
  <c r="FM68" i="15"/>
  <c r="FN68" i="15"/>
  <c r="FO68" i="15"/>
  <c r="FP68" i="15"/>
  <c r="FQ68" i="15"/>
  <c r="FR68" i="15"/>
  <c r="FS68" i="15"/>
  <c r="FT68" i="15"/>
  <c r="FU68" i="15"/>
  <c r="FV68" i="15"/>
  <c r="FW68" i="15"/>
  <c r="FX68" i="15"/>
  <c r="FY68" i="15"/>
  <c r="FZ68" i="15"/>
  <c r="GA68" i="15"/>
  <c r="GB68" i="15"/>
  <c r="GC68" i="15"/>
  <c r="GD68" i="15"/>
  <c r="GE68" i="15"/>
  <c r="GF68" i="15"/>
  <c r="GG68" i="15"/>
  <c r="GH68" i="15"/>
  <c r="GI68" i="15"/>
  <c r="GJ68" i="15"/>
  <c r="GK68" i="15"/>
  <c r="GL68" i="15"/>
  <c r="GM68" i="15"/>
  <c r="GN68" i="15"/>
  <c r="GO68" i="15"/>
  <c r="GP68" i="15"/>
  <c r="GQ68" i="15"/>
  <c r="GR68" i="15"/>
  <c r="GS68" i="15"/>
  <c r="GT68" i="15"/>
  <c r="GU68" i="15"/>
  <c r="GV68" i="15"/>
  <c r="GW68" i="15"/>
  <c r="GX68" i="15"/>
  <c r="GY68" i="15"/>
  <c r="GZ68" i="15"/>
  <c r="HA68" i="15"/>
  <c r="HB68" i="15"/>
  <c r="HC68" i="15"/>
  <c r="HD68" i="15"/>
  <c r="HE68" i="15"/>
  <c r="HF68" i="15"/>
  <c r="HG68" i="15"/>
  <c r="HH68" i="15"/>
  <c r="HI68" i="15"/>
  <c r="HJ68" i="15"/>
  <c r="HK68" i="15"/>
  <c r="HL68" i="15"/>
  <c r="HM68" i="15"/>
  <c r="HN68" i="15"/>
  <c r="HO68" i="15"/>
  <c r="HP68" i="15"/>
  <c r="HQ68" i="15"/>
  <c r="HR68" i="15"/>
  <c r="HS68" i="15"/>
  <c r="HT68" i="15"/>
  <c r="HU68" i="15"/>
  <c r="HV68" i="15"/>
  <c r="HW68" i="15"/>
  <c r="HX68" i="15"/>
  <c r="HY68" i="15"/>
  <c r="HZ68" i="15"/>
  <c r="IA68" i="15"/>
  <c r="IB68" i="15"/>
  <c r="IC68" i="15"/>
  <c r="ID68" i="15"/>
  <c r="IE68" i="15"/>
  <c r="IF68" i="15"/>
  <c r="IG68" i="15"/>
  <c r="IH68" i="15"/>
  <c r="II68" i="15"/>
  <c r="IJ68" i="15"/>
  <c r="IK68" i="15"/>
  <c r="IL68" i="15"/>
  <c r="IM68" i="15"/>
  <c r="IN68" i="15"/>
  <c r="IO68" i="15"/>
  <c r="IP68" i="15"/>
  <c r="IQ68" i="15"/>
  <c r="IR68" i="15"/>
  <c r="IS68" i="15"/>
  <c r="IT68" i="15"/>
  <c r="IU68" i="15"/>
  <c r="IV68" i="15"/>
  <c r="A69" i="15"/>
  <c r="B69" i="15"/>
  <c r="C69" i="15"/>
  <c r="D69" i="15"/>
  <c r="E69" i="15"/>
  <c r="F69" i="15"/>
  <c r="G69"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AG69" i="15"/>
  <c r="AH69" i="15"/>
  <c r="AI69" i="15"/>
  <c r="AJ69" i="15"/>
  <c r="AK69" i="15"/>
  <c r="AL69" i="15"/>
  <c r="AM69" i="15"/>
  <c r="AN69" i="15"/>
  <c r="AO69" i="15"/>
  <c r="AP69" i="15"/>
  <c r="AQ69" i="15"/>
  <c r="AR69" i="15"/>
  <c r="AS69" i="15"/>
  <c r="AT69" i="15"/>
  <c r="AU69" i="15"/>
  <c r="AV69" i="15"/>
  <c r="AW69" i="15"/>
  <c r="AX69" i="15"/>
  <c r="AY69" i="15"/>
  <c r="AZ69" i="15"/>
  <c r="BA69" i="15"/>
  <c r="BB69" i="15"/>
  <c r="BC69" i="15"/>
  <c r="BD69" i="15"/>
  <c r="BE69" i="15"/>
  <c r="BF69" i="15"/>
  <c r="BG69" i="15"/>
  <c r="BH69" i="15"/>
  <c r="BI69" i="15"/>
  <c r="BJ69" i="15"/>
  <c r="BK69" i="15"/>
  <c r="BL69" i="15"/>
  <c r="BM69" i="15"/>
  <c r="BN69" i="15"/>
  <c r="BO69" i="15"/>
  <c r="BP69" i="15"/>
  <c r="BQ69" i="15"/>
  <c r="BR69" i="15"/>
  <c r="BS69" i="15"/>
  <c r="BT69" i="15"/>
  <c r="BU69" i="15"/>
  <c r="BV69" i="15"/>
  <c r="BW69" i="15"/>
  <c r="BX69" i="15"/>
  <c r="BY69" i="15"/>
  <c r="BZ69" i="15"/>
  <c r="CA69" i="15"/>
  <c r="CB69" i="15"/>
  <c r="CC69" i="15"/>
  <c r="CD69" i="15"/>
  <c r="CE69" i="15"/>
  <c r="CF69" i="15"/>
  <c r="CG69" i="15"/>
  <c r="CH69" i="15"/>
  <c r="CI69" i="15"/>
  <c r="CJ69" i="15"/>
  <c r="CK69" i="15"/>
  <c r="CL69" i="15"/>
  <c r="CM69" i="15"/>
  <c r="CN69" i="15"/>
  <c r="CO69" i="15"/>
  <c r="CP69" i="15"/>
  <c r="CQ69" i="15"/>
  <c r="CR69" i="15"/>
  <c r="CS69" i="15"/>
  <c r="CT69" i="15"/>
  <c r="CU69" i="15"/>
  <c r="CV69" i="15"/>
  <c r="CW69" i="15"/>
  <c r="CX69" i="15"/>
  <c r="CY69" i="15"/>
  <c r="CZ69" i="15"/>
  <c r="DA69" i="15"/>
  <c r="DB69" i="15"/>
  <c r="DC69" i="15"/>
  <c r="DD69" i="15"/>
  <c r="DE69" i="15"/>
  <c r="DF69" i="15"/>
  <c r="DG69" i="15"/>
  <c r="DH69" i="15"/>
  <c r="DI69" i="15"/>
  <c r="DJ69" i="15"/>
  <c r="DK69" i="15"/>
  <c r="DL69" i="15"/>
  <c r="DM69" i="15"/>
  <c r="DN69" i="15"/>
  <c r="DO69" i="15"/>
  <c r="DP69" i="15"/>
  <c r="DQ69" i="15"/>
  <c r="DR69" i="15"/>
  <c r="DS69" i="15"/>
  <c r="DT69" i="15"/>
  <c r="DU69" i="15"/>
  <c r="DV69" i="15"/>
  <c r="DW69" i="15"/>
  <c r="DX69" i="15"/>
  <c r="DY69" i="15"/>
  <c r="DZ69" i="15"/>
  <c r="EA69" i="15"/>
  <c r="EB69" i="15"/>
  <c r="EC69" i="15"/>
  <c r="ED69" i="15"/>
  <c r="EE69" i="15"/>
  <c r="EF69" i="15"/>
  <c r="EG69" i="15"/>
  <c r="EH69" i="15"/>
  <c r="EI69" i="15"/>
  <c r="EJ69" i="15"/>
  <c r="EK69" i="15"/>
  <c r="EL69" i="15"/>
  <c r="EM69" i="15"/>
  <c r="EN69" i="15"/>
  <c r="EO69" i="15"/>
  <c r="EP69" i="15"/>
  <c r="EQ69" i="15"/>
  <c r="ER69" i="15"/>
  <c r="ES69" i="15"/>
  <c r="ET69" i="15"/>
  <c r="EU69" i="15"/>
  <c r="EV69" i="15"/>
  <c r="EW69" i="15"/>
  <c r="EX69" i="15"/>
  <c r="EY69" i="15"/>
  <c r="EZ69" i="15"/>
  <c r="FA69" i="15"/>
  <c r="FB69" i="15"/>
  <c r="FC69" i="15"/>
  <c r="FD69" i="15"/>
  <c r="FE69" i="15"/>
  <c r="FF69" i="15"/>
  <c r="FG69" i="15"/>
  <c r="FH69" i="15"/>
  <c r="FI69" i="15"/>
  <c r="FJ69" i="15"/>
  <c r="FK69" i="15"/>
  <c r="FL69" i="15"/>
  <c r="FM69" i="15"/>
  <c r="FN69" i="15"/>
  <c r="FO69" i="15"/>
  <c r="FP69" i="15"/>
  <c r="FQ69" i="15"/>
  <c r="FR69" i="15"/>
  <c r="FS69" i="15"/>
  <c r="FT69" i="15"/>
  <c r="FU69" i="15"/>
  <c r="FV69" i="15"/>
  <c r="FW69" i="15"/>
  <c r="FX69" i="15"/>
  <c r="FY69" i="15"/>
  <c r="FZ69" i="15"/>
  <c r="GA69" i="15"/>
  <c r="GB69" i="15"/>
  <c r="GC69" i="15"/>
  <c r="GD69" i="15"/>
  <c r="GE69" i="15"/>
  <c r="GF69" i="15"/>
  <c r="GG69" i="15"/>
  <c r="GH69" i="15"/>
  <c r="GI69" i="15"/>
  <c r="GJ69" i="15"/>
  <c r="GK69" i="15"/>
  <c r="GL69" i="15"/>
  <c r="GM69" i="15"/>
  <c r="GN69" i="15"/>
  <c r="GO69" i="15"/>
  <c r="GP69" i="15"/>
  <c r="GQ69" i="15"/>
  <c r="GR69" i="15"/>
  <c r="GS69" i="15"/>
  <c r="GT69" i="15"/>
  <c r="GU69" i="15"/>
  <c r="GV69" i="15"/>
  <c r="GW69" i="15"/>
  <c r="GX69" i="15"/>
  <c r="GY69" i="15"/>
  <c r="GZ69" i="15"/>
  <c r="HA69" i="15"/>
  <c r="HB69" i="15"/>
  <c r="HC69" i="15"/>
  <c r="HD69" i="15"/>
  <c r="HE69" i="15"/>
  <c r="HF69" i="15"/>
  <c r="HG69" i="15"/>
  <c r="HH69" i="15"/>
  <c r="HI69" i="15"/>
  <c r="HJ69" i="15"/>
  <c r="HK69" i="15"/>
  <c r="HL69" i="15"/>
  <c r="HM69" i="15"/>
  <c r="HN69" i="15"/>
  <c r="HO69" i="15"/>
  <c r="HP69" i="15"/>
  <c r="HQ69" i="15"/>
  <c r="HR69" i="15"/>
  <c r="HS69" i="15"/>
  <c r="HT69" i="15"/>
  <c r="HU69" i="15"/>
  <c r="HV69" i="15"/>
  <c r="HW69" i="15"/>
  <c r="HX69" i="15"/>
  <c r="HY69" i="15"/>
  <c r="HZ69" i="15"/>
  <c r="IA69" i="15"/>
  <c r="IB69" i="15"/>
  <c r="IC69" i="15"/>
  <c r="ID69" i="15"/>
  <c r="IE69" i="15"/>
  <c r="IF69" i="15"/>
  <c r="IG69" i="15"/>
  <c r="IH69" i="15"/>
  <c r="II69" i="15"/>
  <c r="IJ69" i="15"/>
  <c r="IK69" i="15"/>
  <c r="IL69" i="15"/>
  <c r="IM69" i="15"/>
  <c r="IN69" i="15"/>
  <c r="IO69" i="15"/>
  <c r="IP69" i="15"/>
  <c r="IQ69" i="15"/>
  <c r="IR69" i="15"/>
  <c r="IS69" i="15"/>
  <c r="IT69" i="15"/>
  <c r="IU69" i="15"/>
  <c r="IV69" i="15"/>
  <c r="A70" i="15"/>
  <c r="B70" i="15"/>
  <c r="C70" i="15"/>
  <c r="D70" i="15"/>
  <c r="E70" i="15"/>
  <c r="F70"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AG70" i="15"/>
  <c r="AH70" i="15"/>
  <c r="AI70" i="15"/>
  <c r="AJ70" i="15"/>
  <c r="AK70" i="15"/>
  <c r="AL70" i="15"/>
  <c r="AM70" i="15"/>
  <c r="AN70" i="15"/>
  <c r="AO70" i="15"/>
  <c r="AP70" i="15"/>
  <c r="AQ70" i="15"/>
  <c r="AR70" i="15"/>
  <c r="AS70" i="15"/>
  <c r="AT70" i="15"/>
  <c r="AU70" i="15"/>
  <c r="AV70" i="15"/>
  <c r="AW70" i="15"/>
  <c r="AX70" i="15"/>
  <c r="AY70" i="15"/>
  <c r="AZ70" i="15"/>
  <c r="BA70" i="15"/>
  <c r="BB70" i="15"/>
  <c r="BC70" i="15"/>
  <c r="BD70" i="15"/>
  <c r="BE70" i="15"/>
  <c r="BF70" i="15"/>
  <c r="BG70" i="15"/>
  <c r="BH70" i="15"/>
  <c r="BI70" i="15"/>
  <c r="BJ70" i="15"/>
  <c r="BK70" i="15"/>
  <c r="BL70" i="15"/>
  <c r="BM70" i="15"/>
  <c r="BN70" i="15"/>
  <c r="BO70" i="15"/>
  <c r="BP70" i="15"/>
  <c r="BQ70" i="15"/>
  <c r="BR70" i="15"/>
  <c r="BS70" i="15"/>
  <c r="BT70" i="15"/>
  <c r="BU70" i="15"/>
  <c r="BV70" i="15"/>
  <c r="BW70" i="15"/>
  <c r="BX70" i="15"/>
  <c r="BY70" i="15"/>
  <c r="BZ70" i="15"/>
  <c r="CA70" i="15"/>
  <c r="CB70" i="15"/>
  <c r="CC70" i="15"/>
  <c r="CD70" i="15"/>
  <c r="CE70" i="15"/>
  <c r="CF70" i="15"/>
  <c r="CG70" i="15"/>
  <c r="CH70" i="15"/>
  <c r="CI70" i="15"/>
  <c r="CJ70" i="15"/>
  <c r="CK70" i="15"/>
  <c r="CL70" i="15"/>
  <c r="CM70" i="15"/>
  <c r="CN70" i="15"/>
  <c r="CO70" i="15"/>
  <c r="CP70" i="15"/>
  <c r="CQ70" i="15"/>
  <c r="CR70" i="15"/>
  <c r="CS70" i="15"/>
  <c r="CT70" i="15"/>
  <c r="CU70" i="15"/>
  <c r="CV70" i="15"/>
  <c r="CW70" i="15"/>
  <c r="CX70" i="15"/>
  <c r="CY70" i="15"/>
  <c r="CZ70" i="15"/>
  <c r="DA70" i="15"/>
  <c r="DB70" i="15"/>
  <c r="DC70" i="15"/>
  <c r="DD70" i="15"/>
  <c r="DE70" i="15"/>
  <c r="DF70" i="15"/>
  <c r="DG70" i="15"/>
  <c r="DH70" i="15"/>
  <c r="DI70" i="15"/>
  <c r="DJ70" i="15"/>
  <c r="DK70" i="15"/>
  <c r="DL70" i="15"/>
  <c r="DM70" i="15"/>
  <c r="DN70" i="15"/>
  <c r="DO70" i="15"/>
  <c r="DP70" i="15"/>
  <c r="DQ70" i="15"/>
  <c r="DR70" i="15"/>
  <c r="DS70" i="15"/>
  <c r="DT70" i="15"/>
  <c r="DU70" i="15"/>
  <c r="DV70" i="15"/>
  <c r="DW70" i="15"/>
  <c r="DX70" i="15"/>
  <c r="DY70" i="15"/>
  <c r="DZ70" i="15"/>
  <c r="EA70" i="15"/>
  <c r="EB70" i="15"/>
  <c r="EC70" i="15"/>
  <c r="ED70" i="15"/>
  <c r="EE70" i="15"/>
  <c r="EF70" i="15"/>
  <c r="EG70" i="15"/>
  <c r="EH70" i="15"/>
  <c r="EI70" i="15"/>
  <c r="EJ70" i="15"/>
  <c r="EK70" i="15"/>
  <c r="EL70" i="15"/>
  <c r="EM70" i="15"/>
  <c r="EN70" i="15"/>
  <c r="EO70" i="15"/>
  <c r="EP70" i="15"/>
  <c r="EQ70" i="15"/>
  <c r="ER70" i="15"/>
  <c r="ES70" i="15"/>
  <c r="ET70" i="15"/>
  <c r="EU70" i="15"/>
  <c r="EV70" i="15"/>
  <c r="EW70" i="15"/>
  <c r="EX70" i="15"/>
  <c r="EY70" i="15"/>
  <c r="EZ70" i="15"/>
  <c r="FA70" i="15"/>
  <c r="FB70" i="15"/>
  <c r="FC70" i="15"/>
  <c r="FD70" i="15"/>
  <c r="FE70" i="15"/>
  <c r="FF70" i="15"/>
  <c r="FG70" i="15"/>
  <c r="FH70" i="15"/>
  <c r="FI70" i="15"/>
  <c r="FJ70" i="15"/>
  <c r="FK70" i="15"/>
  <c r="FL70" i="15"/>
  <c r="FM70" i="15"/>
  <c r="FN70" i="15"/>
  <c r="FO70" i="15"/>
  <c r="FP70" i="15"/>
  <c r="FQ70" i="15"/>
  <c r="FR70" i="15"/>
  <c r="FS70" i="15"/>
  <c r="FT70" i="15"/>
  <c r="FU70" i="15"/>
  <c r="FV70" i="15"/>
  <c r="FW70" i="15"/>
  <c r="FX70" i="15"/>
  <c r="FY70" i="15"/>
  <c r="FZ70" i="15"/>
  <c r="GA70" i="15"/>
  <c r="GB70" i="15"/>
  <c r="GC70" i="15"/>
  <c r="GD70" i="15"/>
  <c r="GE70" i="15"/>
  <c r="GF70" i="15"/>
  <c r="GG70" i="15"/>
  <c r="GH70" i="15"/>
  <c r="GI70" i="15"/>
  <c r="GJ70" i="15"/>
  <c r="GK70" i="15"/>
  <c r="GL70" i="15"/>
  <c r="GM70" i="15"/>
  <c r="GN70" i="15"/>
  <c r="GO70" i="15"/>
  <c r="GP70" i="15"/>
  <c r="GQ70" i="15"/>
  <c r="GR70" i="15"/>
  <c r="GS70" i="15"/>
  <c r="GT70" i="15"/>
  <c r="GU70" i="15"/>
  <c r="GV70" i="15"/>
  <c r="GW70" i="15"/>
  <c r="GX70" i="15"/>
  <c r="GY70" i="15"/>
  <c r="GZ70" i="15"/>
  <c r="HA70" i="15"/>
  <c r="HB70" i="15"/>
  <c r="HC70" i="15"/>
  <c r="HD70" i="15"/>
  <c r="HE70" i="15"/>
  <c r="HF70" i="15"/>
  <c r="HG70" i="15"/>
  <c r="HH70" i="15"/>
  <c r="HI70" i="15"/>
  <c r="HJ70" i="15"/>
  <c r="HK70" i="15"/>
  <c r="HL70" i="15"/>
  <c r="HM70" i="15"/>
  <c r="HN70" i="15"/>
  <c r="HO70" i="15"/>
  <c r="HP70" i="15"/>
  <c r="HQ70" i="15"/>
  <c r="HR70" i="15"/>
  <c r="HS70" i="15"/>
  <c r="HT70" i="15"/>
  <c r="HU70" i="15"/>
  <c r="HV70" i="15"/>
  <c r="HW70" i="15"/>
  <c r="HX70" i="15"/>
  <c r="HY70" i="15"/>
  <c r="HZ70" i="15"/>
  <c r="IA70" i="15"/>
  <c r="IB70" i="15"/>
  <c r="IC70" i="15"/>
  <c r="ID70" i="15"/>
  <c r="IE70" i="15"/>
  <c r="IF70" i="15"/>
  <c r="IG70" i="15"/>
  <c r="IH70" i="15"/>
  <c r="II70" i="15"/>
  <c r="IJ70" i="15"/>
  <c r="IK70" i="15"/>
  <c r="IL70" i="15"/>
  <c r="IM70" i="15"/>
  <c r="IN70" i="15"/>
  <c r="IO70" i="15"/>
  <c r="IP70" i="15"/>
  <c r="IQ70" i="15"/>
  <c r="IR70" i="15"/>
  <c r="IS70" i="15"/>
  <c r="IT70" i="15"/>
  <c r="IU70" i="15"/>
  <c r="IV70" i="15"/>
  <c r="A71" i="15"/>
  <c r="B71" i="15"/>
  <c r="C71" i="15"/>
  <c r="D71" i="15"/>
  <c r="E71" i="15"/>
  <c r="F71"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AG71" i="15"/>
  <c r="AH71" i="15"/>
  <c r="AI71" i="15"/>
  <c r="AJ71" i="15"/>
  <c r="AK71" i="15"/>
  <c r="AL71" i="15"/>
  <c r="AM71" i="15"/>
  <c r="AN71" i="15"/>
  <c r="AO71" i="15"/>
  <c r="AP71" i="15"/>
  <c r="AQ71" i="15"/>
  <c r="AR71" i="15"/>
  <c r="AS71" i="15"/>
  <c r="AT71" i="15"/>
  <c r="AU71" i="15"/>
  <c r="AV71" i="15"/>
  <c r="AW71" i="15"/>
  <c r="AX71" i="15"/>
  <c r="AY71" i="15"/>
  <c r="AZ71" i="15"/>
  <c r="BA71" i="15"/>
  <c r="BB71" i="15"/>
  <c r="BC71" i="15"/>
  <c r="BD71" i="15"/>
  <c r="BE71" i="15"/>
  <c r="BF71" i="15"/>
  <c r="BG71" i="15"/>
  <c r="BH71" i="15"/>
  <c r="BI71" i="15"/>
  <c r="BJ71" i="15"/>
  <c r="BK71" i="15"/>
  <c r="BL71" i="15"/>
  <c r="BM71" i="15"/>
  <c r="BN71" i="15"/>
  <c r="BO71" i="15"/>
  <c r="BP71" i="15"/>
  <c r="BQ71" i="15"/>
  <c r="BR71" i="15"/>
  <c r="BS71" i="15"/>
  <c r="BT71" i="15"/>
  <c r="BU71" i="15"/>
  <c r="BV71" i="15"/>
  <c r="BW71" i="15"/>
  <c r="BX71" i="15"/>
  <c r="BY71" i="15"/>
  <c r="BZ71" i="15"/>
  <c r="CA71" i="15"/>
  <c r="CB71" i="15"/>
  <c r="CC71" i="15"/>
  <c r="CD71" i="15"/>
  <c r="CE71" i="15"/>
  <c r="CF71" i="15"/>
  <c r="CG71" i="15"/>
  <c r="CH71" i="15"/>
  <c r="CI71" i="15"/>
  <c r="CJ71" i="15"/>
  <c r="CK71" i="15"/>
  <c r="CL71" i="15"/>
  <c r="CM71" i="15"/>
  <c r="CN71" i="15"/>
  <c r="CO71" i="15"/>
  <c r="CP71" i="15"/>
  <c r="CQ71" i="15"/>
  <c r="CR71" i="15"/>
  <c r="CS71" i="15"/>
  <c r="CT71" i="15"/>
  <c r="CU71" i="15"/>
  <c r="CV71" i="15"/>
  <c r="CW71" i="15"/>
  <c r="CX71" i="15"/>
  <c r="CY71" i="15"/>
  <c r="CZ71" i="15"/>
  <c r="DA71" i="15"/>
  <c r="DB71" i="15"/>
  <c r="DC71" i="15"/>
  <c r="DD71" i="15"/>
  <c r="DE71" i="15"/>
  <c r="DF71" i="15"/>
  <c r="DG71" i="15"/>
  <c r="DH71" i="15"/>
  <c r="DI71" i="15"/>
  <c r="DJ71" i="15"/>
  <c r="DK71" i="15"/>
  <c r="DL71" i="15"/>
  <c r="DM71" i="15"/>
  <c r="DN71" i="15"/>
  <c r="DO71" i="15"/>
  <c r="DP71" i="15"/>
  <c r="DQ71" i="15"/>
  <c r="DR71" i="15"/>
  <c r="DS71" i="15"/>
  <c r="DT71" i="15"/>
  <c r="DU71" i="15"/>
  <c r="DV71" i="15"/>
  <c r="DW71" i="15"/>
  <c r="DX71" i="15"/>
  <c r="DY71" i="15"/>
  <c r="DZ71" i="15"/>
  <c r="EA71" i="15"/>
  <c r="EB71" i="15"/>
  <c r="EC71" i="15"/>
  <c r="ED71" i="15"/>
  <c r="EE71" i="15"/>
  <c r="EF71" i="15"/>
  <c r="EG71" i="15"/>
  <c r="EH71" i="15"/>
  <c r="EI71" i="15"/>
  <c r="EJ71" i="15"/>
  <c r="EK71" i="15"/>
  <c r="EL71" i="15"/>
  <c r="EM71" i="15"/>
  <c r="EN71" i="15"/>
  <c r="EO71" i="15"/>
  <c r="EP71" i="15"/>
  <c r="EQ71" i="15"/>
  <c r="ER71" i="15"/>
  <c r="ES71" i="15"/>
  <c r="ET71" i="15"/>
  <c r="EU71" i="15"/>
  <c r="EV71" i="15"/>
  <c r="EW71" i="15"/>
  <c r="EX71" i="15"/>
  <c r="EY71" i="15"/>
  <c r="EZ71" i="15"/>
  <c r="FA71" i="15"/>
  <c r="FB71" i="15"/>
  <c r="FC71" i="15"/>
  <c r="FD71" i="15"/>
  <c r="FE71" i="15"/>
  <c r="FF71" i="15"/>
  <c r="FG71" i="15"/>
  <c r="FH71" i="15"/>
  <c r="FI71" i="15"/>
  <c r="FJ71" i="15"/>
  <c r="FK71" i="15"/>
  <c r="FL71" i="15"/>
  <c r="FM71" i="15"/>
  <c r="FN71" i="15"/>
  <c r="FO71" i="15"/>
  <c r="FP71" i="15"/>
  <c r="FQ71" i="15"/>
  <c r="FR71" i="15"/>
  <c r="FS71" i="15"/>
  <c r="FT71" i="15"/>
  <c r="FU71" i="15"/>
  <c r="FV71" i="15"/>
  <c r="FW71" i="15"/>
  <c r="FX71" i="15"/>
  <c r="FY71" i="15"/>
  <c r="FZ71" i="15"/>
  <c r="GA71" i="15"/>
  <c r="GB71" i="15"/>
  <c r="GC71" i="15"/>
  <c r="GD71" i="15"/>
  <c r="GE71" i="15"/>
  <c r="GF71" i="15"/>
  <c r="GG71" i="15"/>
  <c r="GH71" i="15"/>
  <c r="GI71" i="15"/>
  <c r="GJ71" i="15"/>
  <c r="GK71" i="15"/>
  <c r="GL71" i="15"/>
  <c r="GM71" i="15"/>
  <c r="GN71" i="15"/>
  <c r="GO71" i="15"/>
  <c r="GP71" i="15"/>
  <c r="GQ71" i="15"/>
  <c r="GR71" i="15"/>
  <c r="GS71" i="15"/>
  <c r="GT71" i="15"/>
  <c r="GU71" i="15"/>
  <c r="GV71" i="15"/>
  <c r="GW71" i="15"/>
  <c r="GX71" i="15"/>
  <c r="GY71" i="15"/>
  <c r="GZ71" i="15"/>
  <c r="HA71" i="15"/>
  <c r="HB71" i="15"/>
  <c r="HC71" i="15"/>
  <c r="HD71" i="15"/>
  <c r="HE71" i="15"/>
  <c r="HF71" i="15"/>
  <c r="HG71" i="15"/>
  <c r="HH71" i="15"/>
  <c r="HI71" i="15"/>
  <c r="HJ71" i="15"/>
  <c r="HK71" i="15"/>
  <c r="HL71" i="15"/>
  <c r="HM71" i="15"/>
  <c r="HN71" i="15"/>
  <c r="HO71" i="15"/>
  <c r="HP71" i="15"/>
  <c r="HQ71" i="15"/>
  <c r="HR71" i="15"/>
  <c r="HS71" i="15"/>
  <c r="HT71" i="15"/>
  <c r="HU71" i="15"/>
  <c r="HV71" i="15"/>
  <c r="HW71" i="15"/>
  <c r="HX71" i="15"/>
  <c r="HY71" i="15"/>
  <c r="HZ71" i="15"/>
  <c r="IA71" i="15"/>
  <c r="IB71" i="15"/>
  <c r="IC71" i="15"/>
  <c r="ID71" i="15"/>
  <c r="IE71" i="15"/>
  <c r="IF71" i="15"/>
  <c r="IG71" i="15"/>
  <c r="IH71" i="15"/>
  <c r="II71" i="15"/>
  <c r="IJ71" i="15"/>
  <c r="IK71" i="15"/>
  <c r="IL71" i="15"/>
  <c r="IM71" i="15"/>
  <c r="IN71" i="15"/>
  <c r="IO71" i="15"/>
  <c r="IP71" i="15"/>
  <c r="IQ71" i="15"/>
  <c r="IR71" i="15"/>
  <c r="IS71" i="15"/>
  <c r="IT71" i="15"/>
  <c r="IU71" i="15"/>
  <c r="IV71" i="15"/>
  <c r="A72" i="15"/>
  <c r="B72" i="15"/>
  <c r="C72" i="15"/>
  <c r="D72" i="15"/>
  <c r="E72" i="15"/>
  <c r="F72" i="15"/>
  <c r="G72" i="15"/>
  <c r="H72" i="15"/>
  <c r="I72" i="15"/>
  <c r="J72" i="15"/>
  <c r="K72" i="15"/>
  <c r="L72" i="15"/>
  <c r="M72" i="15"/>
  <c r="N72" i="15"/>
  <c r="O72" i="15"/>
  <c r="P72" i="15"/>
  <c r="Q72" i="15"/>
  <c r="R72" i="15"/>
  <c r="S72" i="15"/>
  <c r="T72" i="15"/>
  <c r="U72" i="15"/>
  <c r="V72" i="15"/>
  <c r="W72" i="15"/>
  <c r="X72" i="15"/>
  <c r="Y72" i="15"/>
  <c r="Z72" i="15"/>
  <c r="AA72" i="15"/>
  <c r="AB72" i="15"/>
  <c r="AC72" i="15"/>
  <c r="AD72" i="15"/>
  <c r="AE72" i="15"/>
  <c r="AF72" i="15"/>
  <c r="AG72" i="15"/>
  <c r="AH72" i="15"/>
  <c r="AI72" i="15"/>
  <c r="AJ72" i="15"/>
  <c r="AK72" i="15"/>
  <c r="AL72" i="15"/>
  <c r="AM72" i="15"/>
  <c r="AN72" i="15"/>
  <c r="AO72" i="15"/>
  <c r="AP72" i="15"/>
  <c r="AQ72" i="15"/>
  <c r="AR72" i="15"/>
  <c r="AS72" i="15"/>
  <c r="AT72" i="15"/>
  <c r="AU72" i="15"/>
  <c r="AV72" i="15"/>
  <c r="AW72" i="15"/>
  <c r="AX72" i="15"/>
  <c r="AY72" i="15"/>
  <c r="AZ72" i="15"/>
  <c r="BA72" i="15"/>
  <c r="BB72" i="15"/>
  <c r="BC72" i="15"/>
  <c r="BD72" i="15"/>
  <c r="BE72" i="15"/>
  <c r="BF72" i="15"/>
  <c r="BG72" i="15"/>
  <c r="BH72" i="15"/>
  <c r="BI72" i="15"/>
  <c r="BJ72" i="15"/>
  <c r="BK72" i="15"/>
  <c r="BL72" i="15"/>
  <c r="BM72" i="15"/>
  <c r="BN72" i="15"/>
  <c r="BO72" i="15"/>
  <c r="BP72" i="15"/>
  <c r="BQ72" i="15"/>
  <c r="BR72" i="15"/>
  <c r="BS72" i="15"/>
  <c r="BT72" i="15"/>
  <c r="BU72" i="15"/>
  <c r="BV72" i="15"/>
  <c r="BW72" i="15"/>
  <c r="BX72" i="15"/>
  <c r="BY72" i="15"/>
  <c r="BZ72" i="15"/>
  <c r="CA72" i="15"/>
  <c r="CB72" i="15"/>
  <c r="CC72" i="15"/>
  <c r="CD72" i="15"/>
  <c r="CE72" i="15"/>
  <c r="CF72" i="15"/>
  <c r="CG72" i="15"/>
  <c r="CH72" i="15"/>
  <c r="CI72" i="15"/>
  <c r="CJ72" i="15"/>
  <c r="CK72" i="15"/>
  <c r="CL72" i="15"/>
  <c r="CM72" i="15"/>
  <c r="CN72" i="15"/>
  <c r="CO72" i="15"/>
  <c r="CP72" i="15"/>
  <c r="CQ72" i="15"/>
  <c r="CR72" i="15"/>
  <c r="CS72" i="15"/>
  <c r="CT72" i="15"/>
  <c r="CU72" i="15"/>
  <c r="CV72" i="15"/>
  <c r="CW72" i="15"/>
  <c r="CX72" i="15"/>
  <c r="CY72" i="15"/>
  <c r="CZ72" i="15"/>
  <c r="DA72" i="15"/>
  <c r="DB72" i="15"/>
  <c r="DC72" i="15"/>
  <c r="DD72" i="15"/>
  <c r="DE72" i="15"/>
  <c r="DF72" i="15"/>
  <c r="DG72" i="15"/>
  <c r="DH72" i="15"/>
  <c r="DI72" i="15"/>
  <c r="DJ72" i="15"/>
  <c r="DK72" i="15"/>
  <c r="DL72" i="15"/>
  <c r="DM72" i="15"/>
  <c r="DN72" i="15"/>
  <c r="DO72" i="15"/>
  <c r="DP72" i="15"/>
  <c r="DQ72" i="15"/>
  <c r="DR72" i="15"/>
  <c r="DS72" i="15"/>
  <c r="DT72" i="15"/>
  <c r="DU72" i="15"/>
  <c r="DV72" i="15"/>
  <c r="DW72" i="15"/>
  <c r="DX72" i="15"/>
  <c r="DY72" i="15"/>
  <c r="DZ72" i="15"/>
  <c r="EA72" i="15"/>
  <c r="EB72" i="15"/>
  <c r="EC72" i="15"/>
  <c r="ED72" i="15"/>
  <c r="EE72" i="15"/>
  <c r="EF72" i="15"/>
  <c r="EG72" i="15"/>
  <c r="EH72" i="15"/>
  <c r="EI72" i="15"/>
  <c r="EJ72" i="15"/>
  <c r="EK72" i="15"/>
  <c r="EL72" i="15"/>
  <c r="EM72" i="15"/>
  <c r="EN72" i="15"/>
  <c r="EO72" i="15"/>
  <c r="EP72" i="15"/>
  <c r="EQ72" i="15"/>
  <c r="ER72" i="15"/>
  <c r="ES72" i="15"/>
  <c r="ET72" i="15"/>
  <c r="EU72" i="15"/>
  <c r="EV72" i="15"/>
  <c r="EW72" i="15"/>
  <c r="EX72" i="15"/>
  <c r="EY72" i="15"/>
  <c r="EZ72" i="15"/>
  <c r="FA72" i="15"/>
  <c r="FB72" i="15"/>
  <c r="FC72" i="15"/>
  <c r="FD72" i="15"/>
  <c r="FE72" i="15"/>
  <c r="FF72" i="15"/>
  <c r="FG72" i="15"/>
  <c r="FH72" i="15"/>
  <c r="FI72" i="15"/>
  <c r="FJ72" i="15"/>
  <c r="FK72" i="15"/>
  <c r="FL72" i="15"/>
  <c r="FM72" i="15"/>
  <c r="FN72" i="15"/>
  <c r="FO72" i="15"/>
  <c r="FP72" i="15"/>
  <c r="FQ72" i="15"/>
  <c r="FR72" i="15"/>
  <c r="FS72" i="15"/>
  <c r="FT72" i="15"/>
  <c r="FU72" i="15"/>
  <c r="FV72" i="15"/>
  <c r="FW72" i="15"/>
  <c r="FX72" i="15"/>
  <c r="FY72" i="15"/>
  <c r="FZ72" i="15"/>
  <c r="GA72" i="15"/>
  <c r="GB72" i="15"/>
  <c r="GC72" i="15"/>
  <c r="GD72" i="15"/>
  <c r="GE72" i="15"/>
  <c r="GF72" i="15"/>
  <c r="GG72" i="15"/>
  <c r="GH72" i="15"/>
  <c r="GI72" i="15"/>
  <c r="GJ72" i="15"/>
  <c r="GK72" i="15"/>
  <c r="GL72" i="15"/>
  <c r="GM72" i="15"/>
  <c r="GN72" i="15"/>
  <c r="GO72" i="15"/>
  <c r="GP72" i="15"/>
  <c r="GQ72" i="15"/>
  <c r="GR72" i="15"/>
  <c r="GS72" i="15"/>
  <c r="GT72" i="15"/>
  <c r="GU72" i="15"/>
  <c r="GV72" i="15"/>
  <c r="GW72" i="15"/>
  <c r="GX72" i="15"/>
  <c r="GY72" i="15"/>
  <c r="GZ72" i="15"/>
  <c r="HA72" i="15"/>
  <c r="HB72" i="15"/>
  <c r="HC72" i="15"/>
  <c r="HD72" i="15"/>
  <c r="HE72" i="15"/>
  <c r="HF72" i="15"/>
  <c r="HG72" i="15"/>
  <c r="HH72" i="15"/>
  <c r="HI72" i="15"/>
  <c r="HJ72" i="15"/>
  <c r="HK72" i="15"/>
  <c r="HL72" i="15"/>
  <c r="HM72" i="15"/>
  <c r="HN72" i="15"/>
  <c r="HO72" i="15"/>
  <c r="HP72" i="15"/>
  <c r="HQ72" i="15"/>
  <c r="HR72" i="15"/>
  <c r="HS72" i="15"/>
  <c r="HT72" i="15"/>
  <c r="HU72" i="15"/>
  <c r="HV72" i="15"/>
  <c r="HW72" i="15"/>
  <c r="HX72" i="15"/>
  <c r="HY72" i="15"/>
  <c r="HZ72" i="15"/>
  <c r="IA72" i="15"/>
  <c r="IB72" i="15"/>
  <c r="IC72" i="15"/>
  <c r="ID72" i="15"/>
  <c r="IE72" i="15"/>
  <c r="IF72" i="15"/>
  <c r="IG72" i="15"/>
  <c r="IH72" i="15"/>
  <c r="II72" i="15"/>
  <c r="IJ72" i="15"/>
  <c r="IK72" i="15"/>
  <c r="IL72" i="15"/>
  <c r="IM72" i="15"/>
  <c r="IN72" i="15"/>
  <c r="IO72" i="15"/>
  <c r="IP72" i="15"/>
  <c r="IQ72" i="15"/>
  <c r="IR72" i="15"/>
  <c r="IS72" i="15"/>
  <c r="IT72" i="15"/>
  <c r="IU72" i="15"/>
  <c r="IV72" i="15"/>
  <c r="A73" i="15"/>
  <c r="B73" i="15"/>
  <c r="C73" i="15"/>
  <c r="D73" i="15"/>
  <c r="E73" i="15"/>
  <c r="F73" i="15"/>
  <c r="G73" i="15"/>
  <c r="H73" i="15"/>
  <c r="I73" i="15"/>
  <c r="J73" i="15"/>
  <c r="K73" i="15"/>
  <c r="L73" i="15"/>
  <c r="M73" i="15"/>
  <c r="N73" i="15"/>
  <c r="O73" i="15"/>
  <c r="P73" i="15"/>
  <c r="Q73" i="15"/>
  <c r="R73" i="15"/>
  <c r="S73" i="15"/>
  <c r="T73" i="15"/>
  <c r="U73" i="15"/>
  <c r="V73" i="15"/>
  <c r="W73" i="15"/>
  <c r="X73" i="15"/>
  <c r="Y73" i="15"/>
  <c r="Z73" i="15"/>
  <c r="AA73" i="15"/>
  <c r="AB73" i="15"/>
  <c r="AC73" i="15"/>
  <c r="AD73" i="15"/>
  <c r="AE73" i="15"/>
  <c r="AF73" i="15"/>
  <c r="AG73" i="15"/>
  <c r="AH73" i="15"/>
  <c r="AI73" i="15"/>
  <c r="AJ73" i="15"/>
  <c r="AK73" i="15"/>
  <c r="AL73" i="15"/>
  <c r="AM73" i="15"/>
  <c r="AN73" i="15"/>
  <c r="AO73" i="15"/>
  <c r="AP73" i="15"/>
  <c r="AQ73" i="15"/>
  <c r="AR73" i="15"/>
  <c r="AS73" i="15"/>
  <c r="AT73" i="15"/>
  <c r="AU73" i="15"/>
  <c r="AV73" i="15"/>
  <c r="AW73" i="15"/>
  <c r="AX73" i="15"/>
  <c r="AY73" i="15"/>
  <c r="AZ73" i="15"/>
  <c r="BA73" i="15"/>
  <c r="BB73" i="15"/>
  <c r="BC73" i="15"/>
  <c r="BD73" i="15"/>
  <c r="BE73" i="15"/>
  <c r="BF73" i="15"/>
  <c r="BG73" i="15"/>
  <c r="BH73" i="15"/>
  <c r="BI73" i="15"/>
  <c r="BJ73" i="15"/>
  <c r="BK73" i="15"/>
  <c r="BL73" i="15"/>
  <c r="BM73" i="15"/>
  <c r="BN73" i="15"/>
  <c r="BO73" i="15"/>
  <c r="BP73" i="15"/>
  <c r="BQ73" i="15"/>
  <c r="BR73" i="15"/>
  <c r="BS73" i="15"/>
  <c r="BT73" i="15"/>
  <c r="BU73" i="15"/>
  <c r="BV73" i="15"/>
  <c r="BW73" i="15"/>
  <c r="BX73" i="15"/>
  <c r="BY73" i="15"/>
  <c r="BZ73" i="15"/>
  <c r="CA73" i="15"/>
  <c r="CB73" i="15"/>
  <c r="CC73" i="15"/>
  <c r="CD73" i="15"/>
  <c r="CE73" i="15"/>
  <c r="CF73" i="15"/>
  <c r="CG73" i="15"/>
  <c r="CH73" i="15"/>
  <c r="CI73" i="15"/>
  <c r="CJ73" i="15"/>
  <c r="CK73" i="15"/>
  <c r="CL73" i="15"/>
  <c r="CM73" i="15"/>
  <c r="CN73" i="15"/>
  <c r="CO73" i="15"/>
  <c r="CP73" i="15"/>
  <c r="CQ73" i="15"/>
  <c r="CR73" i="15"/>
  <c r="CS73" i="15"/>
  <c r="CT73" i="15"/>
  <c r="CU73" i="15"/>
  <c r="CV73" i="15"/>
  <c r="CW73" i="15"/>
  <c r="CX73" i="15"/>
  <c r="CY73" i="15"/>
  <c r="CZ73" i="15"/>
  <c r="DA73" i="15"/>
  <c r="DB73" i="15"/>
  <c r="DC73" i="15"/>
  <c r="DD73" i="15"/>
  <c r="DE73" i="15"/>
  <c r="DF73" i="15"/>
  <c r="DG73" i="15"/>
  <c r="DH73" i="15"/>
  <c r="DI73" i="15"/>
  <c r="DJ73" i="15"/>
  <c r="DK73" i="15"/>
  <c r="DL73" i="15"/>
  <c r="DM73" i="15"/>
  <c r="DN73" i="15"/>
  <c r="DO73" i="15"/>
  <c r="DP73" i="15"/>
  <c r="DQ73" i="15"/>
  <c r="DR73" i="15"/>
  <c r="DS73" i="15"/>
  <c r="DT73" i="15"/>
  <c r="DU73" i="15"/>
  <c r="DV73" i="15"/>
  <c r="DW73" i="15"/>
  <c r="DX73" i="15"/>
  <c r="DY73" i="15"/>
  <c r="DZ73" i="15"/>
  <c r="EA73" i="15"/>
  <c r="EB73" i="15"/>
  <c r="EC73" i="15"/>
  <c r="ED73" i="15"/>
  <c r="EE73" i="15"/>
  <c r="EF73" i="15"/>
  <c r="EG73" i="15"/>
  <c r="EH73" i="15"/>
  <c r="EI73" i="15"/>
  <c r="EJ73" i="15"/>
  <c r="EK73" i="15"/>
  <c r="EL73" i="15"/>
  <c r="EM73" i="15"/>
  <c r="EN73" i="15"/>
  <c r="EO73" i="15"/>
  <c r="EP73" i="15"/>
  <c r="EQ73" i="15"/>
  <c r="ER73" i="15"/>
  <c r="ES73" i="15"/>
  <c r="ET73" i="15"/>
  <c r="EU73" i="15"/>
  <c r="EV73" i="15"/>
  <c r="EW73" i="15"/>
  <c r="EX73" i="15"/>
  <c r="EY73" i="15"/>
  <c r="EZ73" i="15"/>
  <c r="FA73" i="15"/>
  <c r="FB73" i="15"/>
  <c r="FC73" i="15"/>
  <c r="FD73" i="15"/>
  <c r="FE73" i="15"/>
  <c r="FF73" i="15"/>
  <c r="FG73" i="15"/>
  <c r="FH73" i="15"/>
  <c r="FI73" i="15"/>
  <c r="FJ73" i="15"/>
  <c r="FK73" i="15"/>
  <c r="FL73" i="15"/>
  <c r="FM73" i="15"/>
  <c r="FN73" i="15"/>
  <c r="FO73" i="15"/>
  <c r="FP73" i="15"/>
  <c r="FQ73" i="15"/>
  <c r="FR73" i="15"/>
  <c r="FS73" i="15"/>
  <c r="FT73" i="15"/>
  <c r="FU73" i="15"/>
  <c r="FV73" i="15"/>
  <c r="FW73" i="15"/>
  <c r="FX73" i="15"/>
  <c r="FY73" i="15"/>
  <c r="FZ73" i="15"/>
  <c r="GA73" i="15"/>
  <c r="GB73" i="15"/>
  <c r="GC73" i="15"/>
  <c r="GD73" i="15"/>
  <c r="GE73" i="15"/>
  <c r="GF73" i="15"/>
  <c r="GG73" i="15"/>
  <c r="GH73" i="15"/>
  <c r="GI73" i="15"/>
  <c r="GJ73" i="15"/>
  <c r="GK73" i="15"/>
  <c r="GL73" i="15"/>
  <c r="GM73" i="15"/>
  <c r="GN73" i="15"/>
  <c r="GO73" i="15"/>
  <c r="GP73" i="15"/>
  <c r="GQ73" i="15"/>
  <c r="GR73" i="15"/>
  <c r="GS73" i="15"/>
  <c r="GT73" i="15"/>
  <c r="GU73" i="15"/>
  <c r="GV73" i="15"/>
  <c r="GW73" i="15"/>
  <c r="GX73" i="15"/>
  <c r="GY73" i="15"/>
  <c r="GZ73" i="15"/>
  <c r="HA73" i="15"/>
  <c r="HB73" i="15"/>
  <c r="HC73" i="15"/>
  <c r="HD73" i="15"/>
  <c r="HE73" i="15"/>
  <c r="HF73" i="15"/>
  <c r="HG73" i="15"/>
  <c r="HH73" i="15"/>
  <c r="HI73" i="15"/>
  <c r="HJ73" i="15"/>
  <c r="HK73" i="15"/>
  <c r="HL73" i="15"/>
  <c r="HM73" i="15"/>
  <c r="HN73" i="15"/>
  <c r="HO73" i="15"/>
  <c r="HP73" i="15"/>
  <c r="HQ73" i="15"/>
  <c r="HR73" i="15"/>
  <c r="HS73" i="15"/>
  <c r="HT73" i="15"/>
  <c r="HU73" i="15"/>
  <c r="HV73" i="15"/>
  <c r="HW73" i="15"/>
  <c r="HX73" i="15"/>
  <c r="HY73" i="15"/>
  <c r="HZ73" i="15"/>
  <c r="IA73" i="15"/>
  <c r="IB73" i="15"/>
  <c r="IC73" i="15"/>
  <c r="ID73" i="15"/>
  <c r="IE73" i="15"/>
  <c r="IF73" i="15"/>
  <c r="IG73" i="15"/>
  <c r="IH73" i="15"/>
  <c r="II73" i="15"/>
  <c r="IJ73" i="15"/>
  <c r="IK73" i="15"/>
  <c r="IL73" i="15"/>
  <c r="IM73" i="15"/>
  <c r="IN73" i="15"/>
  <c r="IO73" i="15"/>
  <c r="IP73" i="15"/>
  <c r="IQ73" i="15"/>
  <c r="IR73" i="15"/>
  <c r="IS73" i="15"/>
  <c r="IT73" i="15"/>
  <c r="IU73" i="15"/>
  <c r="IV73" i="15"/>
  <c r="A74" i="15"/>
  <c r="B74" i="15"/>
  <c r="C74" i="15"/>
  <c r="D74" i="15"/>
  <c r="E74" i="15"/>
  <c r="F74" i="15"/>
  <c r="G74" i="15"/>
  <c r="H74" i="15"/>
  <c r="I74" i="15"/>
  <c r="J74" i="15"/>
  <c r="K74" i="15"/>
  <c r="L74" i="15"/>
  <c r="M74" i="15"/>
  <c r="N74" i="15"/>
  <c r="O74" i="15"/>
  <c r="P74" i="15"/>
  <c r="Q74" i="15"/>
  <c r="R74" i="15"/>
  <c r="S74" i="15"/>
  <c r="T74" i="15"/>
  <c r="U74" i="15"/>
  <c r="V74" i="15"/>
  <c r="W74" i="15"/>
  <c r="X74" i="15"/>
  <c r="Y74" i="15"/>
  <c r="Z74" i="15"/>
  <c r="AA74" i="15"/>
  <c r="AB74" i="15"/>
  <c r="AC74" i="15"/>
  <c r="AD74" i="15"/>
  <c r="AE74" i="15"/>
  <c r="AF74" i="15"/>
  <c r="AG74" i="15"/>
  <c r="AH74" i="15"/>
  <c r="AI74" i="15"/>
  <c r="AJ74" i="15"/>
  <c r="AK74" i="15"/>
  <c r="AL74" i="15"/>
  <c r="AM74" i="15"/>
  <c r="AN74" i="15"/>
  <c r="AO74" i="15"/>
  <c r="AP74" i="15"/>
  <c r="AQ74" i="15"/>
  <c r="AR74" i="15"/>
  <c r="AS74" i="15"/>
  <c r="AT74" i="15"/>
  <c r="AU74" i="15"/>
  <c r="AV74" i="15"/>
  <c r="AW74" i="15"/>
  <c r="AX74" i="15"/>
  <c r="AY74" i="15"/>
  <c r="AZ74" i="15"/>
  <c r="BA74" i="15"/>
  <c r="BB74" i="15"/>
  <c r="BC74" i="15"/>
  <c r="BD74" i="15"/>
  <c r="BE74" i="15"/>
  <c r="BF74" i="15"/>
  <c r="BG74" i="15"/>
  <c r="BH74" i="15"/>
  <c r="BI74" i="15"/>
  <c r="BJ74" i="15"/>
  <c r="BK74" i="15"/>
  <c r="BL74" i="15"/>
  <c r="BM74" i="15"/>
  <c r="BN74" i="15"/>
  <c r="BO74" i="15"/>
  <c r="BP74" i="15"/>
  <c r="BQ74" i="15"/>
  <c r="BR74" i="15"/>
  <c r="BS74" i="15"/>
  <c r="BT74" i="15"/>
  <c r="BU74" i="15"/>
  <c r="BV74" i="15"/>
  <c r="BW74" i="15"/>
  <c r="BX74" i="15"/>
  <c r="BY74" i="15"/>
  <c r="BZ74" i="15"/>
  <c r="CA74" i="15"/>
  <c r="CB74" i="15"/>
  <c r="CC74" i="15"/>
  <c r="CD74" i="15"/>
  <c r="CE74" i="15"/>
  <c r="CF74" i="15"/>
  <c r="CG74" i="15"/>
  <c r="CH74" i="15"/>
  <c r="CI74" i="15"/>
  <c r="CJ74" i="15"/>
  <c r="CK74" i="15"/>
  <c r="CL74" i="15"/>
  <c r="CM74" i="15"/>
  <c r="CN74" i="15"/>
  <c r="CO74" i="15"/>
  <c r="CP74" i="15"/>
  <c r="CQ74" i="15"/>
  <c r="CR74" i="15"/>
  <c r="CS74" i="15"/>
  <c r="CT74" i="15"/>
  <c r="CU74" i="15"/>
  <c r="CV74" i="15"/>
  <c r="CW74" i="15"/>
  <c r="CX74" i="15"/>
  <c r="CY74" i="15"/>
  <c r="CZ74" i="15"/>
  <c r="DA74" i="15"/>
  <c r="DB74" i="15"/>
  <c r="DC74" i="15"/>
  <c r="DD74" i="15"/>
  <c r="DE74" i="15"/>
  <c r="DF74" i="15"/>
  <c r="DG74" i="15"/>
  <c r="DH74" i="15"/>
  <c r="DI74" i="15"/>
  <c r="DJ74" i="15"/>
  <c r="DK74" i="15"/>
  <c r="DL74" i="15"/>
  <c r="DM74" i="15"/>
  <c r="DN74" i="15"/>
  <c r="DO74" i="15"/>
  <c r="DP74" i="15"/>
  <c r="DQ74" i="15"/>
  <c r="DR74" i="15"/>
  <c r="DS74" i="15"/>
  <c r="DT74" i="15"/>
  <c r="DU74" i="15"/>
  <c r="DV74" i="15"/>
  <c r="DW74" i="15"/>
  <c r="DX74" i="15"/>
  <c r="DY74" i="15"/>
  <c r="DZ74" i="15"/>
  <c r="EA74" i="15"/>
  <c r="EB74" i="15"/>
  <c r="EC74" i="15"/>
  <c r="ED74" i="15"/>
  <c r="EE74" i="15"/>
  <c r="EF74" i="15"/>
  <c r="EG74" i="15"/>
  <c r="EH74" i="15"/>
  <c r="EI74" i="15"/>
  <c r="EJ74" i="15"/>
  <c r="EK74" i="15"/>
  <c r="EL74" i="15"/>
  <c r="EM74" i="15"/>
  <c r="EN74" i="15"/>
  <c r="EO74" i="15"/>
  <c r="EP74" i="15"/>
  <c r="EQ74" i="15"/>
  <c r="ER74" i="15"/>
  <c r="ES74" i="15"/>
  <c r="ET74" i="15"/>
  <c r="EU74" i="15"/>
  <c r="EV74" i="15"/>
  <c r="EW74" i="15"/>
  <c r="EX74" i="15"/>
  <c r="EY74" i="15"/>
  <c r="EZ74" i="15"/>
  <c r="FA74" i="15"/>
  <c r="FB74" i="15"/>
  <c r="FC74" i="15"/>
  <c r="FD74" i="15"/>
  <c r="FE74" i="15"/>
  <c r="FF74" i="15"/>
  <c r="FG74" i="15"/>
  <c r="FH74" i="15"/>
  <c r="FI74" i="15"/>
  <c r="FJ74" i="15"/>
  <c r="FK74" i="15"/>
  <c r="FL74" i="15"/>
  <c r="FM74" i="15"/>
  <c r="FN74" i="15"/>
  <c r="FO74" i="15"/>
  <c r="FP74" i="15"/>
  <c r="FQ74" i="15"/>
  <c r="FR74" i="15"/>
  <c r="FS74" i="15"/>
  <c r="FT74" i="15"/>
  <c r="FU74" i="15"/>
  <c r="FV74" i="15"/>
  <c r="FW74" i="15"/>
  <c r="FX74" i="15"/>
  <c r="FY74" i="15"/>
  <c r="FZ74" i="15"/>
  <c r="GA74" i="15"/>
  <c r="GB74" i="15"/>
  <c r="GC74" i="15"/>
  <c r="GD74" i="15"/>
  <c r="GE74" i="15"/>
  <c r="GF74" i="15"/>
  <c r="GG74" i="15"/>
  <c r="GH74" i="15"/>
  <c r="GI74" i="15"/>
  <c r="GJ74" i="15"/>
  <c r="GK74" i="15"/>
  <c r="GL74" i="15"/>
  <c r="GM74" i="15"/>
  <c r="GN74" i="15"/>
  <c r="GO74" i="15"/>
  <c r="GP74" i="15"/>
  <c r="GQ74" i="15"/>
  <c r="GR74" i="15"/>
  <c r="GS74" i="15"/>
  <c r="GT74" i="15"/>
  <c r="GU74" i="15"/>
  <c r="GV74" i="15"/>
  <c r="GW74" i="15"/>
  <c r="GX74" i="15"/>
  <c r="GY74" i="15"/>
  <c r="GZ74" i="15"/>
  <c r="HA74" i="15"/>
  <c r="HB74" i="15"/>
  <c r="HC74" i="15"/>
  <c r="HD74" i="15"/>
  <c r="HE74" i="15"/>
  <c r="HF74" i="15"/>
  <c r="HG74" i="15"/>
  <c r="HH74" i="15"/>
  <c r="HI74" i="15"/>
  <c r="HJ74" i="15"/>
  <c r="HK74" i="15"/>
  <c r="HL74" i="15"/>
  <c r="HM74" i="15"/>
  <c r="HN74" i="15"/>
  <c r="HO74" i="15"/>
  <c r="HP74" i="15"/>
  <c r="HQ74" i="15"/>
  <c r="HR74" i="15"/>
  <c r="HS74" i="15"/>
  <c r="HT74" i="15"/>
  <c r="HU74" i="15"/>
  <c r="HV74" i="15"/>
  <c r="HW74" i="15"/>
  <c r="HX74" i="15"/>
  <c r="HY74" i="15"/>
  <c r="HZ74" i="15"/>
  <c r="IA74" i="15"/>
  <c r="IB74" i="15"/>
  <c r="IC74" i="15"/>
  <c r="ID74" i="15"/>
  <c r="IE74" i="15"/>
  <c r="IF74" i="15"/>
  <c r="IG74" i="15"/>
  <c r="IH74" i="15"/>
  <c r="II74" i="15"/>
  <c r="IJ74" i="15"/>
  <c r="IK74" i="15"/>
  <c r="IL74" i="15"/>
  <c r="IM74" i="15"/>
  <c r="IN74" i="15"/>
  <c r="IO74" i="15"/>
  <c r="IP74" i="15"/>
  <c r="IQ74" i="15"/>
  <c r="IR74" i="15"/>
  <c r="IS74" i="15"/>
  <c r="IT74" i="15"/>
  <c r="IU74" i="15"/>
  <c r="IV74" i="15"/>
  <c r="A75" i="15"/>
  <c r="B75" i="15"/>
  <c r="C75" i="15"/>
  <c r="D75" i="15"/>
  <c r="E75" i="15"/>
  <c r="F75" i="15"/>
  <c r="G75" i="15"/>
  <c r="H75" i="15"/>
  <c r="I75" i="15"/>
  <c r="J75" i="15"/>
  <c r="K75" i="15"/>
  <c r="L75" i="15"/>
  <c r="M75" i="15"/>
  <c r="N75" i="15"/>
  <c r="O75" i="15"/>
  <c r="P75" i="15"/>
  <c r="Q75" i="15"/>
  <c r="R75" i="15"/>
  <c r="S75" i="15"/>
  <c r="T75" i="15"/>
  <c r="U75" i="15"/>
  <c r="V75" i="15"/>
  <c r="W75" i="15"/>
  <c r="X75" i="15"/>
  <c r="Y75" i="15"/>
  <c r="Z75" i="15"/>
  <c r="AA75" i="15"/>
  <c r="AB75" i="15"/>
  <c r="AC75" i="15"/>
  <c r="AD75" i="15"/>
  <c r="AE75" i="15"/>
  <c r="AF75" i="15"/>
  <c r="AG75" i="15"/>
  <c r="AH75" i="15"/>
  <c r="AI75" i="15"/>
  <c r="AJ75" i="15"/>
  <c r="AK75" i="15"/>
  <c r="AL75" i="15"/>
  <c r="AM75" i="15"/>
  <c r="AN75" i="15"/>
  <c r="AO75" i="15"/>
  <c r="AP75" i="15"/>
  <c r="AQ75" i="15"/>
  <c r="AR75" i="15"/>
  <c r="AS75" i="15"/>
  <c r="AT75" i="15"/>
  <c r="AU75" i="15"/>
  <c r="AV75" i="15"/>
  <c r="AW75" i="15"/>
  <c r="AX75" i="15"/>
  <c r="AY75" i="15"/>
  <c r="AZ75" i="15"/>
  <c r="BA75" i="15"/>
  <c r="BB75" i="15"/>
  <c r="BC75" i="15"/>
  <c r="BD75" i="15"/>
  <c r="BE75" i="15"/>
  <c r="BF75" i="15"/>
  <c r="BG75" i="15"/>
  <c r="BH75" i="15"/>
  <c r="BI75" i="15"/>
  <c r="BJ75" i="15"/>
  <c r="BK75" i="15"/>
  <c r="BL75" i="15"/>
  <c r="BM75" i="15"/>
  <c r="BN75" i="15"/>
  <c r="BO75" i="15"/>
  <c r="BP75" i="15"/>
  <c r="BQ75" i="15"/>
  <c r="BR75" i="15"/>
  <c r="BS75" i="15"/>
  <c r="BT75" i="15"/>
  <c r="BU75" i="15"/>
  <c r="BV75" i="15"/>
  <c r="BW75" i="15"/>
  <c r="BX75" i="15"/>
  <c r="BY75" i="15"/>
  <c r="BZ75" i="15"/>
  <c r="CA75" i="15"/>
  <c r="CB75" i="15"/>
  <c r="CC75" i="15"/>
  <c r="CD75" i="15"/>
  <c r="CE75" i="15"/>
  <c r="CF75" i="15"/>
  <c r="CG75" i="15"/>
  <c r="CH75" i="15"/>
  <c r="CI75" i="15"/>
  <c r="CJ75" i="15"/>
  <c r="CK75" i="15"/>
  <c r="CL75" i="15"/>
  <c r="CM75" i="15"/>
  <c r="CN75" i="15"/>
  <c r="CO75" i="15"/>
  <c r="CP75" i="15"/>
  <c r="CQ75" i="15"/>
  <c r="CR75" i="15"/>
  <c r="CS75" i="15"/>
  <c r="CT75" i="15"/>
  <c r="CU75" i="15"/>
  <c r="CV75" i="15"/>
  <c r="CW75" i="15"/>
  <c r="CX75" i="15"/>
  <c r="CY75" i="15"/>
  <c r="CZ75" i="15"/>
  <c r="DA75" i="15"/>
  <c r="DB75" i="15"/>
  <c r="DC75" i="15"/>
  <c r="DD75" i="15"/>
  <c r="DE75" i="15"/>
  <c r="DF75" i="15"/>
  <c r="DG75" i="15"/>
  <c r="DH75" i="15"/>
  <c r="DI75" i="15"/>
  <c r="DJ75" i="15"/>
  <c r="DK75" i="15"/>
  <c r="DL75" i="15"/>
  <c r="DM75" i="15"/>
  <c r="DN75" i="15"/>
  <c r="DO75" i="15"/>
  <c r="DP75" i="15"/>
  <c r="DQ75" i="15"/>
  <c r="DR75" i="15"/>
  <c r="DS75" i="15"/>
  <c r="DT75" i="15"/>
  <c r="DU75" i="15"/>
  <c r="DV75" i="15"/>
  <c r="DW75" i="15"/>
  <c r="DX75" i="15"/>
  <c r="DY75" i="15"/>
  <c r="DZ75" i="15"/>
  <c r="EA75" i="15"/>
  <c r="EB75" i="15"/>
  <c r="EC75" i="15"/>
  <c r="ED75" i="15"/>
  <c r="EE75" i="15"/>
  <c r="EF75" i="15"/>
  <c r="EG75" i="15"/>
  <c r="EH75" i="15"/>
  <c r="EI75" i="15"/>
  <c r="EJ75" i="15"/>
  <c r="EK75" i="15"/>
  <c r="EL75" i="15"/>
  <c r="EM75" i="15"/>
  <c r="EN75" i="15"/>
  <c r="EO75" i="15"/>
  <c r="EP75" i="15"/>
  <c r="EQ75" i="15"/>
  <c r="ER75" i="15"/>
  <c r="ES75" i="15"/>
  <c r="ET75" i="15"/>
  <c r="EU75" i="15"/>
  <c r="EV75" i="15"/>
  <c r="EW75" i="15"/>
  <c r="EX75" i="15"/>
  <c r="EY75" i="15"/>
  <c r="EZ75" i="15"/>
  <c r="FA75" i="15"/>
  <c r="FB75" i="15"/>
  <c r="FC75" i="15"/>
  <c r="FD75" i="15"/>
  <c r="FE75" i="15"/>
  <c r="FF75" i="15"/>
  <c r="FG75" i="15"/>
  <c r="FH75" i="15"/>
  <c r="FI75" i="15"/>
  <c r="FJ75" i="15"/>
  <c r="FK75" i="15"/>
  <c r="FL75" i="15"/>
  <c r="FM75" i="15"/>
  <c r="FN75" i="15"/>
  <c r="FO75" i="15"/>
  <c r="FP75" i="15"/>
  <c r="FQ75" i="15"/>
  <c r="FR75" i="15"/>
  <c r="FS75" i="15"/>
  <c r="FT75" i="15"/>
  <c r="FU75" i="15"/>
  <c r="FV75" i="15"/>
  <c r="FW75" i="15"/>
  <c r="FX75" i="15"/>
  <c r="FY75" i="15"/>
  <c r="FZ75" i="15"/>
  <c r="GA75" i="15"/>
  <c r="GB75" i="15"/>
  <c r="GC75" i="15"/>
  <c r="GD75" i="15"/>
  <c r="GE75" i="15"/>
  <c r="GF75" i="15"/>
  <c r="GG75" i="15"/>
  <c r="GH75" i="15"/>
  <c r="GI75" i="15"/>
  <c r="GJ75" i="15"/>
  <c r="GK75" i="15"/>
  <c r="GL75" i="15"/>
  <c r="GM75" i="15"/>
  <c r="GN75" i="15"/>
  <c r="GO75" i="15"/>
  <c r="GP75" i="15"/>
  <c r="GQ75" i="15"/>
  <c r="GR75" i="15"/>
  <c r="GS75" i="15"/>
  <c r="GT75" i="15"/>
  <c r="GU75" i="15"/>
  <c r="GV75" i="15"/>
  <c r="GW75" i="15"/>
  <c r="GX75" i="15"/>
  <c r="GY75" i="15"/>
  <c r="GZ75" i="15"/>
  <c r="HA75" i="15"/>
  <c r="HB75" i="15"/>
  <c r="HC75" i="15"/>
  <c r="HD75" i="15"/>
  <c r="HE75" i="15"/>
  <c r="HF75" i="15"/>
  <c r="HG75" i="15"/>
  <c r="HH75" i="15"/>
  <c r="HI75" i="15"/>
  <c r="HJ75" i="15"/>
  <c r="HK75" i="15"/>
  <c r="HL75" i="15"/>
  <c r="HM75" i="15"/>
  <c r="HN75" i="15"/>
  <c r="HO75" i="15"/>
  <c r="HP75" i="15"/>
  <c r="HQ75" i="15"/>
  <c r="HR75" i="15"/>
  <c r="HS75" i="15"/>
  <c r="HT75" i="15"/>
  <c r="HU75" i="15"/>
  <c r="HV75" i="15"/>
  <c r="HW75" i="15"/>
  <c r="HX75" i="15"/>
  <c r="HY75" i="15"/>
  <c r="HZ75" i="15"/>
  <c r="IA75" i="15"/>
  <c r="IB75" i="15"/>
  <c r="IC75" i="15"/>
  <c r="ID75" i="15"/>
  <c r="IE75" i="15"/>
  <c r="IF75" i="15"/>
  <c r="IG75" i="15"/>
  <c r="IH75" i="15"/>
  <c r="II75" i="15"/>
  <c r="IJ75" i="15"/>
  <c r="IK75" i="15"/>
  <c r="IL75" i="15"/>
  <c r="IM75" i="15"/>
  <c r="IN75" i="15"/>
  <c r="IO75" i="15"/>
  <c r="IP75" i="15"/>
  <c r="IQ75" i="15"/>
  <c r="IR75" i="15"/>
  <c r="IS75" i="15"/>
  <c r="IT75" i="15"/>
  <c r="IU75" i="15"/>
  <c r="IV75" i="15"/>
  <c r="A76" i="15"/>
  <c r="B76" i="15"/>
  <c r="C76" i="15"/>
  <c r="D76" i="15"/>
  <c r="E76" i="15"/>
  <c r="F76" i="15"/>
  <c r="G76" i="15"/>
  <c r="H76" i="15"/>
  <c r="I76" i="15"/>
  <c r="J76" i="15"/>
  <c r="K76" i="15"/>
  <c r="L76" i="15"/>
  <c r="M76" i="15"/>
  <c r="N76" i="15"/>
  <c r="O76" i="15"/>
  <c r="P76" i="15"/>
  <c r="Q76" i="15"/>
  <c r="R76" i="15"/>
  <c r="S76" i="15"/>
  <c r="T76" i="15"/>
  <c r="U76" i="15"/>
  <c r="V76" i="15"/>
  <c r="W76" i="15"/>
  <c r="X76" i="15"/>
  <c r="Y76" i="15"/>
  <c r="Z76" i="15"/>
  <c r="AA76" i="15"/>
  <c r="AB76" i="15"/>
  <c r="AC76" i="15"/>
  <c r="AD76" i="15"/>
  <c r="AE76" i="15"/>
  <c r="AF76" i="15"/>
  <c r="AG76" i="15"/>
  <c r="AH76" i="15"/>
  <c r="AI76" i="15"/>
  <c r="AJ76" i="15"/>
  <c r="AK76" i="15"/>
  <c r="AL76" i="15"/>
  <c r="AM76" i="15"/>
  <c r="AN76" i="15"/>
  <c r="AO76" i="15"/>
  <c r="AP76" i="15"/>
  <c r="AQ76" i="15"/>
  <c r="AR76" i="15"/>
  <c r="AS76" i="15"/>
  <c r="AT76" i="15"/>
  <c r="AU76" i="15"/>
  <c r="AV76" i="15"/>
  <c r="AW76" i="15"/>
  <c r="AX76" i="15"/>
  <c r="AY76" i="15"/>
  <c r="AZ76" i="15"/>
  <c r="BA76" i="15"/>
  <c r="BB76" i="15"/>
  <c r="BC76" i="15"/>
  <c r="BD76" i="15"/>
  <c r="BE76" i="15"/>
  <c r="BF76" i="15"/>
  <c r="BG76" i="15"/>
  <c r="BH76" i="15"/>
  <c r="BI76" i="15"/>
  <c r="BJ76" i="15"/>
  <c r="BK76" i="15"/>
  <c r="BL76" i="15"/>
  <c r="BM76" i="15"/>
  <c r="BN76" i="15"/>
  <c r="BO76" i="15"/>
  <c r="BP76" i="15"/>
  <c r="BQ76" i="15"/>
  <c r="BR76" i="15"/>
  <c r="BS76" i="15"/>
  <c r="BT76" i="15"/>
  <c r="BU76" i="15"/>
  <c r="BV76" i="15"/>
  <c r="BW76" i="15"/>
  <c r="BX76" i="15"/>
  <c r="BY76" i="15"/>
  <c r="BZ76" i="15"/>
  <c r="CA76" i="15"/>
  <c r="CB76" i="15"/>
  <c r="CC76" i="15"/>
  <c r="CD76" i="15"/>
  <c r="CE76" i="15"/>
  <c r="CF76" i="15"/>
  <c r="CG76" i="15"/>
  <c r="CH76" i="15"/>
  <c r="CI76" i="15"/>
  <c r="CJ76" i="15"/>
  <c r="CK76" i="15"/>
  <c r="CL76" i="15"/>
  <c r="CM76" i="15"/>
  <c r="CN76" i="15"/>
  <c r="CO76" i="15"/>
  <c r="CP76" i="15"/>
  <c r="CQ76" i="15"/>
  <c r="CR76" i="15"/>
  <c r="CS76" i="15"/>
  <c r="CT76" i="15"/>
  <c r="CU76" i="15"/>
  <c r="CV76" i="15"/>
  <c r="CW76" i="15"/>
  <c r="CX76" i="15"/>
  <c r="CY76" i="15"/>
  <c r="CZ76" i="15"/>
  <c r="DA76" i="15"/>
  <c r="DB76" i="15"/>
  <c r="DC76" i="15"/>
  <c r="DD76" i="15"/>
  <c r="DE76" i="15"/>
  <c r="DF76" i="15"/>
  <c r="DG76" i="15"/>
  <c r="DH76" i="15"/>
  <c r="DI76" i="15"/>
  <c r="DJ76" i="15"/>
  <c r="DK76" i="15"/>
  <c r="DL76" i="15"/>
  <c r="DM76" i="15"/>
  <c r="DN76" i="15"/>
  <c r="DO76" i="15"/>
  <c r="DP76" i="15"/>
  <c r="DQ76" i="15"/>
  <c r="DR76" i="15"/>
  <c r="DS76" i="15"/>
  <c r="DT76" i="15"/>
  <c r="DU76" i="15"/>
  <c r="DV76" i="15"/>
  <c r="DW76" i="15"/>
  <c r="DX76" i="15"/>
  <c r="DY76" i="15"/>
  <c r="DZ76" i="15"/>
  <c r="EA76" i="15"/>
  <c r="EB76" i="15"/>
  <c r="EC76" i="15"/>
  <c r="ED76" i="15"/>
  <c r="EE76" i="15"/>
  <c r="EF76" i="15"/>
  <c r="EG76" i="15"/>
  <c r="EH76" i="15"/>
  <c r="EI76" i="15"/>
  <c r="EJ76" i="15"/>
  <c r="EK76" i="15"/>
  <c r="EL76" i="15"/>
  <c r="EM76" i="15"/>
  <c r="EN76" i="15"/>
  <c r="EO76" i="15"/>
  <c r="EP76" i="15"/>
  <c r="EQ76" i="15"/>
  <c r="ER76" i="15"/>
  <c r="ES76" i="15"/>
  <c r="ET76" i="15"/>
  <c r="EU76" i="15"/>
  <c r="EV76" i="15"/>
  <c r="EW76" i="15"/>
  <c r="EX76" i="15"/>
  <c r="EY76" i="15"/>
  <c r="EZ76" i="15"/>
  <c r="FA76" i="15"/>
  <c r="FB76" i="15"/>
  <c r="FC76" i="15"/>
  <c r="FD76" i="15"/>
  <c r="FE76" i="15"/>
  <c r="FF76" i="15"/>
  <c r="FG76" i="15"/>
  <c r="FH76" i="15"/>
  <c r="FI76" i="15"/>
  <c r="FJ76" i="15"/>
  <c r="FK76" i="15"/>
  <c r="FL76" i="15"/>
  <c r="FM76" i="15"/>
  <c r="FN76" i="15"/>
  <c r="FO76" i="15"/>
  <c r="FP76" i="15"/>
  <c r="FQ76" i="15"/>
  <c r="FR76" i="15"/>
  <c r="FS76" i="15"/>
  <c r="FT76" i="15"/>
  <c r="FU76" i="15"/>
  <c r="FV76" i="15"/>
  <c r="FW76" i="15"/>
  <c r="FX76" i="15"/>
  <c r="FY76" i="15"/>
  <c r="FZ76" i="15"/>
  <c r="GA76" i="15"/>
  <c r="GB76" i="15"/>
  <c r="GC76" i="15"/>
  <c r="GD76" i="15"/>
  <c r="GE76" i="15"/>
  <c r="GF76" i="15"/>
  <c r="GG76" i="15"/>
  <c r="GH76" i="15"/>
  <c r="GI76" i="15"/>
  <c r="GJ76" i="15"/>
  <c r="GK76" i="15"/>
  <c r="GL76" i="15"/>
  <c r="GM76" i="15"/>
  <c r="GN76" i="15"/>
  <c r="GO76" i="15"/>
  <c r="GP76" i="15"/>
  <c r="GQ76" i="15"/>
  <c r="GR76" i="15"/>
  <c r="GS76" i="15"/>
  <c r="GT76" i="15"/>
  <c r="GU76" i="15"/>
  <c r="GV76" i="15"/>
  <c r="GW76" i="15"/>
  <c r="GX76" i="15"/>
  <c r="GY76" i="15"/>
  <c r="GZ76" i="15"/>
  <c r="HA76" i="15"/>
  <c r="HB76" i="15"/>
  <c r="HC76" i="15"/>
  <c r="HD76" i="15"/>
  <c r="HE76" i="15"/>
  <c r="HF76" i="15"/>
  <c r="HG76" i="15"/>
  <c r="HH76" i="15"/>
  <c r="HI76" i="15"/>
  <c r="HJ76" i="15"/>
  <c r="HK76" i="15"/>
  <c r="HL76" i="15"/>
  <c r="HM76" i="15"/>
  <c r="HN76" i="15"/>
  <c r="HO76" i="15"/>
  <c r="HP76" i="15"/>
  <c r="HQ76" i="15"/>
  <c r="HR76" i="15"/>
  <c r="HS76" i="15"/>
  <c r="HT76" i="15"/>
  <c r="HU76" i="15"/>
  <c r="HV76" i="15"/>
  <c r="HW76" i="15"/>
  <c r="HX76" i="15"/>
  <c r="HY76" i="15"/>
  <c r="HZ76" i="15"/>
  <c r="IA76" i="15"/>
  <c r="IB76" i="15"/>
  <c r="IC76" i="15"/>
  <c r="ID76" i="15"/>
  <c r="IE76" i="15"/>
  <c r="IF76" i="15"/>
  <c r="IG76" i="15"/>
  <c r="IH76" i="15"/>
  <c r="II76" i="15"/>
  <c r="IJ76" i="15"/>
  <c r="IK76" i="15"/>
  <c r="IL76" i="15"/>
  <c r="IM76" i="15"/>
  <c r="IN76" i="15"/>
  <c r="IO76" i="15"/>
  <c r="IP76" i="15"/>
  <c r="IQ76" i="15"/>
  <c r="IR76" i="15"/>
  <c r="IS76" i="15"/>
  <c r="IT76" i="15"/>
  <c r="IU76" i="15"/>
  <c r="IV76" i="15"/>
  <c r="A77" i="15"/>
  <c r="B77" i="15"/>
  <c r="C77" i="15"/>
  <c r="D77" i="15"/>
  <c r="E77" i="15"/>
  <c r="F77" i="15"/>
  <c r="G77" i="15"/>
  <c r="H77" i="15"/>
  <c r="I77" i="15"/>
  <c r="J77" i="15"/>
  <c r="K77" i="15"/>
  <c r="L77" i="15"/>
  <c r="M77" i="15"/>
  <c r="N77" i="15"/>
  <c r="O77" i="15"/>
  <c r="P77" i="15"/>
  <c r="Q77" i="15"/>
  <c r="R77" i="15"/>
  <c r="S77" i="15"/>
  <c r="T77" i="15"/>
  <c r="U77" i="15"/>
  <c r="V77" i="15"/>
  <c r="W77" i="15"/>
  <c r="X77" i="15"/>
  <c r="Y77" i="15"/>
  <c r="Z77" i="15"/>
  <c r="AA77" i="15"/>
  <c r="AB77" i="15"/>
  <c r="AC77" i="15"/>
  <c r="AD77" i="15"/>
  <c r="AE77" i="15"/>
  <c r="AF77" i="15"/>
  <c r="AG77" i="15"/>
  <c r="AH77" i="15"/>
  <c r="AI77" i="15"/>
  <c r="AJ77" i="15"/>
  <c r="AK77" i="15"/>
  <c r="AL77" i="15"/>
  <c r="AM77" i="15"/>
  <c r="AN77" i="15"/>
  <c r="AO77" i="15"/>
  <c r="AP77" i="15"/>
  <c r="AQ77" i="15"/>
  <c r="AR77" i="15"/>
  <c r="AS77" i="15"/>
  <c r="AT77" i="15"/>
  <c r="AU77" i="15"/>
  <c r="AV77" i="15"/>
  <c r="AW77" i="15"/>
  <c r="AX77" i="15"/>
  <c r="AY77" i="15"/>
  <c r="AZ77" i="15"/>
  <c r="BA77" i="15"/>
  <c r="BB77" i="15"/>
  <c r="BC77" i="15"/>
  <c r="BD77" i="15"/>
  <c r="BE77" i="15"/>
  <c r="BF77" i="15"/>
  <c r="BG77" i="15"/>
  <c r="BH77" i="15"/>
  <c r="BI77" i="15"/>
  <c r="BJ77" i="15"/>
  <c r="BK77" i="15"/>
  <c r="BL77" i="15"/>
  <c r="BM77" i="15"/>
  <c r="BN77" i="15"/>
  <c r="BO77" i="15"/>
  <c r="BP77" i="15"/>
  <c r="BQ77" i="15"/>
  <c r="BR77" i="15"/>
  <c r="BS77" i="15"/>
  <c r="BT77" i="15"/>
  <c r="BU77" i="15"/>
  <c r="BV77" i="15"/>
  <c r="BW77" i="15"/>
  <c r="BX77" i="15"/>
  <c r="BY77" i="15"/>
  <c r="BZ77" i="15"/>
  <c r="CA77" i="15"/>
  <c r="CB77" i="15"/>
  <c r="CC77" i="15"/>
  <c r="CD77" i="15"/>
  <c r="CE77" i="15"/>
  <c r="CF77" i="15"/>
  <c r="CG77" i="15"/>
  <c r="CH77" i="15"/>
  <c r="CI77" i="15"/>
  <c r="CJ77" i="15"/>
  <c r="CK77" i="15"/>
  <c r="CL77" i="15"/>
  <c r="CM77" i="15"/>
  <c r="CN77" i="15"/>
  <c r="CO77" i="15"/>
  <c r="CP77" i="15"/>
  <c r="CQ77" i="15"/>
  <c r="CR77" i="15"/>
  <c r="CS77" i="15"/>
  <c r="CT77" i="15"/>
  <c r="CU77" i="15"/>
  <c r="CV77" i="15"/>
  <c r="CW77" i="15"/>
  <c r="CX77" i="15"/>
  <c r="CY77" i="15"/>
  <c r="CZ77" i="15"/>
  <c r="DA77" i="15"/>
  <c r="DB77" i="15"/>
  <c r="DC77" i="15"/>
  <c r="DD77" i="15"/>
  <c r="DE77" i="15"/>
  <c r="DF77" i="15"/>
  <c r="DG77" i="15"/>
  <c r="DH77" i="15"/>
  <c r="DI77" i="15"/>
  <c r="DJ77" i="15"/>
  <c r="DK77" i="15"/>
  <c r="DL77" i="15"/>
  <c r="DM77" i="15"/>
  <c r="DN77" i="15"/>
  <c r="DO77" i="15"/>
  <c r="DP77" i="15"/>
  <c r="DQ77" i="15"/>
  <c r="DR77" i="15"/>
  <c r="DS77" i="15"/>
  <c r="DT77" i="15"/>
  <c r="DU77" i="15"/>
  <c r="DV77" i="15"/>
  <c r="DW77" i="15"/>
  <c r="DX77" i="15"/>
  <c r="DY77" i="15"/>
  <c r="DZ77" i="15"/>
  <c r="EA77" i="15"/>
  <c r="EB77" i="15"/>
  <c r="EC77" i="15"/>
  <c r="ED77" i="15"/>
  <c r="EE77" i="15"/>
  <c r="EF77" i="15"/>
  <c r="EG77" i="15"/>
  <c r="EH77" i="15"/>
  <c r="EI77" i="15"/>
  <c r="EJ77" i="15"/>
  <c r="EK77" i="15"/>
  <c r="EL77" i="15"/>
  <c r="EM77" i="15"/>
  <c r="EN77" i="15"/>
  <c r="EO77" i="15"/>
  <c r="EP77" i="15"/>
  <c r="EQ77" i="15"/>
  <c r="ER77" i="15"/>
  <c r="ES77" i="15"/>
  <c r="ET77" i="15"/>
  <c r="EU77" i="15"/>
  <c r="EV77" i="15"/>
  <c r="EW77" i="15"/>
  <c r="EX77" i="15"/>
  <c r="EY77" i="15"/>
  <c r="EZ77" i="15"/>
  <c r="FA77" i="15"/>
  <c r="FB77" i="15"/>
  <c r="FC77" i="15"/>
  <c r="FD77" i="15"/>
  <c r="FE77" i="15"/>
  <c r="FF77" i="15"/>
  <c r="FG77" i="15"/>
  <c r="FH77" i="15"/>
  <c r="FI77" i="15"/>
  <c r="FJ77" i="15"/>
  <c r="FK77" i="15"/>
  <c r="FL77" i="15"/>
  <c r="FM77" i="15"/>
  <c r="FN77" i="15"/>
  <c r="FO77" i="15"/>
  <c r="FP77" i="15"/>
  <c r="FQ77" i="15"/>
  <c r="FR77" i="15"/>
  <c r="FS77" i="15"/>
  <c r="FT77" i="15"/>
  <c r="FU77" i="15"/>
  <c r="FV77" i="15"/>
  <c r="FW77" i="15"/>
  <c r="FX77" i="15"/>
  <c r="FY77" i="15"/>
  <c r="FZ77" i="15"/>
  <c r="GA77" i="15"/>
  <c r="GB77" i="15"/>
  <c r="GC77" i="15"/>
  <c r="GD77" i="15"/>
  <c r="GE77" i="15"/>
  <c r="GF77" i="15"/>
  <c r="GG77" i="15"/>
  <c r="GH77" i="15"/>
  <c r="GI77" i="15"/>
  <c r="GJ77" i="15"/>
  <c r="GK77" i="15"/>
  <c r="GL77" i="15"/>
  <c r="GM77" i="15"/>
  <c r="GN77" i="15"/>
  <c r="GO77" i="15"/>
  <c r="GP77" i="15"/>
  <c r="GQ77" i="15"/>
  <c r="GR77" i="15"/>
  <c r="GS77" i="15"/>
  <c r="GT77" i="15"/>
  <c r="GU77" i="15"/>
  <c r="GV77" i="15"/>
  <c r="GW77" i="15"/>
  <c r="GX77" i="15"/>
  <c r="GY77" i="15"/>
  <c r="GZ77" i="15"/>
  <c r="HA77" i="15"/>
  <c r="HB77" i="15"/>
  <c r="HC77" i="15"/>
  <c r="HD77" i="15"/>
  <c r="HE77" i="15"/>
  <c r="HF77" i="15"/>
  <c r="HG77" i="15"/>
  <c r="HH77" i="15"/>
  <c r="HI77" i="15"/>
  <c r="HJ77" i="15"/>
  <c r="HK77" i="15"/>
  <c r="HL77" i="15"/>
  <c r="HM77" i="15"/>
  <c r="HN77" i="15"/>
  <c r="HO77" i="15"/>
  <c r="HP77" i="15"/>
  <c r="HQ77" i="15"/>
  <c r="HR77" i="15"/>
  <c r="HS77" i="15"/>
  <c r="HT77" i="15"/>
  <c r="HU77" i="15"/>
  <c r="HV77" i="15"/>
  <c r="HW77" i="15"/>
  <c r="HX77" i="15"/>
  <c r="HY77" i="15"/>
  <c r="HZ77" i="15"/>
  <c r="IA77" i="15"/>
  <c r="IB77" i="15"/>
  <c r="IC77" i="15"/>
  <c r="ID77" i="15"/>
  <c r="IE77" i="15"/>
  <c r="IF77" i="15"/>
  <c r="IG77" i="15"/>
  <c r="IH77" i="15"/>
  <c r="II77" i="15"/>
  <c r="IJ77" i="15"/>
  <c r="IK77" i="15"/>
  <c r="IL77" i="15"/>
  <c r="IM77" i="15"/>
  <c r="IN77" i="15"/>
  <c r="IO77" i="15"/>
  <c r="IP77" i="15"/>
  <c r="IQ77" i="15"/>
  <c r="IR77" i="15"/>
  <c r="IS77" i="15"/>
  <c r="IT77" i="15"/>
  <c r="IU77" i="15"/>
  <c r="IV77" i="15"/>
  <c r="A78" i="15"/>
  <c r="B78" i="15"/>
  <c r="C78" i="15"/>
  <c r="D78" i="15"/>
  <c r="E78" i="15"/>
  <c r="F78" i="15"/>
  <c r="G78" i="15"/>
  <c r="H78" i="15"/>
  <c r="I78" i="15"/>
  <c r="J78" i="15"/>
  <c r="K78" i="15"/>
  <c r="L78" i="15"/>
  <c r="M78" i="15"/>
  <c r="N78" i="15"/>
  <c r="O78" i="15"/>
  <c r="P78" i="15"/>
  <c r="Q78" i="15"/>
  <c r="R78" i="15"/>
  <c r="S78" i="15"/>
  <c r="T78" i="15"/>
  <c r="U78" i="15"/>
  <c r="V78" i="15"/>
  <c r="W78" i="15"/>
  <c r="X78" i="15"/>
  <c r="Y78" i="15"/>
  <c r="Z78" i="15"/>
  <c r="AA78" i="15"/>
  <c r="AB78" i="15"/>
  <c r="AC78" i="15"/>
  <c r="AD78" i="15"/>
  <c r="AE78" i="15"/>
  <c r="AF78" i="15"/>
  <c r="AG78" i="15"/>
  <c r="AH78" i="15"/>
  <c r="AI78" i="15"/>
  <c r="AJ78" i="15"/>
  <c r="AK78" i="15"/>
  <c r="AL78" i="15"/>
  <c r="AM78" i="15"/>
  <c r="AN78" i="15"/>
  <c r="AO78" i="15"/>
  <c r="AP78" i="15"/>
  <c r="AQ78" i="15"/>
  <c r="AR78" i="15"/>
  <c r="AS78" i="15"/>
  <c r="AT78" i="15"/>
  <c r="AU78" i="15"/>
  <c r="AV78" i="15"/>
  <c r="AW78" i="15"/>
  <c r="AX78" i="15"/>
  <c r="AY78" i="15"/>
  <c r="AZ78" i="15"/>
  <c r="BA78" i="15"/>
  <c r="BB78" i="15"/>
  <c r="BC78" i="15"/>
  <c r="BD78" i="15"/>
  <c r="BE78" i="15"/>
  <c r="BF78" i="15"/>
  <c r="BG78" i="15"/>
  <c r="BH78" i="15"/>
  <c r="BI78" i="15"/>
  <c r="BJ78" i="15"/>
  <c r="BK78" i="15"/>
  <c r="BL78" i="15"/>
  <c r="BM78" i="15"/>
  <c r="BN78" i="15"/>
  <c r="BO78" i="15"/>
  <c r="BP78" i="15"/>
  <c r="BQ78" i="15"/>
  <c r="BR78" i="15"/>
  <c r="BS78" i="15"/>
  <c r="BT78" i="15"/>
  <c r="BU78" i="15"/>
  <c r="BV78" i="15"/>
  <c r="BW78" i="15"/>
  <c r="BX78" i="15"/>
  <c r="BY78" i="15"/>
  <c r="BZ78" i="15"/>
  <c r="CA78" i="15"/>
  <c r="CB78" i="15"/>
  <c r="CC78" i="15"/>
  <c r="CD78" i="15"/>
  <c r="CE78" i="15"/>
  <c r="CF78" i="15"/>
  <c r="CG78" i="15"/>
  <c r="CH78" i="15"/>
  <c r="CI78" i="15"/>
  <c r="CJ78" i="15"/>
  <c r="CK78" i="15"/>
  <c r="CL78" i="15"/>
  <c r="CM78" i="15"/>
  <c r="CN78" i="15"/>
  <c r="CO78" i="15"/>
  <c r="CP78" i="15"/>
  <c r="CQ78" i="15"/>
  <c r="CR78" i="15"/>
  <c r="CS78" i="15"/>
  <c r="CT78" i="15"/>
  <c r="CU78" i="15"/>
  <c r="CV78" i="15"/>
  <c r="CW78" i="15"/>
  <c r="CX78" i="15"/>
  <c r="CY78" i="15"/>
  <c r="CZ78" i="15"/>
  <c r="DA78" i="15"/>
  <c r="DB78" i="15"/>
  <c r="DC78" i="15"/>
  <c r="DD78" i="15"/>
  <c r="DE78" i="15"/>
  <c r="DF78" i="15"/>
  <c r="DG78" i="15"/>
  <c r="DH78" i="15"/>
  <c r="DI78" i="15"/>
  <c r="DJ78" i="15"/>
  <c r="DK78" i="15"/>
  <c r="DL78" i="15"/>
  <c r="DM78" i="15"/>
  <c r="DN78" i="15"/>
  <c r="DO78" i="15"/>
  <c r="DP78" i="15"/>
  <c r="DQ78" i="15"/>
  <c r="DR78" i="15"/>
  <c r="DS78" i="15"/>
  <c r="DT78" i="15"/>
  <c r="DU78" i="15"/>
  <c r="DV78" i="15"/>
  <c r="DW78" i="15"/>
  <c r="DX78" i="15"/>
  <c r="DY78" i="15"/>
  <c r="DZ78" i="15"/>
  <c r="EA78" i="15"/>
  <c r="EB78" i="15"/>
  <c r="EC78" i="15"/>
  <c r="ED78" i="15"/>
  <c r="EE78" i="15"/>
  <c r="EF78" i="15"/>
  <c r="EG78" i="15"/>
  <c r="EH78" i="15"/>
  <c r="EI78" i="15"/>
  <c r="EJ78" i="15"/>
  <c r="EK78" i="15"/>
  <c r="EL78" i="15"/>
  <c r="EM78" i="15"/>
  <c r="EN78" i="15"/>
  <c r="EO78" i="15"/>
  <c r="EP78" i="15"/>
  <c r="EQ78" i="15"/>
  <c r="ER78" i="15"/>
  <c r="ES78" i="15"/>
  <c r="ET78" i="15"/>
  <c r="EU78" i="15"/>
  <c r="EV78" i="15"/>
  <c r="EW78" i="15"/>
  <c r="EX78" i="15"/>
  <c r="EY78" i="15"/>
  <c r="EZ78" i="15"/>
  <c r="FA78" i="15"/>
  <c r="FB78" i="15"/>
  <c r="FC78" i="15"/>
  <c r="FD78" i="15"/>
  <c r="FE78" i="15"/>
  <c r="FF78" i="15"/>
  <c r="FG78" i="15"/>
  <c r="FH78" i="15"/>
  <c r="FI78" i="15"/>
  <c r="FJ78" i="15"/>
  <c r="FK78" i="15"/>
  <c r="FL78" i="15"/>
  <c r="FM78" i="15"/>
  <c r="FN78" i="15"/>
  <c r="FO78" i="15"/>
  <c r="FP78" i="15"/>
  <c r="FQ78" i="15"/>
  <c r="FR78" i="15"/>
  <c r="FS78" i="15"/>
  <c r="FT78" i="15"/>
  <c r="FU78" i="15"/>
  <c r="FV78" i="15"/>
  <c r="FW78" i="15"/>
  <c r="FX78" i="15"/>
  <c r="FY78" i="15"/>
  <c r="FZ78" i="15"/>
  <c r="GA78" i="15"/>
  <c r="GB78" i="15"/>
  <c r="GC78" i="15"/>
  <c r="GD78" i="15"/>
  <c r="GE78" i="15"/>
  <c r="GF78" i="15"/>
  <c r="GG78" i="15"/>
  <c r="GH78" i="15"/>
  <c r="GI78" i="15"/>
  <c r="GJ78" i="15"/>
  <c r="GK78" i="15"/>
  <c r="GL78" i="15"/>
  <c r="GM78" i="15"/>
  <c r="GN78" i="15"/>
  <c r="GO78" i="15"/>
  <c r="GP78" i="15"/>
  <c r="GQ78" i="15"/>
  <c r="GR78" i="15"/>
  <c r="GS78" i="15"/>
  <c r="GT78" i="15"/>
  <c r="GU78" i="15"/>
  <c r="GV78" i="15"/>
  <c r="GW78" i="15"/>
  <c r="GX78" i="15"/>
  <c r="GY78" i="15"/>
  <c r="GZ78" i="15"/>
  <c r="HA78" i="15"/>
  <c r="HB78" i="15"/>
  <c r="HC78" i="15"/>
  <c r="HD78" i="15"/>
  <c r="HE78" i="15"/>
  <c r="HF78" i="15"/>
  <c r="HG78" i="15"/>
  <c r="HH78" i="15"/>
  <c r="HI78" i="15"/>
  <c r="HJ78" i="15"/>
  <c r="HK78" i="15"/>
  <c r="HL78" i="15"/>
  <c r="HM78" i="15"/>
  <c r="HN78" i="15"/>
  <c r="HO78" i="15"/>
  <c r="HP78" i="15"/>
  <c r="HQ78" i="15"/>
  <c r="HR78" i="15"/>
  <c r="HS78" i="15"/>
  <c r="HT78" i="15"/>
  <c r="HU78" i="15"/>
  <c r="HV78" i="15"/>
  <c r="HW78" i="15"/>
  <c r="HX78" i="15"/>
  <c r="HY78" i="15"/>
  <c r="HZ78" i="15"/>
  <c r="IA78" i="15"/>
  <c r="IB78" i="15"/>
  <c r="IC78" i="15"/>
  <c r="ID78" i="15"/>
  <c r="IE78" i="15"/>
  <c r="IF78" i="15"/>
  <c r="IG78" i="15"/>
  <c r="IH78" i="15"/>
  <c r="II78" i="15"/>
  <c r="IJ78" i="15"/>
  <c r="IK78" i="15"/>
  <c r="IL78" i="15"/>
  <c r="IM78" i="15"/>
  <c r="IN78" i="15"/>
  <c r="IO78" i="15"/>
  <c r="IP78" i="15"/>
  <c r="IQ78" i="15"/>
  <c r="IR78" i="15"/>
  <c r="IS78" i="15"/>
  <c r="IT78" i="15"/>
  <c r="IU78" i="15"/>
  <c r="IV78" i="15"/>
  <c r="A79" i="15"/>
  <c r="B79" i="15"/>
  <c r="C79" i="15"/>
  <c r="D79" i="15"/>
  <c r="E79" i="15"/>
  <c r="F79" i="15"/>
  <c r="G79" i="15"/>
  <c r="H79" i="15"/>
  <c r="I79" i="15"/>
  <c r="J79" i="15"/>
  <c r="K79" i="15"/>
  <c r="L79" i="15"/>
  <c r="M79" i="15"/>
  <c r="N79" i="15"/>
  <c r="O79" i="15"/>
  <c r="P79" i="15"/>
  <c r="Q79" i="15"/>
  <c r="R79" i="15"/>
  <c r="S79" i="15"/>
  <c r="T79" i="15"/>
  <c r="U79" i="15"/>
  <c r="V79" i="15"/>
  <c r="W79" i="15"/>
  <c r="X79" i="15"/>
  <c r="Y79" i="15"/>
  <c r="Z79" i="15"/>
  <c r="AA79" i="15"/>
  <c r="AB79" i="15"/>
  <c r="AC79" i="15"/>
  <c r="AD79" i="15"/>
  <c r="AE79" i="15"/>
  <c r="AF79" i="15"/>
  <c r="AG79" i="15"/>
  <c r="AH79" i="15"/>
  <c r="AI79" i="15"/>
  <c r="AJ79" i="15"/>
  <c r="AK79" i="15"/>
  <c r="AL79" i="15"/>
  <c r="AM79" i="15"/>
  <c r="AN79" i="15"/>
  <c r="AO79" i="15"/>
  <c r="AP79" i="15"/>
  <c r="AQ79" i="15"/>
  <c r="AR79" i="15"/>
  <c r="AS79" i="15"/>
  <c r="AT79" i="15"/>
  <c r="AU79" i="15"/>
  <c r="AV79" i="15"/>
  <c r="AW79" i="15"/>
  <c r="AX79" i="15"/>
  <c r="AY79" i="15"/>
  <c r="AZ79" i="15"/>
  <c r="BA79" i="15"/>
  <c r="BB79" i="15"/>
  <c r="BC79" i="15"/>
  <c r="BD79" i="15"/>
  <c r="BE79" i="15"/>
  <c r="BF79" i="15"/>
  <c r="BG79" i="15"/>
  <c r="BH79" i="15"/>
  <c r="BI79" i="15"/>
  <c r="BJ79" i="15"/>
  <c r="BK79" i="15"/>
  <c r="BL79" i="15"/>
  <c r="BM79" i="15"/>
  <c r="BN79" i="15"/>
  <c r="BO79" i="15"/>
  <c r="BP79" i="15"/>
  <c r="BQ79" i="15"/>
  <c r="BR79" i="15"/>
  <c r="BS79" i="15"/>
  <c r="BT79" i="15"/>
  <c r="BU79" i="15"/>
  <c r="BV79" i="15"/>
  <c r="BW79" i="15"/>
  <c r="BX79" i="15"/>
  <c r="BY79" i="15"/>
  <c r="BZ79" i="15"/>
  <c r="CA79" i="15"/>
  <c r="CB79" i="15"/>
  <c r="CC79" i="15"/>
  <c r="CD79" i="15"/>
  <c r="CE79" i="15"/>
  <c r="CF79" i="15"/>
  <c r="CG79" i="15"/>
  <c r="CH79" i="15"/>
  <c r="CI79" i="15"/>
  <c r="CJ79" i="15"/>
  <c r="CK79" i="15"/>
  <c r="CL79" i="15"/>
  <c r="CM79" i="15"/>
  <c r="CN79" i="15"/>
  <c r="CO79" i="15"/>
  <c r="CP79" i="15"/>
  <c r="CQ79" i="15"/>
  <c r="CR79" i="15"/>
  <c r="CS79" i="15"/>
  <c r="CT79" i="15"/>
  <c r="CU79" i="15"/>
  <c r="CV79" i="15"/>
  <c r="CW79" i="15"/>
  <c r="CX79" i="15"/>
  <c r="CY79" i="15"/>
  <c r="CZ79" i="15"/>
  <c r="DA79" i="15"/>
  <c r="DB79" i="15"/>
  <c r="DC79" i="15"/>
  <c r="DD79" i="15"/>
  <c r="DE79" i="15"/>
  <c r="DF79" i="15"/>
  <c r="DG79" i="15"/>
  <c r="DH79" i="15"/>
  <c r="DI79" i="15"/>
  <c r="DJ79" i="15"/>
  <c r="DK79" i="15"/>
  <c r="DL79" i="15"/>
  <c r="DM79" i="15"/>
  <c r="DN79" i="15"/>
  <c r="DO79" i="15"/>
  <c r="DP79" i="15"/>
  <c r="DQ79" i="15"/>
  <c r="DR79" i="15"/>
  <c r="DS79" i="15"/>
  <c r="DT79" i="15"/>
  <c r="DU79" i="15"/>
  <c r="DV79" i="15"/>
  <c r="DW79" i="15"/>
  <c r="DX79" i="15"/>
  <c r="DY79" i="15"/>
  <c r="DZ79" i="15"/>
  <c r="EA79" i="15"/>
  <c r="EB79" i="15"/>
  <c r="EC79" i="15"/>
  <c r="ED79" i="15"/>
  <c r="EE79" i="15"/>
  <c r="EF79" i="15"/>
  <c r="EG79" i="15"/>
  <c r="EH79" i="15"/>
  <c r="EI79" i="15"/>
  <c r="EJ79" i="15"/>
  <c r="EK79" i="15"/>
  <c r="EL79" i="15"/>
  <c r="EM79" i="15"/>
  <c r="EN79" i="15"/>
  <c r="EO79" i="15"/>
  <c r="EP79" i="15"/>
  <c r="EQ79" i="15"/>
  <c r="ER79" i="15"/>
  <c r="ES79" i="15"/>
  <c r="ET79" i="15"/>
  <c r="EU79" i="15"/>
  <c r="EV79" i="15"/>
  <c r="EW79" i="15"/>
  <c r="EX79" i="15"/>
  <c r="EY79" i="15"/>
  <c r="EZ79" i="15"/>
  <c r="FA79" i="15"/>
  <c r="FB79" i="15"/>
  <c r="FC79" i="15"/>
  <c r="FD79" i="15"/>
  <c r="FE79" i="15"/>
  <c r="FF79" i="15"/>
  <c r="FG79" i="15"/>
  <c r="FH79" i="15"/>
  <c r="FI79" i="15"/>
  <c r="FJ79" i="15"/>
  <c r="FK79" i="15"/>
  <c r="FL79" i="15"/>
  <c r="FM79" i="15"/>
  <c r="FN79" i="15"/>
  <c r="FO79" i="15"/>
  <c r="FP79" i="15"/>
  <c r="FQ79" i="15"/>
  <c r="FR79" i="15"/>
  <c r="FS79" i="15"/>
  <c r="FT79" i="15"/>
  <c r="FU79" i="15"/>
  <c r="FV79" i="15"/>
  <c r="FW79" i="15"/>
  <c r="FX79" i="15"/>
  <c r="FY79" i="15"/>
  <c r="FZ79" i="15"/>
  <c r="GA79" i="15"/>
  <c r="GB79" i="15"/>
  <c r="GC79" i="15"/>
  <c r="GD79" i="15"/>
  <c r="GE79" i="15"/>
  <c r="GF79" i="15"/>
  <c r="GG79" i="15"/>
  <c r="GH79" i="15"/>
  <c r="GI79" i="15"/>
  <c r="GJ79" i="15"/>
  <c r="GK79" i="15"/>
  <c r="GL79" i="15"/>
  <c r="GM79" i="15"/>
  <c r="GN79" i="15"/>
  <c r="GO79" i="15"/>
  <c r="GP79" i="15"/>
  <c r="GQ79" i="15"/>
  <c r="GR79" i="15"/>
  <c r="GS79" i="15"/>
  <c r="GT79" i="15"/>
  <c r="GU79" i="15"/>
  <c r="GV79" i="15"/>
  <c r="GW79" i="15"/>
  <c r="GX79" i="15"/>
  <c r="GY79" i="15"/>
  <c r="GZ79" i="15"/>
  <c r="HA79" i="15"/>
  <c r="HB79" i="15"/>
  <c r="HC79" i="15"/>
  <c r="HD79" i="15"/>
  <c r="HE79" i="15"/>
  <c r="HF79" i="15"/>
  <c r="HG79" i="15"/>
  <c r="HH79" i="15"/>
  <c r="HI79" i="15"/>
  <c r="HJ79" i="15"/>
  <c r="HK79" i="15"/>
  <c r="HL79" i="15"/>
  <c r="HM79" i="15"/>
  <c r="HN79" i="15"/>
  <c r="HO79" i="15"/>
  <c r="HP79" i="15"/>
  <c r="HQ79" i="15"/>
  <c r="HR79" i="15"/>
  <c r="HS79" i="15"/>
  <c r="HT79" i="15"/>
  <c r="HU79" i="15"/>
  <c r="HV79" i="15"/>
  <c r="HW79" i="15"/>
  <c r="HX79" i="15"/>
  <c r="HY79" i="15"/>
  <c r="HZ79" i="15"/>
  <c r="IA79" i="15"/>
  <c r="IB79" i="15"/>
  <c r="IC79" i="15"/>
  <c r="ID79" i="15"/>
  <c r="IE79" i="15"/>
  <c r="IF79" i="15"/>
  <c r="IG79" i="15"/>
  <c r="IH79" i="15"/>
  <c r="II79" i="15"/>
  <c r="IJ79" i="15"/>
  <c r="IK79" i="15"/>
  <c r="IL79" i="15"/>
  <c r="IM79" i="15"/>
  <c r="IN79" i="15"/>
  <c r="IO79" i="15"/>
  <c r="IP79" i="15"/>
  <c r="IQ79" i="15"/>
  <c r="IR79" i="15"/>
  <c r="IS79" i="15"/>
  <c r="IT79" i="15"/>
  <c r="IU79" i="15"/>
  <c r="IV79" i="15"/>
  <c r="A80" i="15"/>
  <c r="B80" i="15"/>
  <c r="C80" i="15"/>
  <c r="D80" i="15"/>
  <c r="E80" i="15"/>
  <c r="F80" i="15"/>
  <c r="G80" i="15"/>
  <c r="H80" i="15"/>
  <c r="I80" i="15"/>
  <c r="J80" i="15"/>
  <c r="K80" i="15"/>
  <c r="L80" i="15"/>
  <c r="M80" i="15"/>
  <c r="N80" i="15"/>
  <c r="O80" i="15"/>
  <c r="P80" i="15"/>
  <c r="Q80" i="15"/>
  <c r="R80" i="15"/>
  <c r="S80" i="15"/>
  <c r="T80" i="15"/>
  <c r="U80" i="15"/>
  <c r="V80" i="15"/>
  <c r="W80" i="15"/>
  <c r="X80" i="15"/>
  <c r="Y80" i="15"/>
  <c r="Z80" i="15"/>
  <c r="AA80" i="15"/>
  <c r="AB80" i="15"/>
  <c r="AC80" i="15"/>
  <c r="AD80" i="15"/>
  <c r="AE80" i="15"/>
  <c r="AF80" i="15"/>
  <c r="AG80" i="15"/>
  <c r="AH80" i="15"/>
  <c r="AI80" i="15"/>
  <c r="AJ80" i="15"/>
  <c r="AK80" i="15"/>
  <c r="AL80" i="15"/>
  <c r="AM80" i="15"/>
  <c r="AN80" i="15"/>
  <c r="AO80" i="15"/>
  <c r="AP80" i="15"/>
  <c r="AQ80" i="15"/>
  <c r="AR80" i="15"/>
  <c r="AS80" i="15"/>
  <c r="AT80" i="15"/>
  <c r="AU80" i="15"/>
  <c r="AV80" i="15"/>
  <c r="AW80" i="15"/>
  <c r="AX80" i="15"/>
  <c r="AY80" i="15"/>
  <c r="AZ80" i="15"/>
  <c r="BA80" i="15"/>
  <c r="BB80" i="15"/>
  <c r="BC80" i="15"/>
  <c r="BD80" i="15"/>
  <c r="BE80" i="15"/>
  <c r="BF80" i="15"/>
  <c r="BG80" i="15"/>
  <c r="BH80" i="15"/>
  <c r="BI80" i="15"/>
  <c r="BJ80" i="15"/>
  <c r="BK80" i="15"/>
  <c r="BL80" i="15"/>
  <c r="BM80" i="15"/>
  <c r="BN80" i="15"/>
  <c r="BO80" i="15"/>
  <c r="BP80" i="15"/>
  <c r="BQ80" i="15"/>
  <c r="BR80" i="15"/>
  <c r="BS80" i="15"/>
  <c r="BT80" i="15"/>
  <c r="BU80" i="15"/>
  <c r="BV80" i="15"/>
  <c r="BW80" i="15"/>
  <c r="BX80" i="15"/>
  <c r="BY80" i="15"/>
  <c r="BZ80" i="15"/>
  <c r="CA80" i="15"/>
  <c r="CB80" i="15"/>
  <c r="CC80" i="15"/>
  <c r="CD80" i="15"/>
  <c r="CE80" i="15"/>
  <c r="CF80" i="15"/>
  <c r="CG80" i="15"/>
  <c r="CH80" i="15"/>
  <c r="CI80" i="15"/>
  <c r="CJ80" i="15"/>
  <c r="CK80" i="15"/>
  <c r="CL80" i="15"/>
  <c r="CM80" i="15"/>
  <c r="CN80" i="15"/>
  <c r="CO80" i="15"/>
  <c r="CP80" i="15"/>
  <c r="CQ80" i="15"/>
  <c r="CR80" i="15"/>
  <c r="CS80" i="15"/>
  <c r="CT80" i="15"/>
  <c r="CU80" i="15"/>
  <c r="CV80" i="15"/>
  <c r="CW80" i="15"/>
  <c r="CX80" i="15"/>
  <c r="CY80" i="15"/>
  <c r="CZ80" i="15"/>
  <c r="DA80" i="15"/>
  <c r="DB80" i="15"/>
  <c r="DC80" i="15"/>
  <c r="DD80" i="15"/>
  <c r="DE80" i="15"/>
  <c r="DF80" i="15"/>
  <c r="DG80" i="15"/>
  <c r="DH80" i="15"/>
  <c r="DI80" i="15"/>
  <c r="DJ80" i="15"/>
  <c r="DK80" i="15"/>
  <c r="DL80" i="15"/>
  <c r="DM80" i="15"/>
  <c r="DN80" i="15"/>
  <c r="DO80" i="15"/>
  <c r="DP80" i="15"/>
  <c r="DQ80" i="15"/>
  <c r="DR80" i="15"/>
  <c r="DS80" i="15"/>
  <c r="DT80" i="15"/>
  <c r="DU80" i="15"/>
  <c r="DV80" i="15"/>
  <c r="DW80" i="15"/>
  <c r="DX80" i="15"/>
  <c r="DY80" i="15"/>
  <c r="DZ80" i="15"/>
  <c r="EA80" i="15"/>
  <c r="EB80" i="15"/>
  <c r="EC80" i="15"/>
  <c r="ED80" i="15"/>
  <c r="EE80" i="15"/>
  <c r="EF80" i="15"/>
  <c r="EG80" i="15"/>
  <c r="EH80" i="15"/>
  <c r="EI80" i="15"/>
  <c r="EJ80" i="15"/>
  <c r="EK80" i="15"/>
  <c r="EL80" i="15"/>
  <c r="EM80" i="15"/>
  <c r="EN80" i="15"/>
  <c r="EO80" i="15"/>
  <c r="EP80" i="15"/>
  <c r="EQ80" i="15"/>
  <c r="ER80" i="15"/>
  <c r="ES80" i="15"/>
  <c r="ET80" i="15"/>
  <c r="EU80" i="15"/>
  <c r="EV80" i="15"/>
  <c r="EW80" i="15"/>
  <c r="EX80" i="15"/>
  <c r="EY80" i="15"/>
  <c r="EZ80" i="15"/>
  <c r="FA80" i="15"/>
  <c r="FB80" i="15"/>
  <c r="FC80" i="15"/>
  <c r="FD80" i="15"/>
  <c r="FE80" i="15"/>
  <c r="FF80" i="15"/>
  <c r="FG80" i="15"/>
  <c r="FH80" i="15"/>
  <c r="FI80" i="15"/>
  <c r="FJ80" i="15"/>
  <c r="FK80" i="15"/>
  <c r="FL80" i="15"/>
  <c r="FM80" i="15"/>
  <c r="FN80" i="15"/>
  <c r="FO80" i="15"/>
  <c r="FP80" i="15"/>
  <c r="FQ80" i="15"/>
  <c r="FR80" i="15"/>
  <c r="FS80" i="15"/>
  <c r="FT80" i="15"/>
  <c r="FU80" i="15"/>
  <c r="FV80" i="15"/>
  <c r="FW80" i="15"/>
  <c r="FX80" i="15"/>
  <c r="FY80" i="15"/>
  <c r="FZ80" i="15"/>
  <c r="GA80" i="15"/>
  <c r="GB80" i="15"/>
  <c r="GC80" i="15"/>
  <c r="GD80" i="15"/>
  <c r="GE80" i="15"/>
  <c r="GF80" i="15"/>
  <c r="GG80" i="15"/>
  <c r="GH80" i="15"/>
  <c r="GI80" i="15"/>
  <c r="GJ80" i="15"/>
  <c r="GK80" i="15"/>
  <c r="GL80" i="15"/>
  <c r="GM80" i="15"/>
  <c r="GN80" i="15"/>
  <c r="GO80" i="15"/>
  <c r="GP80" i="15"/>
  <c r="GQ80" i="15"/>
  <c r="GR80" i="15"/>
  <c r="GS80" i="15"/>
  <c r="GT80" i="15"/>
  <c r="GU80" i="15"/>
  <c r="GV80" i="15"/>
  <c r="GW80" i="15"/>
  <c r="GX80" i="15"/>
  <c r="GY80" i="15"/>
  <c r="GZ80" i="15"/>
  <c r="HA80" i="15"/>
  <c r="HB80" i="15"/>
  <c r="HC80" i="15"/>
  <c r="HD80" i="15"/>
  <c r="HE80" i="15"/>
  <c r="HF80" i="15"/>
  <c r="HG80" i="15"/>
  <c r="HH80" i="15"/>
  <c r="HI80" i="15"/>
  <c r="HJ80" i="15"/>
  <c r="HK80" i="15"/>
  <c r="HL80" i="15"/>
  <c r="HM80" i="15"/>
  <c r="HN80" i="15"/>
  <c r="HO80" i="15"/>
  <c r="HP80" i="15"/>
  <c r="HQ80" i="15"/>
  <c r="HR80" i="15"/>
  <c r="HS80" i="15"/>
  <c r="HT80" i="15"/>
  <c r="HU80" i="15"/>
  <c r="HV80" i="15"/>
  <c r="HW80" i="15"/>
  <c r="HX80" i="15"/>
  <c r="HY80" i="15"/>
  <c r="HZ80" i="15"/>
  <c r="IA80" i="15"/>
  <c r="IB80" i="15"/>
  <c r="IC80" i="15"/>
  <c r="ID80" i="15"/>
  <c r="IE80" i="15"/>
  <c r="IF80" i="15"/>
  <c r="IG80" i="15"/>
  <c r="IH80" i="15"/>
  <c r="II80" i="15"/>
  <c r="IJ80" i="15"/>
  <c r="IK80" i="15"/>
  <c r="IL80" i="15"/>
  <c r="IM80" i="15"/>
  <c r="IN80" i="15"/>
  <c r="IO80" i="15"/>
  <c r="IP80" i="15"/>
  <c r="IQ80" i="15"/>
  <c r="IR80" i="15"/>
  <c r="IS80" i="15"/>
  <c r="IT80" i="15"/>
  <c r="IU80" i="15"/>
  <c r="IV80" i="15"/>
  <c r="A81" i="15"/>
  <c r="B81" i="15"/>
  <c r="C81" i="15"/>
  <c r="D81" i="15"/>
  <c r="E81" i="15"/>
  <c r="F81" i="15"/>
  <c r="G81" i="15"/>
  <c r="H81" i="15"/>
  <c r="I81" i="15"/>
  <c r="J81" i="15"/>
  <c r="K81" i="15"/>
  <c r="L81" i="15"/>
  <c r="M81" i="15"/>
  <c r="N81" i="15"/>
  <c r="O81" i="15"/>
  <c r="P81" i="15"/>
  <c r="Q81" i="15"/>
  <c r="R81" i="15"/>
  <c r="S81" i="15"/>
  <c r="T81" i="15"/>
  <c r="U81" i="15"/>
  <c r="V81" i="15"/>
  <c r="W81" i="15"/>
  <c r="X81" i="15"/>
  <c r="Y81" i="15"/>
  <c r="Z81" i="15"/>
  <c r="AA81" i="15"/>
  <c r="AB81" i="15"/>
  <c r="AC81" i="15"/>
  <c r="AD81" i="15"/>
  <c r="AE81" i="15"/>
  <c r="AF81" i="15"/>
  <c r="AG81" i="15"/>
  <c r="AH81" i="15"/>
  <c r="AI81" i="15"/>
  <c r="AJ81" i="15"/>
  <c r="AK81" i="15"/>
  <c r="AL81" i="15"/>
  <c r="AM81" i="15"/>
  <c r="AN81" i="15"/>
  <c r="AO81" i="15"/>
  <c r="AP81" i="15"/>
  <c r="AQ81" i="15"/>
  <c r="AR81" i="15"/>
  <c r="AS81" i="15"/>
  <c r="AT81" i="15"/>
  <c r="AU81" i="15"/>
  <c r="AV81" i="15"/>
  <c r="AW81" i="15"/>
  <c r="AX81" i="15"/>
  <c r="AY81" i="15"/>
  <c r="AZ81" i="15"/>
  <c r="BA81" i="15"/>
  <c r="BB81" i="15"/>
  <c r="BC81" i="15"/>
  <c r="BD81" i="15"/>
  <c r="BE81" i="15"/>
  <c r="BF81" i="15"/>
  <c r="BG81" i="15"/>
  <c r="BH81" i="15"/>
  <c r="BI81" i="15"/>
  <c r="BJ81" i="15"/>
  <c r="BK81" i="15"/>
  <c r="BL81" i="15"/>
  <c r="BM81" i="15"/>
  <c r="BN81" i="15"/>
  <c r="BO81" i="15"/>
  <c r="BP81" i="15"/>
  <c r="BQ81" i="15"/>
  <c r="BR81" i="15"/>
  <c r="BS81" i="15"/>
  <c r="BT81" i="15"/>
  <c r="BU81" i="15"/>
  <c r="BV81" i="15"/>
  <c r="BW81" i="15"/>
  <c r="BX81" i="15"/>
  <c r="BY81" i="15"/>
  <c r="BZ81" i="15"/>
  <c r="CA81" i="15"/>
  <c r="CB81" i="15"/>
  <c r="CC81" i="15"/>
  <c r="CD81" i="15"/>
  <c r="CE81" i="15"/>
  <c r="CF81" i="15"/>
  <c r="CG81" i="15"/>
  <c r="CH81" i="15"/>
  <c r="CI81" i="15"/>
  <c r="CJ81" i="15"/>
  <c r="CK81" i="15"/>
  <c r="CL81" i="15"/>
  <c r="CM81" i="15"/>
  <c r="CN81" i="15"/>
  <c r="CO81" i="15"/>
  <c r="CP81" i="15"/>
  <c r="CQ81" i="15"/>
  <c r="CR81" i="15"/>
  <c r="CS81" i="15"/>
  <c r="CT81" i="15"/>
  <c r="CU81" i="15"/>
  <c r="CV81" i="15"/>
  <c r="CW81" i="15"/>
  <c r="CX81" i="15"/>
  <c r="CY81" i="15"/>
  <c r="CZ81" i="15"/>
  <c r="DA81" i="15"/>
  <c r="DB81" i="15"/>
  <c r="DC81" i="15"/>
  <c r="DD81" i="15"/>
  <c r="DE81" i="15"/>
  <c r="DF81" i="15"/>
  <c r="DG81" i="15"/>
  <c r="DH81" i="15"/>
  <c r="DI81" i="15"/>
  <c r="DJ81" i="15"/>
  <c r="DK81" i="15"/>
  <c r="DL81" i="15"/>
  <c r="DM81" i="15"/>
  <c r="DN81" i="15"/>
  <c r="DO81" i="15"/>
  <c r="DP81" i="15"/>
  <c r="DQ81" i="15"/>
  <c r="DR81" i="15"/>
  <c r="DS81" i="15"/>
  <c r="DT81" i="15"/>
  <c r="DU81" i="15"/>
  <c r="DV81" i="15"/>
  <c r="DW81" i="15"/>
  <c r="DX81" i="15"/>
  <c r="DY81" i="15"/>
  <c r="DZ81" i="15"/>
  <c r="EA81" i="15"/>
  <c r="EB81" i="15"/>
  <c r="EC81" i="15"/>
  <c r="ED81" i="15"/>
  <c r="EE81" i="15"/>
  <c r="EF81" i="15"/>
  <c r="EG81" i="15"/>
  <c r="EH81" i="15"/>
  <c r="EI81" i="15"/>
  <c r="EJ81" i="15"/>
  <c r="EK81" i="15"/>
  <c r="EL81" i="15"/>
  <c r="EM81" i="15"/>
  <c r="EN81" i="15"/>
  <c r="EO81" i="15"/>
  <c r="EP81" i="15"/>
  <c r="EQ81" i="15"/>
  <c r="ER81" i="15"/>
  <c r="ES81" i="15"/>
  <c r="ET81" i="15"/>
  <c r="EU81" i="15"/>
  <c r="EV81" i="15"/>
  <c r="EW81" i="15"/>
  <c r="EX81" i="15"/>
  <c r="EY81" i="15"/>
  <c r="EZ81" i="15"/>
  <c r="FA81" i="15"/>
  <c r="FB81" i="15"/>
  <c r="FC81" i="15"/>
  <c r="FD81" i="15"/>
  <c r="FE81" i="15"/>
  <c r="FF81" i="15"/>
  <c r="FG81" i="15"/>
  <c r="FH81" i="15"/>
  <c r="FI81" i="15"/>
  <c r="FJ81" i="15"/>
  <c r="FK81" i="15"/>
  <c r="FL81" i="15"/>
  <c r="FM81" i="15"/>
  <c r="FN81" i="15"/>
  <c r="FO81" i="15"/>
  <c r="FP81" i="15"/>
  <c r="FQ81" i="15"/>
  <c r="FR81" i="15"/>
  <c r="FS81" i="15"/>
  <c r="FT81" i="15"/>
  <c r="FU81" i="15"/>
  <c r="FV81" i="15"/>
  <c r="FW81" i="15"/>
  <c r="FX81" i="15"/>
  <c r="FY81" i="15"/>
  <c r="FZ81" i="15"/>
  <c r="GA81" i="15"/>
  <c r="GB81" i="15"/>
  <c r="GC81" i="15"/>
  <c r="GD81" i="15"/>
  <c r="GE81" i="15"/>
  <c r="GF81" i="15"/>
  <c r="GG81" i="15"/>
  <c r="GH81" i="15"/>
  <c r="GI81" i="15"/>
  <c r="GJ81" i="15"/>
  <c r="GK81" i="15"/>
  <c r="GL81" i="15"/>
  <c r="GM81" i="15"/>
  <c r="GN81" i="15"/>
  <c r="GO81" i="15"/>
  <c r="GP81" i="15"/>
  <c r="GQ81" i="15"/>
  <c r="GR81" i="15"/>
  <c r="GS81" i="15"/>
  <c r="GT81" i="15"/>
  <c r="GU81" i="15"/>
  <c r="GV81" i="15"/>
  <c r="GW81" i="15"/>
  <c r="GX81" i="15"/>
  <c r="GY81" i="15"/>
  <c r="GZ81" i="15"/>
  <c r="HA81" i="15"/>
  <c r="HB81" i="15"/>
  <c r="HC81" i="15"/>
  <c r="HD81" i="15"/>
  <c r="HE81" i="15"/>
  <c r="HF81" i="15"/>
  <c r="HG81" i="15"/>
  <c r="HH81" i="15"/>
  <c r="HI81" i="15"/>
  <c r="HJ81" i="15"/>
  <c r="HK81" i="15"/>
  <c r="HL81" i="15"/>
  <c r="HM81" i="15"/>
  <c r="HN81" i="15"/>
  <c r="HO81" i="15"/>
  <c r="HP81" i="15"/>
  <c r="HQ81" i="15"/>
  <c r="HR81" i="15"/>
  <c r="HS81" i="15"/>
  <c r="HT81" i="15"/>
  <c r="HU81" i="15"/>
  <c r="HV81" i="15"/>
  <c r="HW81" i="15"/>
  <c r="HX81" i="15"/>
  <c r="HY81" i="15"/>
  <c r="HZ81" i="15"/>
  <c r="IA81" i="15"/>
  <c r="IB81" i="15"/>
  <c r="IC81" i="15"/>
  <c r="ID81" i="15"/>
  <c r="IE81" i="15"/>
  <c r="IF81" i="15"/>
  <c r="IG81" i="15"/>
  <c r="IH81" i="15"/>
  <c r="II81" i="15"/>
  <c r="IJ81" i="15"/>
  <c r="IK81" i="15"/>
  <c r="IL81" i="15"/>
  <c r="IM81" i="15"/>
  <c r="IN81" i="15"/>
  <c r="IO81" i="15"/>
  <c r="IP81" i="15"/>
  <c r="IQ81" i="15"/>
  <c r="IR81" i="15"/>
  <c r="IS81" i="15"/>
  <c r="IT81" i="15"/>
  <c r="IU81" i="15"/>
  <c r="IV81" i="15"/>
  <c r="A82" i="15"/>
  <c r="B82" i="15"/>
  <c r="C82" i="15"/>
  <c r="D82" i="15"/>
  <c r="E82" i="15"/>
  <c r="F82" i="15"/>
  <c r="G82" i="15"/>
  <c r="H82" i="15"/>
  <c r="I82" i="15"/>
  <c r="J82" i="15"/>
  <c r="K82" i="15"/>
  <c r="L82" i="15"/>
  <c r="M82" i="15"/>
  <c r="N82" i="15"/>
  <c r="O82" i="15"/>
  <c r="P82" i="15"/>
  <c r="Q82" i="15"/>
  <c r="R82" i="15"/>
  <c r="S82" i="15"/>
  <c r="T82" i="15"/>
  <c r="U82" i="15"/>
  <c r="V82" i="15"/>
  <c r="W82" i="15"/>
  <c r="X82" i="15"/>
  <c r="Y82" i="15"/>
  <c r="Z82" i="15"/>
  <c r="AA82" i="15"/>
  <c r="AB82" i="15"/>
  <c r="AC82" i="15"/>
  <c r="AD82" i="15"/>
  <c r="AE82" i="15"/>
  <c r="AF82" i="15"/>
  <c r="AG82" i="15"/>
  <c r="AH82" i="15"/>
  <c r="AI82" i="15"/>
  <c r="AJ82" i="15"/>
  <c r="AK82" i="15"/>
  <c r="AL82" i="15"/>
  <c r="AM82" i="15"/>
  <c r="AN82" i="15"/>
  <c r="AO82" i="15"/>
  <c r="AP82" i="15"/>
  <c r="AQ82" i="15"/>
  <c r="AR82" i="15"/>
  <c r="AS82" i="15"/>
  <c r="AT82" i="15"/>
  <c r="AU82" i="15"/>
  <c r="AV82" i="15"/>
  <c r="AW82" i="15"/>
  <c r="AX82" i="15"/>
  <c r="AY82" i="15"/>
  <c r="AZ82" i="15"/>
  <c r="BA82" i="15"/>
  <c r="BB82" i="15"/>
  <c r="BC82" i="15"/>
  <c r="BD82" i="15"/>
  <c r="BE82" i="15"/>
  <c r="BF82" i="15"/>
  <c r="BG82" i="15"/>
  <c r="BH82" i="15"/>
  <c r="BI82" i="15"/>
  <c r="BJ82" i="15"/>
  <c r="BK82" i="15"/>
  <c r="BL82" i="15"/>
  <c r="BM82" i="15"/>
  <c r="BN82" i="15"/>
  <c r="BO82" i="15"/>
  <c r="BP82" i="15"/>
  <c r="BQ82" i="15"/>
  <c r="BR82" i="15"/>
  <c r="BS82" i="15"/>
  <c r="BT82" i="15"/>
  <c r="BU82" i="15"/>
  <c r="BV82" i="15"/>
  <c r="BW82" i="15"/>
  <c r="BX82" i="15"/>
  <c r="BY82" i="15"/>
  <c r="BZ82" i="15"/>
  <c r="CA82" i="15"/>
  <c r="CB82" i="15"/>
  <c r="CC82" i="15"/>
  <c r="CD82" i="15"/>
  <c r="CE82" i="15"/>
  <c r="CF82" i="15"/>
  <c r="CG82" i="15"/>
  <c r="CH82" i="15"/>
  <c r="CI82" i="15"/>
  <c r="CJ82" i="15"/>
  <c r="CK82" i="15"/>
  <c r="CL82" i="15"/>
  <c r="CM82" i="15"/>
  <c r="CN82" i="15"/>
  <c r="CO82" i="15"/>
  <c r="CP82" i="15"/>
  <c r="CQ82" i="15"/>
  <c r="CR82" i="15"/>
  <c r="CS82" i="15"/>
  <c r="CT82" i="15"/>
  <c r="CU82" i="15"/>
  <c r="CV82" i="15"/>
  <c r="CW82" i="15"/>
  <c r="CX82" i="15"/>
  <c r="CY82" i="15"/>
  <c r="CZ82" i="15"/>
  <c r="DA82" i="15"/>
  <c r="DB82" i="15"/>
  <c r="DC82" i="15"/>
  <c r="DD82" i="15"/>
  <c r="DE82" i="15"/>
  <c r="DF82" i="15"/>
  <c r="DG82" i="15"/>
  <c r="DH82" i="15"/>
  <c r="DI82" i="15"/>
  <c r="DJ82" i="15"/>
  <c r="DK82" i="15"/>
  <c r="DL82" i="15"/>
  <c r="DM82" i="15"/>
  <c r="DN82" i="15"/>
  <c r="DO82" i="15"/>
  <c r="DP82" i="15"/>
  <c r="DQ82" i="15"/>
  <c r="DR82" i="15"/>
  <c r="DS82" i="15"/>
  <c r="DT82" i="15"/>
  <c r="DU82" i="15"/>
  <c r="DV82" i="15"/>
  <c r="DW82" i="15"/>
  <c r="DX82" i="15"/>
  <c r="DY82" i="15"/>
  <c r="DZ82" i="15"/>
  <c r="EA82" i="15"/>
  <c r="EB82" i="15"/>
  <c r="EC82" i="15"/>
  <c r="ED82" i="15"/>
  <c r="EE82" i="15"/>
  <c r="EF82" i="15"/>
  <c r="EG82" i="15"/>
  <c r="EH82" i="15"/>
  <c r="EI82" i="15"/>
  <c r="EJ82" i="15"/>
  <c r="EK82" i="15"/>
  <c r="EL82" i="15"/>
  <c r="EM82" i="15"/>
  <c r="EN82" i="15"/>
  <c r="EO82" i="15"/>
  <c r="EP82" i="15"/>
  <c r="EQ82" i="15"/>
  <c r="ER82" i="15"/>
  <c r="ES82" i="15"/>
  <c r="ET82" i="15"/>
  <c r="EU82" i="15"/>
  <c r="EV82" i="15"/>
  <c r="EW82" i="15"/>
  <c r="EX82" i="15"/>
  <c r="EY82" i="15"/>
  <c r="EZ82" i="15"/>
  <c r="FA82" i="15"/>
  <c r="FB82" i="15"/>
  <c r="FC82" i="15"/>
  <c r="FD82" i="15"/>
  <c r="FE82" i="15"/>
  <c r="FF82" i="15"/>
  <c r="FG82" i="15"/>
  <c r="FH82" i="15"/>
  <c r="FI82" i="15"/>
  <c r="FJ82" i="15"/>
  <c r="FK82" i="15"/>
  <c r="FL82" i="15"/>
  <c r="FM82" i="15"/>
  <c r="FN82" i="15"/>
  <c r="FO82" i="15"/>
  <c r="FP82" i="15"/>
  <c r="FQ82" i="15"/>
  <c r="FR82" i="15"/>
  <c r="FS82" i="15"/>
  <c r="FT82" i="15"/>
  <c r="FU82" i="15"/>
  <c r="FV82" i="15"/>
  <c r="FW82" i="15"/>
  <c r="FX82" i="15"/>
  <c r="FY82" i="15"/>
  <c r="FZ82" i="15"/>
  <c r="GA82" i="15"/>
  <c r="GB82" i="15"/>
  <c r="GC82" i="15"/>
  <c r="GD82" i="15"/>
  <c r="GE82" i="15"/>
  <c r="GF82" i="15"/>
  <c r="GG82" i="15"/>
  <c r="GH82" i="15"/>
  <c r="GI82" i="15"/>
  <c r="GJ82" i="15"/>
  <c r="GK82" i="15"/>
  <c r="GL82" i="15"/>
  <c r="GM82" i="15"/>
  <c r="GN82" i="15"/>
  <c r="GO82" i="15"/>
  <c r="GP82" i="15"/>
  <c r="GQ82" i="15"/>
  <c r="GR82" i="15"/>
  <c r="GS82" i="15"/>
  <c r="GT82" i="15"/>
  <c r="GU82" i="15"/>
  <c r="GV82" i="15"/>
  <c r="GW82" i="15"/>
  <c r="GX82" i="15"/>
  <c r="GY82" i="15"/>
  <c r="GZ82" i="15"/>
  <c r="HA82" i="15"/>
  <c r="HB82" i="15"/>
  <c r="HC82" i="15"/>
  <c r="HD82" i="15"/>
  <c r="HE82" i="15"/>
  <c r="HF82" i="15"/>
  <c r="HG82" i="15"/>
  <c r="HH82" i="15"/>
  <c r="HI82" i="15"/>
  <c r="HJ82" i="15"/>
  <c r="HK82" i="15"/>
  <c r="HL82" i="15"/>
  <c r="HM82" i="15"/>
  <c r="HN82" i="15"/>
  <c r="HO82" i="15"/>
  <c r="HP82" i="15"/>
  <c r="HQ82" i="15"/>
  <c r="HR82" i="15"/>
  <c r="HS82" i="15"/>
  <c r="HT82" i="15"/>
  <c r="HU82" i="15"/>
  <c r="HV82" i="15"/>
  <c r="HW82" i="15"/>
  <c r="HX82" i="15"/>
  <c r="HY82" i="15"/>
  <c r="HZ82" i="15"/>
  <c r="IA82" i="15"/>
  <c r="IB82" i="15"/>
  <c r="IC82" i="15"/>
  <c r="ID82" i="15"/>
  <c r="IE82" i="15"/>
  <c r="IF82" i="15"/>
  <c r="IG82" i="15"/>
  <c r="IH82" i="15"/>
  <c r="II82" i="15"/>
  <c r="IJ82" i="15"/>
  <c r="IK82" i="15"/>
  <c r="IL82" i="15"/>
  <c r="IM82" i="15"/>
  <c r="IN82" i="15"/>
  <c r="IO82" i="15"/>
  <c r="IP82" i="15"/>
  <c r="IQ82" i="15"/>
  <c r="IR82" i="15"/>
  <c r="IS82" i="15"/>
  <c r="IT82" i="15"/>
  <c r="IU82" i="15"/>
  <c r="IV82" i="15"/>
  <c r="A83" i="15"/>
  <c r="B83" i="15"/>
  <c r="C83" i="15"/>
  <c r="D83" i="15"/>
  <c r="E83" i="15"/>
  <c r="F83" i="15"/>
  <c r="G83" i="15"/>
  <c r="H83" i="15"/>
  <c r="I83" i="15"/>
  <c r="J83" i="15"/>
  <c r="K83" i="15"/>
  <c r="L83" i="15"/>
  <c r="M83" i="15"/>
  <c r="N83" i="15"/>
  <c r="O83" i="15"/>
  <c r="P83" i="15"/>
  <c r="Q83" i="15"/>
  <c r="R83" i="15"/>
  <c r="S83" i="15"/>
  <c r="T83" i="15"/>
  <c r="U83" i="15"/>
  <c r="V83" i="15"/>
  <c r="W83" i="15"/>
  <c r="X83" i="15"/>
  <c r="Y83" i="15"/>
  <c r="Z83" i="15"/>
  <c r="AA83" i="15"/>
  <c r="AB83" i="15"/>
  <c r="AC83" i="15"/>
  <c r="AD83" i="15"/>
  <c r="AE83" i="15"/>
  <c r="AF83" i="15"/>
  <c r="AG83" i="15"/>
  <c r="AH83" i="15"/>
  <c r="AI83" i="15"/>
  <c r="AJ83" i="15"/>
  <c r="AK83" i="15"/>
  <c r="AL83" i="15"/>
  <c r="AM83" i="15"/>
  <c r="AN83" i="15"/>
  <c r="AO83" i="15"/>
  <c r="AP83" i="15"/>
  <c r="AQ83" i="15"/>
  <c r="AR83" i="15"/>
  <c r="AS83" i="15"/>
  <c r="AT83" i="15"/>
  <c r="AU83" i="15"/>
  <c r="AV83" i="15"/>
  <c r="AW83" i="15"/>
  <c r="AX83" i="15"/>
  <c r="AY83" i="15"/>
  <c r="AZ83" i="15"/>
  <c r="BA83" i="15"/>
  <c r="BB83" i="15"/>
  <c r="BC83" i="15"/>
  <c r="BD83" i="15"/>
  <c r="BE83" i="15"/>
  <c r="BF83" i="15"/>
  <c r="BG83" i="15"/>
  <c r="BH83" i="15"/>
  <c r="BI83" i="15"/>
  <c r="BJ83" i="15"/>
  <c r="BK83" i="15"/>
  <c r="BL83" i="15"/>
  <c r="BM83" i="15"/>
  <c r="BN83" i="15"/>
  <c r="BO83" i="15"/>
  <c r="BP83" i="15"/>
  <c r="BQ83" i="15"/>
  <c r="BR83" i="15"/>
  <c r="BS83" i="15"/>
  <c r="BT83" i="15"/>
  <c r="BU83" i="15"/>
  <c r="BV83" i="15"/>
  <c r="BW83" i="15"/>
  <c r="BX83" i="15"/>
  <c r="BY83" i="15"/>
  <c r="BZ83" i="15"/>
  <c r="CA83" i="15"/>
  <c r="CB83" i="15"/>
  <c r="CC83" i="15"/>
  <c r="CD83" i="15"/>
  <c r="CE83" i="15"/>
  <c r="CF83" i="15"/>
  <c r="CG83" i="15"/>
  <c r="CH83" i="15"/>
  <c r="CI83" i="15"/>
  <c r="CJ83" i="15"/>
  <c r="CK83" i="15"/>
  <c r="CL83" i="15"/>
  <c r="CM83" i="15"/>
  <c r="CN83" i="15"/>
  <c r="CO83" i="15"/>
  <c r="CP83" i="15"/>
  <c r="CQ83" i="15"/>
  <c r="CR83" i="15"/>
  <c r="CS83" i="15"/>
  <c r="CT83" i="15"/>
  <c r="CU83" i="15"/>
  <c r="CV83" i="15"/>
  <c r="CW83" i="15"/>
  <c r="CX83" i="15"/>
  <c r="CY83" i="15"/>
  <c r="CZ83" i="15"/>
  <c r="DA83" i="15"/>
  <c r="DB83" i="15"/>
  <c r="DC83" i="15"/>
  <c r="DD83" i="15"/>
  <c r="DE83" i="15"/>
  <c r="DF83" i="15"/>
  <c r="DG83" i="15"/>
  <c r="DH83" i="15"/>
  <c r="DI83" i="15"/>
  <c r="DJ83" i="15"/>
  <c r="DK83" i="15"/>
  <c r="DL83" i="15"/>
  <c r="DM83" i="15"/>
  <c r="DN83" i="15"/>
  <c r="DO83" i="15"/>
  <c r="DP83" i="15"/>
  <c r="DQ83" i="15"/>
  <c r="DR83" i="15"/>
  <c r="DS83" i="15"/>
  <c r="DT83" i="15"/>
  <c r="DU83" i="15"/>
  <c r="DV83" i="15"/>
  <c r="DW83" i="15"/>
  <c r="DX83" i="15"/>
  <c r="DY83" i="15"/>
  <c r="DZ83" i="15"/>
  <c r="EA83" i="15"/>
  <c r="EB83" i="15"/>
  <c r="EC83" i="15"/>
  <c r="ED83" i="15"/>
  <c r="EE83" i="15"/>
  <c r="EF83" i="15"/>
  <c r="EG83" i="15"/>
  <c r="EH83" i="15"/>
  <c r="EI83" i="15"/>
  <c r="EJ83" i="15"/>
  <c r="EK83" i="15"/>
  <c r="EL83" i="15"/>
  <c r="EM83" i="15"/>
  <c r="EN83" i="15"/>
  <c r="EO83" i="15"/>
  <c r="EP83" i="15"/>
  <c r="EQ83" i="15"/>
  <c r="ER83" i="15"/>
  <c r="ES83" i="15"/>
  <c r="ET83" i="15"/>
  <c r="EU83" i="15"/>
  <c r="EV83" i="15"/>
  <c r="EW83" i="15"/>
  <c r="EX83" i="15"/>
  <c r="EY83" i="15"/>
  <c r="EZ83" i="15"/>
  <c r="FA83" i="15"/>
  <c r="FB83" i="15"/>
  <c r="FC83" i="15"/>
  <c r="FD83" i="15"/>
  <c r="FE83" i="15"/>
  <c r="FF83" i="15"/>
  <c r="FG83" i="15"/>
  <c r="FH83" i="15"/>
  <c r="FI83" i="15"/>
  <c r="FJ83" i="15"/>
  <c r="FK83" i="15"/>
  <c r="FL83" i="15"/>
  <c r="FM83" i="15"/>
  <c r="FN83" i="15"/>
  <c r="FO83" i="15"/>
  <c r="FP83" i="15"/>
  <c r="FQ83" i="15"/>
  <c r="FR83" i="15"/>
  <c r="FS83" i="15"/>
  <c r="FT83" i="15"/>
  <c r="FU83" i="15"/>
  <c r="FV83" i="15"/>
  <c r="FW83" i="15"/>
  <c r="FX83" i="15"/>
  <c r="FY83" i="15"/>
  <c r="FZ83" i="15"/>
  <c r="GA83" i="15"/>
  <c r="GB83" i="15"/>
  <c r="GC83" i="15"/>
  <c r="GD83" i="15"/>
  <c r="GE83" i="15"/>
  <c r="GF83" i="15"/>
  <c r="GG83" i="15"/>
  <c r="GH83" i="15"/>
  <c r="GI83" i="15"/>
  <c r="GJ83" i="15"/>
  <c r="GK83" i="15"/>
  <c r="GL83" i="15"/>
  <c r="GM83" i="15"/>
  <c r="GN83" i="15"/>
  <c r="GO83" i="15"/>
  <c r="GP83" i="15"/>
  <c r="GQ83" i="15"/>
  <c r="GR83" i="15"/>
  <c r="GS83" i="15"/>
  <c r="GT83" i="15"/>
  <c r="GU83" i="15"/>
  <c r="GV83" i="15"/>
  <c r="GW83" i="15"/>
  <c r="GX83" i="15"/>
  <c r="GY83" i="15"/>
  <c r="GZ83" i="15"/>
  <c r="HA83" i="15"/>
  <c r="HB83" i="15"/>
  <c r="HC83" i="15"/>
  <c r="HD83" i="15"/>
  <c r="HE83" i="15"/>
  <c r="HF83" i="15"/>
  <c r="HG83" i="15"/>
  <c r="HH83" i="15"/>
  <c r="HI83" i="15"/>
  <c r="HJ83" i="15"/>
  <c r="HK83" i="15"/>
  <c r="HL83" i="15"/>
  <c r="HM83" i="15"/>
  <c r="HN83" i="15"/>
  <c r="HO83" i="15"/>
  <c r="HP83" i="15"/>
  <c r="HQ83" i="15"/>
  <c r="HR83" i="15"/>
  <c r="HS83" i="15"/>
  <c r="HT83" i="15"/>
  <c r="HU83" i="15"/>
  <c r="HV83" i="15"/>
  <c r="HW83" i="15"/>
  <c r="HX83" i="15"/>
  <c r="HY83" i="15"/>
  <c r="HZ83" i="15"/>
  <c r="IA83" i="15"/>
  <c r="IB83" i="15"/>
  <c r="IC83" i="15"/>
  <c r="ID83" i="15"/>
  <c r="IE83" i="15"/>
  <c r="IF83" i="15"/>
  <c r="IG83" i="15"/>
  <c r="IH83" i="15"/>
  <c r="II83" i="15"/>
  <c r="IJ83" i="15"/>
  <c r="IK83" i="15"/>
  <c r="IL83" i="15"/>
  <c r="IM83" i="15"/>
  <c r="IN83" i="15"/>
  <c r="IO83" i="15"/>
  <c r="IP83" i="15"/>
  <c r="IQ83" i="15"/>
  <c r="IR83" i="15"/>
  <c r="IS83" i="15"/>
  <c r="IT83" i="15"/>
  <c r="IU83" i="15"/>
  <c r="IV83" i="15"/>
  <c r="A84" i="15"/>
  <c r="B84" i="15"/>
  <c r="C84" i="15"/>
  <c r="D84" i="15"/>
  <c r="E84" i="15"/>
  <c r="F84" i="15"/>
  <c r="G84" i="15"/>
  <c r="H84" i="15"/>
  <c r="I84" i="15"/>
  <c r="J84" i="15"/>
  <c r="K84" i="15"/>
  <c r="L84" i="15"/>
  <c r="M84" i="15"/>
  <c r="N84" i="15"/>
  <c r="O84" i="15"/>
  <c r="P84" i="15"/>
  <c r="Q84" i="15"/>
  <c r="R84" i="15"/>
  <c r="S84" i="15"/>
  <c r="T84" i="15"/>
  <c r="U84" i="15"/>
  <c r="V84" i="15"/>
  <c r="W84" i="15"/>
  <c r="X84" i="15"/>
  <c r="Y84" i="15"/>
  <c r="Z84" i="15"/>
  <c r="AA84" i="15"/>
  <c r="AB84" i="15"/>
  <c r="AC84" i="15"/>
  <c r="AD84" i="15"/>
  <c r="AE84" i="15"/>
  <c r="AF84" i="15"/>
  <c r="AG84" i="15"/>
  <c r="AH84" i="15"/>
  <c r="AI84" i="15"/>
  <c r="AJ84" i="15"/>
  <c r="AK84" i="15"/>
  <c r="AL84" i="15"/>
  <c r="AM84" i="15"/>
  <c r="AN84" i="15"/>
  <c r="AO84" i="15"/>
  <c r="AP84" i="15"/>
  <c r="AQ84" i="15"/>
  <c r="AR84" i="15"/>
  <c r="AS84" i="15"/>
  <c r="AT84" i="15"/>
  <c r="AU84" i="15"/>
  <c r="AV84" i="15"/>
  <c r="AW84" i="15"/>
  <c r="AX84" i="15"/>
  <c r="AY84" i="15"/>
  <c r="AZ84" i="15"/>
  <c r="BA84" i="15"/>
  <c r="BB84" i="15"/>
  <c r="BC84" i="15"/>
  <c r="BD84" i="15"/>
  <c r="BE84" i="15"/>
  <c r="BF84" i="15"/>
  <c r="BG84" i="15"/>
  <c r="BH84" i="15"/>
  <c r="BI84" i="15"/>
  <c r="BJ84" i="15"/>
  <c r="BK84" i="15"/>
  <c r="BL84" i="15"/>
  <c r="BM84" i="15"/>
  <c r="BN84" i="15"/>
  <c r="BO84" i="15"/>
  <c r="BP84" i="15"/>
  <c r="BQ84" i="15"/>
  <c r="BR84" i="15"/>
  <c r="BS84" i="15"/>
  <c r="BT84" i="15"/>
  <c r="BU84" i="15"/>
  <c r="BV84" i="15"/>
  <c r="BW84" i="15"/>
  <c r="BX84" i="15"/>
  <c r="BY84" i="15"/>
  <c r="BZ84" i="15"/>
  <c r="CA84" i="15"/>
  <c r="CB84" i="15"/>
  <c r="CC84" i="15"/>
  <c r="CD84" i="15"/>
  <c r="CE84" i="15"/>
  <c r="CF84" i="15"/>
  <c r="CG84" i="15"/>
  <c r="CH84" i="15"/>
  <c r="CI84" i="15"/>
  <c r="CJ84" i="15"/>
  <c r="CK84" i="15"/>
  <c r="CL84" i="15"/>
  <c r="CM84" i="15"/>
  <c r="CN84" i="15"/>
  <c r="CO84" i="15"/>
  <c r="CP84" i="15"/>
  <c r="CQ84" i="15"/>
  <c r="CR84" i="15"/>
  <c r="CS84" i="15"/>
  <c r="CT84" i="15"/>
  <c r="CU84" i="15"/>
  <c r="CV84" i="15"/>
  <c r="CW84" i="15"/>
  <c r="CX84" i="15"/>
  <c r="CY84" i="15"/>
  <c r="CZ84" i="15"/>
  <c r="DA84" i="15"/>
  <c r="DB84" i="15"/>
  <c r="DC84" i="15"/>
  <c r="DD84" i="15"/>
  <c r="DE84" i="15"/>
  <c r="DF84" i="15"/>
  <c r="DG84" i="15"/>
  <c r="DH84" i="15"/>
  <c r="DI84" i="15"/>
  <c r="DJ84" i="15"/>
  <c r="DK84" i="15"/>
  <c r="DL84" i="15"/>
  <c r="DM84" i="15"/>
  <c r="DN84" i="15"/>
  <c r="DO84" i="15"/>
  <c r="DP84" i="15"/>
  <c r="DQ84" i="15"/>
  <c r="DR84" i="15"/>
  <c r="DS84" i="15"/>
  <c r="DT84" i="15"/>
  <c r="DU84" i="15"/>
  <c r="DV84" i="15"/>
  <c r="DW84" i="15"/>
  <c r="DX84" i="15"/>
  <c r="DY84" i="15"/>
  <c r="DZ84" i="15"/>
  <c r="EA84" i="15"/>
  <c r="EB84" i="15"/>
  <c r="EC84" i="15"/>
  <c r="ED84" i="15"/>
  <c r="EE84" i="15"/>
  <c r="EF84" i="15"/>
  <c r="EG84" i="15"/>
  <c r="EH84" i="15"/>
  <c r="EI84" i="15"/>
  <c r="EJ84" i="15"/>
  <c r="EK84" i="15"/>
  <c r="EL84" i="15"/>
  <c r="EM84" i="15"/>
  <c r="EN84" i="15"/>
  <c r="EO84" i="15"/>
  <c r="EP84" i="15"/>
  <c r="EQ84" i="15"/>
  <c r="ER84" i="15"/>
  <c r="ES84" i="15"/>
  <c r="ET84" i="15"/>
  <c r="EU84" i="15"/>
  <c r="EV84" i="15"/>
  <c r="EW84" i="15"/>
  <c r="EX84" i="15"/>
  <c r="EY84" i="15"/>
  <c r="EZ84" i="15"/>
  <c r="FA84" i="15"/>
  <c r="FB84" i="15"/>
  <c r="FC84" i="15"/>
  <c r="FD84" i="15"/>
  <c r="FE84" i="15"/>
  <c r="FF84" i="15"/>
  <c r="FG84" i="15"/>
  <c r="FH84" i="15"/>
  <c r="FI84" i="15"/>
  <c r="FJ84" i="15"/>
  <c r="FK84" i="15"/>
  <c r="FL84" i="15"/>
  <c r="FM84" i="15"/>
  <c r="FN84" i="15"/>
  <c r="FO84" i="15"/>
  <c r="FP84" i="15"/>
  <c r="FQ84" i="15"/>
  <c r="FR84" i="15"/>
  <c r="FS84" i="15"/>
  <c r="FT84" i="15"/>
  <c r="FU84" i="15"/>
  <c r="FV84" i="15"/>
  <c r="FW84" i="15"/>
  <c r="FX84" i="15"/>
  <c r="FY84" i="15"/>
  <c r="FZ84" i="15"/>
  <c r="GA84" i="15"/>
  <c r="GB84" i="15"/>
  <c r="GC84" i="15"/>
  <c r="GD84" i="15"/>
  <c r="GE84" i="15"/>
  <c r="GF84" i="15"/>
  <c r="GG84" i="15"/>
  <c r="GH84" i="15"/>
  <c r="GI84" i="15"/>
  <c r="GJ84" i="15"/>
  <c r="GK84" i="15"/>
  <c r="GL84" i="15"/>
  <c r="GM84" i="15"/>
  <c r="GN84" i="15"/>
  <c r="GO84" i="15"/>
  <c r="GP84" i="15"/>
  <c r="GQ84" i="15"/>
  <c r="GR84" i="15"/>
  <c r="GS84" i="15"/>
  <c r="GT84" i="15"/>
  <c r="GU84" i="15"/>
  <c r="GV84" i="15"/>
  <c r="GW84" i="15"/>
  <c r="GX84" i="15"/>
  <c r="GY84" i="15"/>
  <c r="GZ84" i="15"/>
  <c r="HA84" i="15"/>
  <c r="HB84" i="15"/>
  <c r="HC84" i="15"/>
  <c r="HD84" i="15"/>
  <c r="HE84" i="15"/>
  <c r="HF84" i="15"/>
  <c r="HG84" i="15"/>
  <c r="HH84" i="15"/>
  <c r="HI84" i="15"/>
  <c r="HJ84" i="15"/>
  <c r="HK84" i="15"/>
  <c r="HL84" i="15"/>
  <c r="HM84" i="15"/>
  <c r="HN84" i="15"/>
  <c r="HO84" i="15"/>
  <c r="HP84" i="15"/>
  <c r="HQ84" i="15"/>
  <c r="HR84" i="15"/>
  <c r="HS84" i="15"/>
  <c r="HT84" i="15"/>
  <c r="HU84" i="15"/>
  <c r="HV84" i="15"/>
  <c r="HW84" i="15"/>
  <c r="HX84" i="15"/>
  <c r="HY84" i="15"/>
  <c r="HZ84" i="15"/>
  <c r="IA84" i="15"/>
  <c r="IB84" i="15"/>
  <c r="IC84" i="15"/>
  <c r="ID84" i="15"/>
  <c r="IE84" i="15"/>
  <c r="IF84" i="15"/>
  <c r="IG84" i="15"/>
  <c r="IH84" i="15"/>
  <c r="II84" i="15"/>
  <c r="IJ84" i="15"/>
  <c r="IK84" i="15"/>
  <c r="IL84" i="15"/>
  <c r="IM84" i="15"/>
  <c r="IN84" i="15"/>
  <c r="IO84" i="15"/>
  <c r="IP84" i="15"/>
  <c r="IQ84" i="15"/>
  <c r="IR84" i="15"/>
  <c r="IS84" i="15"/>
  <c r="IT84" i="15"/>
  <c r="IU84" i="15"/>
  <c r="IV84" i="15"/>
  <c r="A85" i="15"/>
  <c r="B85" i="15"/>
  <c r="C85" i="15"/>
  <c r="D85" i="15"/>
  <c r="E85" i="15"/>
  <c r="F85" i="15"/>
  <c r="G85" i="15"/>
  <c r="H85" i="15"/>
  <c r="I85" i="15"/>
  <c r="J85" i="15"/>
  <c r="K85" i="15"/>
  <c r="L85" i="15"/>
  <c r="M85" i="15"/>
  <c r="N85" i="15"/>
  <c r="O85" i="15"/>
  <c r="P85" i="15"/>
  <c r="Q85" i="15"/>
  <c r="R85" i="15"/>
  <c r="S85" i="15"/>
  <c r="T85" i="15"/>
  <c r="U85" i="15"/>
  <c r="V85" i="15"/>
  <c r="W85" i="15"/>
  <c r="X85" i="15"/>
  <c r="Y85" i="15"/>
  <c r="Z85" i="15"/>
  <c r="AA85" i="15"/>
  <c r="AB85" i="15"/>
  <c r="AC85" i="15"/>
  <c r="AD85" i="15"/>
  <c r="AE85" i="15"/>
  <c r="AF85" i="15"/>
  <c r="AG85" i="15"/>
  <c r="AH85" i="15"/>
  <c r="AI85" i="15"/>
  <c r="AJ85" i="15"/>
  <c r="AK85" i="15"/>
  <c r="AL85" i="15"/>
  <c r="AM85" i="15"/>
  <c r="AN85" i="15"/>
  <c r="AO85" i="15"/>
  <c r="AP85" i="15"/>
  <c r="AQ85" i="15"/>
  <c r="AR85" i="15"/>
  <c r="AS85" i="15"/>
  <c r="AT85" i="15"/>
  <c r="AU85" i="15"/>
  <c r="AV85" i="15"/>
  <c r="AW85" i="15"/>
  <c r="AX85" i="15"/>
  <c r="AY85" i="15"/>
  <c r="AZ85" i="15"/>
  <c r="BA85" i="15"/>
  <c r="BB85" i="15"/>
  <c r="BC85" i="15"/>
  <c r="BD85" i="15"/>
  <c r="BE85" i="15"/>
  <c r="BF85" i="15"/>
  <c r="BG85" i="15"/>
  <c r="BH85" i="15"/>
  <c r="BI85" i="15"/>
  <c r="BJ85" i="15"/>
  <c r="BK85" i="15"/>
  <c r="BL85" i="15"/>
  <c r="BM85" i="15"/>
  <c r="BN85" i="15"/>
  <c r="BO85" i="15"/>
  <c r="BP85" i="15"/>
  <c r="BQ85" i="15"/>
  <c r="BR85" i="15"/>
  <c r="BS85" i="15"/>
  <c r="BT85" i="15"/>
  <c r="BU85" i="15"/>
  <c r="BV85" i="15"/>
  <c r="BW85" i="15"/>
  <c r="BX85" i="15"/>
  <c r="BY85" i="15"/>
  <c r="BZ85" i="15"/>
  <c r="CA85" i="15"/>
  <c r="CB85" i="15"/>
  <c r="CC85" i="15"/>
  <c r="CD85" i="15"/>
  <c r="CE85" i="15"/>
  <c r="CF85" i="15"/>
  <c r="CG85" i="15"/>
  <c r="CH85" i="15"/>
  <c r="CI85" i="15"/>
  <c r="CJ85" i="15"/>
  <c r="CK85" i="15"/>
  <c r="CL85" i="15"/>
  <c r="CM85" i="15"/>
  <c r="CN85" i="15"/>
  <c r="CO85" i="15"/>
  <c r="CP85" i="15"/>
  <c r="CQ85" i="15"/>
  <c r="CR85" i="15"/>
  <c r="CS85" i="15"/>
  <c r="CT85" i="15"/>
  <c r="CU85" i="15"/>
  <c r="CV85" i="15"/>
  <c r="CW85" i="15"/>
  <c r="CX85" i="15"/>
  <c r="CY85" i="15"/>
  <c r="CZ85" i="15"/>
  <c r="DA85" i="15"/>
  <c r="DB85" i="15"/>
  <c r="DC85" i="15"/>
  <c r="DD85" i="15"/>
  <c r="DE85" i="15"/>
  <c r="DF85" i="15"/>
  <c r="DG85" i="15"/>
  <c r="DH85" i="15"/>
  <c r="DI85" i="15"/>
  <c r="DJ85" i="15"/>
  <c r="DK85" i="15"/>
  <c r="DL85" i="15"/>
  <c r="DM85" i="15"/>
  <c r="DN85" i="15"/>
  <c r="DO85" i="15"/>
  <c r="DP85" i="15"/>
  <c r="DQ85" i="15"/>
  <c r="DR85" i="15"/>
  <c r="DS85" i="15"/>
  <c r="DT85" i="15"/>
  <c r="DU85" i="15"/>
  <c r="DV85" i="15"/>
  <c r="DW85" i="15"/>
  <c r="DX85" i="15"/>
  <c r="DY85" i="15"/>
  <c r="DZ85" i="15"/>
  <c r="EA85" i="15"/>
  <c r="EB85" i="15"/>
  <c r="EC85" i="15"/>
  <c r="ED85" i="15"/>
  <c r="EE85" i="15"/>
  <c r="EF85" i="15"/>
  <c r="EG85" i="15"/>
  <c r="EH85" i="15"/>
  <c r="EI85" i="15"/>
  <c r="EJ85" i="15"/>
  <c r="EK85" i="15"/>
  <c r="EL85" i="15"/>
  <c r="EM85" i="15"/>
  <c r="EN85" i="15"/>
  <c r="EO85" i="15"/>
  <c r="EP85" i="15"/>
  <c r="EQ85" i="15"/>
  <c r="ER85" i="15"/>
  <c r="ES85" i="15"/>
  <c r="ET85" i="15"/>
  <c r="EU85" i="15"/>
  <c r="EV85" i="15"/>
  <c r="EW85" i="15"/>
  <c r="EX85" i="15"/>
  <c r="EY85" i="15"/>
  <c r="EZ85" i="15"/>
  <c r="FA85" i="15"/>
  <c r="FB85" i="15"/>
  <c r="FC85" i="15"/>
  <c r="FD85" i="15"/>
  <c r="FE85" i="15"/>
  <c r="FF85" i="15"/>
  <c r="FG85" i="15"/>
  <c r="FH85" i="15"/>
  <c r="FI85" i="15"/>
  <c r="FJ85" i="15"/>
  <c r="FK85" i="15"/>
  <c r="FL85" i="15"/>
  <c r="FM85" i="15"/>
  <c r="FN85" i="15"/>
  <c r="FO85" i="15"/>
  <c r="FP85" i="15"/>
  <c r="FQ85" i="15"/>
  <c r="FR85" i="15"/>
  <c r="FS85" i="15"/>
  <c r="FT85" i="15"/>
  <c r="FU85" i="15"/>
  <c r="FV85" i="15"/>
  <c r="FW85" i="15"/>
  <c r="FX85" i="15"/>
  <c r="FY85" i="15"/>
  <c r="FZ85" i="15"/>
  <c r="GA85" i="15"/>
  <c r="GB85" i="15"/>
  <c r="GC85" i="15"/>
  <c r="GD85" i="15"/>
  <c r="GE85" i="15"/>
  <c r="GF85" i="15"/>
  <c r="GG85" i="15"/>
  <c r="GH85" i="15"/>
  <c r="GI85" i="15"/>
  <c r="GJ85" i="15"/>
  <c r="GK85" i="15"/>
  <c r="GL85" i="15"/>
  <c r="GM85" i="15"/>
  <c r="GN85" i="15"/>
  <c r="GO85" i="15"/>
  <c r="GP85" i="15"/>
  <c r="GQ85" i="15"/>
  <c r="GR85" i="15"/>
  <c r="GS85" i="15"/>
  <c r="GT85" i="15"/>
  <c r="GU85" i="15"/>
  <c r="GV85" i="15"/>
  <c r="GW85" i="15"/>
  <c r="GX85" i="15"/>
  <c r="GY85" i="15"/>
  <c r="GZ85" i="15"/>
  <c r="HA85" i="15"/>
  <c r="HB85" i="15"/>
  <c r="HC85" i="15"/>
  <c r="HD85" i="15"/>
  <c r="HE85" i="15"/>
  <c r="HF85" i="15"/>
  <c r="HG85" i="15"/>
  <c r="HH85" i="15"/>
  <c r="HI85" i="15"/>
  <c r="HJ85" i="15"/>
  <c r="HK85" i="15"/>
  <c r="HL85" i="15"/>
  <c r="HM85" i="15"/>
  <c r="HN85" i="15"/>
  <c r="HO85" i="15"/>
  <c r="HP85" i="15"/>
  <c r="HQ85" i="15"/>
  <c r="HR85" i="15"/>
  <c r="HS85" i="15"/>
  <c r="HT85" i="15"/>
  <c r="HU85" i="15"/>
  <c r="HV85" i="15"/>
  <c r="HW85" i="15"/>
  <c r="HX85" i="15"/>
  <c r="HY85" i="15"/>
  <c r="HZ85" i="15"/>
  <c r="IA85" i="15"/>
  <c r="IB85" i="15"/>
  <c r="IC85" i="15"/>
  <c r="ID85" i="15"/>
  <c r="IE85" i="15"/>
  <c r="IF85" i="15"/>
  <c r="IG85" i="15"/>
  <c r="IH85" i="15"/>
  <c r="II85" i="15"/>
  <c r="IJ85" i="15"/>
  <c r="IK85" i="15"/>
  <c r="IL85" i="15"/>
  <c r="IM85" i="15"/>
  <c r="IN85" i="15"/>
  <c r="IO85" i="15"/>
  <c r="IP85" i="15"/>
  <c r="IQ85" i="15"/>
  <c r="IR85" i="15"/>
  <c r="IS85" i="15"/>
  <c r="IT85" i="15"/>
  <c r="IU85" i="15"/>
  <c r="IV85" i="15"/>
  <c r="A86" i="15"/>
  <c r="B86" i="15"/>
  <c r="C86" i="15"/>
  <c r="D86" i="15"/>
  <c r="E86" i="15"/>
  <c r="F86" i="15"/>
  <c r="G86" i="15"/>
  <c r="H86" i="15"/>
  <c r="I86" i="15"/>
  <c r="J86" i="15"/>
  <c r="K86" i="15"/>
  <c r="L86" i="15"/>
  <c r="M86" i="15"/>
  <c r="N86" i="15"/>
  <c r="O86" i="15"/>
  <c r="P86" i="15"/>
  <c r="Q86" i="15"/>
  <c r="R86" i="15"/>
  <c r="S86" i="15"/>
  <c r="T86" i="15"/>
  <c r="U86" i="15"/>
  <c r="V86" i="15"/>
  <c r="W86" i="15"/>
  <c r="X86" i="15"/>
  <c r="Y86" i="15"/>
  <c r="Z86" i="15"/>
  <c r="AA86" i="15"/>
  <c r="AB86" i="15"/>
  <c r="AC86" i="15"/>
  <c r="AD86" i="15"/>
  <c r="AE86" i="15"/>
  <c r="AF86" i="15"/>
  <c r="AG86" i="15"/>
  <c r="AH86" i="15"/>
  <c r="AI86" i="15"/>
  <c r="AJ86" i="15"/>
  <c r="AK86" i="15"/>
  <c r="AL86" i="15"/>
  <c r="AM86" i="15"/>
  <c r="AN86" i="15"/>
  <c r="AO86" i="15"/>
  <c r="AP86" i="15"/>
  <c r="AQ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BW86" i="15"/>
  <c r="BX86" i="15"/>
  <c r="BY86" i="15"/>
  <c r="BZ86" i="15"/>
  <c r="CA86" i="15"/>
  <c r="CB86" i="15"/>
  <c r="CC86" i="15"/>
  <c r="CD86" i="15"/>
  <c r="CE86" i="15"/>
  <c r="CF86" i="15"/>
  <c r="CG86" i="15"/>
  <c r="CH86" i="15"/>
  <c r="CI86" i="15"/>
  <c r="CJ86" i="15"/>
  <c r="CK86" i="15"/>
  <c r="CL86" i="15"/>
  <c r="CM86" i="15"/>
  <c r="CN86" i="15"/>
  <c r="CO86" i="15"/>
  <c r="CP86" i="15"/>
  <c r="CQ86" i="15"/>
  <c r="CR86" i="15"/>
  <c r="CS86" i="15"/>
  <c r="CT86" i="15"/>
  <c r="CU86" i="15"/>
  <c r="CV86" i="15"/>
  <c r="CW86" i="15"/>
  <c r="CX86" i="15"/>
  <c r="CY86" i="15"/>
  <c r="CZ86" i="15"/>
  <c r="DA86" i="15"/>
  <c r="DB86" i="15"/>
  <c r="DC86" i="15"/>
  <c r="DD86" i="15"/>
  <c r="DE86" i="15"/>
  <c r="DF86" i="15"/>
  <c r="DG86" i="15"/>
  <c r="DH86" i="15"/>
  <c r="DI86" i="15"/>
  <c r="DJ86" i="15"/>
  <c r="DK86" i="15"/>
  <c r="DL86" i="15"/>
  <c r="DM86" i="15"/>
  <c r="DN86" i="15"/>
  <c r="DO86" i="15"/>
  <c r="DP86" i="15"/>
  <c r="DQ86" i="15"/>
  <c r="DR86" i="15"/>
  <c r="DS86" i="15"/>
  <c r="DT86" i="15"/>
  <c r="DU86" i="15"/>
  <c r="DV86" i="15"/>
  <c r="DW86" i="15"/>
  <c r="DX86" i="15"/>
  <c r="DY86" i="15"/>
  <c r="DZ86" i="15"/>
  <c r="EA86" i="15"/>
  <c r="EB86" i="15"/>
  <c r="EC86" i="15"/>
  <c r="ED86" i="15"/>
  <c r="EE86" i="15"/>
  <c r="EF86" i="15"/>
  <c r="EG86" i="15"/>
  <c r="EH86" i="15"/>
  <c r="EI86" i="15"/>
  <c r="EJ86" i="15"/>
  <c r="EK86" i="15"/>
  <c r="EL86" i="15"/>
  <c r="EM86" i="15"/>
  <c r="EN86" i="15"/>
  <c r="EO86" i="15"/>
  <c r="EP86" i="15"/>
  <c r="EQ86" i="15"/>
  <c r="ER86" i="15"/>
  <c r="ES86" i="15"/>
  <c r="ET86" i="15"/>
  <c r="EU86" i="15"/>
  <c r="EV86" i="15"/>
  <c r="EW86" i="15"/>
  <c r="EX86" i="15"/>
  <c r="EY86" i="15"/>
  <c r="EZ86" i="15"/>
  <c r="FA86" i="15"/>
  <c r="FB86" i="15"/>
  <c r="FC86" i="15"/>
  <c r="FD86" i="15"/>
  <c r="FE86" i="15"/>
  <c r="FF86" i="15"/>
  <c r="FG86" i="15"/>
  <c r="FH86" i="15"/>
  <c r="FI86" i="15"/>
  <c r="FJ86" i="15"/>
  <c r="FK86" i="15"/>
  <c r="FL86" i="15"/>
  <c r="FM86" i="15"/>
  <c r="FN86" i="15"/>
  <c r="FO86" i="15"/>
  <c r="FP86" i="15"/>
  <c r="FQ86" i="15"/>
  <c r="FR86" i="15"/>
  <c r="FS86" i="15"/>
  <c r="FT86" i="15"/>
  <c r="FU86" i="15"/>
  <c r="FV86" i="15"/>
  <c r="FW86" i="15"/>
  <c r="FX86" i="15"/>
  <c r="FY86" i="15"/>
  <c r="FZ86" i="15"/>
  <c r="GA86" i="15"/>
  <c r="GB86" i="15"/>
  <c r="GC86" i="15"/>
  <c r="GD86" i="15"/>
  <c r="GE86" i="15"/>
  <c r="GF86" i="15"/>
  <c r="GG86" i="15"/>
  <c r="GH86" i="15"/>
  <c r="GI86" i="15"/>
  <c r="GJ86" i="15"/>
  <c r="GK86" i="15"/>
  <c r="GL86" i="15"/>
  <c r="GM86" i="15"/>
  <c r="GN86" i="15"/>
  <c r="GO86" i="15"/>
  <c r="GP86" i="15"/>
  <c r="GQ86" i="15"/>
  <c r="GR86" i="15"/>
  <c r="GS86" i="15"/>
  <c r="GT86" i="15"/>
  <c r="GU86" i="15"/>
  <c r="GV86" i="15"/>
  <c r="GW86" i="15"/>
  <c r="GX86" i="15"/>
  <c r="GY86" i="15"/>
  <c r="GZ86" i="15"/>
  <c r="HA86" i="15"/>
  <c r="HB86" i="15"/>
  <c r="HC86" i="15"/>
  <c r="HD86" i="15"/>
  <c r="HE86" i="15"/>
  <c r="HF86" i="15"/>
  <c r="HG86" i="15"/>
  <c r="HH86" i="15"/>
  <c r="HI86" i="15"/>
  <c r="HJ86" i="15"/>
  <c r="HK86" i="15"/>
  <c r="HL86" i="15"/>
  <c r="HM86" i="15"/>
  <c r="HN86" i="15"/>
  <c r="HO86" i="15"/>
  <c r="HP86" i="15"/>
  <c r="HQ86" i="15"/>
  <c r="HR86" i="15"/>
  <c r="HS86" i="15"/>
  <c r="HT86" i="15"/>
  <c r="HU86" i="15"/>
  <c r="HV86" i="15"/>
  <c r="HW86" i="15"/>
  <c r="HX86" i="15"/>
  <c r="HY86" i="15"/>
  <c r="HZ86" i="15"/>
  <c r="IA86" i="15"/>
  <c r="IB86" i="15"/>
  <c r="IC86" i="15"/>
  <c r="ID86" i="15"/>
  <c r="IE86" i="15"/>
  <c r="IF86" i="15"/>
  <c r="IG86" i="15"/>
  <c r="IH86" i="15"/>
  <c r="II86" i="15"/>
  <c r="IJ86" i="15"/>
  <c r="IK86" i="15"/>
  <c r="IL86" i="15"/>
  <c r="IM86" i="15"/>
  <c r="IN86" i="15"/>
  <c r="IO86" i="15"/>
  <c r="IP86" i="15"/>
  <c r="IQ86" i="15"/>
  <c r="IR86" i="15"/>
  <c r="IS86" i="15"/>
  <c r="IT86" i="15"/>
  <c r="IU86" i="15"/>
  <c r="IV86" i="15"/>
  <c r="A87" i="15"/>
  <c r="B87" i="15"/>
  <c r="C87" i="15"/>
  <c r="D87" i="15"/>
  <c r="E87" i="15"/>
  <c r="F87" i="15"/>
  <c r="G87" i="15"/>
  <c r="H87" i="15"/>
  <c r="I87" i="15"/>
  <c r="J87" i="15"/>
  <c r="K87" i="15"/>
  <c r="L87" i="15"/>
  <c r="M87" i="15"/>
  <c r="N87" i="15"/>
  <c r="O87" i="15"/>
  <c r="P87" i="15"/>
  <c r="Q87" i="15"/>
  <c r="R87" i="15"/>
  <c r="S87" i="15"/>
  <c r="T87" i="15"/>
  <c r="U87" i="15"/>
  <c r="V87" i="15"/>
  <c r="W87" i="15"/>
  <c r="X87" i="15"/>
  <c r="Y87" i="15"/>
  <c r="Z87" i="15"/>
  <c r="AA87" i="15"/>
  <c r="AB87" i="15"/>
  <c r="AC87" i="15"/>
  <c r="AD87" i="15"/>
  <c r="AE87" i="15"/>
  <c r="AF87" i="15"/>
  <c r="AG87" i="15"/>
  <c r="AH87" i="15"/>
  <c r="AI87" i="15"/>
  <c r="AJ87" i="15"/>
  <c r="AK87" i="15"/>
  <c r="AL87" i="15"/>
  <c r="AM87" i="15"/>
  <c r="AN87" i="15"/>
  <c r="AO87" i="15"/>
  <c r="AP87" i="15"/>
  <c r="AQ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BU87" i="15"/>
  <c r="BV87" i="15"/>
  <c r="BW87" i="15"/>
  <c r="BX87" i="15"/>
  <c r="BY87" i="15"/>
  <c r="BZ87" i="15"/>
  <c r="CA87" i="15"/>
  <c r="CB87" i="15"/>
  <c r="CC87" i="15"/>
  <c r="CD87" i="15"/>
  <c r="CE87" i="15"/>
  <c r="CF87" i="15"/>
  <c r="CG87" i="15"/>
  <c r="CH87" i="15"/>
  <c r="CI87" i="15"/>
  <c r="CJ87" i="15"/>
  <c r="CK87" i="15"/>
  <c r="CL87" i="15"/>
  <c r="CM87" i="15"/>
  <c r="CN87" i="15"/>
  <c r="CO87" i="15"/>
  <c r="CP87" i="15"/>
  <c r="CQ87" i="15"/>
  <c r="CR87" i="15"/>
  <c r="CS87" i="15"/>
  <c r="CT87" i="15"/>
  <c r="CU87" i="15"/>
  <c r="CV87" i="15"/>
  <c r="CW87" i="15"/>
  <c r="CX87" i="15"/>
  <c r="CY87" i="15"/>
  <c r="CZ87" i="15"/>
  <c r="DA87" i="15"/>
  <c r="DB87" i="15"/>
  <c r="DC87" i="15"/>
  <c r="DD87" i="15"/>
  <c r="DE87" i="15"/>
  <c r="DF87" i="15"/>
  <c r="DG87" i="15"/>
  <c r="DH87" i="15"/>
  <c r="DI87" i="15"/>
  <c r="DJ87" i="15"/>
  <c r="DK87" i="15"/>
  <c r="DL87" i="15"/>
  <c r="DM87" i="15"/>
  <c r="DN87" i="15"/>
  <c r="DO87" i="15"/>
  <c r="DP87" i="15"/>
  <c r="DQ87" i="15"/>
  <c r="DR87" i="15"/>
  <c r="DS87" i="15"/>
  <c r="DT87" i="15"/>
  <c r="DU87" i="15"/>
  <c r="DV87" i="15"/>
  <c r="DW87" i="15"/>
  <c r="DX87" i="15"/>
  <c r="DY87" i="15"/>
  <c r="DZ87" i="15"/>
  <c r="EA87" i="15"/>
  <c r="EB87" i="15"/>
  <c r="EC87" i="15"/>
  <c r="ED87" i="15"/>
  <c r="EE87" i="15"/>
  <c r="EF87" i="15"/>
  <c r="EG87" i="15"/>
  <c r="EH87" i="15"/>
  <c r="EI87" i="15"/>
  <c r="EJ87" i="15"/>
  <c r="EK87" i="15"/>
  <c r="EL87" i="15"/>
  <c r="EM87" i="15"/>
  <c r="EN87" i="15"/>
  <c r="EO87" i="15"/>
  <c r="EP87" i="15"/>
  <c r="EQ87" i="15"/>
  <c r="ER87" i="15"/>
  <c r="ES87" i="15"/>
  <c r="ET87" i="15"/>
  <c r="EU87" i="15"/>
  <c r="EV87" i="15"/>
  <c r="EW87" i="15"/>
  <c r="EX87" i="15"/>
  <c r="EY87" i="15"/>
  <c r="EZ87" i="15"/>
  <c r="FA87" i="15"/>
  <c r="FB87" i="15"/>
  <c r="FC87" i="15"/>
  <c r="FD87" i="15"/>
  <c r="FE87" i="15"/>
  <c r="FF87" i="15"/>
  <c r="FG87" i="15"/>
  <c r="FH87" i="15"/>
  <c r="FI87" i="15"/>
  <c r="FJ87" i="15"/>
  <c r="FK87" i="15"/>
  <c r="FL87" i="15"/>
  <c r="FM87" i="15"/>
  <c r="FN87" i="15"/>
  <c r="FO87" i="15"/>
  <c r="FP87" i="15"/>
  <c r="FQ87" i="15"/>
  <c r="FR87" i="15"/>
  <c r="FS87" i="15"/>
  <c r="FT87" i="15"/>
  <c r="FU87" i="15"/>
  <c r="FV87" i="15"/>
  <c r="FW87" i="15"/>
  <c r="FX87" i="15"/>
  <c r="FY87" i="15"/>
  <c r="FZ87" i="15"/>
  <c r="GA87" i="15"/>
  <c r="GB87" i="15"/>
  <c r="GC87" i="15"/>
  <c r="GD87" i="15"/>
  <c r="GE87" i="15"/>
  <c r="GF87" i="15"/>
  <c r="GG87" i="15"/>
  <c r="GH87" i="15"/>
  <c r="GI87" i="15"/>
  <c r="GJ87" i="15"/>
  <c r="GK87" i="15"/>
  <c r="GL87" i="15"/>
  <c r="GM87" i="15"/>
  <c r="GN87" i="15"/>
  <c r="GO87" i="15"/>
  <c r="GP87" i="15"/>
  <c r="GQ87" i="15"/>
  <c r="GR87" i="15"/>
  <c r="GS87" i="15"/>
  <c r="GT87" i="15"/>
  <c r="GU87" i="15"/>
  <c r="GV87" i="15"/>
  <c r="GW87" i="15"/>
  <c r="GX87" i="15"/>
  <c r="GY87" i="15"/>
  <c r="GZ87" i="15"/>
  <c r="HA87" i="15"/>
  <c r="HB87" i="15"/>
  <c r="HC87" i="15"/>
  <c r="HD87" i="15"/>
  <c r="HE87" i="15"/>
  <c r="HF87" i="15"/>
  <c r="HG87" i="15"/>
  <c r="HH87" i="15"/>
  <c r="HI87" i="15"/>
  <c r="HJ87" i="15"/>
  <c r="HK87" i="15"/>
  <c r="HL87" i="15"/>
  <c r="HM87" i="15"/>
  <c r="HN87" i="15"/>
  <c r="HO87" i="15"/>
  <c r="HP87" i="15"/>
  <c r="HQ87" i="15"/>
  <c r="HR87" i="15"/>
  <c r="HS87" i="15"/>
  <c r="HT87" i="15"/>
  <c r="HU87" i="15"/>
  <c r="HV87" i="15"/>
  <c r="HW87" i="15"/>
  <c r="HX87" i="15"/>
  <c r="HY87" i="15"/>
  <c r="HZ87" i="15"/>
  <c r="IA87" i="15"/>
  <c r="IB87" i="15"/>
  <c r="IC87" i="15"/>
  <c r="ID87" i="15"/>
  <c r="IE87" i="15"/>
  <c r="IF87" i="15"/>
  <c r="IG87" i="15"/>
  <c r="IH87" i="15"/>
  <c r="II87" i="15"/>
  <c r="IJ87" i="15"/>
  <c r="IK87" i="15"/>
  <c r="IL87" i="15"/>
  <c r="IM87" i="15"/>
  <c r="IN87" i="15"/>
  <c r="IO87" i="15"/>
  <c r="IP87" i="15"/>
  <c r="IQ87" i="15"/>
  <c r="IR87" i="15"/>
  <c r="IS87" i="15"/>
  <c r="IT87" i="15"/>
  <c r="IU87" i="15"/>
  <c r="IV87" i="15"/>
  <c r="A88" i="15"/>
  <c r="B88" i="15"/>
  <c r="C88" i="15"/>
  <c r="D88" i="15"/>
  <c r="E88" i="15"/>
  <c r="F88" i="15"/>
  <c r="G88" i="15"/>
  <c r="H88" i="15"/>
  <c r="I88" i="15"/>
  <c r="J88" i="15"/>
  <c r="K88" i="15"/>
  <c r="L88" i="15"/>
  <c r="M88" i="15"/>
  <c r="N88" i="15"/>
  <c r="O88" i="15"/>
  <c r="P88" i="15"/>
  <c r="Q88" i="15"/>
  <c r="R88" i="15"/>
  <c r="S88" i="15"/>
  <c r="T88" i="15"/>
  <c r="U88" i="15"/>
  <c r="V88" i="15"/>
  <c r="W88" i="15"/>
  <c r="X88" i="15"/>
  <c r="Y88" i="15"/>
  <c r="Z88" i="15"/>
  <c r="AA88" i="15"/>
  <c r="AB88" i="15"/>
  <c r="AC88" i="15"/>
  <c r="AD88" i="15"/>
  <c r="AE88" i="15"/>
  <c r="AF88" i="15"/>
  <c r="AG88" i="15"/>
  <c r="AH88" i="15"/>
  <c r="AI88" i="15"/>
  <c r="AJ88" i="15"/>
  <c r="AK88" i="15"/>
  <c r="AL88" i="15"/>
  <c r="AM88" i="15"/>
  <c r="AN88" i="15"/>
  <c r="AO88" i="15"/>
  <c r="AP88" i="15"/>
  <c r="AQ88" i="15"/>
  <c r="AR88" i="15"/>
  <c r="AS88" i="15"/>
  <c r="AT88" i="15"/>
  <c r="AU88" i="15"/>
  <c r="AV88" i="15"/>
  <c r="AW88" i="15"/>
  <c r="AX88" i="15"/>
  <c r="AY88" i="15"/>
  <c r="AZ88" i="15"/>
  <c r="BA88" i="15"/>
  <c r="BB88" i="15"/>
  <c r="BC88" i="15"/>
  <c r="BD88" i="15"/>
  <c r="BE88" i="15"/>
  <c r="BF88" i="15"/>
  <c r="BG88" i="15"/>
  <c r="BH88" i="15"/>
  <c r="BI88" i="15"/>
  <c r="BJ88" i="15"/>
  <c r="BK88" i="15"/>
  <c r="BL88" i="15"/>
  <c r="BM88" i="15"/>
  <c r="BN88" i="15"/>
  <c r="BO88" i="15"/>
  <c r="BP88" i="15"/>
  <c r="BQ88" i="15"/>
  <c r="BR88" i="15"/>
  <c r="BS88" i="15"/>
  <c r="BT88" i="15"/>
  <c r="BU88" i="15"/>
  <c r="BV88" i="15"/>
  <c r="BW88" i="15"/>
  <c r="BX88" i="15"/>
  <c r="BY88" i="15"/>
  <c r="BZ88" i="15"/>
  <c r="CA88" i="15"/>
  <c r="CB88" i="15"/>
  <c r="CC88" i="15"/>
  <c r="CD88" i="15"/>
  <c r="CE88" i="15"/>
  <c r="CF88" i="15"/>
  <c r="CG88" i="15"/>
  <c r="CH88" i="15"/>
  <c r="CI88" i="15"/>
  <c r="CJ88" i="15"/>
  <c r="CK88" i="15"/>
  <c r="CL88" i="15"/>
  <c r="CM88" i="15"/>
  <c r="CN88" i="15"/>
  <c r="CO88" i="15"/>
  <c r="CP88" i="15"/>
  <c r="CQ88" i="15"/>
  <c r="CR88" i="15"/>
  <c r="CS88" i="15"/>
  <c r="CT88" i="15"/>
  <c r="CU88" i="15"/>
  <c r="CV88" i="15"/>
  <c r="CW88" i="15"/>
  <c r="CX88" i="15"/>
  <c r="CY88" i="15"/>
  <c r="CZ88" i="15"/>
  <c r="DA88" i="15"/>
  <c r="DB88" i="15"/>
  <c r="DC88" i="15"/>
  <c r="DD88" i="15"/>
  <c r="DE88" i="15"/>
  <c r="DF88" i="15"/>
  <c r="DG88" i="15"/>
  <c r="DH88" i="15"/>
  <c r="DI88" i="15"/>
  <c r="DJ88" i="15"/>
  <c r="DK88" i="15"/>
  <c r="DL88" i="15"/>
  <c r="DM88" i="15"/>
  <c r="DN88" i="15"/>
  <c r="DO88" i="15"/>
  <c r="DP88" i="15"/>
  <c r="DQ88" i="15"/>
  <c r="DR88" i="15"/>
  <c r="DS88" i="15"/>
  <c r="DT88" i="15"/>
  <c r="DU88" i="15"/>
  <c r="DV88" i="15"/>
  <c r="DW88" i="15"/>
  <c r="DX88" i="15"/>
  <c r="DY88" i="15"/>
  <c r="DZ88" i="15"/>
  <c r="EA88" i="15"/>
  <c r="EB88" i="15"/>
  <c r="EC88" i="15"/>
  <c r="ED88" i="15"/>
  <c r="EE88" i="15"/>
  <c r="EF88" i="15"/>
  <c r="EG88" i="15"/>
  <c r="EH88" i="15"/>
  <c r="EI88" i="15"/>
  <c r="EJ88" i="15"/>
  <c r="EK88" i="15"/>
  <c r="EL88" i="15"/>
  <c r="EM88" i="15"/>
  <c r="EN88" i="15"/>
  <c r="EO88" i="15"/>
  <c r="EP88" i="15"/>
  <c r="EQ88" i="15"/>
  <c r="ER88" i="15"/>
  <c r="ES88" i="15"/>
  <c r="ET88" i="15"/>
  <c r="EU88" i="15"/>
  <c r="EV88" i="15"/>
  <c r="EW88" i="15"/>
  <c r="EX88" i="15"/>
  <c r="EY88" i="15"/>
  <c r="EZ88" i="15"/>
  <c r="FA88" i="15"/>
  <c r="FB88" i="15"/>
  <c r="FC88" i="15"/>
  <c r="FD88" i="15"/>
  <c r="FE88" i="15"/>
  <c r="FF88" i="15"/>
  <c r="FG88" i="15"/>
  <c r="FH88" i="15"/>
  <c r="FI88" i="15"/>
  <c r="FJ88" i="15"/>
  <c r="FK88" i="15"/>
  <c r="FL88" i="15"/>
  <c r="FM88" i="15"/>
  <c r="FN88" i="15"/>
  <c r="FO88" i="15"/>
  <c r="FP88" i="15"/>
  <c r="FQ88" i="15"/>
  <c r="FR88" i="15"/>
  <c r="FS88" i="15"/>
  <c r="FT88" i="15"/>
  <c r="FU88" i="15"/>
  <c r="FV88" i="15"/>
  <c r="FW88" i="15"/>
  <c r="FX88" i="15"/>
  <c r="FY88" i="15"/>
  <c r="FZ88" i="15"/>
  <c r="GA88" i="15"/>
  <c r="GB88" i="15"/>
  <c r="GC88" i="15"/>
  <c r="GD88" i="15"/>
  <c r="GE88" i="15"/>
  <c r="GF88" i="15"/>
  <c r="GG88" i="15"/>
  <c r="GH88" i="15"/>
  <c r="GI88" i="15"/>
  <c r="GJ88" i="15"/>
  <c r="GK88" i="15"/>
  <c r="GL88" i="15"/>
  <c r="GM88" i="15"/>
  <c r="GN88" i="15"/>
  <c r="GO88" i="15"/>
  <c r="GP88" i="15"/>
  <c r="GQ88" i="15"/>
  <c r="GR88" i="15"/>
  <c r="GS88" i="15"/>
  <c r="GT88" i="15"/>
  <c r="GU88" i="15"/>
  <c r="GV88" i="15"/>
  <c r="GW88" i="15"/>
  <c r="GX88" i="15"/>
  <c r="GY88" i="15"/>
  <c r="GZ88" i="15"/>
  <c r="HA88" i="15"/>
  <c r="HB88" i="15"/>
  <c r="HC88" i="15"/>
  <c r="HD88" i="15"/>
  <c r="HE88" i="15"/>
  <c r="HF88" i="15"/>
  <c r="HG88" i="15"/>
  <c r="HH88" i="15"/>
  <c r="HI88" i="15"/>
  <c r="HJ88" i="15"/>
  <c r="HK88" i="15"/>
  <c r="HL88" i="15"/>
  <c r="HM88" i="15"/>
  <c r="HN88" i="15"/>
  <c r="HO88" i="15"/>
  <c r="HP88" i="15"/>
  <c r="HQ88" i="15"/>
  <c r="HR88" i="15"/>
  <c r="HS88" i="15"/>
  <c r="HT88" i="15"/>
  <c r="HU88" i="15"/>
  <c r="HV88" i="15"/>
  <c r="HW88" i="15"/>
  <c r="HX88" i="15"/>
  <c r="HY88" i="15"/>
  <c r="HZ88" i="15"/>
  <c r="IA88" i="15"/>
  <c r="IB88" i="15"/>
  <c r="IC88" i="15"/>
  <c r="ID88" i="15"/>
  <c r="IE88" i="15"/>
  <c r="IF88" i="15"/>
  <c r="IG88" i="15"/>
  <c r="IH88" i="15"/>
  <c r="II88" i="15"/>
  <c r="IJ88" i="15"/>
  <c r="IK88" i="15"/>
  <c r="IL88" i="15"/>
  <c r="IM88" i="15"/>
  <c r="IN88" i="15"/>
  <c r="IO88" i="15"/>
  <c r="IP88" i="15"/>
  <c r="IQ88" i="15"/>
  <c r="IR88" i="15"/>
  <c r="IS88" i="15"/>
  <c r="IT88" i="15"/>
  <c r="IU88" i="15"/>
  <c r="IV88" i="15"/>
  <c r="A89" i="15"/>
  <c r="B89" i="15"/>
  <c r="C89" i="15"/>
  <c r="D89" i="15"/>
  <c r="E89" i="15"/>
  <c r="F89" i="15"/>
  <c r="G89" i="15"/>
  <c r="H89" i="15"/>
  <c r="I89" i="15"/>
  <c r="J89" i="15"/>
  <c r="K89" i="15"/>
  <c r="L89" i="15"/>
  <c r="M89" i="15"/>
  <c r="N89" i="15"/>
  <c r="O89" i="15"/>
  <c r="P89" i="15"/>
  <c r="Q89" i="15"/>
  <c r="R89" i="15"/>
  <c r="S89" i="15"/>
  <c r="T89" i="15"/>
  <c r="U89" i="15"/>
  <c r="V89" i="15"/>
  <c r="W89" i="15"/>
  <c r="X89" i="15"/>
  <c r="Y89" i="15"/>
  <c r="Z89" i="15"/>
  <c r="AA89" i="15"/>
  <c r="AB89" i="15"/>
  <c r="AC89" i="15"/>
  <c r="AD89" i="15"/>
  <c r="AE89" i="15"/>
  <c r="AF89" i="15"/>
  <c r="AG89" i="15"/>
  <c r="AH89" i="15"/>
  <c r="AI89" i="15"/>
  <c r="AJ89" i="15"/>
  <c r="AK89" i="15"/>
  <c r="AL89" i="15"/>
  <c r="AM89" i="15"/>
  <c r="AN89" i="15"/>
  <c r="AO89" i="15"/>
  <c r="AP89" i="15"/>
  <c r="AQ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U89" i="15"/>
  <c r="BV89" i="15"/>
  <c r="BW89" i="15"/>
  <c r="BX89" i="15"/>
  <c r="BY89" i="15"/>
  <c r="BZ89" i="15"/>
  <c r="CA89" i="15"/>
  <c r="CB89" i="15"/>
  <c r="CC89" i="15"/>
  <c r="CD89" i="15"/>
  <c r="CE89" i="15"/>
  <c r="CF89" i="15"/>
  <c r="CG89" i="15"/>
  <c r="CH89" i="15"/>
  <c r="CI89" i="15"/>
  <c r="CJ89" i="15"/>
  <c r="CK89" i="15"/>
  <c r="CL89" i="15"/>
  <c r="CM89" i="15"/>
  <c r="CN89" i="15"/>
  <c r="CO89" i="15"/>
  <c r="CP89" i="15"/>
  <c r="CQ89" i="15"/>
  <c r="CR89" i="15"/>
  <c r="CS89" i="15"/>
  <c r="CT89" i="15"/>
  <c r="CU89" i="15"/>
  <c r="CV89" i="15"/>
  <c r="CW89" i="15"/>
  <c r="CX89" i="15"/>
  <c r="CY89" i="15"/>
  <c r="CZ89" i="15"/>
  <c r="DA89" i="15"/>
  <c r="DB89" i="15"/>
  <c r="DC89" i="15"/>
  <c r="DD89" i="15"/>
  <c r="DE89" i="15"/>
  <c r="DF89" i="15"/>
  <c r="DG89" i="15"/>
  <c r="DH89" i="15"/>
  <c r="DI89" i="15"/>
  <c r="DJ89" i="15"/>
  <c r="DK89" i="15"/>
  <c r="DL89" i="15"/>
  <c r="DM89" i="15"/>
  <c r="DN89" i="15"/>
  <c r="DO89" i="15"/>
  <c r="DP89" i="15"/>
  <c r="DQ89" i="15"/>
  <c r="DR89" i="15"/>
  <c r="DS89" i="15"/>
  <c r="DT89" i="15"/>
  <c r="DU89" i="15"/>
  <c r="DV89" i="15"/>
  <c r="DW89" i="15"/>
  <c r="DX89" i="15"/>
  <c r="DY89" i="15"/>
  <c r="DZ89" i="15"/>
  <c r="EA89" i="15"/>
  <c r="EB89" i="15"/>
  <c r="EC89" i="15"/>
  <c r="ED89" i="15"/>
  <c r="EE89" i="15"/>
  <c r="EF89" i="15"/>
  <c r="EG89" i="15"/>
  <c r="EH89" i="15"/>
  <c r="EI89" i="15"/>
  <c r="EJ89" i="15"/>
  <c r="EK89" i="15"/>
  <c r="EL89" i="15"/>
  <c r="EM89" i="15"/>
  <c r="EN89" i="15"/>
  <c r="EO89" i="15"/>
  <c r="EP89" i="15"/>
  <c r="EQ89" i="15"/>
  <c r="ER89" i="15"/>
  <c r="ES89" i="15"/>
  <c r="ET89" i="15"/>
  <c r="EU89" i="15"/>
  <c r="EV89" i="15"/>
  <c r="EW89" i="15"/>
  <c r="EX89" i="15"/>
  <c r="EY89" i="15"/>
  <c r="EZ89" i="15"/>
  <c r="FA89" i="15"/>
  <c r="FB89" i="15"/>
  <c r="FC89" i="15"/>
  <c r="FD89" i="15"/>
  <c r="FE89" i="15"/>
  <c r="FF89" i="15"/>
  <c r="FG89" i="15"/>
  <c r="FH89" i="15"/>
  <c r="FI89" i="15"/>
  <c r="FJ89" i="15"/>
  <c r="FK89" i="15"/>
  <c r="FL89" i="15"/>
  <c r="FM89" i="15"/>
  <c r="FN89" i="15"/>
  <c r="FO89" i="15"/>
  <c r="FP89" i="15"/>
  <c r="FQ89" i="15"/>
  <c r="FR89" i="15"/>
  <c r="FS89" i="15"/>
  <c r="FT89" i="15"/>
  <c r="FU89" i="15"/>
  <c r="FV89" i="15"/>
  <c r="FW89" i="15"/>
  <c r="FX89" i="15"/>
  <c r="FY89" i="15"/>
  <c r="FZ89" i="15"/>
  <c r="GA89" i="15"/>
  <c r="GB89" i="15"/>
  <c r="GC89" i="15"/>
  <c r="GD89" i="15"/>
  <c r="GE89" i="15"/>
  <c r="GF89" i="15"/>
  <c r="GG89" i="15"/>
  <c r="GH89" i="15"/>
  <c r="GI89" i="15"/>
  <c r="GJ89" i="15"/>
  <c r="GK89" i="15"/>
  <c r="GL89" i="15"/>
  <c r="GM89" i="15"/>
  <c r="GN89" i="15"/>
  <c r="GO89" i="15"/>
  <c r="GP89" i="15"/>
  <c r="GQ89" i="15"/>
  <c r="GR89" i="15"/>
  <c r="GS89" i="15"/>
  <c r="GT89" i="15"/>
  <c r="GU89" i="15"/>
  <c r="GV89" i="15"/>
  <c r="GW89" i="15"/>
  <c r="GX89" i="15"/>
  <c r="GY89" i="15"/>
  <c r="GZ89" i="15"/>
  <c r="HA89" i="15"/>
  <c r="HB89" i="15"/>
  <c r="HC89" i="15"/>
  <c r="HD89" i="15"/>
  <c r="HE89" i="15"/>
  <c r="HF89" i="15"/>
  <c r="HG89" i="15"/>
  <c r="HH89" i="15"/>
  <c r="HI89" i="15"/>
  <c r="HJ89" i="15"/>
  <c r="HK89" i="15"/>
  <c r="HL89" i="15"/>
  <c r="HM89" i="15"/>
  <c r="HN89" i="15"/>
  <c r="HO89" i="15"/>
  <c r="HP89" i="15"/>
  <c r="HQ89" i="15"/>
  <c r="HR89" i="15"/>
  <c r="HS89" i="15"/>
  <c r="HT89" i="15"/>
  <c r="HU89" i="15"/>
  <c r="HV89" i="15"/>
  <c r="HW89" i="15"/>
  <c r="HX89" i="15"/>
  <c r="HY89" i="15"/>
  <c r="HZ89" i="15"/>
  <c r="IA89" i="15"/>
  <c r="IB89" i="15"/>
  <c r="IC89" i="15"/>
  <c r="ID89" i="15"/>
  <c r="IE89" i="15"/>
  <c r="IF89" i="15"/>
  <c r="IG89" i="15"/>
  <c r="IH89" i="15"/>
  <c r="II89" i="15"/>
  <c r="IJ89" i="15"/>
  <c r="IK89" i="15"/>
  <c r="IL89" i="15"/>
  <c r="IM89" i="15"/>
  <c r="IN89" i="15"/>
  <c r="IO89" i="15"/>
  <c r="IP89" i="15"/>
  <c r="IQ89" i="15"/>
  <c r="IR89" i="15"/>
  <c r="IS89" i="15"/>
  <c r="IT89" i="15"/>
  <c r="IU89" i="15"/>
  <c r="IV89" i="15"/>
  <c r="A90" i="15"/>
  <c r="B90" i="15"/>
  <c r="C90" i="15"/>
  <c r="D90" i="15"/>
  <c r="E90" i="15"/>
  <c r="F90" i="15"/>
  <c r="G90" i="15"/>
  <c r="H90" i="15"/>
  <c r="I90" i="15"/>
  <c r="J90" i="15"/>
  <c r="K90" i="15"/>
  <c r="L90" i="15"/>
  <c r="M90" i="15"/>
  <c r="N90" i="15"/>
  <c r="O90" i="15"/>
  <c r="P90" i="15"/>
  <c r="Q90" i="15"/>
  <c r="R90" i="15"/>
  <c r="S90" i="15"/>
  <c r="T90" i="15"/>
  <c r="U90" i="15"/>
  <c r="V90" i="15"/>
  <c r="W90" i="15"/>
  <c r="X90" i="15"/>
  <c r="Y90" i="15"/>
  <c r="Z90" i="15"/>
  <c r="AA90" i="15"/>
  <c r="AB90" i="15"/>
  <c r="AC90" i="15"/>
  <c r="AD90" i="15"/>
  <c r="AE90" i="15"/>
  <c r="AF90" i="15"/>
  <c r="AG90" i="15"/>
  <c r="AH90" i="15"/>
  <c r="AI90" i="15"/>
  <c r="AJ90" i="15"/>
  <c r="AK90" i="15"/>
  <c r="AL90" i="15"/>
  <c r="AM90" i="15"/>
  <c r="AN90" i="15"/>
  <c r="AO90" i="15"/>
  <c r="AP90" i="15"/>
  <c r="AQ90" i="15"/>
  <c r="AR90" i="15"/>
  <c r="AS90" i="15"/>
  <c r="AT90" i="15"/>
  <c r="AU90" i="15"/>
  <c r="AV90" i="15"/>
  <c r="AW90" i="15"/>
  <c r="AX90" i="15"/>
  <c r="AY90" i="15"/>
  <c r="AZ90" i="15"/>
  <c r="BA90" i="15"/>
  <c r="BB90" i="15"/>
  <c r="BC90" i="15"/>
  <c r="BD90" i="15"/>
  <c r="BE90" i="15"/>
  <c r="BF90" i="15"/>
  <c r="BG90" i="15"/>
  <c r="BH90" i="15"/>
  <c r="BI90" i="15"/>
  <c r="BJ90" i="15"/>
  <c r="BK90" i="15"/>
  <c r="BL90" i="15"/>
  <c r="BM90" i="15"/>
  <c r="BN90" i="15"/>
  <c r="BO90" i="15"/>
  <c r="BP90" i="15"/>
  <c r="BQ90" i="15"/>
  <c r="BR90" i="15"/>
  <c r="BS90" i="15"/>
  <c r="BT90" i="15"/>
  <c r="BU90" i="15"/>
  <c r="BV90" i="15"/>
  <c r="BW90" i="15"/>
  <c r="BX90" i="15"/>
  <c r="BY90" i="15"/>
  <c r="BZ90" i="15"/>
  <c r="CA90" i="15"/>
  <c r="CB90" i="15"/>
  <c r="CC90" i="15"/>
  <c r="CD90" i="15"/>
  <c r="CE90" i="15"/>
  <c r="CF90" i="15"/>
  <c r="CG90" i="15"/>
  <c r="CH90" i="15"/>
  <c r="CI90" i="15"/>
  <c r="CJ90" i="15"/>
  <c r="CK90" i="15"/>
  <c r="CL90" i="15"/>
  <c r="CM90" i="15"/>
  <c r="CN90" i="15"/>
  <c r="CO90" i="15"/>
  <c r="CP90" i="15"/>
  <c r="CQ90" i="15"/>
  <c r="CR90" i="15"/>
  <c r="CS90" i="15"/>
  <c r="CT90" i="15"/>
  <c r="CU90" i="15"/>
  <c r="CV90" i="15"/>
  <c r="CW90" i="15"/>
  <c r="CX90" i="15"/>
  <c r="CY90" i="15"/>
  <c r="CZ90" i="15"/>
  <c r="DA90" i="15"/>
  <c r="DB90" i="15"/>
  <c r="DC90" i="15"/>
  <c r="DD90" i="15"/>
  <c r="DE90" i="15"/>
  <c r="DF90" i="15"/>
  <c r="DG90" i="15"/>
  <c r="DH90" i="15"/>
  <c r="DI90" i="15"/>
  <c r="DJ90" i="15"/>
  <c r="DK90" i="15"/>
  <c r="DL90" i="15"/>
  <c r="DM90" i="15"/>
  <c r="DN90" i="15"/>
  <c r="DO90" i="15"/>
  <c r="DP90" i="15"/>
  <c r="DQ90" i="15"/>
  <c r="DR90" i="15"/>
  <c r="DS90" i="15"/>
  <c r="DT90" i="15"/>
  <c r="DU90" i="15"/>
  <c r="DV90" i="15"/>
  <c r="DW90" i="15"/>
  <c r="DX90" i="15"/>
  <c r="DY90" i="15"/>
  <c r="DZ90" i="15"/>
  <c r="EA90" i="15"/>
  <c r="EB90" i="15"/>
  <c r="EC90" i="15"/>
  <c r="ED90" i="15"/>
  <c r="EE90" i="15"/>
  <c r="EF90" i="15"/>
  <c r="EG90" i="15"/>
  <c r="EH90" i="15"/>
  <c r="EI90" i="15"/>
  <c r="EJ90" i="15"/>
  <c r="EK90" i="15"/>
  <c r="EL90" i="15"/>
  <c r="EM90" i="15"/>
  <c r="EN90" i="15"/>
  <c r="EO90" i="15"/>
  <c r="EP90" i="15"/>
  <c r="EQ90" i="15"/>
  <c r="ER90" i="15"/>
  <c r="ES90" i="15"/>
  <c r="ET90" i="15"/>
  <c r="EU90" i="15"/>
  <c r="EV90" i="15"/>
  <c r="EW90" i="15"/>
  <c r="EX90" i="15"/>
  <c r="EY90" i="15"/>
  <c r="EZ90" i="15"/>
  <c r="FA90" i="15"/>
  <c r="FB90" i="15"/>
  <c r="FC90" i="15"/>
  <c r="FD90" i="15"/>
  <c r="FE90" i="15"/>
  <c r="FF90" i="15"/>
  <c r="FG90" i="15"/>
  <c r="FH90" i="15"/>
  <c r="FI90" i="15"/>
  <c r="FJ90" i="15"/>
  <c r="FK90" i="15"/>
  <c r="FL90" i="15"/>
  <c r="FM90" i="15"/>
  <c r="FN90" i="15"/>
  <c r="FO90" i="15"/>
  <c r="FP90" i="15"/>
  <c r="FQ90" i="15"/>
  <c r="FR90" i="15"/>
  <c r="FS90" i="15"/>
  <c r="FT90" i="15"/>
  <c r="FU90" i="15"/>
  <c r="FV90" i="15"/>
  <c r="FW90" i="15"/>
  <c r="FX90" i="15"/>
  <c r="FY90" i="15"/>
  <c r="FZ90" i="15"/>
  <c r="GA90" i="15"/>
  <c r="GB90" i="15"/>
  <c r="GC90" i="15"/>
  <c r="GD90" i="15"/>
  <c r="GE90" i="15"/>
  <c r="GF90" i="15"/>
  <c r="GG90" i="15"/>
  <c r="GH90" i="15"/>
  <c r="GI90" i="15"/>
  <c r="GJ90" i="15"/>
  <c r="GK90" i="15"/>
  <c r="GL90" i="15"/>
  <c r="GM90" i="15"/>
  <c r="GN90" i="15"/>
  <c r="GO90" i="15"/>
  <c r="GP90" i="15"/>
  <c r="GQ90" i="15"/>
  <c r="GR90" i="15"/>
  <c r="GS90" i="15"/>
  <c r="GT90" i="15"/>
  <c r="GU90" i="15"/>
  <c r="GV90" i="15"/>
  <c r="GW90" i="15"/>
  <c r="GX90" i="15"/>
  <c r="GY90" i="15"/>
  <c r="GZ90" i="15"/>
  <c r="HA90" i="15"/>
  <c r="HB90" i="15"/>
  <c r="HC90" i="15"/>
  <c r="HD90" i="15"/>
  <c r="HE90" i="15"/>
  <c r="HF90" i="15"/>
  <c r="HG90" i="15"/>
  <c r="HH90" i="15"/>
  <c r="HI90" i="15"/>
  <c r="HJ90" i="15"/>
  <c r="HK90" i="15"/>
  <c r="HL90" i="15"/>
  <c r="HM90" i="15"/>
  <c r="HN90" i="15"/>
  <c r="HO90" i="15"/>
  <c r="HP90" i="15"/>
  <c r="HQ90" i="15"/>
  <c r="HR90" i="15"/>
  <c r="HS90" i="15"/>
  <c r="HT90" i="15"/>
  <c r="HU90" i="15"/>
  <c r="HV90" i="15"/>
  <c r="HW90" i="15"/>
  <c r="HX90" i="15"/>
  <c r="HY90" i="15"/>
  <c r="HZ90" i="15"/>
  <c r="IA90" i="15"/>
  <c r="IB90" i="15"/>
  <c r="IC90" i="15"/>
  <c r="ID90" i="15"/>
  <c r="IE90" i="15"/>
  <c r="IF90" i="15"/>
  <c r="IG90" i="15"/>
  <c r="IH90" i="15"/>
  <c r="II90" i="15"/>
  <c r="IJ90" i="15"/>
  <c r="IK90" i="15"/>
  <c r="IL90" i="15"/>
  <c r="IM90" i="15"/>
  <c r="IN90" i="15"/>
  <c r="IO90" i="15"/>
  <c r="IP90" i="15"/>
  <c r="IQ90" i="15"/>
  <c r="IR90" i="15"/>
  <c r="IS90" i="15"/>
  <c r="IT90" i="15"/>
  <c r="IU90" i="15"/>
  <c r="IV90" i="15"/>
  <c r="A91" i="15"/>
  <c r="B91" i="15"/>
  <c r="C91" i="15"/>
  <c r="D91" i="15"/>
  <c r="E91" i="15"/>
  <c r="F91" i="15"/>
  <c r="G91" i="15"/>
  <c r="H91" i="15"/>
  <c r="I91" i="15"/>
  <c r="J91" i="15"/>
  <c r="K91" i="15"/>
  <c r="L91" i="15"/>
  <c r="M91" i="15"/>
  <c r="N91" i="15"/>
  <c r="O91" i="15"/>
  <c r="P91" i="15"/>
  <c r="Q91" i="15"/>
  <c r="R91" i="15"/>
  <c r="S91" i="15"/>
  <c r="T91" i="15"/>
  <c r="U91" i="15"/>
  <c r="V91" i="15"/>
  <c r="W91" i="15"/>
  <c r="X91" i="15"/>
  <c r="Y91" i="15"/>
  <c r="Z91" i="15"/>
  <c r="AA91" i="15"/>
  <c r="AB91" i="15"/>
  <c r="AC91" i="15"/>
  <c r="AD91" i="15"/>
  <c r="AE91" i="15"/>
  <c r="AF91" i="15"/>
  <c r="AG91" i="15"/>
  <c r="AH91" i="15"/>
  <c r="AI91" i="15"/>
  <c r="AJ91" i="15"/>
  <c r="AK91" i="15"/>
  <c r="AL91" i="15"/>
  <c r="AM91" i="15"/>
  <c r="AN91" i="15"/>
  <c r="AO91" i="15"/>
  <c r="AP91" i="15"/>
  <c r="AQ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U91" i="15"/>
  <c r="BV91" i="15"/>
  <c r="BW91" i="15"/>
  <c r="BX91" i="15"/>
  <c r="BY91" i="15"/>
  <c r="BZ91" i="15"/>
  <c r="CA91" i="15"/>
  <c r="CB91" i="15"/>
  <c r="CC91" i="15"/>
  <c r="CD91" i="15"/>
  <c r="CE91" i="15"/>
  <c r="CF91" i="15"/>
  <c r="CG91" i="15"/>
  <c r="CH91" i="15"/>
  <c r="CI91" i="15"/>
  <c r="CJ91" i="15"/>
  <c r="CK91" i="15"/>
  <c r="CL91" i="15"/>
  <c r="CM91" i="15"/>
  <c r="CN91" i="15"/>
  <c r="CO91" i="15"/>
  <c r="CP91" i="15"/>
  <c r="CQ91" i="15"/>
  <c r="CR91" i="15"/>
  <c r="CS91" i="15"/>
  <c r="CT91" i="15"/>
  <c r="CU91" i="15"/>
  <c r="CV91" i="15"/>
  <c r="CW91" i="15"/>
  <c r="CX91" i="15"/>
  <c r="CY91" i="15"/>
  <c r="CZ91" i="15"/>
  <c r="DA91" i="15"/>
  <c r="DB91" i="15"/>
  <c r="DC91" i="15"/>
  <c r="DD91" i="15"/>
  <c r="DE91" i="15"/>
  <c r="DF91" i="15"/>
  <c r="DG91" i="15"/>
  <c r="DH91" i="15"/>
  <c r="DI91" i="15"/>
  <c r="DJ91" i="15"/>
  <c r="DK91" i="15"/>
  <c r="DL91" i="15"/>
  <c r="DM91" i="15"/>
  <c r="DN91" i="15"/>
  <c r="DO91" i="15"/>
  <c r="DP91" i="15"/>
  <c r="DQ91" i="15"/>
  <c r="DR91" i="15"/>
  <c r="DS91" i="15"/>
  <c r="DT91" i="15"/>
  <c r="DU91" i="15"/>
  <c r="DV91" i="15"/>
  <c r="DW91" i="15"/>
  <c r="DX91" i="15"/>
  <c r="DY91" i="15"/>
  <c r="DZ91" i="15"/>
  <c r="EA91" i="15"/>
  <c r="EB91" i="15"/>
  <c r="EC91" i="15"/>
  <c r="ED91" i="15"/>
  <c r="EE91" i="15"/>
  <c r="EF91" i="15"/>
  <c r="EG91" i="15"/>
  <c r="EH91" i="15"/>
  <c r="EI91" i="15"/>
  <c r="EJ91" i="15"/>
  <c r="EK91" i="15"/>
  <c r="EL91" i="15"/>
  <c r="EM91" i="15"/>
  <c r="EN91" i="15"/>
  <c r="EO91" i="15"/>
  <c r="EP91" i="15"/>
  <c r="EQ91" i="15"/>
  <c r="ER91" i="15"/>
  <c r="ES91" i="15"/>
  <c r="ET91" i="15"/>
  <c r="EU91" i="15"/>
  <c r="EV91" i="15"/>
  <c r="EW91" i="15"/>
  <c r="EX91" i="15"/>
  <c r="EY91" i="15"/>
  <c r="EZ91" i="15"/>
  <c r="FA91" i="15"/>
  <c r="FB91" i="15"/>
  <c r="FC91" i="15"/>
  <c r="FD91" i="15"/>
  <c r="FE91" i="15"/>
  <c r="FF91" i="15"/>
  <c r="FG91" i="15"/>
  <c r="FH91" i="15"/>
  <c r="FI91" i="15"/>
  <c r="FJ91" i="15"/>
  <c r="FK91" i="15"/>
  <c r="FL91" i="15"/>
  <c r="FM91" i="15"/>
  <c r="FN91" i="15"/>
  <c r="FO91" i="15"/>
  <c r="FP91" i="15"/>
  <c r="FQ91" i="15"/>
  <c r="FR91" i="15"/>
  <c r="FS91" i="15"/>
  <c r="FT91" i="15"/>
  <c r="FU91" i="15"/>
  <c r="FV91" i="15"/>
  <c r="FW91" i="15"/>
  <c r="FX91" i="15"/>
  <c r="FY91" i="15"/>
  <c r="FZ91" i="15"/>
  <c r="GA91" i="15"/>
  <c r="GB91" i="15"/>
  <c r="GC91" i="15"/>
  <c r="GD91" i="15"/>
  <c r="GE91" i="15"/>
  <c r="GF91" i="15"/>
  <c r="GG91" i="15"/>
  <c r="GH91" i="15"/>
  <c r="GI91" i="15"/>
  <c r="GJ91" i="15"/>
  <c r="GK91" i="15"/>
  <c r="GL91" i="15"/>
  <c r="GM91" i="15"/>
  <c r="GN91" i="15"/>
  <c r="GO91" i="15"/>
  <c r="GP91" i="15"/>
  <c r="GQ91" i="15"/>
  <c r="GR91" i="15"/>
  <c r="GS91" i="15"/>
  <c r="GT91" i="15"/>
  <c r="GU91" i="15"/>
  <c r="GV91" i="15"/>
  <c r="GW91" i="15"/>
  <c r="GX91" i="15"/>
  <c r="GY91" i="15"/>
  <c r="GZ91" i="15"/>
  <c r="HA91" i="15"/>
  <c r="HB91" i="15"/>
  <c r="HC91" i="15"/>
  <c r="HD91" i="15"/>
  <c r="HE91" i="15"/>
  <c r="HF91" i="15"/>
  <c r="HG91" i="15"/>
  <c r="HH91" i="15"/>
  <c r="HI91" i="15"/>
  <c r="HJ91" i="15"/>
  <c r="HK91" i="15"/>
  <c r="HL91" i="15"/>
  <c r="HM91" i="15"/>
  <c r="HN91" i="15"/>
  <c r="HO91" i="15"/>
  <c r="HP91" i="15"/>
  <c r="HQ91" i="15"/>
  <c r="HR91" i="15"/>
  <c r="HS91" i="15"/>
  <c r="HT91" i="15"/>
  <c r="HU91" i="15"/>
  <c r="HV91" i="15"/>
  <c r="HW91" i="15"/>
  <c r="HX91" i="15"/>
  <c r="HY91" i="15"/>
  <c r="HZ91" i="15"/>
  <c r="IA91" i="15"/>
  <c r="IB91" i="15"/>
  <c r="IC91" i="15"/>
  <c r="ID91" i="15"/>
  <c r="IE91" i="15"/>
  <c r="IF91" i="15"/>
  <c r="IG91" i="15"/>
  <c r="IH91" i="15"/>
  <c r="II91" i="15"/>
  <c r="IJ91" i="15"/>
  <c r="IK91" i="15"/>
  <c r="IL91" i="15"/>
  <c r="IM91" i="15"/>
  <c r="IN91" i="15"/>
  <c r="IO91" i="15"/>
  <c r="IP91" i="15"/>
  <c r="IQ91" i="15"/>
  <c r="IR91" i="15"/>
  <c r="IS91" i="15"/>
  <c r="IT91" i="15"/>
  <c r="IU91" i="15"/>
  <c r="IV91" i="15"/>
  <c r="A92" i="15"/>
  <c r="B92" i="15"/>
  <c r="C92" i="15"/>
  <c r="D92" i="15"/>
  <c r="E92" i="15"/>
  <c r="F92" i="15"/>
  <c r="G92" i="15"/>
  <c r="H92" i="15"/>
  <c r="I92" i="15"/>
  <c r="J92" i="15"/>
  <c r="K92" i="15"/>
  <c r="L92" i="15"/>
  <c r="M92" i="15"/>
  <c r="N92" i="15"/>
  <c r="O92" i="15"/>
  <c r="P92" i="15"/>
  <c r="Q92" i="15"/>
  <c r="R92" i="15"/>
  <c r="S92" i="15"/>
  <c r="T92" i="15"/>
  <c r="U92" i="15"/>
  <c r="V92" i="15"/>
  <c r="W92" i="15"/>
  <c r="X92" i="15"/>
  <c r="Y92" i="15"/>
  <c r="Z92" i="15"/>
  <c r="AA92" i="15"/>
  <c r="AB92" i="15"/>
  <c r="AC92" i="15"/>
  <c r="AD92" i="15"/>
  <c r="AE92" i="15"/>
  <c r="AF92" i="15"/>
  <c r="AG92" i="15"/>
  <c r="AH92" i="15"/>
  <c r="AI92" i="15"/>
  <c r="AJ92" i="15"/>
  <c r="AK92" i="15"/>
  <c r="AL92" i="15"/>
  <c r="AM92" i="15"/>
  <c r="AN92" i="15"/>
  <c r="AO92" i="15"/>
  <c r="AP92" i="15"/>
  <c r="AQ92" i="15"/>
  <c r="AR92" i="15"/>
  <c r="AS92" i="15"/>
  <c r="AT92" i="15"/>
  <c r="AU92" i="15"/>
  <c r="AV92" i="15"/>
  <c r="AW92" i="15"/>
  <c r="AX92" i="15"/>
  <c r="AY92" i="15"/>
  <c r="AZ92" i="15"/>
  <c r="BA92" i="15"/>
  <c r="BB92" i="15"/>
  <c r="BC92" i="15"/>
  <c r="BD92" i="15"/>
  <c r="BE92" i="15"/>
  <c r="BF92" i="15"/>
  <c r="BG92" i="15"/>
  <c r="BH92" i="15"/>
  <c r="BI92" i="15"/>
  <c r="BJ92" i="15"/>
  <c r="BK92" i="15"/>
  <c r="BL92" i="15"/>
  <c r="BM92" i="15"/>
  <c r="BN92" i="15"/>
  <c r="BO92" i="15"/>
  <c r="BP92" i="15"/>
  <c r="BQ92" i="15"/>
  <c r="BR92" i="15"/>
  <c r="BS92" i="15"/>
  <c r="BT92" i="15"/>
  <c r="BU92" i="15"/>
  <c r="BV92" i="15"/>
  <c r="BW92" i="15"/>
  <c r="BX92" i="15"/>
  <c r="BY92" i="15"/>
  <c r="BZ92" i="15"/>
  <c r="CA92" i="15"/>
  <c r="CB92" i="15"/>
  <c r="CC92" i="15"/>
  <c r="CD92" i="15"/>
  <c r="CE92" i="15"/>
  <c r="CF92" i="15"/>
  <c r="CG92" i="15"/>
  <c r="CH92" i="15"/>
  <c r="CI92" i="15"/>
  <c r="CJ92" i="15"/>
  <c r="CK92" i="15"/>
  <c r="CL92" i="15"/>
  <c r="CM92" i="15"/>
  <c r="CN92" i="15"/>
  <c r="CO92" i="15"/>
  <c r="CP92" i="15"/>
  <c r="CQ92" i="15"/>
  <c r="CR92" i="15"/>
  <c r="CS92" i="15"/>
  <c r="CT92" i="15"/>
  <c r="CU92" i="15"/>
  <c r="CV92" i="15"/>
  <c r="CW92" i="15"/>
  <c r="CX92" i="15"/>
  <c r="CY92" i="15"/>
  <c r="CZ92" i="15"/>
  <c r="DA92" i="15"/>
  <c r="DB92" i="15"/>
  <c r="DC92" i="15"/>
  <c r="DD92" i="15"/>
  <c r="DE92" i="15"/>
  <c r="DF92" i="15"/>
  <c r="DG92" i="15"/>
  <c r="DH92" i="15"/>
  <c r="DI92" i="15"/>
  <c r="DJ92" i="15"/>
  <c r="DK92" i="15"/>
  <c r="DL92" i="15"/>
  <c r="DM92" i="15"/>
  <c r="DN92" i="15"/>
  <c r="DO92" i="15"/>
  <c r="DP92" i="15"/>
  <c r="DQ92" i="15"/>
  <c r="DR92" i="15"/>
  <c r="DS92" i="15"/>
  <c r="DT92" i="15"/>
  <c r="DU92" i="15"/>
  <c r="DV92" i="15"/>
  <c r="DW92" i="15"/>
  <c r="DX92" i="15"/>
  <c r="DY92" i="15"/>
  <c r="DZ92" i="15"/>
  <c r="EA92" i="15"/>
  <c r="EB92" i="15"/>
  <c r="EC92" i="15"/>
  <c r="ED92" i="15"/>
  <c r="EE92" i="15"/>
  <c r="EF92" i="15"/>
  <c r="EG92" i="15"/>
  <c r="EH92" i="15"/>
  <c r="EI92" i="15"/>
  <c r="EJ92" i="15"/>
  <c r="EK92" i="15"/>
  <c r="EL92" i="15"/>
  <c r="EM92" i="15"/>
  <c r="EN92" i="15"/>
  <c r="EO92" i="15"/>
  <c r="EP92" i="15"/>
  <c r="EQ92" i="15"/>
  <c r="ER92" i="15"/>
  <c r="ES92" i="15"/>
  <c r="ET92" i="15"/>
  <c r="EU92" i="15"/>
  <c r="EV92" i="15"/>
  <c r="EW92" i="15"/>
  <c r="EX92" i="15"/>
  <c r="EY92" i="15"/>
  <c r="EZ92" i="15"/>
  <c r="FA92" i="15"/>
  <c r="FB92" i="15"/>
  <c r="FC92" i="15"/>
  <c r="FD92" i="15"/>
  <c r="FE92" i="15"/>
  <c r="FF92" i="15"/>
  <c r="FG92" i="15"/>
  <c r="FH92" i="15"/>
  <c r="FI92" i="15"/>
  <c r="FJ92" i="15"/>
  <c r="FK92" i="15"/>
  <c r="FL92" i="15"/>
  <c r="FM92" i="15"/>
  <c r="FN92" i="15"/>
  <c r="FO92" i="15"/>
  <c r="FP92" i="15"/>
  <c r="FQ92" i="15"/>
  <c r="FR92" i="15"/>
  <c r="FS92" i="15"/>
  <c r="FT92" i="15"/>
  <c r="FU92" i="15"/>
  <c r="FV92" i="15"/>
  <c r="FW92" i="15"/>
  <c r="FX92" i="15"/>
  <c r="FY92" i="15"/>
  <c r="FZ92" i="15"/>
  <c r="GA92" i="15"/>
  <c r="GB92" i="15"/>
  <c r="GC92" i="15"/>
  <c r="GD92" i="15"/>
  <c r="GE92" i="15"/>
  <c r="GF92" i="15"/>
  <c r="GG92" i="15"/>
  <c r="GH92" i="15"/>
  <c r="GI92" i="15"/>
  <c r="GJ92" i="15"/>
  <c r="GK92" i="15"/>
  <c r="GL92" i="15"/>
  <c r="GM92" i="15"/>
  <c r="GN92" i="15"/>
  <c r="GO92" i="15"/>
  <c r="GP92" i="15"/>
  <c r="GQ92" i="15"/>
  <c r="GR92" i="15"/>
  <c r="GS92" i="15"/>
  <c r="GT92" i="15"/>
  <c r="GU92" i="15"/>
  <c r="GV92" i="15"/>
  <c r="GW92" i="15"/>
  <c r="GX92" i="15"/>
  <c r="GY92" i="15"/>
  <c r="GZ92" i="15"/>
  <c r="HA92" i="15"/>
  <c r="HB92" i="15"/>
  <c r="HC92" i="15"/>
  <c r="HD92" i="15"/>
  <c r="HE92" i="15"/>
  <c r="HF92" i="15"/>
  <c r="HG92" i="15"/>
  <c r="HH92" i="15"/>
  <c r="HI92" i="15"/>
  <c r="HJ92" i="15"/>
  <c r="HK92" i="15"/>
  <c r="HL92" i="15"/>
  <c r="HM92" i="15"/>
  <c r="HN92" i="15"/>
  <c r="HO92" i="15"/>
  <c r="HP92" i="15"/>
  <c r="HQ92" i="15"/>
  <c r="HR92" i="15"/>
  <c r="HS92" i="15"/>
  <c r="HT92" i="15"/>
  <c r="HU92" i="15"/>
  <c r="HV92" i="15"/>
  <c r="HW92" i="15"/>
  <c r="HX92" i="15"/>
  <c r="HY92" i="15"/>
  <c r="HZ92" i="15"/>
  <c r="IA92" i="15"/>
  <c r="IB92" i="15"/>
  <c r="IC92" i="15"/>
  <c r="ID92" i="15"/>
  <c r="IE92" i="15"/>
  <c r="IF92" i="15"/>
  <c r="IG92" i="15"/>
  <c r="IH92" i="15"/>
  <c r="II92" i="15"/>
  <c r="IJ92" i="15"/>
  <c r="IK92" i="15"/>
  <c r="IL92" i="15"/>
  <c r="IM92" i="15"/>
  <c r="IN92" i="15"/>
  <c r="IO92" i="15"/>
  <c r="IP92" i="15"/>
  <c r="IQ92" i="15"/>
  <c r="IR92" i="15"/>
  <c r="IS92" i="15"/>
  <c r="IT92" i="15"/>
  <c r="IU92" i="15"/>
  <c r="IV92" i="15"/>
  <c r="A93" i="15"/>
  <c r="B93" i="15"/>
  <c r="C93" i="15"/>
  <c r="D93" i="15"/>
  <c r="E93" i="15"/>
  <c r="F93" i="15"/>
  <c r="G93" i="15"/>
  <c r="H93" i="15"/>
  <c r="I93" i="15"/>
  <c r="J93" i="15"/>
  <c r="K93" i="15"/>
  <c r="L93" i="15"/>
  <c r="M93" i="15"/>
  <c r="N93" i="15"/>
  <c r="O93" i="15"/>
  <c r="P93" i="15"/>
  <c r="Q93" i="15"/>
  <c r="R93" i="15"/>
  <c r="S93" i="15"/>
  <c r="T93" i="15"/>
  <c r="U93" i="15"/>
  <c r="V93" i="15"/>
  <c r="W93" i="15"/>
  <c r="X93" i="15"/>
  <c r="Y93" i="15"/>
  <c r="Z93" i="15"/>
  <c r="AA93" i="15"/>
  <c r="AB93" i="15"/>
  <c r="AC93" i="15"/>
  <c r="AD93" i="15"/>
  <c r="AE93" i="15"/>
  <c r="AF93" i="15"/>
  <c r="AG93" i="15"/>
  <c r="AH93" i="15"/>
  <c r="AI93" i="15"/>
  <c r="AJ93" i="15"/>
  <c r="AK93" i="15"/>
  <c r="AL93" i="15"/>
  <c r="AM93" i="15"/>
  <c r="AN93" i="15"/>
  <c r="AO93" i="15"/>
  <c r="AP93" i="15"/>
  <c r="AQ93" i="15"/>
  <c r="AR93" i="15"/>
  <c r="AS93" i="15"/>
  <c r="AT93" i="15"/>
  <c r="AU93" i="15"/>
  <c r="AV93" i="15"/>
  <c r="AW93" i="15"/>
  <c r="AX93" i="15"/>
  <c r="AY93" i="15"/>
  <c r="AZ93" i="15"/>
  <c r="BA93" i="15"/>
  <c r="BB93" i="15"/>
  <c r="BC93" i="15"/>
  <c r="BD93" i="15"/>
  <c r="BE93" i="15"/>
  <c r="BF93" i="15"/>
  <c r="BG93" i="15"/>
  <c r="BH93" i="15"/>
  <c r="BI93" i="15"/>
  <c r="BJ93" i="15"/>
  <c r="BK93" i="15"/>
  <c r="BL93" i="15"/>
  <c r="BM93" i="15"/>
  <c r="BN93" i="15"/>
  <c r="BO93" i="15"/>
  <c r="BP93" i="15"/>
  <c r="BQ93" i="15"/>
  <c r="BR93" i="15"/>
  <c r="BS93" i="15"/>
  <c r="BT93" i="15"/>
  <c r="BU93" i="15"/>
  <c r="BV93" i="15"/>
  <c r="BW93" i="15"/>
  <c r="BX93" i="15"/>
  <c r="BY93" i="15"/>
  <c r="BZ93" i="15"/>
  <c r="CA93" i="15"/>
  <c r="CB93" i="15"/>
  <c r="CC93" i="15"/>
  <c r="CD93" i="15"/>
  <c r="CE93" i="15"/>
  <c r="CF93" i="15"/>
  <c r="CG93" i="15"/>
  <c r="CH93" i="15"/>
  <c r="CI93" i="15"/>
  <c r="CJ93" i="15"/>
  <c r="CK93" i="15"/>
  <c r="CL93" i="15"/>
  <c r="CM93" i="15"/>
  <c r="CN93" i="15"/>
  <c r="CO93" i="15"/>
  <c r="CP93" i="15"/>
  <c r="CQ93" i="15"/>
  <c r="CR93" i="15"/>
  <c r="CS93" i="15"/>
  <c r="CT93" i="15"/>
  <c r="CU93" i="15"/>
  <c r="CV93" i="15"/>
  <c r="CW93" i="15"/>
  <c r="CX93" i="15"/>
  <c r="CY93" i="15"/>
  <c r="CZ93" i="15"/>
  <c r="DA93" i="15"/>
  <c r="DB93" i="15"/>
  <c r="DC93" i="15"/>
  <c r="DD93" i="15"/>
  <c r="DE93" i="15"/>
  <c r="DF93" i="15"/>
  <c r="DG93" i="15"/>
  <c r="DH93" i="15"/>
  <c r="DI93" i="15"/>
  <c r="DJ93" i="15"/>
  <c r="DK93" i="15"/>
  <c r="DL93" i="15"/>
  <c r="DM93" i="15"/>
  <c r="DN93" i="15"/>
  <c r="DO93" i="15"/>
  <c r="DP93" i="15"/>
  <c r="DQ93" i="15"/>
  <c r="DR93" i="15"/>
  <c r="DS93" i="15"/>
  <c r="DT93" i="15"/>
  <c r="DU93" i="15"/>
  <c r="DV93" i="15"/>
  <c r="DW93" i="15"/>
  <c r="DX93" i="15"/>
  <c r="DY93" i="15"/>
  <c r="DZ93" i="15"/>
  <c r="EA93" i="15"/>
  <c r="EB93" i="15"/>
  <c r="EC93" i="15"/>
  <c r="ED93" i="15"/>
  <c r="EE93" i="15"/>
  <c r="EF93" i="15"/>
  <c r="EG93" i="15"/>
  <c r="EH93" i="15"/>
  <c r="EI93" i="15"/>
  <c r="EJ93" i="15"/>
  <c r="EK93" i="15"/>
  <c r="EL93" i="15"/>
  <c r="EM93" i="15"/>
  <c r="EN93" i="15"/>
  <c r="EO93" i="15"/>
  <c r="EP93" i="15"/>
  <c r="EQ93" i="15"/>
  <c r="ER93" i="15"/>
  <c r="ES93" i="15"/>
  <c r="ET93" i="15"/>
  <c r="EU93" i="15"/>
  <c r="EV93" i="15"/>
  <c r="EW93" i="15"/>
  <c r="EX93" i="15"/>
  <c r="EY93" i="15"/>
  <c r="EZ93" i="15"/>
  <c r="FA93" i="15"/>
  <c r="FB93" i="15"/>
  <c r="FC93" i="15"/>
  <c r="FD93" i="15"/>
  <c r="FE93" i="15"/>
  <c r="FF93" i="15"/>
  <c r="FG93" i="15"/>
  <c r="FH93" i="15"/>
  <c r="FI93" i="15"/>
  <c r="FJ93" i="15"/>
  <c r="FK93" i="15"/>
  <c r="FL93" i="15"/>
  <c r="FM93" i="15"/>
  <c r="FN93" i="15"/>
  <c r="FO93" i="15"/>
  <c r="FP93" i="15"/>
  <c r="FQ93" i="15"/>
  <c r="FR93" i="15"/>
  <c r="FS93" i="15"/>
  <c r="FT93" i="15"/>
  <c r="FU93" i="15"/>
  <c r="FV93" i="15"/>
  <c r="FW93" i="15"/>
  <c r="FX93" i="15"/>
  <c r="FY93" i="15"/>
  <c r="FZ93" i="15"/>
  <c r="GA93" i="15"/>
  <c r="GB93" i="15"/>
  <c r="GC93" i="15"/>
  <c r="GD93" i="15"/>
  <c r="GE93" i="15"/>
  <c r="GF93" i="15"/>
  <c r="GG93" i="15"/>
  <c r="GH93" i="15"/>
  <c r="GI93" i="15"/>
  <c r="GJ93" i="15"/>
  <c r="GK93" i="15"/>
  <c r="GL93" i="15"/>
  <c r="GM93" i="15"/>
  <c r="GN93" i="15"/>
  <c r="GO93" i="15"/>
  <c r="GP93" i="15"/>
  <c r="GQ93" i="15"/>
  <c r="GR93" i="15"/>
  <c r="GS93" i="15"/>
  <c r="GT93" i="15"/>
  <c r="GU93" i="15"/>
  <c r="GV93" i="15"/>
  <c r="GW93" i="15"/>
  <c r="GX93" i="15"/>
  <c r="GY93" i="15"/>
  <c r="GZ93" i="15"/>
  <c r="HA93" i="15"/>
  <c r="HB93" i="15"/>
  <c r="HC93" i="15"/>
  <c r="HD93" i="15"/>
  <c r="HE93" i="15"/>
  <c r="HF93" i="15"/>
  <c r="HG93" i="15"/>
  <c r="HH93" i="15"/>
  <c r="HI93" i="15"/>
  <c r="HJ93" i="15"/>
  <c r="HK93" i="15"/>
  <c r="HL93" i="15"/>
  <c r="HM93" i="15"/>
  <c r="HN93" i="15"/>
  <c r="HO93" i="15"/>
  <c r="HP93" i="15"/>
  <c r="HQ93" i="15"/>
  <c r="HR93" i="15"/>
  <c r="HS93" i="15"/>
  <c r="HT93" i="15"/>
  <c r="HU93" i="15"/>
  <c r="HV93" i="15"/>
  <c r="HW93" i="15"/>
  <c r="HX93" i="15"/>
  <c r="HY93" i="15"/>
  <c r="HZ93" i="15"/>
  <c r="IA93" i="15"/>
  <c r="IB93" i="15"/>
  <c r="IC93" i="15"/>
  <c r="ID93" i="15"/>
  <c r="IE93" i="15"/>
  <c r="IF93" i="15"/>
  <c r="IG93" i="15"/>
  <c r="IH93" i="15"/>
  <c r="II93" i="15"/>
  <c r="IJ93" i="15"/>
  <c r="IK93" i="15"/>
  <c r="IL93" i="15"/>
  <c r="IM93" i="15"/>
  <c r="IN93" i="15"/>
  <c r="IO93" i="15"/>
  <c r="IP93" i="15"/>
  <c r="IQ93" i="15"/>
  <c r="IR93" i="15"/>
  <c r="IS93" i="15"/>
  <c r="IT93" i="15"/>
  <c r="IU93" i="15"/>
  <c r="IV93" i="15"/>
  <c r="A94" i="15"/>
  <c r="B94" i="15"/>
  <c r="C94" i="15"/>
  <c r="D94" i="15"/>
  <c r="E94" i="15"/>
  <c r="F94" i="15"/>
  <c r="G94" i="15"/>
  <c r="H94" i="15"/>
  <c r="I94" i="15"/>
  <c r="J94" i="15"/>
  <c r="K94" i="15"/>
  <c r="L94" i="15"/>
  <c r="M94" i="15"/>
  <c r="N94" i="15"/>
  <c r="O94" i="15"/>
  <c r="P94" i="15"/>
  <c r="Q94" i="15"/>
  <c r="R94" i="15"/>
  <c r="S94" i="15"/>
  <c r="T94" i="15"/>
  <c r="U94" i="15"/>
  <c r="V94" i="15"/>
  <c r="W94" i="15"/>
  <c r="X94" i="15"/>
  <c r="Y94" i="15"/>
  <c r="Z94" i="15"/>
  <c r="AA94" i="15"/>
  <c r="AB94" i="15"/>
  <c r="AC94" i="15"/>
  <c r="AD94" i="15"/>
  <c r="AE94" i="15"/>
  <c r="AF94" i="15"/>
  <c r="AG94" i="15"/>
  <c r="AH94" i="15"/>
  <c r="AI94" i="15"/>
  <c r="AJ94" i="15"/>
  <c r="AK94" i="15"/>
  <c r="AL94" i="15"/>
  <c r="AM94" i="15"/>
  <c r="AN94" i="15"/>
  <c r="AO94" i="15"/>
  <c r="AP94" i="15"/>
  <c r="AQ94" i="15"/>
  <c r="AR94" i="15"/>
  <c r="AS94" i="15"/>
  <c r="AT94" i="15"/>
  <c r="AU94" i="15"/>
  <c r="AV94" i="15"/>
  <c r="AW94" i="15"/>
  <c r="AX94" i="15"/>
  <c r="AY94" i="15"/>
  <c r="AZ94" i="15"/>
  <c r="BA94" i="15"/>
  <c r="BB94" i="15"/>
  <c r="BC94" i="15"/>
  <c r="BD94" i="15"/>
  <c r="BE94" i="15"/>
  <c r="BF94" i="15"/>
  <c r="BG94" i="15"/>
  <c r="BH94" i="15"/>
  <c r="BI94" i="15"/>
  <c r="BJ94" i="15"/>
  <c r="BK94" i="15"/>
  <c r="BL94" i="15"/>
  <c r="BM94" i="15"/>
  <c r="BN94" i="15"/>
  <c r="BO94" i="15"/>
  <c r="BP94" i="15"/>
  <c r="BQ94" i="15"/>
  <c r="BR94" i="15"/>
  <c r="BS94" i="15"/>
  <c r="BT94" i="15"/>
  <c r="BU94" i="15"/>
  <c r="BV94" i="15"/>
  <c r="BW94" i="15"/>
  <c r="BX94" i="15"/>
  <c r="BY94" i="15"/>
  <c r="BZ94" i="15"/>
  <c r="CA94" i="15"/>
  <c r="CB94" i="15"/>
  <c r="CC94" i="15"/>
  <c r="CD94" i="15"/>
  <c r="CE94" i="15"/>
  <c r="CF94" i="15"/>
  <c r="CG94" i="15"/>
  <c r="CH94" i="15"/>
  <c r="CI94" i="15"/>
  <c r="CJ94" i="15"/>
  <c r="CK94" i="15"/>
  <c r="CL94" i="15"/>
  <c r="CM94" i="15"/>
  <c r="CN94" i="15"/>
  <c r="CO94" i="15"/>
  <c r="CP94" i="15"/>
  <c r="CQ94" i="15"/>
  <c r="CR94" i="15"/>
  <c r="CS94" i="15"/>
  <c r="CT94" i="15"/>
  <c r="CU94" i="15"/>
  <c r="CV94" i="15"/>
  <c r="CW94" i="15"/>
  <c r="CX94" i="15"/>
  <c r="CY94" i="15"/>
  <c r="CZ94" i="15"/>
  <c r="DA94" i="15"/>
  <c r="DB94" i="15"/>
  <c r="DC94" i="15"/>
  <c r="DD94" i="15"/>
  <c r="DE94" i="15"/>
  <c r="DF94" i="15"/>
  <c r="DG94" i="15"/>
  <c r="DH94" i="15"/>
  <c r="DI94" i="15"/>
  <c r="DJ94" i="15"/>
  <c r="DK94" i="15"/>
  <c r="DL94" i="15"/>
  <c r="DM94" i="15"/>
  <c r="DN94" i="15"/>
  <c r="DO94" i="15"/>
  <c r="DP94" i="15"/>
  <c r="DQ94" i="15"/>
  <c r="DR94" i="15"/>
  <c r="DS94" i="15"/>
  <c r="DT94" i="15"/>
  <c r="DU94" i="15"/>
  <c r="DV94" i="15"/>
  <c r="DW94" i="15"/>
  <c r="DX94" i="15"/>
  <c r="DY94" i="15"/>
  <c r="DZ94" i="15"/>
  <c r="EA94" i="15"/>
  <c r="EB94" i="15"/>
  <c r="EC94" i="15"/>
  <c r="ED94" i="15"/>
  <c r="EE94" i="15"/>
  <c r="EF94" i="15"/>
  <c r="EG94" i="15"/>
  <c r="EH94" i="15"/>
  <c r="EI94" i="15"/>
  <c r="EJ94" i="15"/>
  <c r="EK94" i="15"/>
  <c r="EL94" i="15"/>
  <c r="EM94" i="15"/>
  <c r="EN94" i="15"/>
  <c r="EO94" i="15"/>
  <c r="EP94" i="15"/>
  <c r="EQ94" i="15"/>
  <c r="ER94" i="15"/>
  <c r="ES94" i="15"/>
  <c r="ET94" i="15"/>
  <c r="EU94" i="15"/>
  <c r="EV94" i="15"/>
  <c r="EW94" i="15"/>
  <c r="EX94" i="15"/>
  <c r="EY94" i="15"/>
  <c r="EZ94" i="15"/>
  <c r="FA94" i="15"/>
  <c r="FB94" i="15"/>
  <c r="FC94" i="15"/>
  <c r="FD94" i="15"/>
  <c r="FE94" i="15"/>
  <c r="FF94" i="15"/>
  <c r="FG94" i="15"/>
  <c r="FH94" i="15"/>
  <c r="FI94" i="15"/>
  <c r="FJ94" i="15"/>
  <c r="FK94" i="15"/>
  <c r="FL94" i="15"/>
  <c r="FM94" i="15"/>
  <c r="FN94" i="15"/>
  <c r="FO94" i="15"/>
  <c r="FP94" i="15"/>
  <c r="FQ94" i="15"/>
  <c r="FR94" i="15"/>
  <c r="FS94" i="15"/>
  <c r="FT94" i="15"/>
  <c r="FU94" i="15"/>
  <c r="FV94" i="15"/>
  <c r="FW94" i="15"/>
  <c r="FX94" i="15"/>
  <c r="FY94" i="15"/>
  <c r="FZ94" i="15"/>
  <c r="GA94" i="15"/>
  <c r="GB94" i="15"/>
  <c r="GC94" i="15"/>
  <c r="GD94" i="15"/>
  <c r="GE94" i="15"/>
  <c r="GF94" i="15"/>
  <c r="GG94" i="15"/>
  <c r="GH94" i="15"/>
  <c r="GI94" i="15"/>
  <c r="GJ94" i="15"/>
  <c r="GK94" i="15"/>
  <c r="GL94" i="15"/>
  <c r="GM94" i="15"/>
  <c r="GN94" i="15"/>
  <c r="GO94" i="15"/>
  <c r="GP94" i="15"/>
  <c r="GQ94" i="15"/>
  <c r="GR94" i="15"/>
  <c r="GS94" i="15"/>
  <c r="GT94" i="15"/>
  <c r="GU94" i="15"/>
  <c r="GV94" i="15"/>
  <c r="GW94" i="15"/>
  <c r="GX94" i="15"/>
  <c r="GY94" i="15"/>
  <c r="GZ94" i="15"/>
  <c r="HA94" i="15"/>
  <c r="HB94" i="15"/>
  <c r="HC94" i="15"/>
  <c r="HD94" i="15"/>
  <c r="HE94" i="15"/>
  <c r="HF94" i="15"/>
  <c r="HG94" i="15"/>
  <c r="HH94" i="15"/>
  <c r="HI94" i="15"/>
  <c r="HJ94" i="15"/>
  <c r="HK94" i="15"/>
  <c r="HL94" i="15"/>
  <c r="HM94" i="15"/>
  <c r="HN94" i="15"/>
  <c r="HO94" i="15"/>
  <c r="HP94" i="15"/>
  <c r="HQ94" i="15"/>
  <c r="HR94" i="15"/>
  <c r="HS94" i="15"/>
  <c r="HT94" i="15"/>
  <c r="HU94" i="15"/>
  <c r="HV94" i="15"/>
  <c r="HW94" i="15"/>
  <c r="HX94" i="15"/>
  <c r="HY94" i="15"/>
  <c r="HZ94" i="15"/>
  <c r="IA94" i="15"/>
  <c r="IB94" i="15"/>
  <c r="IC94" i="15"/>
  <c r="ID94" i="15"/>
  <c r="IE94" i="15"/>
  <c r="IF94" i="15"/>
  <c r="IG94" i="15"/>
  <c r="IH94" i="15"/>
  <c r="II94" i="15"/>
  <c r="IJ94" i="15"/>
  <c r="IK94" i="15"/>
  <c r="IL94" i="15"/>
  <c r="IM94" i="15"/>
  <c r="IN94" i="15"/>
  <c r="IO94" i="15"/>
  <c r="IP94" i="15"/>
  <c r="IQ94" i="15"/>
  <c r="IR94" i="15"/>
  <c r="IS94" i="15"/>
  <c r="IT94" i="15"/>
  <c r="IU94" i="15"/>
  <c r="IV94" i="15"/>
  <c r="A95" i="15"/>
  <c r="B95" i="15"/>
  <c r="C95" i="15"/>
  <c r="D95" i="15"/>
  <c r="E95" i="15"/>
  <c r="F95" i="15"/>
  <c r="G95" i="15"/>
  <c r="H95" i="15"/>
  <c r="I95" i="15"/>
  <c r="J95" i="15"/>
  <c r="K95" i="15"/>
  <c r="L95" i="15"/>
  <c r="M95" i="15"/>
  <c r="N95" i="15"/>
  <c r="O95" i="15"/>
  <c r="P95" i="15"/>
  <c r="Q95" i="15"/>
  <c r="R95" i="15"/>
  <c r="S95" i="15"/>
  <c r="T95" i="15"/>
  <c r="U95" i="15"/>
  <c r="V95" i="15"/>
  <c r="W95" i="15"/>
  <c r="X95" i="15"/>
  <c r="Y95" i="15"/>
  <c r="Z95" i="15"/>
  <c r="AA95" i="15"/>
  <c r="AB95" i="15"/>
  <c r="AC95" i="15"/>
  <c r="AD95" i="15"/>
  <c r="AE95" i="15"/>
  <c r="AF95" i="15"/>
  <c r="AG95" i="15"/>
  <c r="AH95" i="15"/>
  <c r="AI95" i="15"/>
  <c r="AJ95" i="15"/>
  <c r="AK95" i="15"/>
  <c r="AL95" i="15"/>
  <c r="AM95" i="15"/>
  <c r="AN95" i="15"/>
  <c r="AO95" i="15"/>
  <c r="AP95" i="15"/>
  <c r="AQ95" i="15"/>
  <c r="AR95" i="15"/>
  <c r="AS95" i="15"/>
  <c r="AT95" i="15"/>
  <c r="AU95" i="15"/>
  <c r="AV95" i="15"/>
  <c r="AW95" i="15"/>
  <c r="AX95" i="15"/>
  <c r="AY95" i="15"/>
  <c r="AZ95" i="15"/>
  <c r="BA95" i="15"/>
  <c r="BB95" i="15"/>
  <c r="BC95" i="15"/>
  <c r="BD95" i="15"/>
  <c r="BE95" i="15"/>
  <c r="BF95" i="15"/>
  <c r="BG95" i="15"/>
  <c r="BH95" i="15"/>
  <c r="BI95" i="15"/>
  <c r="BJ95" i="15"/>
  <c r="BK95" i="15"/>
  <c r="BL95" i="15"/>
  <c r="BM95" i="15"/>
  <c r="BN95" i="15"/>
  <c r="BO95" i="15"/>
  <c r="BP95" i="15"/>
  <c r="BQ95" i="15"/>
  <c r="BR95" i="15"/>
  <c r="BS95" i="15"/>
  <c r="BT95" i="15"/>
  <c r="BU95" i="15"/>
  <c r="BV95" i="15"/>
  <c r="BW95" i="15"/>
  <c r="BX95" i="15"/>
  <c r="BY95" i="15"/>
  <c r="BZ95" i="15"/>
  <c r="CA95" i="15"/>
  <c r="CB95" i="15"/>
  <c r="CC95" i="15"/>
  <c r="CD95" i="15"/>
  <c r="CE95" i="15"/>
  <c r="CF95" i="15"/>
  <c r="CG95" i="15"/>
  <c r="CH95" i="15"/>
  <c r="CI95" i="15"/>
  <c r="CJ95" i="15"/>
  <c r="CK95" i="15"/>
  <c r="CL95" i="15"/>
  <c r="CM95" i="15"/>
  <c r="CN95" i="15"/>
  <c r="CO95" i="15"/>
  <c r="CP95" i="15"/>
  <c r="CQ95" i="15"/>
  <c r="CR95" i="15"/>
  <c r="CS95" i="15"/>
  <c r="CT95" i="15"/>
  <c r="CU95" i="15"/>
  <c r="CV95" i="15"/>
  <c r="CW95" i="15"/>
  <c r="CX95" i="15"/>
  <c r="CY95" i="15"/>
  <c r="CZ95" i="15"/>
  <c r="DA95" i="15"/>
  <c r="DB95" i="15"/>
  <c r="DC95" i="15"/>
  <c r="DD95" i="15"/>
  <c r="DE95" i="15"/>
  <c r="DF95" i="15"/>
  <c r="DG95" i="15"/>
  <c r="DH95" i="15"/>
  <c r="DI95" i="15"/>
  <c r="DJ95" i="15"/>
  <c r="DK95" i="15"/>
  <c r="DL95" i="15"/>
  <c r="DM95" i="15"/>
  <c r="DN95" i="15"/>
  <c r="DO95" i="15"/>
  <c r="DP95" i="15"/>
  <c r="DQ95" i="15"/>
  <c r="DR95" i="15"/>
  <c r="DS95" i="15"/>
  <c r="DT95" i="15"/>
  <c r="DU95" i="15"/>
  <c r="DV95" i="15"/>
  <c r="DW95" i="15"/>
  <c r="DX95" i="15"/>
  <c r="DY95" i="15"/>
  <c r="DZ95" i="15"/>
  <c r="EA95" i="15"/>
  <c r="EB95" i="15"/>
  <c r="EC95" i="15"/>
  <c r="ED95" i="15"/>
  <c r="EE95" i="15"/>
  <c r="EF95" i="15"/>
  <c r="EG95" i="15"/>
  <c r="EH95" i="15"/>
  <c r="EI95" i="15"/>
  <c r="EJ95" i="15"/>
  <c r="EK95" i="15"/>
  <c r="EL95" i="15"/>
  <c r="EM95" i="15"/>
  <c r="EN95" i="15"/>
  <c r="EO95" i="15"/>
  <c r="EP95" i="15"/>
  <c r="EQ95" i="15"/>
  <c r="ER95" i="15"/>
  <c r="ES95" i="15"/>
  <c r="ET95" i="15"/>
  <c r="EU95" i="15"/>
  <c r="EV95" i="15"/>
  <c r="EW95" i="15"/>
  <c r="EX95" i="15"/>
  <c r="EY95" i="15"/>
  <c r="EZ95" i="15"/>
  <c r="FA95" i="15"/>
  <c r="FB95" i="15"/>
  <c r="FC95" i="15"/>
  <c r="FD95" i="15"/>
  <c r="FE95" i="15"/>
  <c r="FF95" i="15"/>
  <c r="FG95" i="15"/>
  <c r="FH95" i="15"/>
  <c r="FI95" i="15"/>
  <c r="FJ95" i="15"/>
  <c r="FK95" i="15"/>
  <c r="FL95" i="15"/>
  <c r="FM95" i="15"/>
  <c r="FN95" i="15"/>
  <c r="FO95" i="15"/>
  <c r="FP95" i="15"/>
  <c r="FQ95" i="15"/>
  <c r="FR95" i="15"/>
  <c r="FS95" i="15"/>
  <c r="FT95" i="15"/>
  <c r="FU95" i="15"/>
  <c r="FV95" i="15"/>
  <c r="FW95" i="15"/>
  <c r="FX95" i="15"/>
  <c r="FY95" i="15"/>
  <c r="FZ95" i="15"/>
  <c r="GA95" i="15"/>
  <c r="GB95" i="15"/>
  <c r="GC95" i="15"/>
  <c r="GD95" i="15"/>
  <c r="GE95" i="15"/>
  <c r="GF95" i="15"/>
  <c r="GG95" i="15"/>
  <c r="GH95" i="15"/>
  <c r="GI95" i="15"/>
  <c r="GJ95" i="15"/>
  <c r="GK95" i="15"/>
  <c r="GL95" i="15"/>
  <c r="GM95" i="15"/>
  <c r="GN95" i="15"/>
  <c r="GO95" i="15"/>
  <c r="GP95" i="15"/>
  <c r="GQ95" i="15"/>
  <c r="GR95" i="15"/>
  <c r="GS95" i="15"/>
  <c r="GT95" i="15"/>
  <c r="GU95" i="15"/>
  <c r="GV95" i="15"/>
  <c r="GW95" i="15"/>
  <c r="GX95" i="15"/>
  <c r="GY95" i="15"/>
  <c r="GZ95" i="15"/>
  <c r="HA95" i="15"/>
  <c r="HB95" i="15"/>
  <c r="HC95" i="15"/>
  <c r="HD95" i="15"/>
  <c r="HE95" i="15"/>
  <c r="HF95" i="15"/>
  <c r="HG95" i="15"/>
  <c r="HH95" i="15"/>
  <c r="HI95" i="15"/>
  <c r="HJ95" i="15"/>
  <c r="HK95" i="15"/>
  <c r="HL95" i="15"/>
  <c r="HM95" i="15"/>
  <c r="HN95" i="15"/>
  <c r="HO95" i="15"/>
  <c r="HP95" i="15"/>
  <c r="HQ95" i="15"/>
  <c r="HR95" i="15"/>
  <c r="HS95" i="15"/>
  <c r="HT95" i="15"/>
  <c r="HU95" i="15"/>
  <c r="HV95" i="15"/>
  <c r="HW95" i="15"/>
  <c r="HX95" i="15"/>
  <c r="HY95" i="15"/>
  <c r="HZ95" i="15"/>
  <c r="IA95" i="15"/>
  <c r="IB95" i="15"/>
  <c r="IC95" i="15"/>
  <c r="ID95" i="15"/>
  <c r="IE95" i="15"/>
  <c r="IF95" i="15"/>
  <c r="IG95" i="15"/>
  <c r="IH95" i="15"/>
  <c r="II95" i="15"/>
  <c r="IJ95" i="15"/>
  <c r="IK95" i="15"/>
  <c r="IL95" i="15"/>
  <c r="IM95" i="15"/>
  <c r="IN95" i="15"/>
  <c r="IO95" i="15"/>
  <c r="IP95" i="15"/>
  <c r="IQ95" i="15"/>
  <c r="IR95" i="15"/>
  <c r="IS95" i="15"/>
  <c r="IT95" i="15"/>
  <c r="IU95" i="15"/>
  <c r="IV95" i="15"/>
  <c r="A96" i="15"/>
  <c r="B96" i="15"/>
  <c r="C96" i="15"/>
  <c r="D96" i="15"/>
  <c r="E96" i="15"/>
  <c r="F96" i="15"/>
  <c r="G96" i="15"/>
  <c r="H96" i="15"/>
  <c r="I96" i="15"/>
  <c r="J96" i="15"/>
  <c r="K96" i="15"/>
  <c r="L96" i="15"/>
  <c r="M96" i="15"/>
  <c r="N96" i="15"/>
  <c r="O96" i="15"/>
  <c r="P96" i="15"/>
  <c r="Q96" i="15"/>
  <c r="R96" i="15"/>
  <c r="S96" i="15"/>
  <c r="T96" i="15"/>
  <c r="U96" i="15"/>
  <c r="V96" i="15"/>
  <c r="W96" i="15"/>
  <c r="X96" i="15"/>
  <c r="Y96" i="15"/>
  <c r="Z96" i="15"/>
  <c r="AA96" i="15"/>
  <c r="AB96" i="15"/>
  <c r="AC96" i="15"/>
  <c r="AD96" i="15"/>
  <c r="AE96" i="15"/>
  <c r="AF96" i="15"/>
  <c r="AG96" i="15"/>
  <c r="AH96" i="15"/>
  <c r="AI96" i="15"/>
  <c r="AJ96" i="15"/>
  <c r="AK96" i="15"/>
  <c r="AL96" i="15"/>
  <c r="AM96" i="15"/>
  <c r="AN96" i="15"/>
  <c r="AO96" i="15"/>
  <c r="AP96" i="15"/>
  <c r="AQ96" i="15"/>
  <c r="AR96" i="15"/>
  <c r="AS96" i="15"/>
  <c r="AT96" i="15"/>
  <c r="AU96" i="15"/>
  <c r="AV96" i="15"/>
  <c r="AW96" i="15"/>
  <c r="AX96" i="15"/>
  <c r="AY96" i="15"/>
  <c r="AZ96" i="15"/>
  <c r="BA96" i="15"/>
  <c r="BB96" i="15"/>
  <c r="BC96" i="15"/>
  <c r="BD96" i="15"/>
  <c r="BE96" i="15"/>
  <c r="BF96" i="15"/>
  <c r="BG96" i="15"/>
  <c r="BH96" i="15"/>
  <c r="BI96" i="15"/>
  <c r="BJ96" i="15"/>
  <c r="BK96" i="15"/>
  <c r="BL96" i="15"/>
  <c r="BM96" i="15"/>
  <c r="BN96" i="15"/>
  <c r="BO96" i="15"/>
  <c r="BP96" i="15"/>
  <c r="BQ96" i="15"/>
  <c r="BR96" i="15"/>
  <c r="BS96" i="15"/>
  <c r="BT96" i="15"/>
  <c r="BU96" i="15"/>
  <c r="BV96" i="15"/>
  <c r="BW96" i="15"/>
  <c r="BX96" i="15"/>
  <c r="BY96" i="15"/>
  <c r="BZ96" i="15"/>
  <c r="CA96" i="15"/>
  <c r="CB96" i="15"/>
  <c r="CC96" i="15"/>
  <c r="CD96" i="15"/>
  <c r="CE96" i="15"/>
  <c r="CF96" i="15"/>
  <c r="CG96" i="15"/>
  <c r="CH96" i="15"/>
  <c r="CI96" i="15"/>
  <c r="CJ96" i="15"/>
  <c r="CK96" i="15"/>
  <c r="CL96" i="15"/>
  <c r="CM96" i="15"/>
  <c r="CN96" i="15"/>
  <c r="CO96" i="15"/>
  <c r="CP96" i="15"/>
  <c r="CQ96" i="15"/>
  <c r="CR96" i="15"/>
  <c r="CS96" i="15"/>
  <c r="CT96" i="15"/>
  <c r="CU96" i="15"/>
  <c r="CV96" i="15"/>
  <c r="CW96" i="15"/>
  <c r="CX96" i="15"/>
  <c r="CY96" i="15"/>
  <c r="CZ96" i="15"/>
  <c r="DA96" i="15"/>
  <c r="DB96" i="15"/>
  <c r="DC96" i="15"/>
  <c r="DD96" i="15"/>
  <c r="DE96" i="15"/>
  <c r="DF96" i="15"/>
  <c r="DG96" i="15"/>
  <c r="DH96" i="15"/>
  <c r="DI96" i="15"/>
  <c r="DJ96" i="15"/>
  <c r="DK96" i="15"/>
  <c r="DL96" i="15"/>
  <c r="DM96" i="15"/>
  <c r="DN96" i="15"/>
  <c r="DO96" i="15"/>
  <c r="DP96" i="15"/>
  <c r="DQ96" i="15"/>
  <c r="DR96" i="15"/>
  <c r="DS96" i="15"/>
  <c r="DT96" i="15"/>
  <c r="DU96" i="15"/>
  <c r="DV96" i="15"/>
  <c r="DW96" i="15"/>
  <c r="DX96" i="15"/>
  <c r="DY96" i="15"/>
  <c r="DZ96" i="15"/>
  <c r="EA96" i="15"/>
  <c r="EB96" i="15"/>
  <c r="EC96" i="15"/>
  <c r="ED96" i="15"/>
  <c r="EE96" i="15"/>
  <c r="EF96" i="15"/>
  <c r="EG96" i="15"/>
  <c r="EH96" i="15"/>
  <c r="EI96" i="15"/>
  <c r="EJ96" i="15"/>
  <c r="EK96" i="15"/>
  <c r="EL96" i="15"/>
  <c r="EM96" i="15"/>
  <c r="EN96" i="15"/>
  <c r="EO96" i="15"/>
  <c r="EP96" i="15"/>
  <c r="EQ96" i="15"/>
  <c r="ER96" i="15"/>
  <c r="ES96" i="15"/>
  <c r="ET96" i="15"/>
  <c r="EU96" i="15"/>
  <c r="EV96" i="15"/>
  <c r="EW96" i="15"/>
  <c r="EX96" i="15"/>
  <c r="EY96" i="15"/>
  <c r="EZ96" i="15"/>
  <c r="FA96" i="15"/>
  <c r="FB96" i="15"/>
  <c r="FC96" i="15"/>
  <c r="FD96" i="15"/>
  <c r="FE96" i="15"/>
  <c r="FF96" i="15"/>
  <c r="FG96" i="15"/>
  <c r="FH96" i="15"/>
  <c r="FI96" i="15"/>
  <c r="FJ96" i="15"/>
  <c r="FK96" i="15"/>
  <c r="FL96" i="15"/>
  <c r="FM96" i="15"/>
  <c r="FN96" i="15"/>
  <c r="FO96" i="15"/>
  <c r="FP96" i="15"/>
  <c r="FQ96" i="15"/>
  <c r="FR96" i="15"/>
  <c r="FS96" i="15"/>
  <c r="FT96" i="15"/>
  <c r="FU96" i="15"/>
  <c r="FV96" i="15"/>
  <c r="FW96" i="15"/>
  <c r="FX96" i="15"/>
  <c r="FY96" i="15"/>
  <c r="FZ96" i="15"/>
  <c r="GA96" i="15"/>
  <c r="GB96" i="15"/>
  <c r="GC96" i="15"/>
  <c r="GD96" i="15"/>
  <c r="GE96" i="15"/>
  <c r="GF96" i="15"/>
  <c r="GG96" i="15"/>
  <c r="GH96" i="15"/>
  <c r="GI96" i="15"/>
  <c r="GJ96" i="15"/>
  <c r="GK96" i="15"/>
  <c r="GL96" i="15"/>
  <c r="GM96" i="15"/>
  <c r="GN96" i="15"/>
  <c r="GO96" i="15"/>
  <c r="GP96" i="15"/>
  <c r="GQ96" i="15"/>
  <c r="GR96" i="15"/>
  <c r="GS96" i="15"/>
  <c r="GT96" i="15"/>
  <c r="GU96" i="15"/>
  <c r="GV96" i="15"/>
  <c r="GW96" i="15"/>
  <c r="GX96" i="15"/>
  <c r="GY96" i="15"/>
  <c r="GZ96" i="15"/>
  <c r="HA96" i="15"/>
  <c r="HB96" i="15"/>
  <c r="HC96" i="15"/>
  <c r="HD96" i="15"/>
  <c r="HE96" i="15"/>
  <c r="HF96" i="15"/>
  <c r="HG96" i="15"/>
  <c r="HH96" i="15"/>
  <c r="HI96" i="15"/>
  <c r="HJ96" i="15"/>
  <c r="HK96" i="15"/>
  <c r="HL96" i="15"/>
  <c r="HM96" i="15"/>
  <c r="HN96" i="15"/>
  <c r="HO96" i="15"/>
  <c r="HP96" i="15"/>
  <c r="HQ96" i="15"/>
  <c r="HR96" i="15"/>
  <c r="HS96" i="15"/>
  <c r="HT96" i="15"/>
  <c r="HU96" i="15"/>
  <c r="HV96" i="15"/>
  <c r="HW96" i="15"/>
  <c r="HX96" i="15"/>
  <c r="HY96" i="15"/>
  <c r="HZ96" i="15"/>
  <c r="IA96" i="15"/>
  <c r="IB96" i="15"/>
  <c r="IC96" i="15"/>
  <c r="ID96" i="15"/>
  <c r="IE96" i="15"/>
  <c r="IF96" i="15"/>
  <c r="IG96" i="15"/>
  <c r="IH96" i="15"/>
  <c r="II96" i="15"/>
  <c r="IJ96" i="15"/>
  <c r="IK96" i="15"/>
  <c r="IL96" i="15"/>
  <c r="IM96" i="15"/>
  <c r="IN96" i="15"/>
  <c r="IO96" i="15"/>
  <c r="IP96" i="15"/>
  <c r="IQ96" i="15"/>
  <c r="IR96" i="15"/>
  <c r="IS96" i="15"/>
  <c r="IT96" i="15"/>
  <c r="IU96" i="15"/>
  <c r="IV96" i="15"/>
  <c r="A97" i="15"/>
  <c r="B97" i="15"/>
  <c r="C97" i="15"/>
  <c r="D97" i="15"/>
  <c r="E97" i="15"/>
  <c r="F97" i="15"/>
  <c r="G97" i="15"/>
  <c r="H97" i="15"/>
  <c r="I97" i="15"/>
  <c r="J97" i="15"/>
  <c r="K97" i="15"/>
  <c r="L97" i="15"/>
  <c r="M97" i="15"/>
  <c r="N97" i="15"/>
  <c r="O97" i="15"/>
  <c r="P97" i="15"/>
  <c r="Q97" i="15"/>
  <c r="R97" i="15"/>
  <c r="S97" i="15"/>
  <c r="T97" i="15"/>
  <c r="U97" i="15"/>
  <c r="V97" i="15"/>
  <c r="W97" i="15"/>
  <c r="X97" i="15"/>
  <c r="Y97" i="15"/>
  <c r="Z97" i="15"/>
  <c r="AA97" i="15"/>
  <c r="AB97" i="15"/>
  <c r="AC97" i="15"/>
  <c r="AD97" i="15"/>
  <c r="AE97" i="15"/>
  <c r="AF97" i="15"/>
  <c r="AG97" i="15"/>
  <c r="AH97" i="15"/>
  <c r="AI97" i="15"/>
  <c r="AJ97" i="15"/>
  <c r="AK97" i="15"/>
  <c r="AL97" i="15"/>
  <c r="AM97" i="15"/>
  <c r="AN97" i="15"/>
  <c r="AO97" i="15"/>
  <c r="AP97" i="15"/>
  <c r="AQ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X97" i="15"/>
  <c r="BY97" i="15"/>
  <c r="BZ97" i="15"/>
  <c r="CA97" i="15"/>
  <c r="CB97" i="15"/>
  <c r="CC97" i="15"/>
  <c r="CD97" i="15"/>
  <c r="CE97" i="15"/>
  <c r="CF97" i="15"/>
  <c r="CG97" i="15"/>
  <c r="CH97" i="15"/>
  <c r="CI97" i="15"/>
  <c r="CJ97" i="15"/>
  <c r="CK97" i="15"/>
  <c r="CL97" i="15"/>
  <c r="CM97" i="15"/>
  <c r="CN97" i="15"/>
  <c r="CO97" i="15"/>
  <c r="CP97" i="15"/>
  <c r="CQ97" i="15"/>
  <c r="CR97" i="15"/>
  <c r="CS97" i="15"/>
  <c r="CT97" i="15"/>
  <c r="CU97" i="15"/>
  <c r="CV97" i="15"/>
  <c r="CW97" i="15"/>
  <c r="CX97" i="15"/>
  <c r="CY97" i="15"/>
  <c r="CZ97" i="15"/>
  <c r="DA97" i="15"/>
  <c r="DB97" i="15"/>
  <c r="DC97" i="15"/>
  <c r="DD97" i="15"/>
  <c r="DE97" i="15"/>
  <c r="DF97" i="15"/>
  <c r="DG97" i="15"/>
  <c r="DH97" i="15"/>
  <c r="DI97" i="15"/>
  <c r="DJ97" i="15"/>
  <c r="DK97" i="15"/>
  <c r="DL97" i="15"/>
  <c r="DM97" i="15"/>
  <c r="DN97" i="15"/>
  <c r="DO97" i="15"/>
  <c r="DP97" i="15"/>
  <c r="DQ97" i="15"/>
  <c r="DR97" i="15"/>
  <c r="DS97" i="15"/>
  <c r="DT97" i="15"/>
  <c r="DU97" i="15"/>
  <c r="DV97" i="15"/>
  <c r="DW97" i="15"/>
  <c r="DX97" i="15"/>
  <c r="DY97" i="15"/>
  <c r="DZ97" i="15"/>
  <c r="EA97" i="15"/>
  <c r="EB97" i="15"/>
  <c r="EC97" i="15"/>
  <c r="ED97" i="15"/>
  <c r="EE97" i="15"/>
  <c r="EF97" i="15"/>
  <c r="EG97" i="15"/>
  <c r="EH97" i="15"/>
  <c r="EI97" i="15"/>
  <c r="EJ97" i="15"/>
  <c r="EK97" i="15"/>
  <c r="EL97" i="15"/>
  <c r="EM97" i="15"/>
  <c r="EN97" i="15"/>
  <c r="EO97" i="15"/>
  <c r="EP97" i="15"/>
  <c r="EQ97" i="15"/>
  <c r="ER97" i="15"/>
  <c r="ES97" i="15"/>
  <c r="ET97" i="15"/>
  <c r="EU97" i="15"/>
  <c r="EV97" i="15"/>
  <c r="EW97" i="15"/>
  <c r="EX97" i="15"/>
  <c r="EY97" i="15"/>
  <c r="EZ97" i="15"/>
  <c r="FA97" i="15"/>
  <c r="FB97" i="15"/>
  <c r="FC97" i="15"/>
  <c r="FD97" i="15"/>
  <c r="FE97" i="15"/>
  <c r="FF97" i="15"/>
  <c r="FG97" i="15"/>
  <c r="FH97" i="15"/>
  <c r="FI97" i="15"/>
  <c r="FJ97" i="15"/>
  <c r="FK97" i="15"/>
  <c r="FL97" i="15"/>
  <c r="FM97" i="15"/>
  <c r="FN97" i="15"/>
  <c r="FO97" i="15"/>
  <c r="FP97" i="15"/>
  <c r="FQ97" i="15"/>
  <c r="FR97" i="15"/>
  <c r="FS97" i="15"/>
  <c r="FT97" i="15"/>
  <c r="FU97" i="15"/>
  <c r="FV97" i="15"/>
  <c r="FW97" i="15"/>
  <c r="FX97" i="15"/>
  <c r="FY97" i="15"/>
  <c r="FZ97" i="15"/>
  <c r="GA97" i="15"/>
  <c r="GB97" i="15"/>
  <c r="GC97" i="15"/>
  <c r="GD97" i="15"/>
  <c r="GE97" i="15"/>
  <c r="GF97" i="15"/>
  <c r="GG97" i="15"/>
  <c r="GH97" i="15"/>
  <c r="GI97" i="15"/>
  <c r="GJ97" i="15"/>
  <c r="GK97" i="15"/>
  <c r="GL97" i="15"/>
  <c r="GM97" i="15"/>
  <c r="GN97" i="15"/>
  <c r="GO97" i="15"/>
  <c r="GP97" i="15"/>
  <c r="GQ97" i="15"/>
  <c r="GR97" i="15"/>
  <c r="GS97" i="15"/>
  <c r="GT97" i="15"/>
  <c r="GU97" i="15"/>
  <c r="GV97" i="15"/>
  <c r="GW97" i="15"/>
  <c r="GX97" i="15"/>
  <c r="GY97" i="15"/>
  <c r="GZ97" i="15"/>
  <c r="HA97" i="15"/>
  <c r="HB97" i="15"/>
  <c r="HC97" i="15"/>
  <c r="HD97" i="15"/>
  <c r="HE97" i="15"/>
  <c r="HF97" i="15"/>
  <c r="HG97" i="15"/>
  <c r="HH97" i="15"/>
  <c r="HI97" i="15"/>
  <c r="HJ97" i="15"/>
  <c r="HK97" i="15"/>
  <c r="HL97" i="15"/>
  <c r="HM97" i="15"/>
  <c r="HN97" i="15"/>
  <c r="HO97" i="15"/>
  <c r="HP97" i="15"/>
  <c r="HQ97" i="15"/>
  <c r="HR97" i="15"/>
  <c r="HS97" i="15"/>
  <c r="HT97" i="15"/>
  <c r="HU97" i="15"/>
  <c r="HV97" i="15"/>
  <c r="HW97" i="15"/>
  <c r="HX97" i="15"/>
  <c r="HY97" i="15"/>
  <c r="HZ97" i="15"/>
  <c r="IA97" i="15"/>
  <c r="IB97" i="15"/>
  <c r="IC97" i="15"/>
  <c r="ID97" i="15"/>
  <c r="IE97" i="15"/>
  <c r="IF97" i="15"/>
  <c r="IG97" i="15"/>
  <c r="IH97" i="15"/>
  <c r="II97" i="15"/>
  <c r="IJ97" i="15"/>
  <c r="IK97" i="15"/>
  <c r="IL97" i="15"/>
  <c r="IM97" i="15"/>
  <c r="IN97" i="15"/>
  <c r="IO97" i="15"/>
  <c r="IP97" i="15"/>
  <c r="IQ97" i="15"/>
  <c r="IR97" i="15"/>
  <c r="IS97" i="15"/>
  <c r="IT97" i="15"/>
  <c r="IU97" i="15"/>
  <c r="IV97" i="15"/>
  <c r="A98" i="15"/>
  <c r="B98" i="15"/>
  <c r="C98" i="15"/>
  <c r="D98" i="15"/>
  <c r="E98" i="15"/>
  <c r="F98" i="15"/>
  <c r="G98" i="15"/>
  <c r="H98" i="15"/>
  <c r="I98" i="15"/>
  <c r="J98" i="15"/>
  <c r="K98" i="15"/>
  <c r="L98" i="15"/>
  <c r="M98" i="15"/>
  <c r="N98" i="15"/>
  <c r="O98" i="15"/>
  <c r="P98" i="15"/>
  <c r="Q98" i="15"/>
  <c r="R98" i="15"/>
  <c r="S98" i="15"/>
  <c r="T98" i="15"/>
  <c r="U98" i="15"/>
  <c r="V98" i="15"/>
  <c r="W98" i="15"/>
  <c r="X98" i="15"/>
  <c r="Y98" i="15"/>
  <c r="Z98" i="15"/>
  <c r="AA98" i="15"/>
  <c r="AB98" i="15"/>
  <c r="AC98" i="15"/>
  <c r="AD98" i="15"/>
  <c r="AE98" i="15"/>
  <c r="AF98" i="15"/>
  <c r="AG98" i="15"/>
  <c r="AH98" i="15"/>
  <c r="AI98" i="15"/>
  <c r="AJ98" i="15"/>
  <c r="AK98" i="15"/>
  <c r="AL98" i="15"/>
  <c r="AM98" i="15"/>
  <c r="AN98" i="15"/>
  <c r="AO98" i="15"/>
  <c r="AP98" i="15"/>
  <c r="AQ98" i="15"/>
  <c r="AR98" i="15"/>
  <c r="AS98" i="15"/>
  <c r="AT98" i="15"/>
  <c r="AU98" i="15"/>
  <c r="AV98" i="15"/>
  <c r="AW98" i="15"/>
  <c r="AX98" i="15"/>
  <c r="AY98" i="15"/>
  <c r="AZ98" i="15"/>
  <c r="BA98" i="15"/>
  <c r="BB98" i="15"/>
  <c r="BC98" i="15"/>
  <c r="BD98" i="15"/>
  <c r="BE98" i="15"/>
  <c r="BF98" i="15"/>
  <c r="BG98" i="15"/>
  <c r="BH98" i="15"/>
  <c r="BI98" i="15"/>
  <c r="BJ98" i="15"/>
  <c r="BK98" i="15"/>
  <c r="BL98" i="15"/>
  <c r="BM98" i="15"/>
  <c r="BN98" i="15"/>
  <c r="BO98" i="15"/>
  <c r="BP98" i="15"/>
  <c r="BQ98" i="15"/>
  <c r="BR98" i="15"/>
  <c r="BS98" i="15"/>
  <c r="BT98" i="15"/>
  <c r="BU98" i="15"/>
  <c r="BV98" i="15"/>
  <c r="BW98" i="15"/>
  <c r="BX98" i="15"/>
  <c r="BY98" i="15"/>
  <c r="BZ98" i="15"/>
  <c r="CA98" i="15"/>
  <c r="CB98" i="15"/>
  <c r="CC98" i="15"/>
  <c r="CD98" i="15"/>
  <c r="CE98" i="15"/>
  <c r="CF98" i="15"/>
  <c r="CG98" i="15"/>
  <c r="CH98" i="15"/>
  <c r="CI98" i="15"/>
  <c r="CJ98" i="15"/>
  <c r="CK98" i="15"/>
  <c r="CL98" i="15"/>
  <c r="CM98" i="15"/>
  <c r="CN98" i="15"/>
  <c r="CO98" i="15"/>
  <c r="CP98" i="15"/>
  <c r="CQ98" i="15"/>
  <c r="CR98" i="15"/>
  <c r="CS98" i="15"/>
  <c r="CT98" i="15"/>
  <c r="CU98" i="15"/>
  <c r="CV98" i="15"/>
  <c r="CW98" i="15"/>
  <c r="CX98" i="15"/>
  <c r="CY98" i="15"/>
  <c r="CZ98" i="15"/>
  <c r="DA98" i="15"/>
  <c r="DB98" i="15"/>
  <c r="DC98" i="15"/>
  <c r="DD98" i="15"/>
  <c r="DE98" i="15"/>
  <c r="DF98" i="15"/>
  <c r="DG98" i="15"/>
  <c r="DH98" i="15"/>
  <c r="DI98" i="15"/>
  <c r="DJ98" i="15"/>
  <c r="DK98" i="15"/>
  <c r="DL98" i="15"/>
  <c r="DM98" i="15"/>
  <c r="DN98" i="15"/>
  <c r="DO98" i="15"/>
  <c r="DP98" i="15"/>
  <c r="DQ98" i="15"/>
  <c r="DR98" i="15"/>
  <c r="DS98" i="15"/>
  <c r="DT98" i="15"/>
  <c r="DU98" i="15"/>
  <c r="DV98" i="15"/>
  <c r="DW98" i="15"/>
  <c r="DX98" i="15"/>
  <c r="DY98" i="15"/>
  <c r="DZ98" i="15"/>
  <c r="EA98" i="15"/>
  <c r="EB98" i="15"/>
  <c r="EC98" i="15"/>
  <c r="ED98" i="15"/>
  <c r="EE98" i="15"/>
  <c r="EF98" i="15"/>
  <c r="EG98" i="15"/>
  <c r="EH98" i="15"/>
  <c r="EI98" i="15"/>
  <c r="EJ98" i="15"/>
  <c r="EK98" i="15"/>
  <c r="EL98" i="15"/>
  <c r="EM98" i="15"/>
  <c r="EN98" i="15"/>
  <c r="EO98" i="15"/>
  <c r="EP98" i="15"/>
  <c r="EQ98" i="15"/>
  <c r="ER98" i="15"/>
  <c r="ES98" i="15"/>
  <c r="ET98" i="15"/>
  <c r="EU98" i="15"/>
  <c r="EV98" i="15"/>
  <c r="EW98" i="15"/>
  <c r="EX98" i="15"/>
  <c r="EY98" i="15"/>
  <c r="EZ98" i="15"/>
  <c r="FA98" i="15"/>
  <c r="FB98" i="15"/>
  <c r="FC98" i="15"/>
  <c r="FD98" i="15"/>
  <c r="FE98" i="15"/>
  <c r="FF98" i="15"/>
  <c r="FG98" i="15"/>
  <c r="FH98" i="15"/>
  <c r="FI98" i="15"/>
  <c r="FJ98" i="15"/>
  <c r="FK98" i="15"/>
  <c r="FL98" i="15"/>
  <c r="FM98" i="15"/>
  <c r="FN98" i="15"/>
  <c r="FO98" i="15"/>
  <c r="FP98" i="15"/>
  <c r="FQ98" i="15"/>
  <c r="FR98" i="15"/>
  <c r="FS98" i="15"/>
  <c r="FT98" i="15"/>
  <c r="FU98" i="15"/>
  <c r="FV98" i="15"/>
  <c r="FW98" i="15"/>
  <c r="FX98" i="15"/>
  <c r="FY98" i="15"/>
  <c r="FZ98" i="15"/>
  <c r="GA98" i="15"/>
  <c r="GB98" i="15"/>
  <c r="GC98" i="15"/>
  <c r="GD98" i="15"/>
  <c r="GE98" i="15"/>
  <c r="GF98" i="15"/>
  <c r="GG98" i="15"/>
  <c r="GH98" i="15"/>
  <c r="GI98" i="15"/>
  <c r="GJ98" i="15"/>
  <c r="GK98" i="15"/>
  <c r="GL98" i="15"/>
  <c r="GM98" i="15"/>
  <c r="GN98" i="15"/>
  <c r="GO98" i="15"/>
  <c r="GP98" i="15"/>
  <c r="GQ98" i="15"/>
  <c r="GR98" i="15"/>
  <c r="GS98" i="15"/>
  <c r="GT98" i="15"/>
  <c r="GU98" i="15"/>
  <c r="GV98" i="15"/>
  <c r="GW98" i="15"/>
  <c r="GX98" i="15"/>
  <c r="GY98" i="15"/>
  <c r="GZ98" i="15"/>
  <c r="HA98" i="15"/>
  <c r="HB98" i="15"/>
  <c r="HC98" i="15"/>
  <c r="HD98" i="15"/>
  <c r="HE98" i="15"/>
  <c r="HF98" i="15"/>
  <c r="HG98" i="15"/>
  <c r="HH98" i="15"/>
  <c r="HI98" i="15"/>
  <c r="HJ98" i="15"/>
  <c r="HK98" i="15"/>
  <c r="HL98" i="15"/>
  <c r="HM98" i="15"/>
  <c r="HN98" i="15"/>
  <c r="HO98" i="15"/>
  <c r="HP98" i="15"/>
  <c r="HQ98" i="15"/>
  <c r="HR98" i="15"/>
  <c r="HS98" i="15"/>
  <c r="HT98" i="15"/>
  <c r="HU98" i="15"/>
  <c r="HV98" i="15"/>
  <c r="HW98" i="15"/>
  <c r="HX98" i="15"/>
  <c r="HY98" i="15"/>
  <c r="HZ98" i="15"/>
  <c r="IA98" i="15"/>
  <c r="IB98" i="15"/>
  <c r="IC98" i="15"/>
  <c r="ID98" i="15"/>
  <c r="IE98" i="15"/>
  <c r="IF98" i="15"/>
  <c r="IG98" i="15"/>
  <c r="IH98" i="15"/>
  <c r="II98" i="15"/>
  <c r="IJ98" i="15"/>
  <c r="IK98" i="15"/>
  <c r="IL98" i="15"/>
  <c r="IM98" i="15"/>
  <c r="IN98" i="15"/>
  <c r="IO98" i="15"/>
  <c r="IP98" i="15"/>
  <c r="IQ98" i="15"/>
  <c r="IR98" i="15"/>
  <c r="IS98" i="15"/>
  <c r="IT98" i="15"/>
  <c r="IU98" i="15"/>
  <c r="IV98" i="15"/>
  <c r="A99" i="15"/>
  <c r="B99" i="15"/>
  <c r="C99" i="15"/>
  <c r="D99" i="15"/>
  <c r="E99" i="15"/>
  <c r="F99" i="15"/>
  <c r="G99" i="15"/>
  <c r="H99" i="15"/>
  <c r="I99" i="15"/>
  <c r="J99" i="15"/>
  <c r="K99" i="15"/>
  <c r="L99" i="15"/>
  <c r="M99" i="15"/>
  <c r="N99" i="15"/>
  <c r="O99" i="15"/>
  <c r="P99" i="15"/>
  <c r="Q99" i="15"/>
  <c r="R99" i="15"/>
  <c r="S99" i="15"/>
  <c r="T99" i="15"/>
  <c r="U99" i="15"/>
  <c r="V99" i="15"/>
  <c r="W99" i="15"/>
  <c r="X99" i="15"/>
  <c r="Y99" i="15"/>
  <c r="Z99" i="15"/>
  <c r="AA99" i="15"/>
  <c r="AB99" i="15"/>
  <c r="AC99" i="15"/>
  <c r="AD99" i="15"/>
  <c r="AE99" i="15"/>
  <c r="AF99" i="15"/>
  <c r="AG99" i="15"/>
  <c r="AH99" i="15"/>
  <c r="AI99" i="15"/>
  <c r="AJ99" i="15"/>
  <c r="AK99" i="15"/>
  <c r="AL99" i="15"/>
  <c r="AM99" i="15"/>
  <c r="AN99" i="15"/>
  <c r="AO99" i="15"/>
  <c r="AP99" i="15"/>
  <c r="AQ99" i="15"/>
  <c r="AR99" i="15"/>
  <c r="AS99" i="15"/>
  <c r="AT99" i="15"/>
  <c r="AU99" i="15"/>
  <c r="AV99" i="15"/>
  <c r="AW99" i="15"/>
  <c r="AX99" i="15"/>
  <c r="AY99" i="15"/>
  <c r="AZ99" i="15"/>
  <c r="BA99" i="15"/>
  <c r="BB99" i="15"/>
  <c r="BC99" i="15"/>
  <c r="BD99" i="15"/>
  <c r="BE99" i="15"/>
  <c r="BF99" i="15"/>
  <c r="BG99" i="15"/>
  <c r="BH99" i="15"/>
  <c r="BI99" i="15"/>
  <c r="BJ99" i="15"/>
  <c r="BK99" i="15"/>
  <c r="BL99" i="15"/>
  <c r="BM99" i="15"/>
  <c r="BN99" i="15"/>
  <c r="BO99" i="15"/>
  <c r="BP99" i="15"/>
  <c r="BQ99" i="15"/>
  <c r="BR99" i="15"/>
  <c r="BS99" i="15"/>
  <c r="BT99" i="15"/>
  <c r="BU99" i="15"/>
  <c r="BV99" i="15"/>
  <c r="BW99" i="15"/>
  <c r="BX99" i="15"/>
  <c r="BY99" i="15"/>
  <c r="BZ99" i="15"/>
  <c r="CA99" i="15"/>
  <c r="CB99" i="15"/>
  <c r="CC99" i="15"/>
  <c r="CD99" i="15"/>
  <c r="CE99" i="15"/>
  <c r="CF99" i="15"/>
  <c r="CG99" i="15"/>
  <c r="CH99" i="15"/>
  <c r="CI99" i="15"/>
  <c r="CJ99" i="15"/>
  <c r="CK99" i="15"/>
  <c r="CL99" i="15"/>
  <c r="CM99" i="15"/>
  <c r="CN99" i="15"/>
  <c r="CO99" i="15"/>
  <c r="CP99" i="15"/>
  <c r="CQ99" i="15"/>
  <c r="CR99" i="15"/>
  <c r="CS99" i="15"/>
  <c r="CT99" i="15"/>
  <c r="CU99" i="15"/>
  <c r="CV99" i="15"/>
  <c r="CW99" i="15"/>
  <c r="CX99" i="15"/>
  <c r="CY99" i="15"/>
  <c r="CZ99" i="15"/>
  <c r="DA99" i="15"/>
  <c r="DB99" i="15"/>
  <c r="DC99" i="15"/>
  <c r="DD99" i="15"/>
  <c r="DE99" i="15"/>
  <c r="DF99" i="15"/>
  <c r="DG99" i="15"/>
  <c r="DH99" i="15"/>
  <c r="DI99" i="15"/>
  <c r="DJ99" i="15"/>
  <c r="DK99" i="15"/>
  <c r="DL99" i="15"/>
  <c r="DM99" i="15"/>
  <c r="DN99" i="15"/>
  <c r="DO99" i="15"/>
  <c r="DP99" i="15"/>
  <c r="DQ99" i="15"/>
  <c r="DR99" i="15"/>
  <c r="DS99" i="15"/>
  <c r="DT99" i="15"/>
  <c r="DU99" i="15"/>
  <c r="DV99" i="15"/>
  <c r="DW99" i="15"/>
  <c r="DX99" i="15"/>
  <c r="DY99" i="15"/>
  <c r="DZ99" i="15"/>
  <c r="EA99" i="15"/>
  <c r="EB99" i="15"/>
  <c r="EC99" i="15"/>
  <c r="ED99" i="15"/>
  <c r="EE99" i="15"/>
  <c r="EF99" i="15"/>
  <c r="EG99" i="15"/>
  <c r="EH99" i="15"/>
  <c r="EI99" i="15"/>
  <c r="EJ99" i="15"/>
  <c r="EK99" i="15"/>
  <c r="EL99" i="15"/>
  <c r="EM99" i="15"/>
  <c r="EN99" i="15"/>
  <c r="EO99" i="15"/>
  <c r="EP99" i="15"/>
  <c r="EQ99" i="15"/>
  <c r="ER99" i="15"/>
  <c r="ES99" i="15"/>
  <c r="ET99" i="15"/>
  <c r="EU99" i="15"/>
  <c r="EV99" i="15"/>
  <c r="EW99" i="15"/>
  <c r="EX99" i="15"/>
  <c r="EY99" i="15"/>
  <c r="EZ99" i="15"/>
  <c r="FA99" i="15"/>
  <c r="FB99" i="15"/>
  <c r="FC99" i="15"/>
  <c r="FD99" i="15"/>
  <c r="FE99" i="15"/>
  <c r="FF99" i="15"/>
  <c r="FG99" i="15"/>
  <c r="FH99" i="15"/>
  <c r="FI99" i="15"/>
  <c r="FJ99" i="15"/>
  <c r="FK99" i="15"/>
  <c r="FL99" i="15"/>
  <c r="FM99" i="15"/>
  <c r="FN99" i="15"/>
  <c r="FO99" i="15"/>
  <c r="FP99" i="15"/>
  <c r="FQ99" i="15"/>
  <c r="FR99" i="15"/>
  <c r="FS99" i="15"/>
  <c r="FT99" i="15"/>
  <c r="FU99" i="15"/>
  <c r="FV99" i="15"/>
  <c r="FW99" i="15"/>
  <c r="FX99" i="15"/>
  <c r="FY99" i="15"/>
  <c r="FZ99" i="15"/>
  <c r="GA99" i="15"/>
  <c r="GB99" i="15"/>
  <c r="GC99" i="15"/>
  <c r="GD99" i="15"/>
  <c r="GE99" i="15"/>
  <c r="GF99" i="15"/>
  <c r="GG99" i="15"/>
  <c r="GH99" i="15"/>
  <c r="GI99" i="15"/>
  <c r="GJ99" i="15"/>
  <c r="GK99" i="15"/>
  <c r="GL99" i="15"/>
  <c r="GM99" i="15"/>
  <c r="GN99" i="15"/>
  <c r="GO99" i="15"/>
  <c r="GP99" i="15"/>
  <c r="GQ99" i="15"/>
  <c r="GR99" i="15"/>
  <c r="GS99" i="15"/>
  <c r="GT99" i="15"/>
  <c r="GU99" i="15"/>
  <c r="GV99" i="15"/>
  <c r="GW99" i="15"/>
  <c r="GX99" i="15"/>
  <c r="GY99" i="15"/>
  <c r="GZ99" i="15"/>
  <c r="HA99" i="15"/>
  <c r="HB99" i="15"/>
  <c r="HC99" i="15"/>
  <c r="HD99" i="15"/>
  <c r="HE99" i="15"/>
  <c r="HF99" i="15"/>
  <c r="HG99" i="15"/>
  <c r="HH99" i="15"/>
  <c r="HI99" i="15"/>
  <c r="HJ99" i="15"/>
  <c r="HK99" i="15"/>
  <c r="HL99" i="15"/>
  <c r="HM99" i="15"/>
  <c r="HN99" i="15"/>
  <c r="HO99" i="15"/>
  <c r="HP99" i="15"/>
  <c r="HQ99" i="15"/>
  <c r="HR99" i="15"/>
  <c r="HS99" i="15"/>
  <c r="HT99" i="15"/>
  <c r="HU99" i="15"/>
  <c r="HV99" i="15"/>
  <c r="HW99" i="15"/>
  <c r="HX99" i="15"/>
  <c r="HY99" i="15"/>
  <c r="HZ99" i="15"/>
  <c r="IA99" i="15"/>
  <c r="IB99" i="15"/>
  <c r="IC99" i="15"/>
  <c r="ID99" i="15"/>
  <c r="IE99" i="15"/>
  <c r="IF99" i="15"/>
  <c r="IG99" i="15"/>
  <c r="IH99" i="15"/>
  <c r="II99" i="15"/>
  <c r="IJ99" i="15"/>
  <c r="IK99" i="15"/>
  <c r="IL99" i="15"/>
  <c r="IM99" i="15"/>
  <c r="IN99" i="15"/>
  <c r="IO99" i="15"/>
  <c r="IP99" i="15"/>
  <c r="IQ99" i="15"/>
  <c r="IR99" i="15"/>
  <c r="IS99" i="15"/>
  <c r="IT99" i="15"/>
  <c r="IU99" i="15"/>
  <c r="IV99" i="15"/>
  <c r="A100" i="15"/>
  <c r="B100" i="15"/>
  <c r="C100" i="15"/>
  <c r="D100" i="15"/>
  <c r="E100" i="15"/>
  <c r="F100" i="15"/>
  <c r="G100" i="15"/>
  <c r="H100" i="15"/>
  <c r="I100" i="15"/>
  <c r="J100" i="15"/>
  <c r="K100" i="15"/>
  <c r="L100" i="15"/>
  <c r="M100" i="15"/>
  <c r="N100" i="15"/>
  <c r="O100" i="15"/>
  <c r="P100" i="15"/>
  <c r="Q100" i="15"/>
  <c r="R100" i="15"/>
  <c r="S100" i="15"/>
  <c r="T100" i="15"/>
  <c r="U100" i="15"/>
  <c r="V100" i="15"/>
  <c r="W100" i="15"/>
  <c r="X100" i="15"/>
  <c r="Y100" i="15"/>
  <c r="Z100" i="15"/>
  <c r="AA100" i="15"/>
  <c r="AB100" i="15"/>
  <c r="AC100" i="15"/>
  <c r="AD100" i="15"/>
  <c r="AE100" i="15"/>
  <c r="AF100" i="15"/>
  <c r="AG100" i="15"/>
  <c r="AH100" i="15"/>
  <c r="AI100" i="15"/>
  <c r="AJ100" i="15"/>
  <c r="AK100" i="15"/>
  <c r="AL100" i="15"/>
  <c r="AM100" i="15"/>
  <c r="AN100" i="15"/>
  <c r="AO100" i="15"/>
  <c r="AP100" i="15"/>
  <c r="AQ100" i="15"/>
  <c r="AR100" i="15"/>
  <c r="AS100" i="15"/>
  <c r="AT100" i="15"/>
  <c r="AU100" i="15"/>
  <c r="AV100" i="15"/>
  <c r="AW100" i="15"/>
  <c r="AX100" i="15"/>
  <c r="AY100" i="15"/>
  <c r="AZ100" i="15"/>
  <c r="BA100" i="15"/>
  <c r="BB100" i="15"/>
  <c r="BC100" i="15"/>
  <c r="BD100" i="15"/>
  <c r="BE100" i="15"/>
  <c r="BF100" i="15"/>
  <c r="BG100" i="15"/>
  <c r="BH100" i="15"/>
  <c r="BI100" i="15"/>
  <c r="BJ100" i="15"/>
  <c r="BK100" i="15"/>
  <c r="BL100" i="15"/>
  <c r="BM100" i="15"/>
  <c r="BN100" i="15"/>
  <c r="BO100" i="15"/>
  <c r="BP100" i="15"/>
  <c r="BQ100" i="15"/>
  <c r="BR100" i="15"/>
  <c r="BS100" i="15"/>
  <c r="BT100" i="15"/>
  <c r="BU100" i="15"/>
  <c r="BV100" i="15"/>
  <c r="BW100" i="15"/>
  <c r="BX100" i="15"/>
  <c r="BY100" i="15"/>
  <c r="BZ100" i="15"/>
  <c r="CA100" i="15"/>
  <c r="CB100" i="15"/>
  <c r="CC100" i="15"/>
  <c r="CD100" i="15"/>
  <c r="CE100" i="15"/>
  <c r="CF100" i="15"/>
  <c r="CG100" i="15"/>
  <c r="CH100" i="15"/>
  <c r="CI100" i="15"/>
  <c r="CJ100" i="15"/>
  <c r="CK100" i="15"/>
  <c r="CL100" i="15"/>
  <c r="CM100" i="15"/>
  <c r="CN100" i="15"/>
  <c r="CO100" i="15"/>
  <c r="CP100" i="15"/>
  <c r="CQ100" i="15"/>
  <c r="CR100" i="15"/>
  <c r="CS100" i="15"/>
  <c r="CT100" i="15"/>
  <c r="CU100" i="15"/>
  <c r="CV100" i="15"/>
  <c r="CW100" i="15"/>
  <c r="CX100" i="15"/>
  <c r="CY100" i="15"/>
  <c r="CZ100" i="15"/>
  <c r="DA100" i="15"/>
  <c r="DB100" i="15"/>
  <c r="DC100" i="15"/>
  <c r="DD100" i="15"/>
  <c r="DE100" i="15"/>
  <c r="DF100" i="15"/>
  <c r="DG100" i="15"/>
  <c r="DH100" i="15"/>
  <c r="DI100" i="15"/>
  <c r="DJ100" i="15"/>
  <c r="DK100" i="15"/>
  <c r="DL100" i="15"/>
  <c r="DM100" i="15"/>
  <c r="DN100" i="15"/>
  <c r="DO100" i="15"/>
  <c r="DP100" i="15"/>
  <c r="DQ100" i="15"/>
  <c r="DR100" i="15"/>
  <c r="DS100" i="15"/>
  <c r="DT100" i="15"/>
  <c r="DU100" i="15"/>
  <c r="DV100" i="15"/>
  <c r="DW100" i="15"/>
  <c r="DX100" i="15"/>
  <c r="DY100" i="15"/>
  <c r="DZ100" i="15"/>
  <c r="EA100" i="15"/>
  <c r="EB100" i="15"/>
  <c r="EC100" i="15"/>
  <c r="ED100" i="15"/>
  <c r="EE100" i="15"/>
  <c r="EF100" i="15"/>
  <c r="EG100" i="15"/>
  <c r="EH100" i="15"/>
  <c r="EI100" i="15"/>
  <c r="EJ100" i="15"/>
  <c r="EK100" i="15"/>
  <c r="EL100" i="15"/>
  <c r="EM100" i="15"/>
  <c r="EN100" i="15"/>
  <c r="EO100" i="15"/>
  <c r="EP100" i="15"/>
  <c r="EQ100" i="15"/>
  <c r="ER100" i="15"/>
  <c r="ES100" i="15"/>
  <c r="ET100" i="15"/>
  <c r="EU100" i="15"/>
  <c r="EV100" i="15"/>
  <c r="EW100" i="15"/>
  <c r="EX100" i="15"/>
  <c r="EY100" i="15"/>
  <c r="EZ100" i="15"/>
  <c r="FA100" i="15"/>
  <c r="FB100" i="15"/>
  <c r="FC100" i="15"/>
  <c r="FD100" i="15"/>
  <c r="FE100" i="15"/>
  <c r="FF100" i="15"/>
  <c r="FG100" i="15"/>
  <c r="FH100" i="15"/>
  <c r="FI100" i="15"/>
  <c r="FJ100" i="15"/>
  <c r="FK100" i="15"/>
  <c r="FL100" i="15"/>
  <c r="FM100" i="15"/>
  <c r="FN100" i="15"/>
  <c r="FO100" i="15"/>
  <c r="FP100" i="15"/>
  <c r="FQ100" i="15"/>
  <c r="FR100" i="15"/>
  <c r="FS100" i="15"/>
  <c r="FT100" i="15"/>
  <c r="FU100" i="15"/>
  <c r="FV100" i="15"/>
  <c r="FW100" i="15"/>
  <c r="FX100" i="15"/>
  <c r="FY100" i="15"/>
  <c r="FZ100" i="15"/>
  <c r="GA100" i="15"/>
  <c r="GB100" i="15"/>
  <c r="GC100" i="15"/>
  <c r="GD100" i="15"/>
  <c r="GE100" i="15"/>
  <c r="GF100" i="15"/>
  <c r="GG100" i="15"/>
  <c r="GH100" i="15"/>
  <c r="GI100" i="15"/>
  <c r="GJ100" i="15"/>
  <c r="GK100" i="15"/>
  <c r="GL100" i="15"/>
  <c r="GM100" i="15"/>
  <c r="GN100" i="15"/>
  <c r="GO100" i="15"/>
  <c r="GP100" i="15"/>
  <c r="GQ100" i="15"/>
  <c r="GR100" i="15"/>
  <c r="GS100" i="15"/>
  <c r="GT100" i="15"/>
  <c r="GU100" i="15"/>
  <c r="GV100" i="15"/>
  <c r="GW100" i="15"/>
  <c r="GX100" i="15"/>
  <c r="GY100" i="15"/>
  <c r="GZ100" i="15"/>
  <c r="HA100" i="15"/>
  <c r="HB100" i="15"/>
  <c r="HC100" i="15"/>
  <c r="HD100" i="15"/>
  <c r="HE100" i="15"/>
  <c r="HF100" i="15"/>
  <c r="HG100" i="15"/>
  <c r="HH100" i="15"/>
  <c r="HI100" i="15"/>
  <c r="HJ100" i="15"/>
  <c r="HK100" i="15"/>
  <c r="HL100" i="15"/>
  <c r="HM100" i="15"/>
  <c r="HN100" i="15"/>
  <c r="HO100" i="15"/>
  <c r="HP100" i="15"/>
  <c r="HQ100" i="15"/>
  <c r="HR100" i="15"/>
  <c r="HS100" i="15"/>
  <c r="HT100" i="15"/>
  <c r="HU100" i="15"/>
  <c r="HV100" i="15"/>
  <c r="HW100" i="15"/>
  <c r="HX100" i="15"/>
  <c r="HY100" i="15"/>
  <c r="HZ100" i="15"/>
  <c r="IA100" i="15"/>
  <c r="IB100" i="15"/>
  <c r="IC100" i="15"/>
  <c r="ID100" i="15"/>
  <c r="IE100" i="15"/>
  <c r="IF100" i="15"/>
  <c r="IG100" i="15"/>
  <c r="IH100" i="15"/>
  <c r="II100" i="15"/>
  <c r="IJ100" i="15"/>
  <c r="IK100" i="15"/>
  <c r="IL100" i="15"/>
  <c r="IM100" i="15"/>
  <c r="IN100" i="15"/>
  <c r="IO100" i="15"/>
  <c r="IP100" i="15"/>
  <c r="IQ100" i="15"/>
  <c r="IR100" i="15"/>
  <c r="IS100" i="15"/>
  <c r="IT100" i="15"/>
  <c r="IU100" i="15"/>
  <c r="IV100" i="15"/>
  <c r="A101" i="15"/>
  <c r="B101" i="15"/>
  <c r="C101" i="15"/>
  <c r="D101" i="15"/>
  <c r="E101" i="15"/>
  <c r="F101" i="15"/>
  <c r="G101" i="15"/>
  <c r="H101" i="15"/>
  <c r="I101" i="15"/>
  <c r="J101" i="15"/>
  <c r="K101" i="15"/>
  <c r="L101" i="15"/>
  <c r="M101" i="15"/>
  <c r="N101" i="15"/>
  <c r="O101" i="15"/>
  <c r="P101" i="15"/>
  <c r="Q101" i="15"/>
  <c r="R101" i="15"/>
  <c r="S101" i="15"/>
  <c r="T101" i="15"/>
  <c r="U101" i="15"/>
  <c r="V101" i="15"/>
  <c r="W101" i="15"/>
  <c r="X101" i="15"/>
  <c r="Y101" i="15"/>
  <c r="Z101" i="15"/>
  <c r="AA101" i="15"/>
  <c r="AB101" i="15"/>
  <c r="AC101" i="15"/>
  <c r="AD101" i="15"/>
  <c r="AE101" i="15"/>
  <c r="AF101" i="15"/>
  <c r="AG101" i="15"/>
  <c r="AH101" i="15"/>
  <c r="AI101" i="15"/>
  <c r="AJ101" i="15"/>
  <c r="AK101" i="15"/>
  <c r="AL101" i="15"/>
  <c r="AM101" i="15"/>
  <c r="AN101" i="15"/>
  <c r="AO101" i="15"/>
  <c r="AP101" i="15"/>
  <c r="AQ101" i="15"/>
  <c r="AR101" i="15"/>
  <c r="AS101" i="15"/>
  <c r="AT101" i="15"/>
  <c r="AU101" i="15"/>
  <c r="AV101" i="15"/>
  <c r="AW101" i="15"/>
  <c r="AX101" i="15"/>
  <c r="AY101" i="15"/>
  <c r="AZ101" i="15"/>
  <c r="BA101" i="15"/>
  <c r="BB101" i="15"/>
  <c r="BC101" i="15"/>
  <c r="BD101" i="15"/>
  <c r="BE101" i="15"/>
  <c r="BF101" i="15"/>
  <c r="BG101" i="15"/>
  <c r="BH101" i="15"/>
  <c r="BI101" i="15"/>
  <c r="BJ101" i="15"/>
  <c r="BK101" i="15"/>
  <c r="BL101" i="15"/>
  <c r="BM101" i="15"/>
  <c r="BN101" i="15"/>
  <c r="BO101" i="15"/>
  <c r="BP101" i="15"/>
  <c r="BQ101" i="15"/>
  <c r="BR101" i="15"/>
  <c r="BS101" i="15"/>
  <c r="BT101" i="15"/>
  <c r="BU101" i="15"/>
  <c r="BV101" i="15"/>
  <c r="BW101" i="15"/>
  <c r="BX101" i="15"/>
  <c r="BY101" i="15"/>
  <c r="BZ101" i="15"/>
  <c r="CA101" i="15"/>
  <c r="CB101" i="15"/>
  <c r="CC101" i="15"/>
  <c r="CD101" i="15"/>
  <c r="CE101" i="15"/>
  <c r="CF101" i="15"/>
  <c r="CG101" i="15"/>
  <c r="CH101" i="15"/>
  <c r="CI101" i="15"/>
  <c r="CJ101" i="15"/>
  <c r="CK101" i="15"/>
  <c r="CL101" i="15"/>
  <c r="CM101" i="15"/>
  <c r="CN101" i="15"/>
  <c r="CO101" i="15"/>
  <c r="CP101" i="15"/>
  <c r="CQ101" i="15"/>
  <c r="CR101" i="15"/>
  <c r="CS101" i="15"/>
  <c r="CT101" i="15"/>
  <c r="CU101" i="15"/>
  <c r="CV101" i="15"/>
  <c r="CW101" i="15"/>
  <c r="CX101" i="15"/>
  <c r="CY101" i="15"/>
  <c r="CZ101" i="15"/>
  <c r="DA101" i="15"/>
  <c r="DB101" i="15"/>
  <c r="DC101" i="15"/>
  <c r="DD101" i="15"/>
  <c r="DE101" i="15"/>
  <c r="DF101" i="15"/>
  <c r="DG101" i="15"/>
  <c r="DH101" i="15"/>
  <c r="DI101" i="15"/>
  <c r="DJ101" i="15"/>
  <c r="DK101" i="15"/>
  <c r="DL101" i="15"/>
  <c r="DM101" i="15"/>
  <c r="DN101" i="15"/>
  <c r="DO101" i="15"/>
  <c r="DP101" i="15"/>
  <c r="DQ101" i="15"/>
  <c r="DR101" i="15"/>
  <c r="DS101" i="15"/>
  <c r="DT101" i="15"/>
  <c r="DU101" i="15"/>
  <c r="DV101" i="15"/>
  <c r="DW101" i="15"/>
  <c r="DX101" i="15"/>
  <c r="DY101" i="15"/>
  <c r="DZ101" i="15"/>
  <c r="EA101" i="15"/>
  <c r="EB101" i="15"/>
  <c r="EC101" i="15"/>
  <c r="ED101" i="15"/>
  <c r="EE101" i="15"/>
  <c r="EF101" i="15"/>
  <c r="EG101" i="15"/>
  <c r="EH101" i="15"/>
  <c r="EI101" i="15"/>
  <c r="EJ101" i="15"/>
  <c r="EK101" i="15"/>
  <c r="EL101" i="15"/>
  <c r="EM101" i="15"/>
  <c r="EN101" i="15"/>
  <c r="EO101" i="15"/>
  <c r="EP101" i="15"/>
  <c r="EQ101" i="15"/>
  <c r="ER101" i="15"/>
  <c r="ES101" i="15"/>
  <c r="ET101" i="15"/>
  <c r="EU101" i="15"/>
  <c r="EV101" i="15"/>
  <c r="EW101" i="15"/>
  <c r="EX101" i="15"/>
  <c r="EY101" i="15"/>
  <c r="EZ101" i="15"/>
  <c r="FA101" i="15"/>
  <c r="FB101" i="15"/>
  <c r="FC101" i="15"/>
  <c r="FD101" i="15"/>
  <c r="FE101" i="15"/>
  <c r="FF101" i="15"/>
  <c r="FG101" i="15"/>
  <c r="FH101" i="15"/>
  <c r="FI101" i="15"/>
  <c r="FJ101" i="15"/>
  <c r="FK101" i="15"/>
  <c r="FL101" i="15"/>
  <c r="FM101" i="15"/>
  <c r="FN101" i="15"/>
  <c r="FO101" i="15"/>
  <c r="FP101" i="15"/>
  <c r="FQ101" i="15"/>
  <c r="FR101" i="15"/>
  <c r="FS101" i="15"/>
  <c r="FT101" i="15"/>
  <c r="FU101" i="15"/>
  <c r="FV101" i="15"/>
  <c r="FW101" i="15"/>
  <c r="FX101" i="15"/>
  <c r="FY101" i="15"/>
  <c r="FZ101" i="15"/>
  <c r="GA101" i="15"/>
  <c r="GB101" i="15"/>
  <c r="GC101" i="15"/>
  <c r="GD101" i="15"/>
  <c r="GE101" i="15"/>
  <c r="GF101" i="15"/>
  <c r="GG101" i="15"/>
  <c r="GH101" i="15"/>
  <c r="GI101" i="15"/>
  <c r="GJ101" i="15"/>
  <c r="GK101" i="15"/>
  <c r="GL101" i="15"/>
  <c r="GM101" i="15"/>
  <c r="GN101" i="15"/>
  <c r="GO101" i="15"/>
  <c r="GP101" i="15"/>
  <c r="GQ101" i="15"/>
  <c r="GR101" i="15"/>
  <c r="GS101" i="15"/>
  <c r="GT101" i="15"/>
  <c r="GU101" i="15"/>
  <c r="GV101" i="15"/>
  <c r="GW101" i="15"/>
  <c r="GX101" i="15"/>
  <c r="GY101" i="15"/>
  <c r="GZ101" i="15"/>
  <c r="HA101" i="15"/>
  <c r="HB101" i="15"/>
  <c r="HC101" i="15"/>
  <c r="HD101" i="15"/>
  <c r="HE101" i="15"/>
  <c r="HF101" i="15"/>
  <c r="HG101" i="15"/>
  <c r="HH101" i="15"/>
  <c r="HI101" i="15"/>
  <c r="HJ101" i="15"/>
  <c r="HK101" i="15"/>
  <c r="HL101" i="15"/>
  <c r="HM101" i="15"/>
  <c r="HN101" i="15"/>
  <c r="HO101" i="15"/>
  <c r="HP101" i="15"/>
  <c r="HQ101" i="15"/>
  <c r="HR101" i="15"/>
  <c r="HS101" i="15"/>
  <c r="HT101" i="15"/>
  <c r="HU101" i="15"/>
  <c r="HV101" i="15"/>
  <c r="HW101" i="15"/>
  <c r="HX101" i="15"/>
  <c r="HY101" i="15"/>
  <c r="HZ101" i="15"/>
  <c r="IA101" i="15"/>
  <c r="IB101" i="15"/>
  <c r="IC101" i="15"/>
  <c r="ID101" i="15"/>
  <c r="IE101" i="15"/>
  <c r="IF101" i="15"/>
  <c r="IG101" i="15"/>
  <c r="IH101" i="15"/>
  <c r="II101" i="15"/>
  <c r="IJ101" i="15"/>
  <c r="IK101" i="15"/>
  <c r="IL101" i="15"/>
  <c r="IM101" i="15"/>
  <c r="IN101" i="15"/>
  <c r="IO101" i="15"/>
  <c r="IP101" i="15"/>
  <c r="IQ101" i="15"/>
  <c r="IR101" i="15"/>
  <c r="IS101" i="15"/>
  <c r="IT101" i="15"/>
  <c r="IU101" i="15"/>
  <c r="IV101" i="15"/>
  <c r="A102" i="15"/>
  <c r="B102" i="15"/>
  <c r="C102" i="15"/>
  <c r="D102" i="15"/>
  <c r="E102" i="15"/>
  <c r="F102" i="15"/>
  <c r="G102" i="15"/>
  <c r="H102" i="15"/>
  <c r="I102" i="15"/>
  <c r="J102" i="15"/>
  <c r="K102" i="15"/>
  <c r="L102" i="15"/>
  <c r="M102" i="15"/>
  <c r="N102" i="15"/>
  <c r="O102" i="15"/>
  <c r="P102" i="15"/>
  <c r="Q102" i="15"/>
  <c r="R102" i="15"/>
  <c r="S102" i="15"/>
  <c r="T102" i="15"/>
  <c r="U102" i="15"/>
  <c r="V102" i="15"/>
  <c r="W102" i="15"/>
  <c r="X102" i="15"/>
  <c r="Y102" i="15"/>
  <c r="Z102" i="15"/>
  <c r="AA102" i="15"/>
  <c r="AB102" i="15"/>
  <c r="AC102" i="15"/>
  <c r="AD102" i="15"/>
  <c r="AE102" i="15"/>
  <c r="AF102" i="15"/>
  <c r="AG102" i="15"/>
  <c r="AH102" i="15"/>
  <c r="AI102" i="15"/>
  <c r="AJ102" i="15"/>
  <c r="AK102" i="15"/>
  <c r="AL102" i="15"/>
  <c r="AM102" i="15"/>
  <c r="AN102" i="15"/>
  <c r="AO102" i="15"/>
  <c r="AP102" i="15"/>
  <c r="AQ102" i="15"/>
  <c r="AR102" i="15"/>
  <c r="AS102" i="15"/>
  <c r="AT102" i="15"/>
  <c r="AU102" i="15"/>
  <c r="AV102" i="15"/>
  <c r="AW102" i="15"/>
  <c r="AX102" i="15"/>
  <c r="AY102" i="15"/>
  <c r="AZ102" i="15"/>
  <c r="BA102" i="15"/>
  <c r="BB102" i="15"/>
  <c r="BC102" i="15"/>
  <c r="BD102" i="15"/>
  <c r="BE102" i="15"/>
  <c r="BF102" i="15"/>
  <c r="BG102" i="15"/>
  <c r="BH102" i="15"/>
  <c r="BI102" i="15"/>
  <c r="BJ102" i="15"/>
  <c r="BK102" i="15"/>
  <c r="BL102" i="15"/>
  <c r="BM102" i="15"/>
  <c r="BN102" i="15"/>
  <c r="BO102" i="15"/>
  <c r="BP102" i="15"/>
  <c r="BQ102" i="15"/>
  <c r="BR102" i="15"/>
  <c r="BS102" i="15"/>
  <c r="BT102" i="15"/>
  <c r="BU102" i="15"/>
  <c r="BV102" i="15"/>
  <c r="BW102" i="15"/>
  <c r="BX102" i="15"/>
  <c r="BY102" i="15"/>
  <c r="BZ102" i="15"/>
  <c r="CA102" i="15"/>
  <c r="CB102" i="15"/>
  <c r="CC102" i="15"/>
  <c r="CD102" i="15"/>
  <c r="CE102" i="15"/>
  <c r="CF102" i="15"/>
  <c r="CG102" i="15"/>
  <c r="CH102" i="15"/>
  <c r="CI102" i="15"/>
  <c r="CJ102" i="15"/>
  <c r="CK102" i="15"/>
  <c r="CL102" i="15"/>
  <c r="CM102" i="15"/>
  <c r="CN102" i="15"/>
  <c r="CO102" i="15"/>
  <c r="CP102" i="15"/>
  <c r="CQ102" i="15"/>
  <c r="CR102" i="15"/>
  <c r="CS102" i="15"/>
  <c r="CT102" i="15"/>
  <c r="CU102" i="15"/>
  <c r="CV102" i="15"/>
  <c r="CW102" i="15"/>
  <c r="CX102" i="15"/>
  <c r="CY102" i="15"/>
  <c r="CZ102" i="15"/>
  <c r="DA102" i="15"/>
  <c r="DB102" i="15"/>
  <c r="DC102" i="15"/>
  <c r="DD102" i="15"/>
  <c r="DE102" i="15"/>
  <c r="DF102" i="15"/>
  <c r="DG102" i="15"/>
  <c r="DH102" i="15"/>
  <c r="DI102" i="15"/>
  <c r="DJ102" i="15"/>
  <c r="DK102" i="15"/>
  <c r="DL102" i="15"/>
  <c r="DM102" i="15"/>
  <c r="DN102" i="15"/>
  <c r="DO102" i="15"/>
  <c r="DP102" i="15"/>
  <c r="DQ102" i="15"/>
  <c r="DR102" i="15"/>
  <c r="DS102" i="15"/>
  <c r="DT102" i="15"/>
  <c r="DU102" i="15"/>
  <c r="DV102" i="15"/>
  <c r="DW102" i="15"/>
  <c r="DX102" i="15"/>
  <c r="DY102" i="15"/>
  <c r="DZ102" i="15"/>
  <c r="EA102" i="15"/>
  <c r="EB102" i="15"/>
  <c r="EC102" i="15"/>
  <c r="ED102" i="15"/>
  <c r="EE102" i="15"/>
  <c r="EF102" i="15"/>
  <c r="EG102" i="15"/>
  <c r="EH102" i="15"/>
  <c r="EI102" i="15"/>
  <c r="EJ102" i="15"/>
  <c r="EK102" i="15"/>
  <c r="EL102" i="15"/>
  <c r="EM102" i="15"/>
  <c r="EN102" i="15"/>
  <c r="EO102" i="15"/>
  <c r="EP102" i="15"/>
  <c r="EQ102" i="15"/>
  <c r="ER102" i="15"/>
  <c r="ES102" i="15"/>
  <c r="ET102" i="15"/>
  <c r="EU102" i="15"/>
  <c r="EV102" i="15"/>
  <c r="EW102" i="15"/>
  <c r="EX102" i="15"/>
  <c r="EY102" i="15"/>
  <c r="EZ102" i="15"/>
  <c r="FA102" i="15"/>
  <c r="FB102" i="15"/>
  <c r="FC102" i="15"/>
  <c r="FD102" i="15"/>
  <c r="FE102" i="15"/>
  <c r="FF102" i="15"/>
  <c r="FG102" i="15"/>
  <c r="FH102" i="15"/>
  <c r="FI102" i="15"/>
  <c r="FJ102" i="15"/>
  <c r="FK102" i="15"/>
  <c r="FL102" i="15"/>
  <c r="FM102" i="15"/>
  <c r="FN102" i="15"/>
  <c r="FO102" i="15"/>
  <c r="FP102" i="15"/>
  <c r="FQ102" i="15"/>
  <c r="FR102" i="15"/>
  <c r="FS102" i="15"/>
  <c r="FT102" i="15"/>
  <c r="FU102" i="15"/>
  <c r="FV102" i="15"/>
  <c r="FW102" i="15"/>
  <c r="FX102" i="15"/>
  <c r="FY102" i="15"/>
  <c r="FZ102" i="15"/>
  <c r="GA102" i="15"/>
  <c r="GB102" i="15"/>
  <c r="GC102" i="15"/>
  <c r="GD102" i="15"/>
  <c r="GE102" i="15"/>
  <c r="GF102" i="15"/>
  <c r="GG102" i="15"/>
  <c r="GH102" i="15"/>
  <c r="GI102" i="15"/>
  <c r="GJ102" i="15"/>
  <c r="GK102" i="15"/>
  <c r="GL102" i="15"/>
  <c r="GM102" i="15"/>
  <c r="GN102" i="15"/>
  <c r="GO102" i="15"/>
  <c r="GP102" i="15"/>
  <c r="GQ102" i="15"/>
  <c r="GR102" i="15"/>
  <c r="GS102" i="15"/>
  <c r="GT102" i="15"/>
  <c r="GU102" i="15"/>
  <c r="GV102" i="15"/>
  <c r="GW102" i="15"/>
  <c r="GX102" i="15"/>
  <c r="GY102" i="15"/>
  <c r="GZ102" i="15"/>
  <c r="HA102" i="15"/>
  <c r="HB102" i="15"/>
  <c r="HC102" i="15"/>
  <c r="HD102" i="15"/>
  <c r="HE102" i="15"/>
  <c r="HF102" i="15"/>
  <c r="HG102" i="15"/>
  <c r="HH102" i="15"/>
  <c r="HI102" i="15"/>
  <c r="HJ102" i="15"/>
  <c r="HK102" i="15"/>
  <c r="HL102" i="15"/>
  <c r="HM102" i="15"/>
  <c r="HN102" i="15"/>
  <c r="HO102" i="15"/>
  <c r="HP102" i="15"/>
  <c r="HQ102" i="15"/>
  <c r="HR102" i="15"/>
  <c r="HS102" i="15"/>
  <c r="HT102" i="15"/>
  <c r="HU102" i="15"/>
  <c r="HV102" i="15"/>
  <c r="HW102" i="15"/>
  <c r="HX102" i="15"/>
  <c r="HY102" i="15"/>
  <c r="HZ102" i="15"/>
  <c r="IA102" i="15"/>
  <c r="IB102" i="15"/>
  <c r="IC102" i="15"/>
  <c r="ID102" i="15"/>
  <c r="IE102" i="15"/>
  <c r="IF102" i="15"/>
  <c r="IG102" i="15"/>
  <c r="IH102" i="15"/>
  <c r="II102" i="15"/>
  <c r="IJ102" i="15"/>
  <c r="IK102" i="15"/>
  <c r="IL102" i="15"/>
  <c r="IM102" i="15"/>
  <c r="IN102" i="15"/>
  <c r="IO102" i="15"/>
  <c r="IP102" i="15"/>
  <c r="IQ102" i="15"/>
  <c r="IR102" i="15"/>
  <c r="IS102" i="15"/>
  <c r="IT102" i="15"/>
  <c r="IU102" i="15"/>
  <c r="IV102" i="15"/>
  <c r="A103" i="15"/>
  <c r="B103" i="15"/>
  <c r="C103" i="15"/>
  <c r="D103" i="15"/>
  <c r="E103" i="15"/>
  <c r="F103" i="15"/>
  <c r="G103" i="15"/>
  <c r="H103" i="15"/>
  <c r="I103" i="15"/>
  <c r="J103" i="15"/>
  <c r="K103" i="15"/>
  <c r="L103" i="15"/>
  <c r="M103" i="15"/>
  <c r="N103" i="15"/>
  <c r="O103" i="15"/>
  <c r="P103" i="15"/>
  <c r="Q103" i="15"/>
  <c r="R103" i="15"/>
  <c r="S103" i="15"/>
  <c r="T103" i="15"/>
  <c r="U103" i="15"/>
  <c r="V103" i="15"/>
  <c r="W103" i="15"/>
  <c r="X103" i="15"/>
  <c r="Y103" i="15"/>
  <c r="Z103" i="15"/>
  <c r="AA103" i="15"/>
  <c r="AB103" i="15"/>
  <c r="AC103" i="15"/>
  <c r="AD103" i="15"/>
  <c r="AE103" i="15"/>
  <c r="AF103" i="15"/>
  <c r="AG103" i="15"/>
  <c r="AH103" i="15"/>
  <c r="AI103" i="15"/>
  <c r="AJ103" i="15"/>
  <c r="AK103" i="15"/>
  <c r="AL103" i="15"/>
  <c r="AM103" i="15"/>
  <c r="AN103" i="15"/>
  <c r="AO103" i="15"/>
  <c r="AP103" i="15"/>
  <c r="AQ103" i="15"/>
  <c r="AR103" i="15"/>
  <c r="AS103" i="15"/>
  <c r="AT103" i="15"/>
  <c r="AU103" i="15"/>
  <c r="AV103" i="15"/>
  <c r="AW103" i="15"/>
  <c r="AX103" i="15"/>
  <c r="AY103" i="15"/>
  <c r="AZ103" i="15"/>
  <c r="BA103" i="15"/>
  <c r="BB103" i="15"/>
  <c r="BC103" i="15"/>
  <c r="BD103" i="15"/>
  <c r="BE103" i="15"/>
  <c r="BF103" i="15"/>
  <c r="BG103" i="15"/>
  <c r="BH103" i="15"/>
  <c r="BI103" i="15"/>
  <c r="BJ103" i="15"/>
  <c r="BK103" i="15"/>
  <c r="BL103" i="15"/>
  <c r="BM103" i="15"/>
  <c r="BN103" i="15"/>
  <c r="BO103" i="15"/>
  <c r="BP103" i="15"/>
  <c r="BQ103" i="15"/>
  <c r="BR103" i="15"/>
  <c r="BS103" i="15"/>
  <c r="BT103" i="15"/>
  <c r="BU103" i="15"/>
  <c r="BV103" i="15"/>
  <c r="BW103" i="15"/>
  <c r="BX103" i="15"/>
  <c r="BY103" i="15"/>
  <c r="BZ103" i="15"/>
  <c r="CA103" i="15"/>
  <c r="CB103" i="15"/>
  <c r="CC103" i="15"/>
  <c r="CD103" i="15"/>
  <c r="CE103" i="15"/>
  <c r="CF103" i="15"/>
  <c r="CG103" i="15"/>
  <c r="CH103" i="15"/>
  <c r="CI103" i="15"/>
  <c r="CJ103" i="15"/>
  <c r="CK103" i="15"/>
  <c r="CL103" i="15"/>
  <c r="CM103" i="15"/>
  <c r="CN103" i="15"/>
  <c r="CO103" i="15"/>
  <c r="CP103" i="15"/>
  <c r="CQ103" i="15"/>
  <c r="CR103" i="15"/>
  <c r="CS103" i="15"/>
  <c r="CT103" i="15"/>
  <c r="CU103" i="15"/>
  <c r="CV103" i="15"/>
  <c r="CW103" i="15"/>
  <c r="CX103" i="15"/>
  <c r="CY103" i="15"/>
  <c r="CZ103" i="15"/>
  <c r="DA103" i="15"/>
  <c r="DB103" i="15"/>
  <c r="DC103" i="15"/>
  <c r="DD103" i="15"/>
  <c r="DE103" i="15"/>
  <c r="DF103" i="15"/>
  <c r="DG103" i="15"/>
  <c r="DH103" i="15"/>
  <c r="DI103" i="15"/>
  <c r="DJ103" i="15"/>
  <c r="DK103" i="15"/>
  <c r="DL103" i="15"/>
  <c r="DM103" i="15"/>
  <c r="DN103" i="15"/>
  <c r="DO103" i="15"/>
  <c r="DP103" i="15"/>
  <c r="DQ103" i="15"/>
  <c r="DR103" i="15"/>
  <c r="DS103" i="15"/>
  <c r="DT103" i="15"/>
  <c r="DU103" i="15"/>
  <c r="DV103" i="15"/>
  <c r="DW103" i="15"/>
  <c r="DX103" i="15"/>
  <c r="DY103" i="15"/>
  <c r="DZ103" i="15"/>
  <c r="EA103" i="15"/>
  <c r="EB103" i="15"/>
  <c r="EC103" i="15"/>
  <c r="ED103" i="15"/>
  <c r="EE103" i="15"/>
  <c r="EF103" i="15"/>
  <c r="EG103" i="15"/>
  <c r="EH103" i="15"/>
  <c r="EI103" i="15"/>
  <c r="EJ103" i="15"/>
  <c r="EK103" i="15"/>
  <c r="EL103" i="15"/>
  <c r="EM103" i="15"/>
  <c r="EN103" i="15"/>
  <c r="EO103" i="15"/>
  <c r="EP103" i="15"/>
  <c r="EQ103" i="15"/>
  <c r="ER103" i="15"/>
  <c r="ES103" i="15"/>
  <c r="ET103" i="15"/>
  <c r="EU103" i="15"/>
  <c r="EV103" i="15"/>
  <c r="EW103" i="15"/>
  <c r="EX103" i="15"/>
  <c r="EY103" i="15"/>
  <c r="EZ103" i="15"/>
  <c r="FA103" i="15"/>
  <c r="FB103" i="15"/>
  <c r="FC103" i="15"/>
  <c r="FD103" i="15"/>
  <c r="FE103" i="15"/>
  <c r="FF103" i="15"/>
  <c r="FG103" i="15"/>
  <c r="FH103" i="15"/>
  <c r="FI103" i="15"/>
  <c r="FJ103" i="15"/>
  <c r="FK103" i="15"/>
  <c r="FL103" i="15"/>
  <c r="FM103" i="15"/>
  <c r="FN103" i="15"/>
  <c r="FO103" i="15"/>
  <c r="FP103" i="15"/>
  <c r="FQ103" i="15"/>
  <c r="FR103" i="15"/>
  <c r="FS103" i="15"/>
  <c r="FT103" i="15"/>
  <c r="FU103" i="15"/>
  <c r="FV103" i="15"/>
  <c r="FW103" i="15"/>
  <c r="FX103" i="15"/>
  <c r="FY103" i="15"/>
  <c r="FZ103" i="15"/>
  <c r="GA103" i="15"/>
  <c r="GB103" i="15"/>
  <c r="GC103" i="15"/>
  <c r="GD103" i="15"/>
  <c r="GE103" i="15"/>
  <c r="GF103" i="15"/>
  <c r="GG103" i="15"/>
  <c r="GH103" i="15"/>
  <c r="GI103" i="15"/>
  <c r="GJ103" i="15"/>
  <c r="GK103" i="15"/>
  <c r="GL103" i="15"/>
  <c r="GM103" i="15"/>
  <c r="GN103" i="15"/>
  <c r="GO103" i="15"/>
  <c r="GP103" i="15"/>
  <c r="GQ103" i="15"/>
  <c r="GR103" i="15"/>
  <c r="GS103" i="15"/>
  <c r="GT103" i="15"/>
  <c r="GU103" i="15"/>
  <c r="GV103" i="15"/>
  <c r="GW103" i="15"/>
  <c r="GX103" i="15"/>
  <c r="GY103" i="15"/>
  <c r="GZ103" i="15"/>
  <c r="HA103" i="15"/>
  <c r="HB103" i="15"/>
  <c r="HC103" i="15"/>
  <c r="HD103" i="15"/>
  <c r="HE103" i="15"/>
  <c r="HF103" i="15"/>
  <c r="HG103" i="15"/>
  <c r="HH103" i="15"/>
  <c r="HI103" i="15"/>
  <c r="HJ103" i="15"/>
  <c r="HK103" i="15"/>
  <c r="HL103" i="15"/>
  <c r="HM103" i="15"/>
  <c r="HN103" i="15"/>
  <c r="HO103" i="15"/>
  <c r="HP103" i="15"/>
  <c r="HQ103" i="15"/>
  <c r="HR103" i="15"/>
  <c r="HS103" i="15"/>
  <c r="HT103" i="15"/>
  <c r="HU103" i="15"/>
  <c r="HV103" i="15"/>
  <c r="HW103" i="15"/>
  <c r="HX103" i="15"/>
  <c r="HY103" i="15"/>
  <c r="HZ103" i="15"/>
  <c r="IA103" i="15"/>
  <c r="IB103" i="15"/>
  <c r="IC103" i="15"/>
  <c r="ID103" i="15"/>
  <c r="IE103" i="15"/>
  <c r="IF103" i="15"/>
  <c r="IG103" i="15"/>
  <c r="IH103" i="15"/>
  <c r="II103" i="15"/>
  <c r="IJ103" i="15"/>
  <c r="IK103" i="15"/>
  <c r="IL103" i="15"/>
  <c r="IM103" i="15"/>
  <c r="IN103" i="15"/>
  <c r="IO103" i="15"/>
  <c r="IP103" i="15"/>
  <c r="IQ103" i="15"/>
  <c r="IR103" i="15"/>
  <c r="IS103" i="15"/>
  <c r="IT103" i="15"/>
  <c r="IU103" i="15"/>
  <c r="IV103" i="15"/>
  <c r="A104" i="15"/>
  <c r="B104" i="15"/>
  <c r="C104" i="15"/>
  <c r="D104" i="15"/>
  <c r="E104" i="15"/>
  <c r="F104" i="15"/>
  <c r="G104" i="15"/>
  <c r="H104" i="15"/>
  <c r="I104" i="15"/>
  <c r="J104" i="15"/>
  <c r="K104" i="15"/>
  <c r="L104" i="15"/>
  <c r="M104" i="15"/>
  <c r="N104" i="15"/>
  <c r="O104" i="15"/>
  <c r="P104" i="15"/>
  <c r="Q104" i="15"/>
  <c r="R104" i="15"/>
  <c r="S104" i="15"/>
  <c r="T104" i="15"/>
  <c r="U104" i="15"/>
  <c r="V104" i="15"/>
  <c r="W104" i="15"/>
  <c r="X104" i="15"/>
  <c r="Y104" i="15"/>
  <c r="Z104" i="15"/>
  <c r="AA104" i="15"/>
  <c r="AB104" i="15"/>
  <c r="AC104" i="15"/>
  <c r="AD104" i="15"/>
  <c r="AE104" i="15"/>
  <c r="AF104" i="15"/>
  <c r="AG104" i="15"/>
  <c r="AH104" i="15"/>
  <c r="AI104" i="15"/>
  <c r="AJ104" i="15"/>
  <c r="AK104" i="15"/>
  <c r="AL104" i="15"/>
  <c r="AM104" i="15"/>
  <c r="AN104" i="15"/>
  <c r="AO104" i="15"/>
  <c r="AP104" i="15"/>
  <c r="AQ104" i="15"/>
  <c r="AR104" i="15"/>
  <c r="AS104" i="15"/>
  <c r="AT104" i="15"/>
  <c r="AU104" i="15"/>
  <c r="AV104" i="15"/>
  <c r="AW104" i="15"/>
  <c r="AX104" i="15"/>
  <c r="AY104" i="15"/>
  <c r="AZ104" i="15"/>
  <c r="BA104" i="15"/>
  <c r="BB104" i="15"/>
  <c r="BC104" i="15"/>
  <c r="BD104" i="15"/>
  <c r="BE104" i="15"/>
  <c r="BF104" i="15"/>
  <c r="BG104" i="15"/>
  <c r="BH104" i="15"/>
  <c r="BI104" i="15"/>
  <c r="BJ104" i="15"/>
  <c r="BK104" i="15"/>
  <c r="BL104" i="15"/>
  <c r="BM104" i="15"/>
  <c r="BN104" i="15"/>
  <c r="BO104" i="15"/>
  <c r="BP104" i="15"/>
  <c r="BQ104" i="15"/>
  <c r="BR104" i="15"/>
  <c r="BS104" i="15"/>
  <c r="BT104" i="15"/>
  <c r="BU104" i="15"/>
  <c r="BV104" i="15"/>
  <c r="BW104" i="15"/>
  <c r="BX104" i="15"/>
  <c r="BY104" i="15"/>
  <c r="BZ104" i="15"/>
  <c r="CA104" i="15"/>
  <c r="CB104" i="15"/>
  <c r="CC104" i="15"/>
  <c r="CD104" i="15"/>
  <c r="CE104" i="15"/>
  <c r="CF104" i="15"/>
  <c r="CG104" i="15"/>
  <c r="CH104" i="15"/>
  <c r="CI104" i="15"/>
  <c r="CJ104" i="15"/>
  <c r="CK104" i="15"/>
  <c r="CL104" i="15"/>
  <c r="CM104" i="15"/>
  <c r="CN104" i="15"/>
  <c r="CO104" i="15"/>
  <c r="CP104" i="15"/>
  <c r="CQ104" i="15"/>
  <c r="CR104" i="15"/>
  <c r="CS104" i="15"/>
  <c r="CT104" i="15"/>
  <c r="CU104" i="15"/>
  <c r="CV104" i="15"/>
  <c r="CW104" i="15"/>
  <c r="CX104" i="15"/>
  <c r="CY104" i="15"/>
  <c r="CZ104" i="15"/>
  <c r="DA104" i="15"/>
  <c r="DB104" i="15"/>
  <c r="DC104" i="15"/>
  <c r="DD104" i="15"/>
  <c r="DE104" i="15"/>
  <c r="DF104" i="15"/>
  <c r="DG104" i="15"/>
  <c r="DH104" i="15"/>
  <c r="DI104" i="15"/>
  <c r="DJ104" i="15"/>
  <c r="DK104" i="15"/>
  <c r="DL104" i="15"/>
  <c r="DM104" i="15"/>
  <c r="DN104" i="15"/>
  <c r="DO104" i="15"/>
  <c r="DP104" i="15"/>
  <c r="DQ104" i="15"/>
  <c r="DR104" i="15"/>
  <c r="DS104" i="15"/>
  <c r="DT104" i="15"/>
  <c r="DU104" i="15"/>
  <c r="DV104" i="15"/>
  <c r="DW104" i="15"/>
  <c r="DX104" i="15"/>
  <c r="DY104" i="15"/>
  <c r="DZ104" i="15"/>
  <c r="EA104" i="15"/>
  <c r="EB104" i="15"/>
  <c r="EC104" i="15"/>
  <c r="ED104" i="15"/>
  <c r="EE104" i="15"/>
  <c r="EF104" i="15"/>
  <c r="EG104" i="15"/>
  <c r="EH104" i="15"/>
  <c r="EI104" i="15"/>
  <c r="EJ104" i="15"/>
  <c r="EK104" i="15"/>
  <c r="EL104" i="15"/>
  <c r="EM104" i="15"/>
  <c r="EN104" i="15"/>
  <c r="EO104" i="15"/>
  <c r="EP104" i="15"/>
  <c r="EQ104" i="15"/>
  <c r="ER104" i="15"/>
  <c r="ES104" i="15"/>
  <c r="ET104" i="15"/>
  <c r="EU104" i="15"/>
  <c r="EV104" i="15"/>
  <c r="EW104" i="15"/>
  <c r="EX104" i="15"/>
  <c r="EY104" i="15"/>
  <c r="EZ104" i="15"/>
  <c r="FA104" i="15"/>
  <c r="FB104" i="15"/>
  <c r="FC104" i="15"/>
  <c r="FD104" i="15"/>
  <c r="FE104" i="15"/>
  <c r="FF104" i="15"/>
  <c r="FG104" i="15"/>
  <c r="FH104" i="15"/>
  <c r="FI104" i="15"/>
  <c r="FJ104" i="15"/>
  <c r="FK104" i="15"/>
  <c r="FL104" i="15"/>
  <c r="FM104" i="15"/>
  <c r="FN104" i="15"/>
  <c r="FO104" i="15"/>
  <c r="FP104" i="15"/>
  <c r="FQ104" i="15"/>
  <c r="FR104" i="15"/>
  <c r="FS104" i="15"/>
  <c r="FT104" i="15"/>
  <c r="FU104" i="15"/>
  <c r="FV104" i="15"/>
  <c r="FW104" i="15"/>
  <c r="FX104" i="15"/>
  <c r="FY104" i="15"/>
  <c r="FZ104" i="15"/>
  <c r="GA104" i="15"/>
  <c r="GB104" i="15"/>
  <c r="GC104" i="15"/>
  <c r="GD104" i="15"/>
  <c r="GE104" i="15"/>
  <c r="GF104" i="15"/>
  <c r="GG104" i="15"/>
  <c r="GH104" i="15"/>
  <c r="GI104" i="15"/>
  <c r="GJ104" i="15"/>
  <c r="GK104" i="15"/>
  <c r="GL104" i="15"/>
  <c r="GM104" i="15"/>
  <c r="GN104" i="15"/>
  <c r="GO104" i="15"/>
  <c r="GP104" i="15"/>
  <c r="GQ104" i="15"/>
  <c r="GR104" i="15"/>
  <c r="GS104" i="15"/>
  <c r="GT104" i="15"/>
  <c r="GU104" i="15"/>
  <c r="GV104" i="15"/>
  <c r="GW104" i="15"/>
  <c r="GX104" i="15"/>
  <c r="GY104" i="15"/>
  <c r="GZ104" i="15"/>
  <c r="HA104" i="15"/>
  <c r="HB104" i="15"/>
  <c r="HC104" i="15"/>
  <c r="HD104" i="15"/>
  <c r="HE104" i="15"/>
  <c r="HF104" i="15"/>
  <c r="HG104" i="15"/>
  <c r="HH104" i="15"/>
  <c r="HI104" i="15"/>
  <c r="HJ104" i="15"/>
  <c r="HK104" i="15"/>
  <c r="HL104" i="15"/>
  <c r="HM104" i="15"/>
  <c r="HN104" i="15"/>
  <c r="HO104" i="15"/>
  <c r="HP104" i="15"/>
  <c r="HQ104" i="15"/>
  <c r="HR104" i="15"/>
  <c r="HS104" i="15"/>
  <c r="HT104" i="15"/>
  <c r="HU104" i="15"/>
  <c r="HV104" i="15"/>
  <c r="HW104" i="15"/>
  <c r="HX104" i="15"/>
  <c r="HY104" i="15"/>
  <c r="HZ104" i="15"/>
  <c r="IA104" i="15"/>
  <c r="IB104" i="15"/>
  <c r="IC104" i="15"/>
  <c r="ID104" i="15"/>
  <c r="IE104" i="15"/>
  <c r="IF104" i="15"/>
  <c r="IG104" i="15"/>
  <c r="IH104" i="15"/>
  <c r="II104" i="15"/>
  <c r="IJ104" i="15"/>
  <c r="IK104" i="15"/>
  <c r="IL104" i="15"/>
  <c r="IM104" i="15"/>
  <c r="IN104" i="15"/>
  <c r="IO104" i="15"/>
  <c r="IP104" i="15"/>
  <c r="IQ104" i="15"/>
  <c r="IR104" i="15"/>
  <c r="IS104" i="15"/>
  <c r="IT104" i="15"/>
  <c r="IU104" i="15"/>
  <c r="IV104" i="15"/>
  <c r="A105" i="15"/>
  <c r="B105" i="15"/>
  <c r="C105" i="15"/>
  <c r="D105" i="15"/>
  <c r="E105" i="15"/>
  <c r="F105" i="15"/>
  <c r="G105" i="15"/>
  <c r="H105" i="15"/>
  <c r="I105" i="15"/>
  <c r="J105" i="15"/>
  <c r="K105" i="15"/>
  <c r="L105" i="15"/>
  <c r="M105" i="15"/>
  <c r="N105" i="15"/>
  <c r="O105" i="15"/>
  <c r="P105" i="15"/>
  <c r="Q105" i="15"/>
  <c r="R105" i="15"/>
  <c r="S105" i="15"/>
  <c r="T105" i="15"/>
  <c r="U105" i="15"/>
  <c r="V105" i="15"/>
  <c r="W105" i="15"/>
  <c r="X105" i="15"/>
  <c r="Y105" i="15"/>
  <c r="Z105" i="15"/>
  <c r="AA105" i="15"/>
  <c r="AB105" i="15"/>
  <c r="AC105" i="15"/>
  <c r="AD105" i="15"/>
  <c r="AE105" i="15"/>
  <c r="AF105" i="15"/>
  <c r="AG105" i="15"/>
  <c r="AH105" i="15"/>
  <c r="AI105" i="15"/>
  <c r="AJ105" i="15"/>
  <c r="AK105" i="15"/>
  <c r="AL105" i="15"/>
  <c r="AM105" i="15"/>
  <c r="AN105" i="15"/>
  <c r="AO105" i="15"/>
  <c r="AP105" i="15"/>
  <c r="AQ105" i="15"/>
  <c r="AR105" i="15"/>
  <c r="AS105" i="15"/>
  <c r="AT105" i="15"/>
  <c r="AU105" i="15"/>
  <c r="AV105" i="15"/>
  <c r="AW105" i="15"/>
  <c r="AX105" i="15"/>
  <c r="AY105" i="15"/>
  <c r="AZ105" i="15"/>
  <c r="BA105" i="15"/>
  <c r="BB105" i="15"/>
  <c r="BC105" i="15"/>
  <c r="BD105" i="15"/>
  <c r="BE105" i="15"/>
  <c r="BF105" i="15"/>
  <c r="BG105" i="15"/>
  <c r="BH105" i="15"/>
  <c r="BI105" i="15"/>
  <c r="BJ105" i="15"/>
  <c r="BK105" i="15"/>
  <c r="BL105" i="15"/>
  <c r="BM105" i="15"/>
  <c r="BN105" i="15"/>
  <c r="BO105" i="15"/>
  <c r="BP105" i="15"/>
  <c r="BQ105" i="15"/>
  <c r="BR105" i="15"/>
  <c r="BS105" i="15"/>
  <c r="BT105" i="15"/>
  <c r="BU105" i="15"/>
  <c r="BV105" i="15"/>
  <c r="BW105" i="15"/>
  <c r="BX105" i="15"/>
  <c r="BY105" i="15"/>
  <c r="BZ105" i="15"/>
  <c r="CA105" i="15"/>
  <c r="CB105" i="15"/>
  <c r="CC105" i="15"/>
  <c r="CD105" i="15"/>
  <c r="CE105" i="15"/>
  <c r="CF105" i="15"/>
  <c r="CG105" i="15"/>
  <c r="CH105" i="15"/>
  <c r="CI105" i="15"/>
  <c r="CJ105" i="15"/>
  <c r="CK105" i="15"/>
  <c r="CL105" i="15"/>
  <c r="CM105" i="15"/>
  <c r="CN105" i="15"/>
  <c r="CO105" i="15"/>
  <c r="CP105" i="15"/>
  <c r="CQ105" i="15"/>
  <c r="CR105" i="15"/>
  <c r="CS105" i="15"/>
  <c r="CT105" i="15"/>
  <c r="CU105" i="15"/>
  <c r="CV105" i="15"/>
  <c r="CW105" i="15"/>
  <c r="CX105" i="15"/>
  <c r="CY105" i="15"/>
  <c r="CZ105" i="15"/>
  <c r="DA105" i="15"/>
  <c r="DB105" i="15"/>
  <c r="DC105" i="15"/>
  <c r="DD105" i="15"/>
  <c r="DE105" i="15"/>
  <c r="DF105" i="15"/>
  <c r="DG105" i="15"/>
  <c r="DH105" i="15"/>
  <c r="DI105" i="15"/>
  <c r="DJ105" i="15"/>
  <c r="DK105" i="15"/>
  <c r="DL105" i="15"/>
  <c r="DM105" i="15"/>
  <c r="DN105" i="15"/>
  <c r="DO105" i="15"/>
  <c r="DP105" i="15"/>
  <c r="DQ105" i="15"/>
  <c r="DR105" i="15"/>
  <c r="DS105" i="15"/>
  <c r="DT105" i="15"/>
  <c r="DU105" i="15"/>
  <c r="DV105" i="15"/>
  <c r="DW105" i="15"/>
  <c r="DX105" i="15"/>
  <c r="DY105" i="15"/>
  <c r="DZ105" i="15"/>
  <c r="EA105" i="15"/>
  <c r="EB105" i="15"/>
  <c r="EC105" i="15"/>
  <c r="ED105" i="15"/>
  <c r="EE105" i="15"/>
  <c r="EF105" i="15"/>
  <c r="EG105" i="15"/>
  <c r="EH105" i="15"/>
  <c r="EI105" i="15"/>
  <c r="EJ105" i="15"/>
  <c r="EK105" i="15"/>
  <c r="EL105" i="15"/>
  <c r="EM105" i="15"/>
  <c r="EN105" i="15"/>
  <c r="EO105" i="15"/>
  <c r="EP105" i="15"/>
  <c r="EQ105" i="15"/>
  <c r="ER105" i="15"/>
  <c r="ES105" i="15"/>
  <c r="ET105" i="15"/>
  <c r="EU105" i="15"/>
  <c r="EV105" i="15"/>
  <c r="EW105" i="15"/>
  <c r="EX105" i="15"/>
  <c r="EY105" i="15"/>
  <c r="EZ105" i="15"/>
  <c r="FA105" i="15"/>
  <c r="FB105" i="15"/>
  <c r="FC105" i="15"/>
  <c r="FD105" i="15"/>
  <c r="FE105" i="15"/>
  <c r="FF105" i="15"/>
  <c r="FG105" i="15"/>
  <c r="FH105" i="15"/>
  <c r="FI105" i="15"/>
  <c r="FJ105" i="15"/>
  <c r="FK105" i="15"/>
  <c r="FL105" i="15"/>
  <c r="FM105" i="15"/>
  <c r="FN105" i="15"/>
  <c r="FO105" i="15"/>
  <c r="FP105" i="15"/>
  <c r="FQ105" i="15"/>
  <c r="FR105" i="15"/>
  <c r="FS105" i="15"/>
  <c r="FT105" i="15"/>
  <c r="FU105" i="15"/>
  <c r="FV105" i="15"/>
  <c r="FW105" i="15"/>
  <c r="FX105" i="15"/>
  <c r="FY105" i="15"/>
  <c r="FZ105" i="15"/>
  <c r="GA105" i="15"/>
  <c r="GB105" i="15"/>
  <c r="GC105" i="15"/>
  <c r="GD105" i="15"/>
  <c r="GE105" i="15"/>
  <c r="GF105" i="15"/>
  <c r="GG105" i="15"/>
  <c r="GH105" i="15"/>
  <c r="GI105" i="15"/>
  <c r="GJ105" i="15"/>
  <c r="GK105" i="15"/>
  <c r="GL105" i="15"/>
  <c r="GM105" i="15"/>
  <c r="GN105" i="15"/>
  <c r="GO105" i="15"/>
  <c r="GP105" i="15"/>
  <c r="GQ105" i="15"/>
  <c r="GR105" i="15"/>
  <c r="GS105" i="15"/>
  <c r="GT105" i="15"/>
  <c r="GU105" i="15"/>
  <c r="GV105" i="15"/>
  <c r="GW105" i="15"/>
  <c r="GX105" i="15"/>
  <c r="GY105" i="15"/>
  <c r="GZ105" i="15"/>
  <c r="HA105" i="15"/>
  <c r="HB105" i="15"/>
  <c r="HC105" i="15"/>
  <c r="HD105" i="15"/>
  <c r="HE105" i="15"/>
  <c r="HF105" i="15"/>
  <c r="HG105" i="15"/>
  <c r="HH105" i="15"/>
  <c r="HI105" i="15"/>
  <c r="HJ105" i="15"/>
  <c r="HK105" i="15"/>
  <c r="HL105" i="15"/>
  <c r="HM105" i="15"/>
  <c r="HN105" i="15"/>
  <c r="HO105" i="15"/>
  <c r="HP105" i="15"/>
  <c r="HQ105" i="15"/>
  <c r="HR105" i="15"/>
  <c r="HS105" i="15"/>
  <c r="HT105" i="15"/>
  <c r="HU105" i="15"/>
  <c r="HV105" i="15"/>
  <c r="HW105" i="15"/>
  <c r="HX105" i="15"/>
  <c r="HY105" i="15"/>
  <c r="HZ105" i="15"/>
  <c r="IA105" i="15"/>
  <c r="IB105" i="15"/>
  <c r="IC105" i="15"/>
  <c r="ID105" i="15"/>
  <c r="IE105" i="15"/>
  <c r="IF105" i="15"/>
  <c r="IG105" i="15"/>
  <c r="IH105" i="15"/>
  <c r="II105" i="15"/>
  <c r="IJ105" i="15"/>
  <c r="IK105" i="15"/>
  <c r="IL105" i="15"/>
  <c r="IM105" i="15"/>
  <c r="IN105" i="15"/>
  <c r="IO105" i="15"/>
  <c r="IP105" i="15"/>
  <c r="IQ105" i="15"/>
  <c r="IR105" i="15"/>
  <c r="IS105" i="15"/>
  <c r="IT105" i="15"/>
  <c r="IU105" i="15"/>
  <c r="IV105" i="15"/>
  <c r="A106" i="15"/>
  <c r="B106" i="15"/>
  <c r="C106" i="15"/>
  <c r="D106" i="15"/>
  <c r="E106" i="15"/>
  <c r="F106" i="15"/>
  <c r="G106" i="15"/>
  <c r="H106" i="15"/>
  <c r="I106" i="15"/>
  <c r="J106" i="15"/>
  <c r="K106" i="15"/>
  <c r="L106" i="15"/>
  <c r="M106" i="15"/>
  <c r="N106" i="15"/>
  <c r="O106" i="15"/>
  <c r="P106" i="15"/>
  <c r="Q106" i="15"/>
  <c r="R106" i="15"/>
  <c r="S106" i="15"/>
  <c r="T106" i="15"/>
  <c r="U106" i="15"/>
  <c r="V106" i="15"/>
  <c r="W106" i="15"/>
  <c r="X106" i="15"/>
  <c r="Y106" i="15"/>
  <c r="Z106" i="15"/>
  <c r="AA106" i="15"/>
  <c r="AB106" i="15"/>
  <c r="AC106" i="15"/>
  <c r="AD106" i="15"/>
  <c r="AE106" i="15"/>
  <c r="AF106" i="15"/>
  <c r="AG106" i="15"/>
  <c r="AH106" i="15"/>
  <c r="AI106" i="15"/>
  <c r="AJ106" i="15"/>
  <c r="AK106" i="15"/>
  <c r="AL106" i="15"/>
  <c r="AM106" i="15"/>
  <c r="AN106" i="15"/>
  <c r="AO106" i="15"/>
  <c r="AP106" i="15"/>
  <c r="AQ106" i="15"/>
  <c r="AR106" i="15"/>
  <c r="AS106" i="15"/>
  <c r="AT106" i="15"/>
  <c r="AU106" i="15"/>
  <c r="AV106" i="15"/>
  <c r="AW106" i="15"/>
  <c r="AX106" i="15"/>
  <c r="AY106" i="15"/>
  <c r="AZ106" i="15"/>
  <c r="BA106" i="15"/>
  <c r="BB106" i="15"/>
  <c r="BC106" i="15"/>
  <c r="BD106" i="15"/>
  <c r="BE106" i="15"/>
  <c r="BF106" i="15"/>
  <c r="BG106" i="15"/>
  <c r="BH106" i="15"/>
  <c r="BI106" i="15"/>
  <c r="BJ106" i="15"/>
  <c r="BK106" i="15"/>
  <c r="BL106" i="15"/>
  <c r="BM106" i="15"/>
  <c r="BN106" i="15"/>
  <c r="BO106" i="15"/>
  <c r="BP106" i="15"/>
  <c r="BQ106" i="15"/>
  <c r="BR106" i="15"/>
  <c r="BS106" i="15"/>
  <c r="BT106" i="15"/>
  <c r="BU106" i="15"/>
  <c r="BV106" i="15"/>
  <c r="BW106" i="15"/>
  <c r="BX106" i="15"/>
  <c r="BY106" i="15"/>
  <c r="BZ106" i="15"/>
  <c r="CA106" i="15"/>
  <c r="CB106" i="15"/>
  <c r="CC106" i="15"/>
  <c r="CD106" i="15"/>
  <c r="CE106" i="15"/>
  <c r="CF106" i="15"/>
  <c r="CG106" i="15"/>
  <c r="CH106" i="15"/>
  <c r="CI106" i="15"/>
  <c r="CJ106" i="15"/>
  <c r="CK106" i="15"/>
  <c r="CL106" i="15"/>
  <c r="CM106" i="15"/>
  <c r="CN106" i="15"/>
  <c r="CO106" i="15"/>
  <c r="CP106" i="15"/>
  <c r="CQ106" i="15"/>
  <c r="CR106" i="15"/>
  <c r="CS106" i="15"/>
  <c r="CT106" i="15"/>
  <c r="CU106" i="15"/>
  <c r="CV106" i="15"/>
  <c r="CW106" i="15"/>
  <c r="CX106" i="15"/>
  <c r="CY106" i="15"/>
  <c r="CZ106" i="15"/>
  <c r="DA106" i="15"/>
  <c r="DB106" i="15"/>
  <c r="DC106" i="15"/>
  <c r="DD106" i="15"/>
  <c r="DE106" i="15"/>
  <c r="DF106" i="15"/>
  <c r="DG106" i="15"/>
  <c r="DH106" i="15"/>
  <c r="DI106" i="15"/>
  <c r="DJ106" i="15"/>
  <c r="DK106" i="15"/>
  <c r="DL106" i="15"/>
  <c r="DM106" i="15"/>
  <c r="DN106" i="15"/>
  <c r="DO106" i="15"/>
  <c r="DP106" i="15"/>
  <c r="DQ106" i="15"/>
  <c r="DR106" i="15"/>
  <c r="DS106" i="15"/>
  <c r="DT106" i="15"/>
  <c r="DU106" i="15"/>
  <c r="DV106" i="15"/>
  <c r="DW106" i="15"/>
  <c r="DX106" i="15"/>
  <c r="DY106" i="15"/>
  <c r="DZ106" i="15"/>
  <c r="EA106" i="15"/>
  <c r="EB106" i="15"/>
  <c r="EC106" i="15"/>
  <c r="ED106" i="15"/>
  <c r="EE106" i="15"/>
  <c r="EF106" i="15"/>
  <c r="EG106" i="15"/>
  <c r="EH106" i="15"/>
  <c r="EI106" i="15"/>
  <c r="EJ106" i="15"/>
  <c r="EK106" i="15"/>
  <c r="EL106" i="15"/>
  <c r="EM106" i="15"/>
  <c r="EN106" i="15"/>
  <c r="EO106" i="15"/>
  <c r="EP106" i="15"/>
  <c r="EQ106" i="15"/>
  <c r="ER106" i="15"/>
  <c r="ES106" i="15"/>
  <c r="ET106" i="15"/>
  <c r="EU106" i="15"/>
  <c r="EV106" i="15"/>
  <c r="EW106" i="15"/>
  <c r="EX106" i="15"/>
  <c r="EY106" i="15"/>
  <c r="EZ106" i="15"/>
  <c r="FA106" i="15"/>
  <c r="FB106" i="15"/>
  <c r="FC106" i="15"/>
  <c r="FD106" i="15"/>
  <c r="FE106" i="15"/>
  <c r="FF106" i="15"/>
  <c r="FG106" i="15"/>
  <c r="FH106" i="15"/>
  <c r="FI106" i="15"/>
  <c r="FJ106" i="15"/>
  <c r="FK106" i="15"/>
  <c r="FL106" i="15"/>
  <c r="FM106" i="15"/>
  <c r="FN106" i="15"/>
  <c r="FO106" i="15"/>
  <c r="FP106" i="15"/>
  <c r="FQ106" i="15"/>
  <c r="FR106" i="15"/>
  <c r="FS106" i="15"/>
  <c r="FT106" i="15"/>
  <c r="FU106" i="15"/>
  <c r="FV106" i="15"/>
  <c r="FW106" i="15"/>
  <c r="FX106" i="15"/>
  <c r="FY106" i="15"/>
  <c r="FZ106" i="15"/>
  <c r="GA106" i="15"/>
  <c r="GB106" i="15"/>
  <c r="GC106" i="15"/>
  <c r="GD106" i="15"/>
  <c r="GE106" i="15"/>
  <c r="GF106" i="15"/>
  <c r="GG106" i="15"/>
  <c r="GH106" i="15"/>
  <c r="GI106" i="15"/>
  <c r="GJ106" i="15"/>
  <c r="GK106" i="15"/>
  <c r="GL106" i="15"/>
  <c r="GM106" i="15"/>
  <c r="GN106" i="15"/>
  <c r="GO106" i="15"/>
  <c r="GP106" i="15"/>
  <c r="GQ106" i="15"/>
  <c r="GR106" i="15"/>
  <c r="GS106" i="15"/>
  <c r="GT106" i="15"/>
  <c r="GU106" i="15"/>
  <c r="GV106" i="15"/>
  <c r="GW106" i="15"/>
  <c r="GX106" i="15"/>
  <c r="GY106" i="15"/>
  <c r="GZ106" i="15"/>
  <c r="HA106" i="15"/>
  <c r="HB106" i="15"/>
  <c r="HC106" i="15"/>
  <c r="HD106" i="15"/>
  <c r="HE106" i="15"/>
  <c r="HF106" i="15"/>
  <c r="HG106" i="15"/>
  <c r="HH106" i="15"/>
  <c r="HI106" i="15"/>
  <c r="HJ106" i="15"/>
  <c r="HK106" i="15"/>
  <c r="HL106" i="15"/>
  <c r="HM106" i="15"/>
  <c r="HN106" i="15"/>
  <c r="HO106" i="15"/>
  <c r="HP106" i="15"/>
  <c r="HQ106" i="15"/>
  <c r="HR106" i="15"/>
  <c r="HS106" i="15"/>
  <c r="HT106" i="15"/>
  <c r="HU106" i="15"/>
  <c r="HV106" i="15"/>
  <c r="HW106" i="15"/>
  <c r="HX106" i="15"/>
  <c r="HY106" i="15"/>
  <c r="HZ106" i="15"/>
  <c r="IA106" i="15"/>
  <c r="IB106" i="15"/>
  <c r="IC106" i="15"/>
  <c r="ID106" i="15"/>
  <c r="IE106" i="15"/>
  <c r="IF106" i="15"/>
  <c r="IG106" i="15"/>
  <c r="IH106" i="15"/>
  <c r="II106" i="15"/>
  <c r="IJ106" i="15"/>
  <c r="IK106" i="15"/>
  <c r="IL106" i="15"/>
  <c r="IM106" i="15"/>
  <c r="IN106" i="15"/>
  <c r="IO106" i="15"/>
  <c r="IP106" i="15"/>
  <c r="IQ106" i="15"/>
  <c r="IR106" i="15"/>
  <c r="IS106" i="15"/>
  <c r="IT106" i="15"/>
  <c r="IU106" i="15"/>
  <c r="IV106" i="15"/>
  <c r="A107" i="15"/>
  <c r="B107" i="15"/>
  <c r="C107" i="15"/>
  <c r="D107" i="15"/>
  <c r="E107" i="15"/>
  <c r="F107" i="15"/>
  <c r="G107" i="15"/>
  <c r="H107" i="15"/>
  <c r="I107" i="15"/>
  <c r="J107" i="15"/>
  <c r="K107" i="15"/>
  <c r="L107" i="15"/>
  <c r="M107" i="15"/>
  <c r="N107" i="15"/>
  <c r="O107" i="15"/>
  <c r="P107" i="15"/>
  <c r="Q107" i="15"/>
  <c r="R107" i="15"/>
  <c r="S107" i="15"/>
  <c r="T107" i="15"/>
  <c r="U107" i="15"/>
  <c r="V107" i="15"/>
  <c r="W107" i="15"/>
  <c r="X107" i="15"/>
  <c r="Y107" i="15"/>
  <c r="Z107" i="15"/>
  <c r="AA107" i="15"/>
  <c r="AB107" i="15"/>
  <c r="AC107" i="15"/>
  <c r="AD107" i="15"/>
  <c r="AE107" i="15"/>
  <c r="AF107" i="15"/>
  <c r="AG107" i="15"/>
  <c r="AH107" i="15"/>
  <c r="AI107" i="15"/>
  <c r="AJ107" i="15"/>
  <c r="AK107" i="15"/>
  <c r="AL107" i="15"/>
  <c r="AM107" i="15"/>
  <c r="AN107" i="15"/>
  <c r="AO107" i="15"/>
  <c r="AP107" i="15"/>
  <c r="AQ107" i="15"/>
  <c r="AR107" i="15"/>
  <c r="AS107" i="15"/>
  <c r="AT107" i="15"/>
  <c r="AU107" i="15"/>
  <c r="AV107" i="15"/>
  <c r="AW107" i="15"/>
  <c r="AX107" i="15"/>
  <c r="AY107" i="15"/>
  <c r="AZ107" i="15"/>
  <c r="BA107" i="15"/>
  <c r="BB107" i="15"/>
  <c r="BC107" i="15"/>
  <c r="BD107" i="15"/>
  <c r="BE107" i="15"/>
  <c r="BF107" i="15"/>
  <c r="BG107" i="15"/>
  <c r="BH107" i="15"/>
  <c r="BI107" i="15"/>
  <c r="BJ107" i="15"/>
  <c r="BK107" i="15"/>
  <c r="BL107" i="15"/>
  <c r="BM107" i="15"/>
  <c r="BN107" i="15"/>
  <c r="BO107" i="15"/>
  <c r="BP107" i="15"/>
  <c r="BQ107" i="15"/>
  <c r="BR107" i="15"/>
  <c r="BS107" i="15"/>
  <c r="BT107" i="15"/>
  <c r="BU107" i="15"/>
  <c r="BV107" i="15"/>
  <c r="BW107" i="15"/>
  <c r="BX107" i="15"/>
  <c r="BY107" i="15"/>
  <c r="BZ107" i="15"/>
  <c r="CA107" i="15"/>
  <c r="CB107" i="15"/>
  <c r="CC107" i="15"/>
  <c r="CD107" i="15"/>
  <c r="CE107" i="15"/>
  <c r="CF107" i="15"/>
  <c r="CG107" i="15"/>
  <c r="CH107" i="15"/>
  <c r="CI107" i="15"/>
  <c r="CJ107" i="15"/>
  <c r="CK107" i="15"/>
  <c r="CL107" i="15"/>
  <c r="CM107" i="15"/>
  <c r="CN107" i="15"/>
  <c r="CO107" i="15"/>
  <c r="CP107" i="15"/>
  <c r="CQ107" i="15"/>
  <c r="CR107" i="15"/>
  <c r="CS107" i="15"/>
  <c r="CT107" i="15"/>
  <c r="CU107" i="15"/>
  <c r="CV107" i="15"/>
  <c r="CW107" i="15"/>
  <c r="CX107" i="15"/>
  <c r="CY107" i="15"/>
  <c r="CZ107" i="15"/>
  <c r="DA107" i="15"/>
  <c r="DB107" i="15"/>
  <c r="DC107" i="15"/>
  <c r="DD107" i="15"/>
  <c r="DE107" i="15"/>
  <c r="DF107" i="15"/>
  <c r="DG107" i="15"/>
  <c r="DH107" i="15"/>
  <c r="DI107" i="15"/>
  <c r="DJ107" i="15"/>
  <c r="DK107" i="15"/>
  <c r="DL107" i="15"/>
  <c r="DM107" i="15"/>
  <c r="DN107" i="15"/>
  <c r="DO107" i="15"/>
  <c r="DP107" i="15"/>
  <c r="DQ107" i="15"/>
  <c r="DR107" i="15"/>
  <c r="DS107" i="15"/>
  <c r="DT107" i="15"/>
  <c r="DU107" i="15"/>
  <c r="DV107" i="15"/>
  <c r="DW107" i="15"/>
  <c r="DX107" i="15"/>
  <c r="DY107" i="15"/>
  <c r="DZ107" i="15"/>
  <c r="EA107" i="15"/>
  <c r="EB107" i="15"/>
  <c r="EC107" i="15"/>
  <c r="ED107" i="15"/>
  <c r="EE107" i="15"/>
  <c r="EF107" i="15"/>
  <c r="EG107" i="15"/>
  <c r="EH107" i="15"/>
  <c r="EI107" i="15"/>
  <c r="EJ107" i="15"/>
  <c r="EK107" i="15"/>
  <c r="EL107" i="15"/>
  <c r="EM107" i="15"/>
  <c r="EN107" i="15"/>
  <c r="EO107" i="15"/>
  <c r="EP107" i="15"/>
  <c r="EQ107" i="15"/>
  <c r="ER107" i="15"/>
  <c r="ES107" i="15"/>
  <c r="ET107" i="15"/>
  <c r="EU107" i="15"/>
  <c r="EV107" i="15"/>
  <c r="EW107" i="15"/>
  <c r="EX107" i="15"/>
  <c r="EY107" i="15"/>
  <c r="EZ107" i="15"/>
  <c r="FA107" i="15"/>
  <c r="FB107" i="15"/>
  <c r="FC107" i="15"/>
  <c r="FD107" i="15"/>
  <c r="FE107" i="15"/>
  <c r="FF107" i="15"/>
  <c r="FG107" i="15"/>
  <c r="FH107" i="15"/>
  <c r="FI107" i="15"/>
  <c r="FJ107" i="15"/>
  <c r="FK107" i="15"/>
  <c r="FL107" i="15"/>
  <c r="FM107" i="15"/>
  <c r="FN107" i="15"/>
  <c r="FO107" i="15"/>
  <c r="FP107" i="15"/>
  <c r="FQ107" i="15"/>
  <c r="FR107" i="15"/>
  <c r="FS107" i="15"/>
  <c r="FT107" i="15"/>
  <c r="FU107" i="15"/>
  <c r="FV107" i="15"/>
  <c r="FW107" i="15"/>
  <c r="FX107" i="15"/>
  <c r="FY107" i="15"/>
  <c r="FZ107" i="15"/>
  <c r="GA107" i="15"/>
  <c r="GB107" i="15"/>
  <c r="GC107" i="15"/>
  <c r="GD107" i="15"/>
  <c r="GE107" i="15"/>
  <c r="GF107" i="15"/>
  <c r="GG107" i="15"/>
  <c r="GH107" i="15"/>
  <c r="GI107" i="15"/>
  <c r="GJ107" i="15"/>
  <c r="GK107" i="15"/>
  <c r="GL107" i="15"/>
  <c r="GM107" i="15"/>
  <c r="GN107" i="15"/>
  <c r="GO107" i="15"/>
  <c r="GP107" i="15"/>
  <c r="GQ107" i="15"/>
  <c r="GR107" i="15"/>
  <c r="GS107" i="15"/>
  <c r="GT107" i="15"/>
  <c r="GU107" i="15"/>
  <c r="GV107" i="15"/>
  <c r="GW107" i="15"/>
  <c r="GX107" i="15"/>
  <c r="GY107" i="15"/>
  <c r="GZ107" i="15"/>
  <c r="HA107" i="15"/>
  <c r="HB107" i="15"/>
  <c r="HC107" i="15"/>
  <c r="HD107" i="15"/>
  <c r="HE107" i="15"/>
  <c r="HF107" i="15"/>
  <c r="HG107" i="15"/>
  <c r="HH107" i="15"/>
  <c r="HI107" i="15"/>
  <c r="HJ107" i="15"/>
  <c r="HK107" i="15"/>
  <c r="HL107" i="15"/>
  <c r="HM107" i="15"/>
  <c r="HN107" i="15"/>
  <c r="HO107" i="15"/>
  <c r="HP107" i="15"/>
  <c r="HQ107" i="15"/>
  <c r="HR107" i="15"/>
  <c r="HS107" i="15"/>
  <c r="HT107" i="15"/>
  <c r="HU107" i="15"/>
  <c r="HV107" i="15"/>
  <c r="HW107" i="15"/>
  <c r="HX107" i="15"/>
  <c r="HY107" i="15"/>
  <c r="HZ107" i="15"/>
  <c r="IA107" i="15"/>
  <c r="IB107" i="15"/>
  <c r="IC107" i="15"/>
  <c r="ID107" i="15"/>
  <c r="IE107" i="15"/>
  <c r="IF107" i="15"/>
  <c r="IG107" i="15"/>
  <c r="IH107" i="15"/>
  <c r="II107" i="15"/>
  <c r="IJ107" i="15"/>
  <c r="IK107" i="15"/>
  <c r="IL107" i="15"/>
  <c r="IM107" i="15"/>
  <c r="IN107" i="15"/>
  <c r="IO107" i="15"/>
  <c r="IP107" i="15"/>
  <c r="IQ107" i="15"/>
  <c r="IR107" i="15"/>
  <c r="IS107" i="15"/>
  <c r="IT107" i="15"/>
  <c r="IU107" i="15"/>
  <c r="IV107" i="15"/>
  <c r="A108" i="15"/>
  <c r="B108" i="15"/>
  <c r="C108" i="15"/>
  <c r="D108" i="15"/>
  <c r="E108" i="15"/>
  <c r="F108" i="15"/>
  <c r="G108" i="15"/>
  <c r="H108" i="15"/>
  <c r="I108" i="15"/>
  <c r="J108" i="15"/>
  <c r="K108" i="15"/>
  <c r="L108" i="15"/>
  <c r="M108" i="15"/>
  <c r="N108" i="15"/>
  <c r="O108" i="15"/>
  <c r="P108" i="15"/>
  <c r="Q108" i="15"/>
  <c r="R108" i="15"/>
  <c r="S108" i="15"/>
  <c r="T108" i="15"/>
  <c r="U108" i="15"/>
  <c r="V108" i="15"/>
  <c r="W108" i="15"/>
  <c r="X108" i="15"/>
  <c r="Y108" i="15"/>
  <c r="Z108" i="15"/>
  <c r="AA108" i="15"/>
  <c r="AB108" i="15"/>
  <c r="AC108" i="15"/>
  <c r="AD108" i="15"/>
  <c r="AE108" i="15"/>
  <c r="AF108" i="15"/>
  <c r="AG108" i="15"/>
  <c r="AH108" i="15"/>
  <c r="AI108" i="15"/>
  <c r="AJ108" i="15"/>
  <c r="AK108" i="15"/>
  <c r="AL108" i="15"/>
  <c r="AM108" i="15"/>
  <c r="AN108" i="15"/>
  <c r="AO108" i="15"/>
  <c r="AP108" i="15"/>
  <c r="AQ108" i="15"/>
  <c r="AR108" i="15"/>
  <c r="AS108" i="15"/>
  <c r="AT108" i="15"/>
  <c r="AU108" i="15"/>
  <c r="AV108" i="15"/>
  <c r="AW108" i="15"/>
  <c r="AX108" i="15"/>
  <c r="AY108" i="15"/>
  <c r="AZ108" i="15"/>
  <c r="BA108" i="15"/>
  <c r="BB108" i="15"/>
  <c r="BC108" i="15"/>
  <c r="BD108" i="15"/>
  <c r="BE108" i="15"/>
  <c r="BF108" i="15"/>
  <c r="BG108" i="15"/>
  <c r="BH108" i="15"/>
  <c r="BI108" i="15"/>
  <c r="BJ108" i="15"/>
  <c r="BK108" i="15"/>
  <c r="BL108" i="15"/>
  <c r="BM108" i="15"/>
  <c r="BN108" i="15"/>
  <c r="BO108" i="15"/>
  <c r="BP108" i="15"/>
  <c r="BQ108" i="15"/>
  <c r="BR108" i="15"/>
  <c r="BS108" i="15"/>
  <c r="BT108" i="15"/>
  <c r="BU108" i="15"/>
  <c r="BV108" i="15"/>
  <c r="BW108" i="15"/>
  <c r="BX108" i="15"/>
  <c r="BY108" i="15"/>
  <c r="BZ108" i="15"/>
  <c r="CA108" i="15"/>
  <c r="CB108" i="15"/>
  <c r="CC108" i="15"/>
  <c r="CD108" i="15"/>
  <c r="CE108" i="15"/>
  <c r="CF108" i="15"/>
  <c r="CG108" i="15"/>
  <c r="CH108" i="15"/>
  <c r="CI108" i="15"/>
  <c r="CJ108" i="15"/>
  <c r="CK108" i="15"/>
  <c r="CL108" i="15"/>
  <c r="CM108" i="15"/>
  <c r="CN108" i="15"/>
  <c r="CO108" i="15"/>
  <c r="CP108" i="15"/>
  <c r="CQ108" i="15"/>
  <c r="CR108" i="15"/>
  <c r="CS108" i="15"/>
  <c r="CT108" i="15"/>
  <c r="CU108" i="15"/>
  <c r="CV108" i="15"/>
  <c r="CW108" i="15"/>
  <c r="CX108" i="15"/>
  <c r="CY108" i="15"/>
  <c r="CZ108" i="15"/>
  <c r="DA108" i="15"/>
  <c r="DB108" i="15"/>
  <c r="DC108" i="15"/>
  <c r="DD108" i="15"/>
  <c r="DE108" i="15"/>
  <c r="DF108" i="15"/>
  <c r="DG108" i="15"/>
  <c r="DH108" i="15"/>
  <c r="DI108" i="15"/>
  <c r="DJ108" i="15"/>
  <c r="DK108" i="15"/>
  <c r="DL108" i="15"/>
  <c r="DM108" i="15"/>
  <c r="DN108" i="15"/>
  <c r="DO108" i="15"/>
  <c r="DP108" i="15"/>
  <c r="DQ108" i="15"/>
  <c r="DR108" i="15"/>
  <c r="DS108" i="15"/>
  <c r="DT108" i="15"/>
  <c r="DU108" i="15"/>
  <c r="DV108" i="15"/>
  <c r="DW108" i="15"/>
  <c r="DX108" i="15"/>
  <c r="DY108" i="15"/>
  <c r="DZ108" i="15"/>
  <c r="EA108" i="15"/>
  <c r="EB108" i="15"/>
  <c r="EC108" i="15"/>
  <c r="ED108" i="15"/>
  <c r="EE108" i="15"/>
  <c r="EF108" i="15"/>
  <c r="EG108" i="15"/>
  <c r="EH108" i="15"/>
  <c r="EI108" i="15"/>
  <c r="EJ108" i="15"/>
  <c r="EK108" i="15"/>
  <c r="EL108" i="15"/>
  <c r="EM108" i="15"/>
  <c r="EN108" i="15"/>
  <c r="EO108" i="15"/>
  <c r="EP108" i="15"/>
  <c r="EQ108" i="15"/>
  <c r="ER108" i="15"/>
  <c r="ES108" i="15"/>
  <c r="ET108" i="15"/>
  <c r="EU108" i="15"/>
  <c r="EV108" i="15"/>
  <c r="EW108" i="15"/>
  <c r="EX108" i="15"/>
  <c r="EY108" i="15"/>
  <c r="EZ108" i="15"/>
  <c r="FA108" i="15"/>
  <c r="FB108" i="15"/>
  <c r="FC108" i="15"/>
  <c r="FD108" i="15"/>
  <c r="FE108" i="15"/>
  <c r="FF108" i="15"/>
  <c r="FG108" i="15"/>
  <c r="FH108" i="15"/>
  <c r="FI108" i="15"/>
  <c r="FJ108" i="15"/>
  <c r="FK108" i="15"/>
  <c r="FL108" i="15"/>
  <c r="FM108" i="15"/>
  <c r="FN108" i="15"/>
  <c r="FO108" i="15"/>
  <c r="FP108" i="15"/>
  <c r="FQ108" i="15"/>
  <c r="FR108" i="15"/>
  <c r="FS108" i="15"/>
  <c r="FT108" i="15"/>
  <c r="FU108" i="15"/>
  <c r="FV108" i="15"/>
  <c r="FW108" i="15"/>
  <c r="FX108" i="15"/>
  <c r="FY108" i="15"/>
  <c r="FZ108" i="15"/>
  <c r="GA108" i="15"/>
  <c r="GB108" i="15"/>
  <c r="GC108" i="15"/>
  <c r="GD108" i="15"/>
  <c r="GE108" i="15"/>
  <c r="GF108" i="15"/>
  <c r="GG108" i="15"/>
  <c r="GH108" i="15"/>
  <c r="GI108" i="15"/>
  <c r="GJ108" i="15"/>
  <c r="GK108" i="15"/>
  <c r="GL108" i="15"/>
  <c r="GM108" i="15"/>
  <c r="GN108" i="15"/>
  <c r="GO108" i="15"/>
  <c r="GP108" i="15"/>
  <c r="GQ108" i="15"/>
  <c r="GR108" i="15"/>
  <c r="GS108" i="15"/>
  <c r="GT108" i="15"/>
  <c r="GU108" i="15"/>
  <c r="GV108" i="15"/>
  <c r="GW108" i="15"/>
  <c r="GX108" i="15"/>
  <c r="GY108" i="15"/>
  <c r="GZ108" i="15"/>
  <c r="HA108" i="15"/>
  <c r="HB108" i="15"/>
  <c r="HC108" i="15"/>
  <c r="HD108" i="15"/>
  <c r="HE108" i="15"/>
  <c r="HF108" i="15"/>
  <c r="HG108" i="15"/>
  <c r="HH108" i="15"/>
  <c r="HI108" i="15"/>
  <c r="HJ108" i="15"/>
  <c r="HK108" i="15"/>
  <c r="HL108" i="15"/>
  <c r="HM108" i="15"/>
  <c r="HN108" i="15"/>
  <c r="HO108" i="15"/>
  <c r="HP108" i="15"/>
  <c r="HQ108" i="15"/>
  <c r="HR108" i="15"/>
  <c r="HS108" i="15"/>
  <c r="HT108" i="15"/>
  <c r="HU108" i="15"/>
  <c r="HV108" i="15"/>
  <c r="HW108" i="15"/>
  <c r="HX108" i="15"/>
  <c r="HY108" i="15"/>
  <c r="HZ108" i="15"/>
  <c r="IA108" i="15"/>
  <c r="IB108" i="15"/>
  <c r="IC108" i="15"/>
  <c r="ID108" i="15"/>
  <c r="IE108" i="15"/>
  <c r="IF108" i="15"/>
  <c r="IG108" i="15"/>
  <c r="IH108" i="15"/>
  <c r="II108" i="15"/>
  <c r="IJ108" i="15"/>
  <c r="IK108" i="15"/>
  <c r="IL108" i="15"/>
  <c r="IM108" i="15"/>
  <c r="IN108" i="15"/>
  <c r="IO108" i="15"/>
  <c r="IP108" i="15"/>
  <c r="IQ108" i="15"/>
  <c r="IR108" i="15"/>
  <c r="IS108" i="15"/>
  <c r="IT108" i="15"/>
  <c r="IU108" i="15"/>
  <c r="IV108" i="15"/>
  <c r="A109" i="15"/>
  <c r="B109" i="15"/>
  <c r="C109" i="15"/>
  <c r="D109" i="15"/>
  <c r="E109" i="15"/>
  <c r="F109" i="15"/>
  <c r="G109" i="15"/>
  <c r="H109" i="15"/>
  <c r="I109" i="15"/>
  <c r="J109" i="15"/>
  <c r="K109" i="15"/>
  <c r="L109" i="15"/>
  <c r="M109" i="15"/>
  <c r="N109" i="15"/>
  <c r="O109" i="15"/>
  <c r="P109" i="15"/>
  <c r="Q109" i="15"/>
  <c r="R109" i="15"/>
  <c r="S109" i="15"/>
  <c r="T109" i="15"/>
  <c r="U109" i="15"/>
  <c r="V109" i="15"/>
  <c r="W109" i="15"/>
  <c r="X109" i="15"/>
  <c r="Y109" i="15"/>
  <c r="Z109" i="15"/>
  <c r="AA109" i="15"/>
  <c r="AB109" i="15"/>
  <c r="AC109" i="15"/>
  <c r="AD109" i="15"/>
  <c r="AE109" i="15"/>
  <c r="AF109" i="15"/>
  <c r="AG109" i="15"/>
  <c r="AH109" i="15"/>
  <c r="AI109" i="15"/>
  <c r="AJ109" i="15"/>
  <c r="AK109" i="15"/>
  <c r="AL109" i="15"/>
  <c r="AM109" i="15"/>
  <c r="AN109" i="15"/>
  <c r="AO109" i="15"/>
  <c r="AP109" i="15"/>
  <c r="AQ109" i="15"/>
  <c r="AR109" i="15"/>
  <c r="AS109" i="15"/>
  <c r="AT109" i="15"/>
  <c r="AU109" i="15"/>
  <c r="AV109" i="15"/>
  <c r="AW109" i="15"/>
  <c r="AX109" i="15"/>
  <c r="AY109" i="15"/>
  <c r="AZ109" i="15"/>
  <c r="BA109" i="15"/>
  <c r="BB109" i="15"/>
  <c r="BC109" i="15"/>
  <c r="BD109" i="15"/>
  <c r="BE109" i="15"/>
  <c r="BF109" i="15"/>
  <c r="BG109" i="15"/>
  <c r="BH109" i="15"/>
  <c r="BI109" i="15"/>
  <c r="BJ109" i="15"/>
  <c r="BK109" i="15"/>
  <c r="BL109" i="15"/>
  <c r="BM109" i="15"/>
  <c r="BN109" i="15"/>
  <c r="BO109" i="15"/>
  <c r="BP109" i="15"/>
  <c r="BQ109" i="15"/>
  <c r="BR109" i="15"/>
  <c r="BS109" i="15"/>
  <c r="BT109" i="15"/>
  <c r="BU109" i="15"/>
  <c r="BV109" i="15"/>
  <c r="BW109" i="15"/>
  <c r="BX109" i="15"/>
  <c r="BY109" i="15"/>
  <c r="BZ109" i="15"/>
  <c r="CA109" i="15"/>
  <c r="CB109" i="15"/>
  <c r="CC109" i="15"/>
  <c r="CD109" i="15"/>
  <c r="CE109" i="15"/>
  <c r="CF109" i="15"/>
  <c r="CG109" i="15"/>
  <c r="CH109" i="15"/>
  <c r="CI109" i="15"/>
  <c r="CJ109" i="15"/>
  <c r="CK109" i="15"/>
  <c r="CL109" i="15"/>
  <c r="CM109" i="15"/>
  <c r="CN109" i="15"/>
  <c r="CO109" i="15"/>
  <c r="CP109" i="15"/>
  <c r="CQ109" i="15"/>
  <c r="CR109" i="15"/>
  <c r="CS109" i="15"/>
  <c r="CT109" i="15"/>
  <c r="CU109" i="15"/>
  <c r="CV109" i="15"/>
  <c r="CW109" i="15"/>
  <c r="CX109" i="15"/>
  <c r="CY109" i="15"/>
  <c r="CZ109" i="15"/>
  <c r="DA109" i="15"/>
  <c r="DB109" i="15"/>
  <c r="DC109" i="15"/>
  <c r="DD109" i="15"/>
  <c r="DE109" i="15"/>
  <c r="DF109" i="15"/>
  <c r="DG109" i="15"/>
  <c r="DH109" i="15"/>
  <c r="DI109" i="15"/>
  <c r="DJ109" i="15"/>
  <c r="DK109" i="15"/>
  <c r="DL109" i="15"/>
  <c r="DM109" i="15"/>
  <c r="DN109" i="15"/>
  <c r="DO109" i="15"/>
  <c r="DP109" i="15"/>
  <c r="DQ109" i="15"/>
  <c r="DR109" i="15"/>
  <c r="DS109" i="15"/>
  <c r="DT109" i="15"/>
  <c r="DU109" i="15"/>
  <c r="DV109" i="15"/>
  <c r="DW109" i="15"/>
  <c r="DX109" i="15"/>
  <c r="DY109" i="15"/>
  <c r="DZ109" i="15"/>
  <c r="EA109" i="15"/>
  <c r="EB109" i="15"/>
  <c r="EC109" i="15"/>
  <c r="ED109" i="15"/>
  <c r="EE109" i="15"/>
  <c r="EF109" i="15"/>
  <c r="EG109" i="15"/>
  <c r="EH109" i="15"/>
  <c r="EI109" i="15"/>
  <c r="EJ109" i="15"/>
  <c r="EK109" i="15"/>
  <c r="EL109" i="15"/>
  <c r="EM109" i="15"/>
  <c r="EN109" i="15"/>
  <c r="EO109" i="15"/>
  <c r="EP109" i="15"/>
  <c r="EQ109" i="15"/>
  <c r="ER109" i="15"/>
  <c r="ES109" i="15"/>
  <c r="ET109" i="15"/>
  <c r="EU109" i="15"/>
  <c r="EV109" i="15"/>
  <c r="EW109" i="15"/>
  <c r="EX109" i="15"/>
  <c r="EY109" i="15"/>
  <c r="EZ109" i="15"/>
  <c r="FA109" i="15"/>
  <c r="FB109" i="15"/>
  <c r="FC109" i="15"/>
  <c r="FD109" i="15"/>
  <c r="FE109" i="15"/>
  <c r="FF109" i="15"/>
  <c r="FG109" i="15"/>
  <c r="FH109" i="15"/>
  <c r="FI109" i="15"/>
  <c r="FJ109" i="15"/>
  <c r="FK109" i="15"/>
  <c r="FL109" i="15"/>
  <c r="FM109" i="15"/>
  <c r="FN109" i="15"/>
  <c r="FO109" i="15"/>
  <c r="FP109" i="15"/>
  <c r="FQ109" i="15"/>
  <c r="FR109" i="15"/>
  <c r="FS109" i="15"/>
  <c r="FT109" i="15"/>
  <c r="FU109" i="15"/>
  <c r="FV109" i="15"/>
  <c r="FW109" i="15"/>
  <c r="FX109" i="15"/>
  <c r="FY109" i="15"/>
  <c r="FZ109" i="15"/>
  <c r="GA109" i="15"/>
  <c r="GB109" i="15"/>
  <c r="GC109" i="15"/>
  <c r="GD109" i="15"/>
  <c r="GE109" i="15"/>
  <c r="GF109" i="15"/>
  <c r="GG109" i="15"/>
  <c r="GH109" i="15"/>
  <c r="GI109" i="15"/>
  <c r="GJ109" i="15"/>
  <c r="GK109" i="15"/>
  <c r="GL109" i="15"/>
  <c r="GM109" i="15"/>
  <c r="GN109" i="15"/>
  <c r="GO109" i="15"/>
  <c r="GP109" i="15"/>
  <c r="GQ109" i="15"/>
  <c r="GR109" i="15"/>
  <c r="GS109" i="15"/>
  <c r="GT109" i="15"/>
  <c r="GU109" i="15"/>
  <c r="GV109" i="15"/>
  <c r="GW109" i="15"/>
  <c r="GX109" i="15"/>
  <c r="GY109" i="15"/>
  <c r="GZ109" i="15"/>
  <c r="HA109" i="15"/>
  <c r="HB109" i="15"/>
  <c r="HC109" i="15"/>
  <c r="HD109" i="15"/>
  <c r="HE109" i="15"/>
  <c r="HF109" i="15"/>
  <c r="HG109" i="15"/>
  <c r="HH109" i="15"/>
  <c r="HI109" i="15"/>
  <c r="HJ109" i="15"/>
  <c r="HK109" i="15"/>
  <c r="HL109" i="15"/>
  <c r="HM109" i="15"/>
  <c r="HN109" i="15"/>
  <c r="HO109" i="15"/>
  <c r="HP109" i="15"/>
  <c r="HQ109" i="15"/>
  <c r="HR109" i="15"/>
  <c r="HS109" i="15"/>
  <c r="HT109" i="15"/>
  <c r="HU109" i="15"/>
  <c r="HV109" i="15"/>
  <c r="HW109" i="15"/>
  <c r="HX109" i="15"/>
  <c r="HY109" i="15"/>
  <c r="HZ109" i="15"/>
  <c r="IA109" i="15"/>
  <c r="IB109" i="15"/>
  <c r="IC109" i="15"/>
  <c r="ID109" i="15"/>
  <c r="IE109" i="15"/>
  <c r="IF109" i="15"/>
  <c r="IG109" i="15"/>
  <c r="IH109" i="15"/>
  <c r="II109" i="15"/>
  <c r="IJ109" i="15"/>
  <c r="IK109" i="15"/>
  <c r="IL109" i="15"/>
  <c r="IM109" i="15"/>
  <c r="IN109" i="15"/>
  <c r="IO109" i="15"/>
  <c r="IP109" i="15"/>
  <c r="IQ109" i="15"/>
  <c r="IR109" i="15"/>
  <c r="IS109" i="15"/>
  <c r="IT109" i="15"/>
  <c r="IU109" i="15"/>
  <c r="IV109" i="15"/>
  <c r="A110" i="15"/>
  <c r="B110" i="15"/>
  <c r="C110" i="15"/>
  <c r="D110" i="15"/>
  <c r="E110" i="15"/>
  <c r="F110" i="15"/>
  <c r="G110" i="15"/>
  <c r="H110" i="15"/>
  <c r="I110" i="15"/>
  <c r="J110" i="15"/>
  <c r="K110" i="15"/>
  <c r="L110" i="15"/>
  <c r="M110" i="15"/>
  <c r="N110" i="15"/>
  <c r="O110" i="15"/>
  <c r="P110" i="15"/>
  <c r="Q110" i="15"/>
  <c r="R110" i="15"/>
  <c r="S110" i="15"/>
  <c r="T110" i="15"/>
  <c r="U110" i="15"/>
  <c r="V110" i="15"/>
  <c r="W110" i="15"/>
  <c r="X110" i="15"/>
  <c r="Y110" i="15"/>
  <c r="Z110" i="15"/>
  <c r="AA110" i="15"/>
  <c r="AB110" i="15"/>
  <c r="AC110" i="15"/>
  <c r="AD110" i="15"/>
  <c r="AE110" i="15"/>
  <c r="AF110" i="15"/>
  <c r="AG110" i="15"/>
  <c r="AH110" i="15"/>
  <c r="AI110" i="15"/>
  <c r="AJ110" i="15"/>
  <c r="AK110" i="15"/>
  <c r="AL110" i="15"/>
  <c r="AM110" i="15"/>
  <c r="AN110" i="15"/>
  <c r="AO110" i="15"/>
  <c r="AP110" i="15"/>
  <c r="AQ110" i="15"/>
  <c r="AR110" i="15"/>
  <c r="AS110" i="15"/>
  <c r="AT110" i="15"/>
  <c r="AU110" i="15"/>
  <c r="AV110" i="15"/>
  <c r="AW110" i="15"/>
  <c r="AX110" i="15"/>
  <c r="AY110" i="15"/>
  <c r="AZ110" i="15"/>
  <c r="BA110" i="15"/>
  <c r="BB110" i="15"/>
  <c r="BC110" i="15"/>
  <c r="BD110" i="15"/>
  <c r="BE110" i="15"/>
  <c r="BF110" i="15"/>
  <c r="BG110" i="15"/>
  <c r="BH110" i="15"/>
  <c r="BI110" i="15"/>
  <c r="BJ110" i="15"/>
  <c r="BK110" i="15"/>
  <c r="BL110" i="15"/>
  <c r="BM110" i="15"/>
  <c r="BN110" i="15"/>
  <c r="BO110" i="15"/>
  <c r="BP110" i="15"/>
  <c r="BQ110" i="15"/>
  <c r="BR110" i="15"/>
  <c r="BS110" i="15"/>
  <c r="BT110" i="15"/>
  <c r="BU110" i="15"/>
  <c r="BV110" i="15"/>
  <c r="BW110" i="15"/>
  <c r="BX110" i="15"/>
  <c r="BY110" i="15"/>
  <c r="BZ110" i="15"/>
  <c r="CA110" i="15"/>
  <c r="CB110" i="15"/>
  <c r="CC110" i="15"/>
  <c r="CD110" i="15"/>
  <c r="CE110" i="15"/>
  <c r="CF110" i="15"/>
  <c r="CG110" i="15"/>
  <c r="CH110" i="15"/>
  <c r="CI110" i="15"/>
  <c r="CJ110" i="15"/>
  <c r="CK110" i="15"/>
  <c r="CL110" i="15"/>
  <c r="CM110" i="15"/>
  <c r="CN110" i="15"/>
  <c r="CO110" i="15"/>
  <c r="CP110" i="15"/>
  <c r="CQ110" i="15"/>
  <c r="CR110" i="15"/>
  <c r="CS110" i="15"/>
  <c r="CT110" i="15"/>
  <c r="CU110" i="15"/>
  <c r="CV110" i="15"/>
  <c r="CW110" i="15"/>
  <c r="CX110" i="15"/>
  <c r="CY110" i="15"/>
  <c r="CZ110" i="15"/>
  <c r="DA110" i="15"/>
  <c r="DB110" i="15"/>
  <c r="DC110" i="15"/>
  <c r="DD110" i="15"/>
  <c r="DE110" i="15"/>
  <c r="DF110" i="15"/>
  <c r="DG110" i="15"/>
  <c r="DH110" i="15"/>
  <c r="DI110" i="15"/>
  <c r="DJ110" i="15"/>
  <c r="DK110" i="15"/>
  <c r="DL110" i="15"/>
  <c r="DM110" i="15"/>
  <c r="DN110" i="15"/>
  <c r="DO110" i="15"/>
  <c r="DP110" i="15"/>
  <c r="DQ110" i="15"/>
  <c r="DR110" i="15"/>
  <c r="DS110" i="15"/>
  <c r="DT110" i="15"/>
  <c r="DU110" i="15"/>
  <c r="DV110" i="15"/>
  <c r="DW110" i="15"/>
  <c r="DX110" i="15"/>
  <c r="DY110" i="15"/>
  <c r="DZ110" i="15"/>
  <c r="EA110" i="15"/>
  <c r="EB110" i="15"/>
  <c r="EC110" i="15"/>
  <c r="ED110" i="15"/>
  <c r="EE110" i="15"/>
  <c r="EF110" i="15"/>
  <c r="EG110" i="15"/>
  <c r="EH110" i="15"/>
  <c r="EI110" i="15"/>
  <c r="EJ110" i="15"/>
  <c r="EK110" i="15"/>
  <c r="EL110" i="15"/>
  <c r="EM110" i="15"/>
  <c r="EN110" i="15"/>
  <c r="EO110" i="15"/>
  <c r="EP110" i="15"/>
  <c r="EQ110" i="15"/>
  <c r="ER110" i="15"/>
  <c r="ES110" i="15"/>
  <c r="ET110" i="15"/>
  <c r="EU110" i="15"/>
  <c r="EV110" i="15"/>
  <c r="EW110" i="15"/>
  <c r="EX110" i="15"/>
  <c r="EY110" i="15"/>
  <c r="EZ110" i="15"/>
  <c r="FA110" i="15"/>
  <c r="FB110" i="15"/>
  <c r="FC110" i="15"/>
  <c r="FD110" i="15"/>
  <c r="FE110" i="15"/>
  <c r="FF110" i="15"/>
  <c r="FG110" i="15"/>
  <c r="FH110" i="15"/>
  <c r="FI110" i="15"/>
  <c r="FJ110" i="15"/>
  <c r="FK110" i="15"/>
  <c r="FL110" i="15"/>
  <c r="FM110" i="15"/>
  <c r="FN110" i="15"/>
  <c r="FO110" i="15"/>
  <c r="FP110" i="15"/>
  <c r="FQ110" i="15"/>
  <c r="FR110" i="15"/>
  <c r="FS110" i="15"/>
  <c r="FT110" i="15"/>
  <c r="FU110" i="15"/>
  <c r="FV110" i="15"/>
  <c r="FW110" i="15"/>
  <c r="FX110" i="15"/>
  <c r="FY110" i="15"/>
  <c r="FZ110" i="15"/>
  <c r="GA110" i="15"/>
  <c r="GB110" i="15"/>
  <c r="GC110" i="15"/>
  <c r="GD110" i="15"/>
  <c r="GE110" i="15"/>
  <c r="GF110" i="15"/>
  <c r="GG110" i="15"/>
  <c r="GH110" i="15"/>
  <c r="GI110" i="15"/>
  <c r="GJ110" i="15"/>
  <c r="GK110" i="15"/>
  <c r="GL110" i="15"/>
  <c r="GM110" i="15"/>
  <c r="GN110" i="15"/>
  <c r="GO110" i="15"/>
  <c r="GP110" i="15"/>
  <c r="GQ110" i="15"/>
  <c r="GR110" i="15"/>
  <c r="GS110" i="15"/>
  <c r="GT110" i="15"/>
  <c r="GU110" i="15"/>
  <c r="GV110" i="15"/>
  <c r="GW110" i="15"/>
  <c r="GX110" i="15"/>
  <c r="GY110" i="15"/>
  <c r="GZ110" i="15"/>
  <c r="HA110" i="15"/>
  <c r="HB110" i="15"/>
  <c r="HC110" i="15"/>
  <c r="HD110" i="15"/>
  <c r="HE110" i="15"/>
  <c r="HF110" i="15"/>
  <c r="HG110" i="15"/>
  <c r="HH110" i="15"/>
  <c r="HI110" i="15"/>
  <c r="HJ110" i="15"/>
  <c r="HK110" i="15"/>
  <c r="HL110" i="15"/>
  <c r="HM110" i="15"/>
  <c r="HN110" i="15"/>
  <c r="HO110" i="15"/>
  <c r="HP110" i="15"/>
  <c r="HQ110" i="15"/>
  <c r="HR110" i="15"/>
  <c r="HS110" i="15"/>
  <c r="HT110" i="15"/>
  <c r="HU110" i="15"/>
  <c r="HV110" i="15"/>
  <c r="HW110" i="15"/>
  <c r="HX110" i="15"/>
  <c r="HY110" i="15"/>
  <c r="HZ110" i="15"/>
  <c r="IA110" i="15"/>
  <c r="IB110" i="15"/>
  <c r="IC110" i="15"/>
  <c r="ID110" i="15"/>
  <c r="IE110" i="15"/>
  <c r="IF110" i="15"/>
  <c r="IG110" i="15"/>
  <c r="IH110" i="15"/>
  <c r="II110" i="15"/>
  <c r="IJ110" i="15"/>
  <c r="IK110" i="15"/>
  <c r="IL110" i="15"/>
  <c r="IM110" i="15"/>
  <c r="IN110" i="15"/>
  <c r="IO110" i="15"/>
  <c r="IP110" i="15"/>
  <c r="IQ110" i="15"/>
  <c r="IR110" i="15"/>
  <c r="IS110" i="15"/>
  <c r="IT110" i="15"/>
  <c r="IU110" i="15"/>
  <c r="IV110" i="15"/>
  <c r="A111" i="15"/>
  <c r="B111" i="15"/>
  <c r="C111" i="15"/>
  <c r="D111" i="15"/>
  <c r="E111" i="15"/>
  <c r="F111" i="15"/>
  <c r="G111" i="15"/>
  <c r="H111" i="15"/>
  <c r="I111" i="15"/>
  <c r="J111" i="15"/>
  <c r="K111" i="15"/>
  <c r="L111" i="15"/>
  <c r="M111" i="15"/>
  <c r="N111" i="15"/>
  <c r="O111" i="15"/>
  <c r="P111" i="15"/>
  <c r="Q111" i="15"/>
  <c r="R111" i="15"/>
  <c r="S111" i="15"/>
  <c r="T111" i="15"/>
  <c r="U111" i="15"/>
  <c r="V111" i="15"/>
  <c r="W111" i="15"/>
  <c r="X111" i="15"/>
  <c r="Y111" i="15"/>
  <c r="Z111" i="15"/>
  <c r="AA111" i="15"/>
  <c r="AB111" i="15"/>
  <c r="AC111" i="15"/>
  <c r="AD111" i="15"/>
  <c r="AE111" i="15"/>
  <c r="AF111" i="15"/>
  <c r="AG111" i="15"/>
  <c r="AH111" i="15"/>
  <c r="AI111" i="15"/>
  <c r="AJ111" i="15"/>
  <c r="AK111" i="15"/>
  <c r="AL111" i="15"/>
  <c r="AM111" i="15"/>
  <c r="AN111" i="15"/>
  <c r="AO111" i="15"/>
  <c r="AP111" i="15"/>
  <c r="AQ111" i="15"/>
  <c r="AR111" i="15"/>
  <c r="AS111" i="15"/>
  <c r="AT111" i="15"/>
  <c r="AU111" i="15"/>
  <c r="AV111" i="15"/>
  <c r="AW111" i="15"/>
  <c r="AX111" i="15"/>
  <c r="AY111" i="15"/>
  <c r="AZ111" i="15"/>
  <c r="BA111" i="15"/>
  <c r="BB111" i="15"/>
  <c r="BC111" i="15"/>
  <c r="BD111" i="15"/>
  <c r="BE111" i="15"/>
  <c r="BF111" i="15"/>
  <c r="BG111" i="15"/>
  <c r="BH111" i="15"/>
  <c r="BI111" i="15"/>
  <c r="BJ111" i="15"/>
  <c r="BK111" i="15"/>
  <c r="BL111" i="15"/>
  <c r="BM111" i="15"/>
  <c r="BN111" i="15"/>
  <c r="BO111" i="15"/>
  <c r="BP111" i="15"/>
  <c r="BQ111" i="15"/>
  <c r="BR111" i="15"/>
  <c r="BS111" i="15"/>
  <c r="BT111" i="15"/>
  <c r="BU111" i="15"/>
  <c r="BV111" i="15"/>
  <c r="BW111" i="15"/>
  <c r="BX111" i="15"/>
  <c r="BY111" i="15"/>
  <c r="BZ111" i="15"/>
  <c r="CA111" i="15"/>
  <c r="CB111" i="15"/>
  <c r="CC111" i="15"/>
  <c r="CD111" i="15"/>
  <c r="CE111" i="15"/>
  <c r="CF111" i="15"/>
  <c r="CG111" i="15"/>
  <c r="CH111" i="15"/>
  <c r="CI111" i="15"/>
  <c r="CJ111" i="15"/>
  <c r="CK111" i="15"/>
  <c r="CL111" i="15"/>
  <c r="CM111" i="15"/>
  <c r="CN111" i="15"/>
  <c r="CO111" i="15"/>
  <c r="CP111" i="15"/>
  <c r="CQ111" i="15"/>
  <c r="CR111" i="15"/>
  <c r="CS111" i="15"/>
  <c r="CT111" i="15"/>
  <c r="CU111" i="15"/>
  <c r="CV111" i="15"/>
  <c r="CW111" i="15"/>
  <c r="CX111" i="15"/>
  <c r="CY111" i="15"/>
  <c r="CZ111" i="15"/>
  <c r="DA111" i="15"/>
  <c r="DB111" i="15"/>
  <c r="DC111" i="15"/>
  <c r="DD111" i="15"/>
  <c r="DE111" i="15"/>
  <c r="DF111" i="15"/>
  <c r="DG111" i="15"/>
  <c r="DH111" i="15"/>
  <c r="DI111" i="15"/>
  <c r="DJ111" i="15"/>
  <c r="DK111" i="15"/>
  <c r="DL111" i="15"/>
  <c r="DM111" i="15"/>
  <c r="DN111" i="15"/>
  <c r="DO111" i="15"/>
  <c r="DP111" i="15"/>
  <c r="DQ111" i="15"/>
  <c r="DR111" i="15"/>
  <c r="DS111" i="15"/>
  <c r="DT111" i="15"/>
  <c r="DU111" i="15"/>
  <c r="DV111" i="15"/>
  <c r="DW111" i="15"/>
  <c r="DX111" i="15"/>
  <c r="DY111" i="15"/>
  <c r="DZ111" i="15"/>
  <c r="EA111" i="15"/>
  <c r="EB111" i="15"/>
  <c r="EC111" i="15"/>
  <c r="ED111" i="15"/>
  <c r="EE111" i="15"/>
  <c r="EF111" i="15"/>
  <c r="EG111" i="15"/>
  <c r="EH111" i="15"/>
  <c r="EI111" i="15"/>
  <c r="EJ111" i="15"/>
  <c r="EK111" i="15"/>
  <c r="EL111" i="15"/>
  <c r="EM111" i="15"/>
  <c r="EN111" i="15"/>
  <c r="EO111" i="15"/>
  <c r="EP111" i="15"/>
  <c r="EQ111" i="15"/>
  <c r="ER111" i="15"/>
  <c r="ES111" i="15"/>
  <c r="ET111" i="15"/>
  <c r="EU111" i="15"/>
  <c r="EV111" i="15"/>
  <c r="EW111" i="15"/>
  <c r="EX111" i="15"/>
  <c r="EY111" i="15"/>
  <c r="EZ111" i="15"/>
  <c r="FA111" i="15"/>
  <c r="FB111" i="15"/>
  <c r="FC111" i="15"/>
  <c r="FD111" i="15"/>
  <c r="FE111" i="15"/>
  <c r="FF111" i="15"/>
  <c r="FG111" i="15"/>
  <c r="FH111" i="15"/>
  <c r="FI111" i="15"/>
  <c r="FJ111" i="15"/>
  <c r="FK111" i="15"/>
  <c r="FL111" i="15"/>
  <c r="FM111" i="15"/>
  <c r="FN111" i="15"/>
  <c r="FO111" i="15"/>
  <c r="FP111" i="15"/>
  <c r="FQ111" i="15"/>
  <c r="FR111" i="15"/>
  <c r="FS111" i="15"/>
  <c r="FT111" i="15"/>
  <c r="FU111" i="15"/>
  <c r="FV111" i="15"/>
  <c r="FW111" i="15"/>
  <c r="FX111" i="15"/>
  <c r="FY111" i="15"/>
  <c r="FZ111" i="15"/>
  <c r="GA111" i="15"/>
  <c r="GB111" i="15"/>
  <c r="GC111" i="15"/>
  <c r="GD111" i="15"/>
  <c r="GE111" i="15"/>
  <c r="GF111" i="15"/>
  <c r="GG111" i="15"/>
  <c r="GH111" i="15"/>
  <c r="GI111" i="15"/>
  <c r="GJ111" i="15"/>
  <c r="GK111" i="15"/>
  <c r="GL111" i="15"/>
  <c r="GM111" i="15"/>
  <c r="GN111" i="15"/>
  <c r="GO111" i="15"/>
  <c r="GP111" i="15"/>
  <c r="GQ111" i="15"/>
  <c r="GR111" i="15"/>
  <c r="GS111" i="15"/>
  <c r="GT111" i="15"/>
  <c r="GU111" i="15"/>
  <c r="GV111" i="15"/>
  <c r="GW111" i="15"/>
  <c r="GX111" i="15"/>
  <c r="GY111" i="15"/>
  <c r="GZ111" i="15"/>
  <c r="HA111" i="15"/>
  <c r="HB111" i="15"/>
  <c r="HC111" i="15"/>
  <c r="HD111" i="15"/>
  <c r="HE111" i="15"/>
  <c r="HF111" i="15"/>
  <c r="HG111" i="15"/>
  <c r="HH111" i="15"/>
  <c r="HI111" i="15"/>
  <c r="HJ111" i="15"/>
  <c r="HK111" i="15"/>
  <c r="HL111" i="15"/>
  <c r="HM111" i="15"/>
  <c r="HN111" i="15"/>
  <c r="HO111" i="15"/>
  <c r="HP111" i="15"/>
  <c r="HQ111" i="15"/>
  <c r="HR111" i="15"/>
  <c r="HS111" i="15"/>
  <c r="HT111" i="15"/>
  <c r="HU111" i="15"/>
  <c r="HV111" i="15"/>
  <c r="HW111" i="15"/>
  <c r="HX111" i="15"/>
  <c r="HY111" i="15"/>
  <c r="HZ111" i="15"/>
  <c r="IA111" i="15"/>
  <c r="IB111" i="15"/>
  <c r="IC111" i="15"/>
  <c r="ID111" i="15"/>
  <c r="IE111" i="15"/>
  <c r="IF111" i="15"/>
  <c r="IG111" i="15"/>
  <c r="IH111" i="15"/>
  <c r="II111" i="15"/>
  <c r="IJ111" i="15"/>
  <c r="IK111" i="15"/>
  <c r="IL111" i="15"/>
  <c r="IM111" i="15"/>
  <c r="IN111" i="15"/>
  <c r="IO111" i="15"/>
  <c r="IP111" i="15"/>
  <c r="IQ111" i="15"/>
  <c r="IR111" i="15"/>
  <c r="IS111" i="15"/>
  <c r="IT111" i="15"/>
  <c r="IU111" i="15"/>
  <c r="IV111" i="15"/>
  <c r="A112" i="15"/>
  <c r="B112" i="15"/>
  <c r="C112" i="15"/>
  <c r="D112" i="15"/>
  <c r="E112" i="15"/>
  <c r="F112" i="15"/>
  <c r="G112" i="15"/>
  <c r="H112" i="15"/>
  <c r="I112" i="15"/>
  <c r="J112" i="15"/>
  <c r="K112" i="15"/>
  <c r="L112" i="15"/>
  <c r="M112" i="15"/>
  <c r="N112" i="15"/>
  <c r="O112" i="15"/>
  <c r="P112" i="15"/>
  <c r="Q112" i="15"/>
  <c r="R112" i="15"/>
  <c r="S112" i="15"/>
  <c r="T112" i="15"/>
  <c r="U112" i="15"/>
  <c r="V112" i="15"/>
  <c r="W112" i="15"/>
  <c r="X112" i="15"/>
  <c r="Y112" i="15"/>
  <c r="Z112" i="15"/>
  <c r="AA112" i="15"/>
  <c r="AB112" i="15"/>
  <c r="AC112" i="15"/>
  <c r="AD112" i="15"/>
  <c r="AE112" i="15"/>
  <c r="AF112" i="15"/>
  <c r="AG112" i="15"/>
  <c r="AH112" i="15"/>
  <c r="AI112" i="15"/>
  <c r="AJ112" i="15"/>
  <c r="AK112" i="15"/>
  <c r="AL112" i="15"/>
  <c r="AM112" i="15"/>
  <c r="AN112" i="15"/>
  <c r="AO112" i="15"/>
  <c r="AP112" i="15"/>
  <c r="AQ112" i="15"/>
  <c r="AR112" i="15"/>
  <c r="AS112" i="15"/>
  <c r="AT112" i="15"/>
  <c r="AU112" i="15"/>
  <c r="AV112" i="15"/>
  <c r="AW112" i="15"/>
  <c r="AX112" i="15"/>
  <c r="AY112" i="15"/>
  <c r="AZ112" i="15"/>
  <c r="BA112" i="15"/>
  <c r="BB112" i="15"/>
  <c r="BC112" i="15"/>
  <c r="BD112" i="15"/>
  <c r="BE112" i="15"/>
  <c r="BF112" i="15"/>
  <c r="BG112" i="15"/>
  <c r="BH112" i="15"/>
  <c r="BI112" i="15"/>
  <c r="BJ112" i="15"/>
  <c r="BK112" i="15"/>
  <c r="BL112" i="15"/>
  <c r="BM112" i="15"/>
  <c r="BN112" i="15"/>
  <c r="BO112" i="15"/>
  <c r="BP112" i="15"/>
  <c r="BQ112" i="15"/>
  <c r="BR112" i="15"/>
  <c r="BS112" i="15"/>
  <c r="BT112" i="15"/>
  <c r="BU112" i="15"/>
  <c r="BV112" i="15"/>
  <c r="BW112" i="15"/>
  <c r="BX112" i="15"/>
  <c r="BY112" i="15"/>
  <c r="BZ112" i="15"/>
  <c r="CA112" i="15"/>
  <c r="CB112" i="15"/>
  <c r="CC112" i="15"/>
  <c r="CD112" i="15"/>
  <c r="CE112" i="15"/>
  <c r="CF112" i="15"/>
  <c r="CG112" i="15"/>
  <c r="CH112" i="15"/>
  <c r="CI112" i="15"/>
  <c r="CJ112" i="15"/>
  <c r="CK112" i="15"/>
  <c r="CL112" i="15"/>
  <c r="CM112" i="15"/>
  <c r="CN112" i="15"/>
  <c r="CO112" i="15"/>
  <c r="CP112" i="15"/>
  <c r="CQ112" i="15"/>
  <c r="CR112" i="15"/>
  <c r="CS112" i="15"/>
  <c r="CT112" i="15"/>
  <c r="CU112" i="15"/>
  <c r="CV112" i="15"/>
  <c r="CW112" i="15"/>
  <c r="CX112" i="15"/>
  <c r="CY112" i="15"/>
  <c r="CZ112" i="15"/>
  <c r="DA112" i="15"/>
  <c r="DB112" i="15"/>
  <c r="DC112" i="15"/>
  <c r="DD112" i="15"/>
  <c r="DE112" i="15"/>
  <c r="DF112" i="15"/>
  <c r="DG112" i="15"/>
  <c r="DH112" i="15"/>
  <c r="DI112" i="15"/>
  <c r="DJ112" i="15"/>
  <c r="DK112" i="15"/>
  <c r="DL112" i="15"/>
  <c r="DM112" i="15"/>
  <c r="DN112" i="15"/>
  <c r="DO112" i="15"/>
  <c r="DP112" i="15"/>
  <c r="DQ112" i="15"/>
  <c r="DR112" i="15"/>
  <c r="DS112" i="15"/>
  <c r="DT112" i="15"/>
  <c r="DU112" i="15"/>
  <c r="DV112" i="15"/>
  <c r="DW112" i="15"/>
  <c r="DX112" i="15"/>
  <c r="DY112" i="15"/>
  <c r="DZ112" i="15"/>
  <c r="EA112" i="15"/>
  <c r="EB112" i="15"/>
  <c r="EC112" i="15"/>
  <c r="ED112" i="15"/>
  <c r="EE112" i="15"/>
  <c r="EF112" i="15"/>
  <c r="EG112" i="15"/>
  <c r="EH112" i="15"/>
  <c r="EI112" i="15"/>
  <c r="EJ112" i="15"/>
  <c r="EK112" i="15"/>
  <c r="EL112" i="15"/>
  <c r="EM112" i="15"/>
  <c r="EN112" i="15"/>
  <c r="EO112" i="15"/>
  <c r="EP112" i="15"/>
  <c r="EQ112" i="15"/>
  <c r="ER112" i="15"/>
  <c r="ES112" i="15"/>
  <c r="ET112" i="15"/>
  <c r="EU112" i="15"/>
  <c r="EV112" i="15"/>
  <c r="EW112" i="15"/>
  <c r="EX112" i="15"/>
  <c r="EY112" i="15"/>
  <c r="EZ112" i="15"/>
  <c r="FA112" i="15"/>
  <c r="FB112" i="15"/>
  <c r="FC112" i="15"/>
  <c r="FD112" i="15"/>
  <c r="FE112" i="15"/>
  <c r="FF112" i="15"/>
  <c r="FG112" i="15"/>
  <c r="FH112" i="15"/>
  <c r="FI112" i="15"/>
  <c r="FJ112" i="15"/>
  <c r="FK112" i="15"/>
  <c r="FL112" i="15"/>
  <c r="FM112" i="15"/>
  <c r="FN112" i="15"/>
  <c r="FO112" i="15"/>
  <c r="FP112" i="15"/>
  <c r="FQ112" i="15"/>
  <c r="FR112" i="15"/>
  <c r="FS112" i="15"/>
  <c r="FT112" i="15"/>
  <c r="FU112" i="15"/>
  <c r="FV112" i="15"/>
  <c r="FW112" i="15"/>
  <c r="FX112" i="15"/>
  <c r="FY112" i="15"/>
  <c r="FZ112" i="15"/>
  <c r="GA112" i="15"/>
  <c r="GB112" i="15"/>
  <c r="GC112" i="15"/>
  <c r="GD112" i="15"/>
  <c r="GE112" i="15"/>
  <c r="GF112" i="15"/>
  <c r="GG112" i="15"/>
  <c r="GH112" i="15"/>
  <c r="GI112" i="15"/>
  <c r="GJ112" i="15"/>
  <c r="GK112" i="15"/>
  <c r="GL112" i="15"/>
  <c r="GM112" i="15"/>
  <c r="GN112" i="15"/>
  <c r="GO112" i="15"/>
  <c r="GP112" i="15"/>
  <c r="GQ112" i="15"/>
  <c r="GR112" i="15"/>
  <c r="GS112" i="15"/>
  <c r="GT112" i="15"/>
  <c r="GU112" i="15"/>
  <c r="GV112" i="15"/>
  <c r="GW112" i="15"/>
  <c r="GX112" i="15"/>
  <c r="GY112" i="15"/>
  <c r="GZ112" i="15"/>
  <c r="HA112" i="15"/>
  <c r="HB112" i="15"/>
  <c r="HC112" i="15"/>
  <c r="HD112" i="15"/>
  <c r="HE112" i="15"/>
  <c r="HF112" i="15"/>
  <c r="HG112" i="15"/>
  <c r="HH112" i="15"/>
  <c r="HI112" i="15"/>
  <c r="HJ112" i="15"/>
  <c r="HK112" i="15"/>
  <c r="HL112" i="15"/>
  <c r="HM112" i="15"/>
  <c r="HN112" i="15"/>
  <c r="HO112" i="15"/>
  <c r="HP112" i="15"/>
  <c r="HQ112" i="15"/>
  <c r="HR112" i="15"/>
  <c r="HS112" i="15"/>
  <c r="HT112" i="15"/>
  <c r="HU112" i="15"/>
  <c r="HV112" i="15"/>
  <c r="HW112" i="15"/>
  <c r="HX112" i="15"/>
  <c r="HY112" i="15"/>
  <c r="HZ112" i="15"/>
  <c r="IA112" i="15"/>
  <c r="IB112" i="15"/>
  <c r="IC112" i="15"/>
  <c r="ID112" i="15"/>
  <c r="IE112" i="15"/>
  <c r="IF112" i="15"/>
  <c r="IG112" i="15"/>
  <c r="IH112" i="15"/>
  <c r="II112" i="15"/>
  <c r="IJ112" i="15"/>
  <c r="IK112" i="15"/>
  <c r="IL112" i="15"/>
  <c r="IM112" i="15"/>
  <c r="IN112" i="15"/>
  <c r="IO112" i="15"/>
  <c r="IP112" i="15"/>
  <c r="IQ112" i="15"/>
  <c r="IR112" i="15"/>
  <c r="IS112" i="15"/>
  <c r="IT112" i="15"/>
  <c r="IU112" i="15"/>
  <c r="IV112" i="15"/>
  <c r="A113" i="15"/>
  <c r="B113" i="15"/>
  <c r="C113" i="15"/>
  <c r="D113" i="15"/>
  <c r="E113" i="15"/>
  <c r="F113" i="15"/>
  <c r="G113" i="15"/>
  <c r="H113" i="15"/>
  <c r="I113" i="15"/>
  <c r="J113" i="15"/>
  <c r="K113" i="15"/>
  <c r="L113" i="15"/>
  <c r="M113" i="15"/>
  <c r="N113" i="15"/>
  <c r="O113" i="15"/>
  <c r="P113" i="15"/>
  <c r="Q113" i="15"/>
  <c r="R113" i="15"/>
  <c r="S113" i="15"/>
  <c r="T113" i="15"/>
  <c r="U113" i="15"/>
  <c r="V113" i="15"/>
  <c r="W113" i="15"/>
  <c r="X113" i="15"/>
  <c r="Y113" i="15"/>
  <c r="Z113" i="15"/>
  <c r="AA113" i="15"/>
  <c r="AB113" i="15"/>
  <c r="AC113" i="15"/>
  <c r="AD113" i="15"/>
  <c r="AE113" i="15"/>
  <c r="AF113" i="15"/>
  <c r="AG113" i="15"/>
  <c r="AH113" i="15"/>
  <c r="AI113" i="15"/>
  <c r="AJ113" i="15"/>
  <c r="AK113" i="15"/>
  <c r="AL113" i="15"/>
  <c r="AM113" i="15"/>
  <c r="AN113" i="15"/>
  <c r="AO113" i="15"/>
  <c r="AP113" i="15"/>
  <c r="AQ113" i="15"/>
  <c r="AR113" i="15"/>
  <c r="AS113" i="15"/>
  <c r="AT113" i="15"/>
  <c r="AU113" i="15"/>
  <c r="AV113" i="15"/>
  <c r="AW113" i="15"/>
  <c r="AX113" i="15"/>
  <c r="AY113" i="15"/>
  <c r="AZ113" i="15"/>
  <c r="BA113" i="15"/>
  <c r="BB113" i="15"/>
  <c r="BC113" i="15"/>
  <c r="BD113" i="15"/>
  <c r="BE113" i="15"/>
  <c r="BF113" i="15"/>
  <c r="BG113" i="15"/>
  <c r="BH113" i="15"/>
  <c r="BI113" i="15"/>
  <c r="BJ113" i="15"/>
  <c r="BK113" i="15"/>
  <c r="BL113" i="15"/>
  <c r="BM113" i="15"/>
  <c r="BN113" i="15"/>
  <c r="BO113" i="15"/>
  <c r="BP113" i="15"/>
  <c r="BQ113" i="15"/>
  <c r="BR113" i="15"/>
  <c r="BS113" i="15"/>
  <c r="BT113" i="15"/>
  <c r="BU113" i="15"/>
  <c r="BV113" i="15"/>
  <c r="BW113" i="15"/>
  <c r="BX113" i="15"/>
  <c r="BY113" i="15"/>
  <c r="BZ113" i="15"/>
  <c r="CA113" i="15"/>
  <c r="CB113" i="15"/>
  <c r="CC113" i="15"/>
  <c r="CD113" i="15"/>
  <c r="CE113" i="15"/>
  <c r="CF113" i="15"/>
  <c r="CG113" i="15"/>
  <c r="CH113" i="15"/>
  <c r="CI113" i="15"/>
  <c r="CJ113" i="15"/>
  <c r="CK113" i="15"/>
  <c r="CL113" i="15"/>
  <c r="CM113" i="15"/>
  <c r="CN113" i="15"/>
  <c r="CO113" i="15"/>
  <c r="CP113" i="15"/>
  <c r="CQ113" i="15"/>
  <c r="CR113" i="15"/>
  <c r="CS113" i="15"/>
  <c r="CT113" i="15"/>
  <c r="CU113" i="15"/>
  <c r="CV113" i="15"/>
  <c r="CW113" i="15"/>
  <c r="CX113" i="15"/>
  <c r="CY113" i="15"/>
  <c r="CZ113" i="15"/>
  <c r="DA113" i="15"/>
  <c r="DB113" i="15"/>
  <c r="DC113" i="15"/>
  <c r="DD113" i="15"/>
  <c r="DE113" i="15"/>
  <c r="DF113" i="15"/>
  <c r="DG113" i="15"/>
  <c r="DH113" i="15"/>
  <c r="DI113" i="15"/>
  <c r="DJ113" i="15"/>
  <c r="DK113" i="15"/>
  <c r="DL113" i="15"/>
  <c r="DM113" i="15"/>
  <c r="DN113" i="15"/>
  <c r="DO113" i="15"/>
  <c r="DP113" i="15"/>
  <c r="DQ113" i="15"/>
  <c r="DR113" i="15"/>
  <c r="DS113" i="15"/>
  <c r="DT113" i="15"/>
  <c r="DU113" i="15"/>
  <c r="DV113" i="15"/>
  <c r="DW113" i="15"/>
  <c r="DX113" i="15"/>
  <c r="DY113" i="15"/>
  <c r="DZ113" i="15"/>
  <c r="EA113" i="15"/>
  <c r="EB113" i="15"/>
  <c r="EC113" i="15"/>
  <c r="ED113" i="15"/>
  <c r="EE113" i="15"/>
  <c r="EF113" i="15"/>
  <c r="EG113" i="15"/>
  <c r="EH113" i="15"/>
  <c r="EI113" i="15"/>
  <c r="EJ113" i="15"/>
  <c r="EK113" i="15"/>
  <c r="EL113" i="15"/>
  <c r="EM113" i="15"/>
  <c r="EN113" i="15"/>
  <c r="EO113" i="15"/>
  <c r="EP113" i="15"/>
  <c r="EQ113" i="15"/>
  <c r="ER113" i="15"/>
  <c r="ES113" i="15"/>
  <c r="ET113" i="15"/>
  <c r="EU113" i="15"/>
  <c r="EV113" i="15"/>
  <c r="EW113" i="15"/>
  <c r="EX113" i="15"/>
  <c r="EY113" i="15"/>
  <c r="EZ113" i="15"/>
  <c r="FA113" i="15"/>
  <c r="FB113" i="15"/>
  <c r="FC113" i="15"/>
  <c r="FD113" i="15"/>
  <c r="FE113" i="15"/>
  <c r="FF113" i="15"/>
  <c r="FG113" i="15"/>
  <c r="FH113" i="15"/>
  <c r="FI113" i="15"/>
  <c r="FJ113" i="15"/>
  <c r="FK113" i="15"/>
  <c r="FL113" i="15"/>
  <c r="FM113" i="15"/>
  <c r="FN113" i="15"/>
  <c r="FO113" i="15"/>
  <c r="FP113" i="15"/>
  <c r="FQ113" i="15"/>
  <c r="FR113" i="15"/>
  <c r="FS113" i="15"/>
  <c r="FT113" i="15"/>
  <c r="FU113" i="15"/>
  <c r="FV113" i="15"/>
  <c r="FW113" i="15"/>
  <c r="FX113" i="15"/>
  <c r="FY113" i="15"/>
  <c r="FZ113" i="15"/>
  <c r="GA113" i="15"/>
  <c r="GB113" i="15"/>
  <c r="GC113" i="15"/>
  <c r="GD113" i="15"/>
  <c r="GE113" i="15"/>
  <c r="GF113" i="15"/>
  <c r="GG113" i="15"/>
  <c r="GH113" i="15"/>
  <c r="GI113" i="15"/>
  <c r="GJ113" i="15"/>
  <c r="GK113" i="15"/>
  <c r="GL113" i="15"/>
  <c r="GM113" i="15"/>
  <c r="GN113" i="15"/>
  <c r="GO113" i="15"/>
  <c r="GP113" i="15"/>
  <c r="GQ113" i="15"/>
  <c r="GR113" i="15"/>
  <c r="GS113" i="15"/>
  <c r="GT113" i="15"/>
  <c r="GU113" i="15"/>
  <c r="GV113" i="15"/>
  <c r="GW113" i="15"/>
  <c r="GX113" i="15"/>
  <c r="GY113" i="15"/>
  <c r="GZ113" i="15"/>
  <c r="HA113" i="15"/>
  <c r="HB113" i="15"/>
  <c r="HC113" i="15"/>
  <c r="HD113" i="15"/>
  <c r="HE113" i="15"/>
  <c r="HF113" i="15"/>
  <c r="HG113" i="15"/>
  <c r="HH113" i="15"/>
  <c r="HI113" i="15"/>
  <c r="HJ113" i="15"/>
  <c r="HK113" i="15"/>
  <c r="HL113" i="15"/>
  <c r="HM113" i="15"/>
  <c r="HN113" i="15"/>
  <c r="HO113" i="15"/>
  <c r="HP113" i="15"/>
  <c r="HQ113" i="15"/>
  <c r="HR113" i="15"/>
  <c r="HS113" i="15"/>
  <c r="HT113" i="15"/>
  <c r="HU113" i="15"/>
  <c r="HV113" i="15"/>
  <c r="HW113" i="15"/>
  <c r="HX113" i="15"/>
  <c r="HY113" i="15"/>
  <c r="HZ113" i="15"/>
  <c r="IA113" i="15"/>
  <c r="IB113" i="15"/>
  <c r="IC113" i="15"/>
  <c r="ID113" i="15"/>
  <c r="IE113" i="15"/>
  <c r="IF113" i="15"/>
  <c r="IG113" i="15"/>
  <c r="IH113" i="15"/>
  <c r="II113" i="15"/>
  <c r="IJ113" i="15"/>
  <c r="IK113" i="15"/>
  <c r="IL113" i="15"/>
  <c r="IM113" i="15"/>
  <c r="IN113" i="15"/>
  <c r="IO113" i="15"/>
  <c r="IP113" i="15"/>
  <c r="IQ113" i="15"/>
  <c r="IR113" i="15"/>
  <c r="IS113" i="15"/>
  <c r="IT113" i="15"/>
  <c r="IU113" i="15"/>
  <c r="IV113" i="15"/>
  <c r="A114" i="15"/>
  <c r="B114" i="15"/>
  <c r="C114" i="15"/>
  <c r="D114" i="15"/>
  <c r="E114" i="15"/>
  <c r="F114" i="15"/>
  <c r="G114" i="15"/>
  <c r="H114" i="15"/>
  <c r="I114" i="15"/>
  <c r="J114" i="15"/>
  <c r="K114" i="15"/>
  <c r="L114" i="15"/>
  <c r="M114" i="15"/>
  <c r="N114" i="15"/>
  <c r="O114" i="15"/>
  <c r="P114" i="15"/>
  <c r="Q114" i="15"/>
  <c r="R114" i="15"/>
  <c r="S114" i="15"/>
  <c r="T114" i="15"/>
  <c r="U114" i="15"/>
  <c r="V114" i="15"/>
  <c r="W114" i="15"/>
  <c r="X114" i="15"/>
  <c r="Y114" i="15"/>
  <c r="Z114" i="15"/>
  <c r="AA114" i="15"/>
  <c r="AB114" i="15"/>
  <c r="AC114" i="15"/>
  <c r="AD114" i="15"/>
  <c r="AE114" i="15"/>
  <c r="AF114" i="15"/>
  <c r="AG114" i="15"/>
  <c r="AH114" i="15"/>
  <c r="AI114" i="15"/>
  <c r="AJ114" i="15"/>
  <c r="AK114" i="15"/>
  <c r="AL114" i="15"/>
  <c r="AM114" i="15"/>
  <c r="AN114" i="15"/>
  <c r="AO114" i="15"/>
  <c r="AP114" i="15"/>
  <c r="AQ114" i="15"/>
  <c r="AR114" i="15"/>
  <c r="AS114" i="15"/>
  <c r="AT114" i="15"/>
  <c r="AU114" i="15"/>
  <c r="AV114" i="15"/>
  <c r="AW114" i="15"/>
  <c r="AX114" i="15"/>
  <c r="AY114" i="15"/>
  <c r="AZ114" i="15"/>
  <c r="BA114" i="15"/>
  <c r="BB114" i="15"/>
  <c r="BC114" i="15"/>
  <c r="BD114" i="15"/>
  <c r="BE114" i="15"/>
  <c r="BF114" i="15"/>
  <c r="BG114" i="15"/>
  <c r="BH114" i="15"/>
  <c r="BI114" i="15"/>
  <c r="BJ114" i="15"/>
  <c r="BK114" i="15"/>
  <c r="BL114" i="15"/>
  <c r="BM114" i="15"/>
  <c r="BN114" i="15"/>
  <c r="BO114" i="15"/>
  <c r="BP114" i="15"/>
  <c r="BQ114" i="15"/>
  <c r="BR114" i="15"/>
  <c r="BS114" i="15"/>
  <c r="BT114" i="15"/>
  <c r="BU114" i="15"/>
  <c r="BV114" i="15"/>
  <c r="BW114" i="15"/>
  <c r="BX114" i="15"/>
  <c r="BY114" i="15"/>
  <c r="BZ114" i="15"/>
  <c r="CA114" i="15"/>
  <c r="CB114" i="15"/>
  <c r="CC114" i="15"/>
  <c r="CD114" i="15"/>
  <c r="CE114" i="15"/>
  <c r="CF114" i="15"/>
  <c r="CG114" i="15"/>
  <c r="CH114" i="15"/>
  <c r="CI114" i="15"/>
  <c r="CJ114" i="15"/>
  <c r="CK114" i="15"/>
  <c r="CL114" i="15"/>
  <c r="CM114" i="15"/>
  <c r="CN114" i="15"/>
  <c r="CO114" i="15"/>
  <c r="CP114" i="15"/>
  <c r="CQ114" i="15"/>
  <c r="CR114" i="15"/>
  <c r="CS114" i="15"/>
  <c r="CT114" i="15"/>
  <c r="CU114" i="15"/>
  <c r="CV114" i="15"/>
  <c r="CW114" i="15"/>
  <c r="CX114" i="15"/>
  <c r="CY114" i="15"/>
  <c r="CZ114" i="15"/>
  <c r="DA114" i="15"/>
  <c r="DB114" i="15"/>
  <c r="DC114" i="15"/>
  <c r="DD114" i="15"/>
  <c r="DE114" i="15"/>
  <c r="DF114" i="15"/>
  <c r="DG114" i="15"/>
  <c r="DH114" i="15"/>
  <c r="DI114" i="15"/>
  <c r="DJ114" i="15"/>
  <c r="DK114" i="15"/>
  <c r="DL114" i="15"/>
  <c r="DM114" i="15"/>
  <c r="DN114" i="15"/>
  <c r="DO114" i="15"/>
  <c r="DP114" i="15"/>
  <c r="DQ114" i="15"/>
  <c r="DR114" i="15"/>
  <c r="DS114" i="15"/>
  <c r="DT114" i="15"/>
  <c r="DU114" i="15"/>
  <c r="DV114" i="15"/>
  <c r="DW114" i="15"/>
  <c r="DX114" i="15"/>
  <c r="DY114" i="15"/>
  <c r="DZ114" i="15"/>
  <c r="EA114" i="15"/>
  <c r="EB114" i="15"/>
  <c r="EC114" i="15"/>
  <c r="ED114" i="15"/>
  <c r="EE114" i="15"/>
  <c r="EF114" i="15"/>
  <c r="EG114" i="15"/>
  <c r="EH114" i="15"/>
  <c r="EI114" i="15"/>
  <c r="EJ114" i="15"/>
  <c r="EK114" i="15"/>
  <c r="EL114" i="15"/>
  <c r="EM114" i="15"/>
  <c r="EN114" i="15"/>
  <c r="EO114" i="15"/>
  <c r="EP114" i="15"/>
  <c r="EQ114" i="15"/>
  <c r="ER114" i="15"/>
  <c r="ES114" i="15"/>
  <c r="ET114" i="15"/>
  <c r="EU114" i="15"/>
  <c r="EV114" i="15"/>
  <c r="EW114" i="15"/>
  <c r="EX114" i="15"/>
  <c r="EY114" i="15"/>
  <c r="EZ114" i="15"/>
  <c r="FA114" i="15"/>
  <c r="FB114" i="15"/>
  <c r="FC114" i="15"/>
  <c r="FD114" i="15"/>
  <c r="FE114" i="15"/>
  <c r="FF114" i="15"/>
  <c r="FG114" i="15"/>
  <c r="FH114" i="15"/>
  <c r="FI114" i="15"/>
  <c r="FJ114" i="15"/>
  <c r="FK114" i="15"/>
  <c r="FL114" i="15"/>
  <c r="FM114" i="15"/>
  <c r="FN114" i="15"/>
  <c r="FO114" i="15"/>
  <c r="FP114" i="15"/>
  <c r="FQ114" i="15"/>
  <c r="FR114" i="15"/>
  <c r="FS114" i="15"/>
  <c r="FT114" i="15"/>
  <c r="FU114" i="15"/>
  <c r="FV114" i="15"/>
  <c r="FW114" i="15"/>
  <c r="FX114" i="15"/>
  <c r="FY114" i="15"/>
  <c r="FZ114" i="15"/>
  <c r="GA114" i="15"/>
  <c r="GB114" i="15"/>
  <c r="GC114" i="15"/>
  <c r="GD114" i="15"/>
  <c r="GE114" i="15"/>
  <c r="GF114" i="15"/>
  <c r="GG114" i="15"/>
  <c r="GH114" i="15"/>
  <c r="GI114" i="15"/>
  <c r="GJ114" i="15"/>
  <c r="GK114" i="15"/>
  <c r="GL114" i="15"/>
  <c r="GM114" i="15"/>
  <c r="GN114" i="15"/>
  <c r="GO114" i="15"/>
  <c r="GP114" i="15"/>
  <c r="GQ114" i="15"/>
  <c r="GR114" i="15"/>
  <c r="GS114" i="15"/>
  <c r="GT114" i="15"/>
  <c r="GU114" i="15"/>
  <c r="GV114" i="15"/>
  <c r="GW114" i="15"/>
  <c r="GX114" i="15"/>
  <c r="GY114" i="15"/>
  <c r="GZ114" i="15"/>
  <c r="HA114" i="15"/>
  <c r="HB114" i="15"/>
  <c r="HC114" i="15"/>
  <c r="HD114" i="15"/>
  <c r="HE114" i="15"/>
  <c r="HF114" i="15"/>
  <c r="HG114" i="15"/>
  <c r="HH114" i="15"/>
  <c r="HI114" i="15"/>
  <c r="HJ114" i="15"/>
  <c r="HK114" i="15"/>
  <c r="HL114" i="15"/>
  <c r="HM114" i="15"/>
  <c r="HN114" i="15"/>
  <c r="HO114" i="15"/>
  <c r="HP114" i="15"/>
  <c r="HQ114" i="15"/>
  <c r="HR114" i="15"/>
  <c r="HS114" i="15"/>
  <c r="HT114" i="15"/>
  <c r="HU114" i="15"/>
  <c r="HV114" i="15"/>
  <c r="HW114" i="15"/>
  <c r="HX114" i="15"/>
  <c r="HY114" i="15"/>
  <c r="HZ114" i="15"/>
  <c r="IA114" i="15"/>
  <c r="IB114" i="15"/>
  <c r="IC114" i="15"/>
  <c r="ID114" i="15"/>
  <c r="IE114" i="15"/>
  <c r="IF114" i="15"/>
  <c r="IG114" i="15"/>
  <c r="IH114" i="15"/>
  <c r="II114" i="15"/>
  <c r="IJ114" i="15"/>
  <c r="IK114" i="15"/>
  <c r="IL114" i="15"/>
  <c r="IM114" i="15"/>
  <c r="IN114" i="15"/>
  <c r="IO114" i="15"/>
  <c r="IP114" i="15"/>
  <c r="IQ114" i="15"/>
  <c r="IR114" i="15"/>
  <c r="IS114" i="15"/>
  <c r="IT114" i="15"/>
  <c r="IU114" i="15"/>
  <c r="IV114" i="15"/>
  <c r="A115" i="15"/>
  <c r="B115" i="15"/>
  <c r="C115" i="15"/>
  <c r="D115" i="15"/>
  <c r="E115" i="15"/>
  <c r="F115" i="15"/>
  <c r="G115" i="15"/>
  <c r="H115" i="15"/>
  <c r="I115" i="15"/>
  <c r="J115" i="15"/>
  <c r="K115" i="15"/>
  <c r="L115" i="15"/>
  <c r="M115" i="15"/>
  <c r="N115" i="15"/>
  <c r="O115" i="15"/>
  <c r="P115" i="15"/>
  <c r="Q115" i="15"/>
  <c r="R115" i="15"/>
  <c r="S115" i="15"/>
  <c r="T115" i="15"/>
  <c r="U115" i="15"/>
  <c r="V115" i="15"/>
  <c r="W115" i="15"/>
  <c r="X115" i="15"/>
  <c r="Y115" i="15"/>
  <c r="Z115" i="15"/>
  <c r="AA115" i="15"/>
  <c r="AB115" i="15"/>
  <c r="AC115" i="15"/>
  <c r="AD115" i="15"/>
  <c r="AE115" i="15"/>
  <c r="AF115" i="15"/>
  <c r="AG115" i="15"/>
  <c r="AH115" i="15"/>
  <c r="AI115" i="15"/>
  <c r="AJ115" i="15"/>
  <c r="AK115" i="15"/>
  <c r="AL115" i="15"/>
  <c r="AM115" i="15"/>
  <c r="AN115" i="15"/>
  <c r="AO115" i="15"/>
  <c r="AP115" i="15"/>
  <c r="AQ115" i="15"/>
  <c r="AR115" i="15"/>
  <c r="AS115" i="15"/>
  <c r="AT115" i="15"/>
  <c r="AU115" i="15"/>
  <c r="AV115" i="15"/>
  <c r="AW115" i="15"/>
  <c r="AX115" i="15"/>
  <c r="AY115" i="15"/>
  <c r="AZ115" i="15"/>
  <c r="BA115" i="15"/>
  <c r="BB115" i="15"/>
  <c r="BC115" i="15"/>
  <c r="BD115" i="15"/>
  <c r="BE115" i="15"/>
  <c r="BF115" i="15"/>
  <c r="BG115" i="15"/>
  <c r="BH115" i="15"/>
  <c r="BI115" i="15"/>
  <c r="BJ115" i="15"/>
  <c r="BK115" i="15"/>
  <c r="BL115" i="15"/>
  <c r="BM115" i="15"/>
  <c r="BN115" i="15"/>
  <c r="BO115" i="15"/>
  <c r="BP115" i="15"/>
  <c r="BQ115" i="15"/>
  <c r="BR115" i="15"/>
  <c r="BS115" i="15"/>
  <c r="BT115" i="15"/>
  <c r="BU115" i="15"/>
  <c r="BV115" i="15"/>
  <c r="BW115" i="15"/>
  <c r="BX115" i="15"/>
  <c r="BY115" i="15"/>
  <c r="BZ115" i="15"/>
  <c r="CA115" i="15"/>
  <c r="CB115" i="15"/>
  <c r="CC115" i="15"/>
  <c r="CD115" i="15"/>
  <c r="CE115" i="15"/>
  <c r="CF115" i="15"/>
  <c r="CG115" i="15"/>
  <c r="CH115" i="15"/>
  <c r="CI115" i="15"/>
  <c r="CJ115" i="15"/>
  <c r="CK115" i="15"/>
  <c r="CL115" i="15"/>
  <c r="CM115" i="15"/>
  <c r="CN115" i="15"/>
  <c r="CO115" i="15"/>
  <c r="CP115" i="15"/>
  <c r="CQ115" i="15"/>
  <c r="CR115" i="15"/>
  <c r="CS115" i="15"/>
  <c r="CT115" i="15"/>
  <c r="CU115" i="15"/>
  <c r="CV115" i="15"/>
  <c r="CW115" i="15"/>
  <c r="CX115" i="15"/>
  <c r="CY115" i="15"/>
  <c r="CZ115" i="15"/>
  <c r="DA115" i="15"/>
  <c r="DB115" i="15"/>
  <c r="DC115" i="15"/>
  <c r="DD115" i="15"/>
  <c r="DE115" i="15"/>
  <c r="DF115" i="15"/>
  <c r="DG115" i="15"/>
  <c r="DH115" i="15"/>
  <c r="DI115" i="15"/>
  <c r="DJ115" i="15"/>
  <c r="DK115" i="15"/>
  <c r="DL115" i="15"/>
  <c r="DM115" i="15"/>
  <c r="DN115" i="15"/>
  <c r="DO115" i="15"/>
  <c r="DP115" i="15"/>
  <c r="DQ115" i="15"/>
  <c r="DR115" i="15"/>
  <c r="DS115" i="15"/>
  <c r="DT115" i="15"/>
  <c r="DU115" i="15"/>
  <c r="DV115" i="15"/>
  <c r="DW115" i="15"/>
  <c r="DX115" i="15"/>
  <c r="DY115" i="15"/>
  <c r="DZ115" i="15"/>
  <c r="EA115" i="15"/>
  <c r="EB115" i="15"/>
  <c r="EC115" i="15"/>
  <c r="ED115" i="15"/>
  <c r="EE115" i="15"/>
  <c r="EF115" i="15"/>
  <c r="EG115" i="15"/>
  <c r="EH115" i="15"/>
  <c r="EI115" i="15"/>
  <c r="EJ115" i="15"/>
  <c r="EK115" i="15"/>
  <c r="EL115" i="15"/>
  <c r="EM115" i="15"/>
  <c r="EN115" i="15"/>
  <c r="EO115" i="15"/>
  <c r="EP115" i="15"/>
  <c r="EQ115" i="15"/>
  <c r="ER115" i="15"/>
  <c r="ES115" i="15"/>
  <c r="ET115" i="15"/>
  <c r="EU115" i="15"/>
  <c r="EV115" i="15"/>
  <c r="EW115" i="15"/>
  <c r="EX115" i="15"/>
  <c r="EY115" i="15"/>
  <c r="EZ115" i="15"/>
  <c r="FA115" i="15"/>
  <c r="FB115" i="15"/>
  <c r="FC115" i="15"/>
  <c r="FD115" i="15"/>
  <c r="FE115" i="15"/>
  <c r="FF115" i="15"/>
  <c r="FG115" i="15"/>
  <c r="FH115" i="15"/>
  <c r="FI115" i="15"/>
  <c r="FJ115" i="15"/>
  <c r="FK115" i="15"/>
  <c r="FL115" i="15"/>
  <c r="FM115" i="15"/>
  <c r="FN115" i="15"/>
  <c r="FO115" i="15"/>
  <c r="FP115" i="15"/>
  <c r="FQ115" i="15"/>
  <c r="FR115" i="15"/>
  <c r="FS115" i="15"/>
  <c r="FT115" i="15"/>
  <c r="FU115" i="15"/>
  <c r="FV115" i="15"/>
  <c r="FW115" i="15"/>
  <c r="FX115" i="15"/>
  <c r="FY115" i="15"/>
  <c r="FZ115" i="15"/>
  <c r="GA115" i="15"/>
  <c r="GB115" i="15"/>
  <c r="GC115" i="15"/>
  <c r="GD115" i="15"/>
  <c r="GE115" i="15"/>
  <c r="GF115" i="15"/>
  <c r="GG115" i="15"/>
  <c r="GH115" i="15"/>
  <c r="GI115" i="15"/>
  <c r="GJ115" i="15"/>
  <c r="GK115" i="15"/>
  <c r="GL115" i="15"/>
  <c r="GM115" i="15"/>
  <c r="GN115" i="15"/>
  <c r="GO115" i="15"/>
  <c r="GP115" i="15"/>
  <c r="GQ115" i="15"/>
  <c r="GR115" i="15"/>
  <c r="GS115" i="15"/>
  <c r="GT115" i="15"/>
  <c r="GU115" i="15"/>
  <c r="GV115" i="15"/>
  <c r="GW115" i="15"/>
  <c r="GX115" i="15"/>
  <c r="GY115" i="15"/>
  <c r="GZ115" i="15"/>
  <c r="HA115" i="15"/>
  <c r="HB115" i="15"/>
  <c r="HC115" i="15"/>
  <c r="HD115" i="15"/>
  <c r="HE115" i="15"/>
  <c r="HF115" i="15"/>
  <c r="HG115" i="15"/>
  <c r="HH115" i="15"/>
  <c r="HI115" i="15"/>
  <c r="HJ115" i="15"/>
  <c r="HK115" i="15"/>
  <c r="HL115" i="15"/>
  <c r="HM115" i="15"/>
  <c r="HN115" i="15"/>
  <c r="HO115" i="15"/>
  <c r="HP115" i="15"/>
  <c r="HQ115" i="15"/>
  <c r="HR115" i="15"/>
  <c r="HS115" i="15"/>
  <c r="HT115" i="15"/>
  <c r="HU115" i="15"/>
  <c r="HV115" i="15"/>
  <c r="HW115" i="15"/>
  <c r="HX115" i="15"/>
  <c r="HY115" i="15"/>
  <c r="HZ115" i="15"/>
  <c r="IA115" i="15"/>
  <c r="IB115" i="15"/>
  <c r="IC115" i="15"/>
  <c r="ID115" i="15"/>
  <c r="IE115" i="15"/>
  <c r="IF115" i="15"/>
  <c r="IG115" i="15"/>
  <c r="IH115" i="15"/>
  <c r="II115" i="15"/>
  <c r="IJ115" i="15"/>
  <c r="IK115" i="15"/>
  <c r="IL115" i="15"/>
  <c r="IM115" i="15"/>
  <c r="IN115" i="15"/>
  <c r="IO115" i="15"/>
  <c r="IP115" i="15"/>
  <c r="IQ115" i="15"/>
  <c r="IR115" i="15"/>
  <c r="IS115" i="15"/>
  <c r="IT115" i="15"/>
  <c r="IU115" i="15"/>
  <c r="IV115" i="15"/>
  <c r="A116" i="15"/>
  <c r="B116" i="15"/>
  <c r="C116" i="15"/>
  <c r="D116" i="15"/>
  <c r="E116" i="15"/>
  <c r="F116" i="15"/>
  <c r="G116" i="15"/>
  <c r="H116" i="15"/>
  <c r="I116" i="15"/>
  <c r="J116" i="15"/>
  <c r="K116" i="15"/>
  <c r="L116" i="15"/>
  <c r="M116" i="15"/>
  <c r="N116" i="15"/>
  <c r="O116" i="15"/>
  <c r="P116" i="15"/>
  <c r="Q116" i="15"/>
  <c r="R116" i="15"/>
  <c r="S116" i="15"/>
  <c r="T116" i="15"/>
  <c r="U116" i="15"/>
  <c r="V116" i="15"/>
  <c r="W116" i="15"/>
  <c r="X116" i="15"/>
  <c r="Y116" i="15"/>
  <c r="Z116" i="15"/>
  <c r="AA116" i="15"/>
  <c r="AB116" i="15"/>
  <c r="AC116" i="15"/>
  <c r="AD116" i="15"/>
  <c r="AE116" i="15"/>
  <c r="AF116" i="15"/>
  <c r="AG116" i="15"/>
  <c r="AH116" i="15"/>
  <c r="AI116" i="15"/>
  <c r="AJ116" i="15"/>
  <c r="AK116" i="15"/>
  <c r="AL116" i="15"/>
  <c r="AM116" i="15"/>
  <c r="AN116" i="15"/>
  <c r="AO116" i="15"/>
  <c r="AP116" i="15"/>
  <c r="AQ116" i="15"/>
  <c r="AR116" i="15"/>
  <c r="AS116" i="15"/>
  <c r="AT116" i="15"/>
  <c r="AU116" i="15"/>
  <c r="AV116" i="15"/>
  <c r="AW116" i="15"/>
  <c r="AX116" i="15"/>
  <c r="AY116" i="15"/>
  <c r="AZ116" i="15"/>
  <c r="BA116" i="15"/>
  <c r="BB116" i="15"/>
  <c r="BC116" i="15"/>
  <c r="BD116" i="15"/>
  <c r="BE116" i="15"/>
  <c r="BF116" i="15"/>
  <c r="BG116" i="15"/>
  <c r="BH116" i="15"/>
  <c r="BI116" i="15"/>
  <c r="BJ116" i="15"/>
  <c r="BK116" i="15"/>
  <c r="BL116" i="15"/>
  <c r="BM116" i="15"/>
  <c r="BN116" i="15"/>
  <c r="BO116" i="15"/>
  <c r="BP116" i="15"/>
  <c r="BQ116" i="15"/>
  <c r="BR116" i="15"/>
  <c r="BS116" i="15"/>
  <c r="BT116" i="15"/>
  <c r="BU116" i="15"/>
  <c r="BV116" i="15"/>
  <c r="BW116" i="15"/>
  <c r="BX116" i="15"/>
  <c r="BY116" i="15"/>
  <c r="BZ116" i="15"/>
  <c r="CA116" i="15"/>
  <c r="CB116" i="15"/>
  <c r="CC116" i="15"/>
  <c r="CD116" i="15"/>
  <c r="CE116" i="15"/>
  <c r="CF116" i="15"/>
  <c r="CG116" i="15"/>
  <c r="CH116" i="15"/>
  <c r="CI116" i="15"/>
  <c r="CJ116" i="15"/>
  <c r="CK116" i="15"/>
  <c r="CL116" i="15"/>
  <c r="CM116" i="15"/>
  <c r="CN116" i="15"/>
  <c r="CO116" i="15"/>
  <c r="CP116" i="15"/>
  <c r="CQ116" i="15"/>
  <c r="CR116" i="15"/>
  <c r="CS116" i="15"/>
  <c r="CT116" i="15"/>
  <c r="CU116" i="15"/>
  <c r="CV116" i="15"/>
  <c r="CW116" i="15"/>
  <c r="CX116" i="15"/>
  <c r="CY116" i="15"/>
  <c r="CZ116" i="15"/>
  <c r="DA116" i="15"/>
  <c r="DB116" i="15"/>
  <c r="DC116" i="15"/>
  <c r="DD116" i="15"/>
  <c r="DE116" i="15"/>
  <c r="DF116" i="15"/>
  <c r="DG116" i="15"/>
  <c r="DH116" i="15"/>
  <c r="DI116" i="15"/>
  <c r="DJ116" i="15"/>
  <c r="DK116" i="15"/>
  <c r="DL116" i="15"/>
  <c r="DM116" i="15"/>
  <c r="DN116" i="15"/>
  <c r="DO116" i="15"/>
  <c r="DP116" i="15"/>
  <c r="DQ116" i="15"/>
  <c r="DR116" i="15"/>
  <c r="DS116" i="15"/>
  <c r="DT116" i="15"/>
  <c r="DU116" i="15"/>
  <c r="DV116" i="15"/>
  <c r="DW116" i="15"/>
  <c r="DX116" i="15"/>
  <c r="DY116" i="15"/>
  <c r="DZ116" i="15"/>
  <c r="EA116" i="15"/>
  <c r="EB116" i="15"/>
  <c r="EC116" i="15"/>
  <c r="ED116" i="15"/>
  <c r="EE116" i="15"/>
  <c r="EF116" i="15"/>
  <c r="EG116" i="15"/>
  <c r="EH116" i="15"/>
  <c r="EI116" i="15"/>
  <c r="EJ116" i="15"/>
  <c r="EK116" i="15"/>
  <c r="EL116" i="15"/>
  <c r="EM116" i="15"/>
  <c r="EN116" i="15"/>
  <c r="EO116" i="15"/>
  <c r="EP116" i="15"/>
  <c r="EQ116" i="15"/>
  <c r="ER116" i="15"/>
  <c r="ES116" i="15"/>
  <c r="ET116" i="15"/>
  <c r="EU116" i="15"/>
  <c r="EV116" i="15"/>
  <c r="EW116" i="15"/>
  <c r="EX116" i="15"/>
  <c r="EY116" i="15"/>
  <c r="EZ116" i="15"/>
  <c r="FA116" i="15"/>
  <c r="FB116" i="15"/>
  <c r="FC116" i="15"/>
  <c r="FD116" i="15"/>
  <c r="FE116" i="15"/>
  <c r="FF116" i="15"/>
  <c r="FG116" i="15"/>
  <c r="FH116" i="15"/>
  <c r="FI116" i="15"/>
  <c r="FJ116" i="15"/>
  <c r="FK116" i="15"/>
  <c r="FL116" i="15"/>
  <c r="FM116" i="15"/>
  <c r="FN116" i="15"/>
  <c r="FO116" i="15"/>
  <c r="FP116" i="15"/>
  <c r="FQ116" i="15"/>
  <c r="FR116" i="15"/>
  <c r="FS116" i="15"/>
  <c r="FT116" i="15"/>
  <c r="FU116" i="15"/>
  <c r="FV116" i="15"/>
  <c r="FW116" i="15"/>
  <c r="FX116" i="15"/>
  <c r="FY116" i="15"/>
  <c r="FZ116" i="15"/>
  <c r="GA116" i="15"/>
  <c r="GB116" i="15"/>
  <c r="GC116" i="15"/>
  <c r="GD116" i="15"/>
  <c r="GE116" i="15"/>
  <c r="GF116" i="15"/>
  <c r="GG116" i="15"/>
  <c r="GH116" i="15"/>
  <c r="GI116" i="15"/>
  <c r="GJ116" i="15"/>
  <c r="GK116" i="15"/>
  <c r="GL116" i="15"/>
  <c r="GM116" i="15"/>
  <c r="GN116" i="15"/>
  <c r="GO116" i="15"/>
  <c r="GP116" i="15"/>
  <c r="GQ116" i="15"/>
  <c r="GR116" i="15"/>
  <c r="GS116" i="15"/>
  <c r="GT116" i="15"/>
  <c r="GU116" i="15"/>
  <c r="GV116" i="15"/>
  <c r="GW116" i="15"/>
  <c r="GX116" i="15"/>
  <c r="GY116" i="15"/>
  <c r="GZ116" i="15"/>
  <c r="HA116" i="15"/>
  <c r="HB116" i="15"/>
  <c r="HC116" i="15"/>
  <c r="HD116" i="15"/>
  <c r="HE116" i="15"/>
  <c r="HF116" i="15"/>
  <c r="HG116" i="15"/>
  <c r="HH116" i="15"/>
  <c r="HI116" i="15"/>
  <c r="HJ116" i="15"/>
  <c r="HK116" i="15"/>
  <c r="HL116" i="15"/>
  <c r="HM116" i="15"/>
  <c r="HN116" i="15"/>
  <c r="HO116" i="15"/>
  <c r="HP116" i="15"/>
  <c r="HQ116" i="15"/>
  <c r="HR116" i="15"/>
  <c r="HS116" i="15"/>
  <c r="HT116" i="15"/>
  <c r="HU116" i="15"/>
  <c r="HV116" i="15"/>
  <c r="HW116" i="15"/>
  <c r="HX116" i="15"/>
  <c r="HY116" i="15"/>
  <c r="HZ116" i="15"/>
  <c r="IA116" i="15"/>
  <c r="IB116" i="15"/>
  <c r="IC116" i="15"/>
  <c r="ID116" i="15"/>
  <c r="IE116" i="15"/>
  <c r="IF116" i="15"/>
  <c r="IG116" i="15"/>
  <c r="IH116" i="15"/>
  <c r="II116" i="15"/>
  <c r="IJ116" i="15"/>
  <c r="IK116" i="15"/>
  <c r="IL116" i="15"/>
  <c r="IM116" i="15"/>
  <c r="IN116" i="15"/>
  <c r="IO116" i="15"/>
  <c r="IP116" i="15"/>
  <c r="IQ116" i="15"/>
  <c r="IR116" i="15"/>
  <c r="IS116" i="15"/>
  <c r="IT116" i="15"/>
  <c r="IU116" i="15"/>
  <c r="IV116" i="15"/>
  <c r="A117" i="15"/>
  <c r="B117" i="15"/>
  <c r="C117" i="15"/>
  <c r="D117" i="15"/>
  <c r="E117" i="15"/>
  <c r="F117" i="15"/>
  <c r="G117" i="15"/>
  <c r="H117" i="15"/>
  <c r="I117" i="15"/>
  <c r="J117" i="15"/>
  <c r="K117" i="15"/>
  <c r="L117" i="15"/>
  <c r="M117" i="15"/>
  <c r="N117" i="15"/>
  <c r="O117" i="15"/>
  <c r="P117" i="15"/>
  <c r="Q117" i="15"/>
  <c r="R117" i="15"/>
  <c r="S117" i="15"/>
  <c r="T117" i="15"/>
  <c r="U117" i="15"/>
  <c r="V117" i="15"/>
  <c r="W117" i="15"/>
  <c r="X117" i="15"/>
  <c r="Y117" i="15"/>
  <c r="Z117" i="15"/>
  <c r="AA117" i="15"/>
  <c r="AB117" i="15"/>
  <c r="AC117" i="15"/>
  <c r="AD117" i="15"/>
  <c r="AE117" i="15"/>
  <c r="AF117" i="15"/>
  <c r="AG117" i="15"/>
  <c r="AH117" i="15"/>
  <c r="AI117" i="15"/>
  <c r="AJ117" i="15"/>
  <c r="AK117" i="15"/>
  <c r="AL117" i="15"/>
  <c r="AM117" i="15"/>
  <c r="AN117" i="15"/>
  <c r="AO117" i="15"/>
  <c r="AP117" i="15"/>
  <c r="AQ117" i="15"/>
  <c r="AR117" i="15"/>
  <c r="AS117" i="15"/>
  <c r="AT117" i="15"/>
  <c r="AU117" i="15"/>
  <c r="AV117" i="15"/>
  <c r="AW117" i="15"/>
  <c r="AX117" i="15"/>
  <c r="AY117" i="15"/>
  <c r="AZ117" i="15"/>
  <c r="BA117" i="15"/>
  <c r="BB117" i="15"/>
  <c r="BC117" i="15"/>
  <c r="BD117" i="15"/>
  <c r="BE117" i="15"/>
  <c r="BF117" i="15"/>
  <c r="BG117" i="15"/>
  <c r="BH117" i="15"/>
  <c r="BI117" i="15"/>
  <c r="BJ117" i="15"/>
  <c r="BK117" i="15"/>
  <c r="BL117" i="15"/>
  <c r="BM117" i="15"/>
  <c r="BN117" i="15"/>
  <c r="BO117" i="15"/>
  <c r="BP117" i="15"/>
  <c r="BQ117" i="15"/>
  <c r="BR117" i="15"/>
  <c r="BS117" i="15"/>
  <c r="BT117" i="15"/>
  <c r="BU117" i="15"/>
  <c r="BV117" i="15"/>
  <c r="BW117" i="15"/>
  <c r="BX117" i="15"/>
  <c r="BY117" i="15"/>
  <c r="BZ117" i="15"/>
  <c r="CA117" i="15"/>
  <c r="CB117" i="15"/>
  <c r="CC117" i="15"/>
  <c r="CD117" i="15"/>
  <c r="CE117" i="15"/>
  <c r="CF117" i="15"/>
  <c r="CG117" i="15"/>
  <c r="CH117" i="15"/>
  <c r="CI117" i="15"/>
  <c r="CJ117" i="15"/>
  <c r="CK117" i="15"/>
  <c r="CL117" i="15"/>
  <c r="CM117" i="15"/>
  <c r="CN117" i="15"/>
  <c r="CO117" i="15"/>
  <c r="CP117" i="15"/>
  <c r="CQ117" i="15"/>
  <c r="CR117" i="15"/>
  <c r="CS117" i="15"/>
  <c r="CT117" i="15"/>
  <c r="CU117" i="15"/>
  <c r="CV117" i="15"/>
  <c r="CW117" i="15"/>
  <c r="CX117" i="15"/>
  <c r="CY117" i="15"/>
  <c r="CZ117" i="15"/>
  <c r="DA117" i="15"/>
  <c r="DB117" i="15"/>
  <c r="DC117" i="15"/>
  <c r="DD117" i="15"/>
  <c r="DE117" i="15"/>
  <c r="DF117" i="15"/>
  <c r="DG117" i="15"/>
  <c r="DH117" i="15"/>
  <c r="DI117" i="15"/>
  <c r="DJ117" i="15"/>
  <c r="DK117" i="15"/>
  <c r="DL117" i="15"/>
  <c r="DM117" i="15"/>
  <c r="DN117" i="15"/>
  <c r="DO117" i="15"/>
  <c r="DP117" i="15"/>
  <c r="DQ117" i="15"/>
  <c r="DR117" i="15"/>
  <c r="DS117" i="15"/>
  <c r="DT117" i="15"/>
  <c r="DU117" i="15"/>
  <c r="DV117" i="15"/>
  <c r="DW117" i="15"/>
  <c r="DX117" i="15"/>
  <c r="DY117" i="15"/>
  <c r="DZ117" i="15"/>
  <c r="EA117" i="15"/>
  <c r="EB117" i="15"/>
  <c r="EC117" i="15"/>
  <c r="ED117" i="15"/>
  <c r="EE117" i="15"/>
  <c r="EF117" i="15"/>
  <c r="EG117" i="15"/>
  <c r="EH117" i="15"/>
  <c r="EI117" i="15"/>
  <c r="EJ117" i="15"/>
  <c r="EK117" i="15"/>
  <c r="EL117" i="15"/>
  <c r="EM117" i="15"/>
  <c r="EN117" i="15"/>
  <c r="EO117" i="15"/>
  <c r="EP117" i="15"/>
  <c r="EQ117" i="15"/>
  <c r="ER117" i="15"/>
  <c r="ES117" i="15"/>
  <c r="ET117" i="15"/>
  <c r="EU117" i="15"/>
  <c r="EV117" i="15"/>
  <c r="EW117" i="15"/>
  <c r="EX117" i="15"/>
  <c r="EY117" i="15"/>
  <c r="EZ117" i="15"/>
  <c r="FA117" i="15"/>
  <c r="FB117" i="15"/>
  <c r="FC117" i="15"/>
  <c r="FD117" i="15"/>
  <c r="FE117" i="15"/>
  <c r="FF117" i="15"/>
  <c r="FG117" i="15"/>
  <c r="FH117" i="15"/>
  <c r="FI117" i="15"/>
  <c r="FJ117" i="15"/>
  <c r="FK117" i="15"/>
  <c r="FL117" i="15"/>
  <c r="FM117" i="15"/>
  <c r="FN117" i="15"/>
  <c r="FO117" i="15"/>
  <c r="FP117" i="15"/>
  <c r="FQ117" i="15"/>
  <c r="FR117" i="15"/>
  <c r="FS117" i="15"/>
  <c r="FT117" i="15"/>
  <c r="FU117" i="15"/>
  <c r="FV117" i="15"/>
  <c r="FW117" i="15"/>
  <c r="FX117" i="15"/>
  <c r="FY117" i="15"/>
  <c r="FZ117" i="15"/>
  <c r="GA117" i="15"/>
  <c r="GB117" i="15"/>
  <c r="GC117" i="15"/>
  <c r="GD117" i="15"/>
  <c r="GE117" i="15"/>
  <c r="GF117" i="15"/>
  <c r="GG117" i="15"/>
  <c r="GH117" i="15"/>
  <c r="GI117" i="15"/>
  <c r="GJ117" i="15"/>
  <c r="GK117" i="15"/>
  <c r="GL117" i="15"/>
  <c r="GM117" i="15"/>
  <c r="GN117" i="15"/>
  <c r="GO117" i="15"/>
  <c r="GP117" i="15"/>
  <c r="GQ117" i="15"/>
  <c r="GR117" i="15"/>
  <c r="GS117" i="15"/>
  <c r="GT117" i="15"/>
  <c r="GU117" i="15"/>
  <c r="GV117" i="15"/>
  <c r="GW117" i="15"/>
  <c r="GX117" i="15"/>
  <c r="GY117" i="15"/>
  <c r="GZ117" i="15"/>
  <c r="HA117" i="15"/>
  <c r="HB117" i="15"/>
  <c r="HC117" i="15"/>
  <c r="HD117" i="15"/>
  <c r="HE117" i="15"/>
  <c r="HF117" i="15"/>
  <c r="HG117" i="15"/>
  <c r="HH117" i="15"/>
  <c r="HI117" i="15"/>
  <c r="HJ117" i="15"/>
  <c r="HK117" i="15"/>
  <c r="HL117" i="15"/>
  <c r="HM117" i="15"/>
  <c r="HN117" i="15"/>
  <c r="HO117" i="15"/>
  <c r="HP117" i="15"/>
  <c r="HQ117" i="15"/>
  <c r="HR117" i="15"/>
  <c r="HS117" i="15"/>
  <c r="HT117" i="15"/>
  <c r="HU117" i="15"/>
  <c r="HV117" i="15"/>
  <c r="HW117" i="15"/>
  <c r="HX117" i="15"/>
  <c r="HY117" i="15"/>
  <c r="HZ117" i="15"/>
  <c r="IA117" i="15"/>
  <c r="IB117" i="15"/>
  <c r="IC117" i="15"/>
  <c r="ID117" i="15"/>
  <c r="IE117" i="15"/>
  <c r="IF117" i="15"/>
  <c r="IG117" i="15"/>
  <c r="IH117" i="15"/>
  <c r="II117" i="15"/>
  <c r="IJ117" i="15"/>
  <c r="IK117" i="15"/>
  <c r="IL117" i="15"/>
  <c r="IM117" i="15"/>
  <c r="IN117" i="15"/>
  <c r="IO117" i="15"/>
  <c r="IP117" i="15"/>
  <c r="IQ117" i="15"/>
  <c r="IR117" i="15"/>
  <c r="IS117" i="15"/>
  <c r="IT117" i="15"/>
  <c r="IU117" i="15"/>
  <c r="IV117" i="15"/>
  <c r="A118" i="15"/>
  <c r="B118" i="15"/>
  <c r="C118" i="15"/>
  <c r="D118" i="15"/>
  <c r="E118" i="15"/>
  <c r="F118" i="15"/>
  <c r="G118" i="15"/>
  <c r="H118" i="15"/>
  <c r="I118" i="15"/>
  <c r="J118" i="15"/>
  <c r="K118" i="15"/>
  <c r="L118" i="15"/>
  <c r="M118" i="15"/>
  <c r="N118" i="15"/>
  <c r="O118" i="15"/>
  <c r="P118" i="15"/>
  <c r="Q118" i="15"/>
  <c r="R118" i="15"/>
  <c r="S118" i="15"/>
  <c r="T118" i="15"/>
  <c r="U118" i="15"/>
  <c r="V118" i="15"/>
  <c r="W118" i="15"/>
  <c r="X118" i="15"/>
  <c r="Y118" i="15"/>
  <c r="Z118" i="15"/>
  <c r="AA118" i="15"/>
  <c r="AB118" i="15"/>
  <c r="AC118" i="15"/>
  <c r="AD118" i="15"/>
  <c r="AE118" i="15"/>
  <c r="AF118" i="15"/>
  <c r="AG118" i="15"/>
  <c r="AH118" i="15"/>
  <c r="AI118" i="15"/>
  <c r="AJ118" i="15"/>
  <c r="AK118" i="15"/>
  <c r="AL118" i="15"/>
  <c r="AM118" i="15"/>
  <c r="AN118" i="15"/>
  <c r="AO118" i="15"/>
  <c r="AP118" i="15"/>
  <c r="AQ118" i="15"/>
  <c r="AR118" i="15"/>
  <c r="AS118" i="15"/>
  <c r="AT118" i="15"/>
  <c r="AU118" i="15"/>
  <c r="AV118" i="15"/>
  <c r="AW118" i="15"/>
  <c r="AX118" i="15"/>
  <c r="AY118" i="15"/>
  <c r="AZ118" i="15"/>
  <c r="BA118" i="15"/>
  <c r="BB118" i="15"/>
  <c r="BC118" i="15"/>
  <c r="BD118" i="15"/>
  <c r="BE118" i="15"/>
  <c r="BF118" i="15"/>
  <c r="BG118" i="15"/>
  <c r="BH118" i="15"/>
  <c r="BI118" i="15"/>
  <c r="BJ118" i="15"/>
  <c r="BK118" i="15"/>
  <c r="BL118" i="15"/>
  <c r="BM118" i="15"/>
  <c r="BN118" i="15"/>
  <c r="BO118" i="15"/>
  <c r="BP118" i="15"/>
  <c r="BQ118" i="15"/>
  <c r="BR118" i="15"/>
  <c r="BS118" i="15"/>
  <c r="BT118" i="15"/>
  <c r="BU118" i="15"/>
  <c r="BV118" i="15"/>
  <c r="BW118" i="15"/>
  <c r="BX118" i="15"/>
  <c r="BY118" i="15"/>
  <c r="BZ118" i="15"/>
  <c r="CA118" i="15"/>
  <c r="CB118" i="15"/>
  <c r="CC118" i="15"/>
  <c r="CD118" i="15"/>
  <c r="CE118" i="15"/>
  <c r="CF118" i="15"/>
  <c r="CG118" i="15"/>
  <c r="CH118" i="15"/>
  <c r="CI118" i="15"/>
  <c r="CJ118" i="15"/>
  <c r="CK118" i="15"/>
  <c r="CL118" i="15"/>
  <c r="CM118" i="15"/>
  <c r="CN118" i="15"/>
  <c r="CO118" i="15"/>
  <c r="CP118" i="15"/>
  <c r="CQ118" i="15"/>
  <c r="CR118" i="15"/>
  <c r="CS118" i="15"/>
  <c r="CT118" i="15"/>
  <c r="CU118" i="15"/>
  <c r="CV118" i="15"/>
  <c r="CW118" i="15"/>
  <c r="CX118" i="15"/>
  <c r="CY118" i="15"/>
  <c r="CZ118" i="15"/>
  <c r="DA118" i="15"/>
  <c r="DB118" i="15"/>
  <c r="DC118" i="15"/>
  <c r="DD118" i="15"/>
  <c r="DE118" i="15"/>
  <c r="DF118" i="15"/>
  <c r="DG118" i="15"/>
  <c r="DH118" i="15"/>
  <c r="DI118" i="15"/>
  <c r="DJ118" i="15"/>
  <c r="DK118" i="15"/>
  <c r="DL118" i="15"/>
  <c r="DM118" i="15"/>
  <c r="DN118" i="15"/>
  <c r="DO118" i="15"/>
  <c r="DP118" i="15"/>
  <c r="DQ118" i="15"/>
  <c r="DR118" i="15"/>
  <c r="DS118" i="15"/>
  <c r="DT118" i="15"/>
  <c r="DU118" i="15"/>
  <c r="DV118" i="15"/>
  <c r="DW118" i="15"/>
  <c r="DX118" i="15"/>
  <c r="DY118" i="15"/>
  <c r="DZ118" i="15"/>
  <c r="EA118" i="15"/>
  <c r="EB118" i="15"/>
  <c r="EC118" i="15"/>
  <c r="ED118" i="15"/>
  <c r="EE118" i="15"/>
  <c r="EF118" i="15"/>
  <c r="EG118" i="15"/>
  <c r="EH118" i="15"/>
  <c r="EI118" i="15"/>
  <c r="EJ118" i="15"/>
  <c r="EK118" i="15"/>
  <c r="EL118" i="15"/>
  <c r="EM118" i="15"/>
  <c r="EN118" i="15"/>
  <c r="EO118" i="15"/>
  <c r="EP118" i="15"/>
  <c r="EQ118" i="15"/>
  <c r="ER118" i="15"/>
  <c r="ES118" i="15"/>
  <c r="ET118" i="15"/>
  <c r="EU118" i="15"/>
  <c r="EV118" i="15"/>
  <c r="EW118" i="15"/>
  <c r="EX118" i="15"/>
  <c r="EY118" i="15"/>
  <c r="EZ118" i="15"/>
  <c r="FA118" i="15"/>
  <c r="FB118" i="15"/>
  <c r="FC118" i="15"/>
  <c r="FD118" i="15"/>
  <c r="FE118" i="15"/>
  <c r="FF118" i="15"/>
  <c r="FG118" i="15"/>
  <c r="FH118" i="15"/>
  <c r="FI118" i="15"/>
  <c r="FJ118" i="15"/>
  <c r="FK118" i="15"/>
  <c r="FL118" i="15"/>
  <c r="FM118" i="15"/>
  <c r="FN118" i="15"/>
  <c r="FO118" i="15"/>
  <c r="FP118" i="15"/>
  <c r="FQ118" i="15"/>
  <c r="FR118" i="15"/>
  <c r="FS118" i="15"/>
  <c r="FT118" i="15"/>
  <c r="FU118" i="15"/>
  <c r="FV118" i="15"/>
  <c r="FW118" i="15"/>
  <c r="FX118" i="15"/>
  <c r="FY118" i="15"/>
  <c r="FZ118" i="15"/>
  <c r="GA118" i="15"/>
  <c r="GB118" i="15"/>
  <c r="GC118" i="15"/>
  <c r="GD118" i="15"/>
  <c r="GE118" i="15"/>
  <c r="GF118" i="15"/>
  <c r="GG118" i="15"/>
  <c r="GH118" i="15"/>
  <c r="GI118" i="15"/>
  <c r="GJ118" i="15"/>
  <c r="GK118" i="15"/>
  <c r="GL118" i="15"/>
  <c r="GM118" i="15"/>
  <c r="GN118" i="15"/>
  <c r="GO118" i="15"/>
  <c r="GP118" i="15"/>
  <c r="GQ118" i="15"/>
  <c r="GR118" i="15"/>
  <c r="GS118" i="15"/>
  <c r="GT118" i="15"/>
  <c r="GU118" i="15"/>
  <c r="GV118" i="15"/>
  <c r="GW118" i="15"/>
  <c r="GX118" i="15"/>
  <c r="GY118" i="15"/>
  <c r="GZ118" i="15"/>
  <c r="HA118" i="15"/>
  <c r="HB118" i="15"/>
  <c r="HC118" i="15"/>
  <c r="HD118" i="15"/>
  <c r="HE118" i="15"/>
  <c r="HF118" i="15"/>
  <c r="HG118" i="15"/>
  <c r="HH118" i="15"/>
  <c r="HI118" i="15"/>
  <c r="HJ118" i="15"/>
  <c r="HK118" i="15"/>
  <c r="HL118" i="15"/>
  <c r="HM118" i="15"/>
  <c r="HN118" i="15"/>
  <c r="HO118" i="15"/>
  <c r="HP118" i="15"/>
  <c r="HQ118" i="15"/>
  <c r="HR118" i="15"/>
  <c r="HS118" i="15"/>
  <c r="HT118" i="15"/>
  <c r="HU118" i="15"/>
  <c r="HV118" i="15"/>
  <c r="HW118" i="15"/>
  <c r="HX118" i="15"/>
  <c r="HY118" i="15"/>
  <c r="HZ118" i="15"/>
  <c r="IA118" i="15"/>
  <c r="IB118" i="15"/>
  <c r="IC118" i="15"/>
  <c r="ID118" i="15"/>
  <c r="IE118" i="15"/>
  <c r="IF118" i="15"/>
  <c r="IG118" i="15"/>
  <c r="IH118" i="15"/>
  <c r="II118" i="15"/>
  <c r="IJ118" i="15"/>
  <c r="IK118" i="15"/>
  <c r="IL118" i="15"/>
  <c r="IM118" i="15"/>
  <c r="IN118" i="15"/>
  <c r="IO118" i="15"/>
  <c r="IP118" i="15"/>
  <c r="IQ118" i="15"/>
  <c r="IR118" i="15"/>
  <c r="IS118" i="15"/>
  <c r="IT118" i="15"/>
  <c r="IU118" i="15"/>
  <c r="IV118" i="15"/>
  <c r="A119" i="15"/>
  <c r="B119" i="15"/>
  <c r="C119" i="15"/>
  <c r="D119" i="15"/>
  <c r="E119" i="15"/>
  <c r="F119" i="15"/>
  <c r="G119" i="15"/>
  <c r="H119" i="15"/>
  <c r="I119" i="15"/>
  <c r="J119" i="15"/>
  <c r="K119" i="15"/>
  <c r="L119" i="15"/>
  <c r="M119" i="15"/>
  <c r="N119" i="15"/>
  <c r="O119" i="15"/>
  <c r="P119" i="15"/>
  <c r="Q119" i="15"/>
  <c r="R119" i="15"/>
  <c r="S119" i="15"/>
  <c r="T119" i="15"/>
  <c r="U119" i="15"/>
  <c r="V119" i="15"/>
  <c r="W119" i="15"/>
  <c r="X119" i="15"/>
  <c r="Y119" i="15"/>
  <c r="Z119" i="15"/>
  <c r="AA119" i="15"/>
  <c r="AB119" i="15"/>
  <c r="AC119" i="15"/>
  <c r="AD119" i="15"/>
  <c r="AE119" i="15"/>
  <c r="AF119" i="15"/>
  <c r="AG119" i="15"/>
  <c r="AH119" i="15"/>
  <c r="AI119" i="15"/>
  <c r="AJ119" i="15"/>
  <c r="AK119" i="15"/>
  <c r="AL119" i="15"/>
  <c r="AM119" i="15"/>
  <c r="AN119" i="15"/>
  <c r="AO119" i="15"/>
  <c r="AP119" i="15"/>
  <c r="AQ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V119" i="15"/>
  <c r="BW119" i="15"/>
  <c r="BX119" i="15"/>
  <c r="BY119" i="15"/>
  <c r="BZ119" i="15"/>
  <c r="CA119" i="15"/>
  <c r="CB119" i="15"/>
  <c r="CC119" i="15"/>
  <c r="CD119" i="15"/>
  <c r="CE119" i="15"/>
  <c r="CF119" i="15"/>
  <c r="CG119" i="15"/>
  <c r="CH119" i="15"/>
  <c r="CI119" i="15"/>
  <c r="CJ119" i="15"/>
  <c r="CK119" i="15"/>
  <c r="CL119" i="15"/>
  <c r="CM119" i="15"/>
  <c r="CN119" i="15"/>
  <c r="CO119" i="15"/>
  <c r="CP119" i="15"/>
  <c r="CQ119" i="15"/>
  <c r="CR119" i="15"/>
  <c r="CS119" i="15"/>
  <c r="CT119" i="15"/>
  <c r="CU119" i="15"/>
  <c r="CV119" i="15"/>
  <c r="CW119" i="15"/>
  <c r="CX119" i="15"/>
  <c r="CY119" i="15"/>
  <c r="CZ119" i="15"/>
  <c r="DA119" i="15"/>
  <c r="DB119" i="15"/>
  <c r="DC119" i="15"/>
  <c r="DD119" i="15"/>
  <c r="DE119" i="15"/>
  <c r="DF119" i="15"/>
  <c r="DG119" i="15"/>
  <c r="DH119" i="15"/>
  <c r="DI119" i="15"/>
  <c r="DJ119" i="15"/>
  <c r="DK119" i="15"/>
  <c r="DL119" i="15"/>
  <c r="DM119" i="15"/>
  <c r="DN119" i="15"/>
  <c r="DO119" i="15"/>
  <c r="DP119" i="15"/>
  <c r="DQ119" i="15"/>
  <c r="DR119" i="15"/>
  <c r="DS119" i="15"/>
  <c r="DT119" i="15"/>
  <c r="DU119" i="15"/>
  <c r="DV119" i="15"/>
  <c r="DW119" i="15"/>
  <c r="DX119" i="15"/>
  <c r="DY119" i="15"/>
  <c r="DZ119" i="15"/>
  <c r="EA119" i="15"/>
  <c r="EB119" i="15"/>
  <c r="EC119" i="15"/>
  <c r="ED119" i="15"/>
  <c r="EE119" i="15"/>
  <c r="EF119" i="15"/>
  <c r="EG119" i="15"/>
  <c r="EH119" i="15"/>
  <c r="EI119" i="15"/>
  <c r="EJ119" i="15"/>
  <c r="EK119" i="15"/>
  <c r="EL119" i="15"/>
  <c r="EM119" i="15"/>
  <c r="EN119" i="15"/>
  <c r="EO119" i="15"/>
  <c r="EP119" i="15"/>
  <c r="EQ119" i="15"/>
  <c r="ER119" i="15"/>
  <c r="ES119" i="15"/>
  <c r="ET119" i="15"/>
  <c r="EU119" i="15"/>
  <c r="EV119" i="15"/>
  <c r="EW119" i="15"/>
  <c r="EX119" i="15"/>
  <c r="EY119" i="15"/>
  <c r="EZ119" i="15"/>
  <c r="FA119" i="15"/>
  <c r="FB119" i="15"/>
  <c r="FC119" i="15"/>
  <c r="FD119" i="15"/>
  <c r="FE119" i="15"/>
  <c r="FF119" i="15"/>
  <c r="FG119" i="15"/>
  <c r="FH119" i="15"/>
  <c r="FI119" i="15"/>
  <c r="FJ119" i="15"/>
  <c r="FK119" i="15"/>
  <c r="FL119" i="15"/>
  <c r="FM119" i="15"/>
  <c r="FN119" i="15"/>
  <c r="FO119" i="15"/>
  <c r="FP119" i="15"/>
  <c r="FQ119" i="15"/>
  <c r="FR119" i="15"/>
  <c r="FS119" i="15"/>
  <c r="FT119" i="15"/>
  <c r="FU119" i="15"/>
  <c r="FV119" i="15"/>
  <c r="FW119" i="15"/>
  <c r="FX119" i="15"/>
  <c r="FY119" i="15"/>
  <c r="FZ119" i="15"/>
  <c r="GA119" i="15"/>
  <c r="GB119" i="15"/>
  <c r="GC119" i="15"/>
  <c r="GD119" i="15"/>
  <c r="GE119" i="15"/>
  <c r="GF119" i="15"/>
  <c r="GG119" i="15"/>
  <c r="GH119" i="15"/>
  <c r="GI119" i="15"/>
  <c r="GJ119" i="15"/>
  <c r="GK119" i="15"/>
  <c r="GL119" i="15"/>
  <c r="GM119" i="15"/>
  <c r="GN119" i="15"/>
  <c r="GO119" i="15"/>
  <c r="GP119" i="15"/>
  <c r="GQ119" i="15"/>
  <c r="GR119" i="15"/>
  <c r="GS119" i="15"/>
  <c r="GT119" i="15"/>
  <c r="GU119" i="15"/>
  <c r="GV119" i="15"/>
  <c r="GW119" i="15"/>
  <c r="GX119" i="15"/>
  <c r="GY119" i="15"/>
  <c r="GZ119" i="15"/>
  <c r="HA119" i="15"/>
  <c r="HB119" i="15"/>
  <c r="HC119" i="15"/>
  <c r="HD119" i="15"/>
  <c r="HE119" i="15"/>
  <c r="HF119" i="15"/>
  <c r="HG119" i="15"/>
  <c r="HH119" i="15"/>
  <c r="HI119" i="15"/>
  <c r="HJ119" i="15"/>
  <c r="HK119" i="15"/>
  <c r="HL119" i="15"/>
  <c r="HM119" i="15"/>
  <c r="HN119" i="15"/>
  <c r="HO119" i="15"/>
  <c r="HP119" i="15"/>
  <c r="HQ119" i="15"/>
  <c r="HR119" i="15"/>
  <c r="HS119" i="15"/>
  <c r="HT119" i="15"/>
  <c r="HU119" i="15"/>
  <c r="HV119" i="15"/>
  <c r="HW119" i="15"/>
  <c r="HX119" i="15"/>
  <c r="HY119" i="15"/>
  <c r="HZ119" i="15"/>
  <c r="IA119" i="15"/>
  <c r="IB119" i="15"/>
  <c r="IC119" i="15"/>
  <c r="ID119" i="15"/>
  <c r="IE119" i="15"/>
  <c r="IF119" i="15"/>
  <c r="IG119" i="15"/>
  <c r="IH119" i="15"/>
  <c r="II119" i="15"/>
  <c r="IJ119" i="15"/>
  <c r="IK119" i="15"/>
  <c r="IL119" i="15"/>
  <c r="IM119" i="15"/>
  <c r="IN119" i="15"/>
  <c r="IO119" i="15"/>
  <c r="IP119" i="15"/>
  <c r="IQ119" i="15"/>
  <c r="IR119" i="15"/>
  <c r="IS119" i="15"/>
  <c r="IT119" i="15"/>
  <c r="IU119" i="15"/>
  <c r="IV119" i="15"/>
  <c r="A120" i="15"/>
  <c r="B120" i="15"/>
  <c r="C120" i="15"/>
  <c r="D120" i="15"/>
  <c r="E120" i="15"/>
  <c r="F120" i="15"/>
  <c r="G120" i="15"/>
  <c r="H120" i="15"/>
  <c r="I120" i="15"/>
  <c r="J120" i="15"/>
  <c r="K120" i="15"/>
  <c r="L120" i="15"/>
  <c r="M120" i="15"/>
  <c r="N120" i="15"/>
  <c r="O120" i="15"/>
  <c r="P120" i="15"/>
  <c r="Q120" i="15"/>
  <c r="R120" i="15"/>
  <c r="S120" i="15"/>
  <c r="T120" i="15"/>
  <c r="U120" i="15"/>
  <c r="V120" i="15"/>
  <c r="W120" i="15"/>
  <c r="X120" i="15"/>
  <c r="Y120" i="15"/>
  <c r="Z120" i="15"/>
  <c r="AA120" i="15"/>
  <c r="AB120" i="15"/>
  <c r="AC120" i="15"/>
  <c r="AD120" i="15"/>
  <c r="AE120" i="15"/>
  <c r="AF120" i="15"/>
  <c r="AG120" i="15"/>
  <c r="AH120" i="15"/>
  <c r="AI120" i="15"/>
  <c r="AJ120" i="15"/>
  <c r="AK120" i="15"/>
  <c r="AL120" i="15"/>
  <c r="AM120" i="15"/>
  <c r="AN120" i="15"/>
  <c r="AO120" i="15"/>
  <c r="AP120" i="15"/>
  <c r="AQ120" i="15"/>
  <c r="AR120" i="15"/>
  <c r="AS120" i="15"/>
  <c r="AT120" i="15"/>
  <c r="AU120" i="15"/>
  <c r="AV120" i="15"/>
  <c r="AW120" i="15"/>
  <c r="AX120" i="15"/>
  <c r="AY120" i="15"/>
  <c r="AZ120" i="15"/>
  <c r="BA120" i="15"/>
  <c r="BB120" i="15"/>
  <c r="BC120" i="15"/>
  <c r="BD120" i="15"/>
  <c r="BE120" i="15"/>
  <c r="BF120" i="15"/>
  <c r="BG120" i="15"/>
  <c r="BH120" i="15"/>
  <c r="BI120" i="15"/>
  <c r="BJ120" i="15"/>
  <c r="BK120" i="15"/>
  <c r="BL120" i="15"/>
  <c r="BM120" i="15"/>
  <c r="BN120" i="15"/>
  <c r="BO120" i="15"/>
  <c r="BP120" i="15"/>
  <c r="BQ120" i="15"/>
  <c r="BR120" i="15"/>
  <c r="BS120" i="15"/>
  <c r="BT120" i="15"/>
  <c r="BU120" i="15"/>
  <c r="BV120" i="15"/>
  <c r="BW120" i="15"/>
  <c r="BX120" i="15"/>
  <c r="BY120" i="15"/>
  <c r="BZ120" i="15"/>
  <c r="CA120" i="15"/>
  <c r="CB120" i="15"/>
  <c r="CC120" i="15"/>
  <c r="CD120" i="15"/>
  <c r="CE120" i="15"/>
  <c r="CF120" i="15"/>
  <c r="CG120" i="15"/>
  <c r="CH120" i="15"/>
  <c r="CI120" i="15"/>
  <c r="CJ120" i="15"/>
  <c r="CK120" i="15"/>
  <c r="CL120" i="15"/>
  <c r="CM120" i="15"/>
  <c r="CN120" i="15"/>
  <c r="CO120" i="15"/>
  <c r="CP120" i="15"/>
  <c r="CQ120" i="15"/>
  <c r="CR120" i="15"/>
  <c r="CS120" i="15"/>
  <c r="CT120" i="15"/>
  <c r="CU120" i="15"/>
  <c r="CV120" i="15"/>
  <c r="CW120" i="15"/>
  <c r="CX120" i="15"/>
  <c r="CY120" i="15"/>
  <c r="CZ120" i="15"/>
  <c r="DA120" i="15"/>
  <c r="DB120" i="15"/>
  <c r="DC120" i="15"/>
  <c r="DD120" i="15"/>
  <c r="DE120" i="15"/>
  <c r="DF120" i="15"/>
  <c r="DG120" i="15"/>
  <c r="DH120" i="15"/>
  <c r="DI120" i="15"/>
  <c r="DJ120" i="15"/>
  <c r="DK120" i="15"/>
  <c r="DL120" i="15"/>
  <c r="DM120" i="15"/>
  <c r="DN120" i="15"/>
  <c r="DO120" i="15"/>
  <c r="DP120" i="15"/>
  <c r="DQ120" i="15"/>
  <c r="DR120" i="15"/>
  <c r="DS120" i="15"/>
  <c r="DT120" i="15"/>
  <c r="DU120" i="15"/>
  <c r="DV120" i="15"/>
  <c r="DW120" i="15"/>
  <c r="DX120" i="15"/>
  <c r="DY120" i="15"/>
  <c r="DZ120" i="15"/>
  <c r="EA120" i="15"/>
  <c r="EB120" i="15"/>
  <c r="EC120" i="15"/>
  <c r="ED120" i="15"/>
  <c r="EE120" i="15"/>
  <c r="EF120" i="15"/>
  <c r="EG120" i="15"/>
  <c r="EH120" i="15"/>
  <c r="EI120" i="15"/>
  <c r="EJ120" i="15"/>
  <c r="EK120" i="15"/>
  <c r="EL120" i="15"/>
  <c r="EM120" i="15"/>
  <c r="EN120" i="15"/>
  <c r="EO120" i="15"/>
  <c r="EP120" i="15"/>
  <c r="EQ120" i="15"/>
  <c r="ER120" i="15"/>
  <c r="ES120" i="15"/>
  <c r="ET120" i="15"/>
  <c r="EU120" i="15"/>
  <c r="EV120" i="15"/>
  <c r="EW120" i="15"/>
  <c r="EX120" i="15"/>
  <c r="EY120" i="15"/>
  <c r="EZ120" i="15"/>
  <c r="FA120" i="15"/>
  <c r="FB120" i="15"/>
  <c r="FC120" i="15"/>
  <c r="FD120" i="15"/>
  <c r="FE120" i="15"/>
  <c r="FF120" i="15"/>
  <c r="FG120" i="15"/>
  <c r="FH120" i="15"/>
  <c r="FI120" i="15"/>
  <c r="FJ120" i="15"/>
  <c r="FK120" i="15"/>
  <c r="FL120" i="15"/>
  <c r="FM120" i="15"/>
  <c r="FN120" i="15"/>
  <c r="FO120" i="15"/>
  <c r="FP120" i="15"/>
  <c r="FQ120" i="15"/>
  <c r="FR120" i="15"/>
  <c r="FS120" i="15"/>
  <c r="FT120" i="15"/>
  <c r="FU120" i="15"/>
  <c r="FV120" i="15"/>
  <c r="FW120" i="15"/>
  <c r="FX120" i="15"/>
  <c r="FY120" i="15"/>
  <c r="FZ120" i="15"/>
  <c r="GA120" i="15"/>
  <c r="GB120" i="15"/>
  <c r="GC120" i="15"/>
  <c r="GD120" i="15"/>
  <c r="GE120" i="15"/>
  <c r="GF120" i="15"/>
  <c r="GG120" i="15"/>
  <c r="GH120" i="15"/>
  <c r="GI120" i="15"/>
  <c r="GJ120" i="15"/>
  <c r="GK120" i="15"/>
  <c r="GL120" i="15"/>
  <c r="GM120" i="15"/>
  <c r="GN120" i="15"/>
  <c r="GO120" i="15"/>
  <c r="GP120" i="15"/>
  <c r="GQ120" i="15"/>
  <c r="GR120" i="15"/>
  <c r="GS120" i="15"/>
  <c r="GT120" i="15"/>
  <c r="GU120" i="15"/>
  <c r="GV120" i="15"/>
  <c r="GW120" i="15"/>
  <c r="GX120" i="15"/>
  <c r="GY120" i="15"/>
  <c r="GZ120" i="15"/>
  <c r="HA120" i="15"/>
  <c r="HB120" i="15"/>
  <c r="HC120" i="15"/>
  <c r="HD120" i="15"/>
  <c r="HE120" i="15"/>
  <c r="HF120" i="15"/>
  <c r="HG120" i="15"/>
  <c r="HH120" i="15"/>
  <c r="HI120" i="15"/>
  <c r="HJ120" i="15"/>
  <c r="HK120" i="15"/>
  <c r="HL120" i="15"/>
  <c r="HM120" i="15"/>
  <c r="HN120" i="15"/>
  <c r="HO120" i="15"/>
  <c r="HP120" i="15"/>
  <c r="HQ120" i="15"/>
  <c r="HR120" i="15"/>
  <c r="HS120" i="15"/>
  <c r="HT120" i="15"/>
  <c r="HU120" i="15"/>
  <c r="HV120" i="15"/>
  <c r="HW120" i="15"/>
  <c r="HX120" i="15"/>
  <c r="HY120" i="15"/>
  <c r="HZ120" i="15"/>
  <c r="IA120" i="15"/>
  <c r="IB120" i="15"/>
  <c r="IC120" i="15"/>
  <c r="ID120" i="15"/>
  <c r="IE120" i="15"/>
  <c r="IF120" i="15"/>
  <c r="IG120" i="15"/>
  <c r="IH120" i="15"/>
  <c r="II120" i="15"/>
  <c r="IJ120" i="15"/>
  <c r="IK120" i="15"/>
  <c r="IL120" i="15"/>
  <c r="IM120" i="15"/>
  <c r="IN120" i="15"/>
  <c r="IO120" i="15"/>
  <c r="IP120" i="15"/>
  <c r="IQ120" i="15"/>
  <c r="IR120" i="15"/>
  <c r="IS120" i="15"/>
  <c r="IT120" i="15"/>
  <c r="IU120" i="15"/>
  <c r="IV120" i="15"/>
  <c r="A121" i="15"/>
  <c r="B121" i="15"/>
  <c r="C121" i="15"/>
  <c r="D121" i="15"/>
  <c r="E121" i="15"/>
  <c r="F121" i="15"/>
  <c r="G121" i="15"/>
  <c r="H121" i="15"/>
  <c r="I121" i="15"/>
  <c r="J121" i="15"/>
  <c r="K121" i="15"/>
  <c r="L121" i="15"/>
  <c r="M121" i="15"/>
  <c r="N121" i="15"/>
  <c r="O121" i="15"/>
  <c r="P121" i="15"/>
  <c r="Q121" i="15"/>
  <c r="R121" i="15"/>
  <c r="S121" i="15"/>
  <c r="T121" i="15"/>
  <c r="U121" i="15"/>
  <c r="V121" i="15"/>
  <c r="W121" i="15"/>
  <c r="X121" i="15"/>
  <c r="Y121" i="15"/>
  <c r="Z121" i="15"/>
  <c r="AA121" i="15"/>
  <c r="AB121" i="15"/>
  <c r="AC121" i="15"/>
  <c r="AD121" i="15"/>
  <c r="AE121" i="15"/>
  <c r="AF121" i="15"/>
  <c r="AG121" i="15"/>
  <c r="AH121" i="15"/>
  <c r="AI121" i="15"/>
  <c r="AJ121" i="15"/>
  <c r="AK121" i="15"/>
  <c r="AL121" i="15"/>
  <c r="AM121" i="15"/>
  <c r="AN121" i="15"/>
  <c r="AO121" i="15"/>
  <c r="AP121" i="15"/>
  <c r="AQ121" i="15"/>
  <c r="AR121" i="15"/>
  <c r="AS121" i="15"/>
  <c r="AT121" i="15"/>
  <c r="AU121" i="15"/>
  <c r="AV121" i="15"/>
  <c r="AW121" i="15"/>
  <c r="AX121" i="15"/>
  <c r="AY121" i="15"/>
  <c r="AZ121" i="15"/>
  <c r="BA121" i="15"/>
  <c r="BB121" i="15"/>
  <c r="BC121" i="15"/>
  <c r="BD121" i="15"/>
  <c r="BE121" i="15"/>
  <c r="BF121" i="15"/>
  <c r="BG121" i="15"/>
  <c r="BH121" i="15"/>
  <c r="BI121" i="15"/>
  <c r="BJ121" i="15"/>
  <c r="BK121" i="15"/>
  <c r="BL121" i="15"/>
  <c r="BM121" i="15"/>
  <c r="BN121" i="15"/>
  <c r="BO121" i="15"/>
  <c r="BP121" i="15"/>
  <c r="BQ121" i="15"/>
  <c r="BR121" i="15"/>
  <c r="BS121" i="15"/>
  <c r="BT121" i="15"/>
  <c r="BU121" i="15"/>
  <c r="BV121" i="15"/>
  <c r="BW121" i="15"/>
  <c r="BX121" i="15"/>
  <c r="BY121" i="15"/>
  <c r="BZ121" i="15"/>
  <c r="CA121" i="15"/>
  <c r="CB121" i="15"/>
  <c r="CC121" i="15"/>
  <c r="CD121" i="15"/>
  <c r="CE121" i="15"/>
  <c r="CF121" i="15"/>
  <c r="CG121" i="15"/>
  <c r="CH121" i="15"/>
  <c r="CI121" i="15"/>
  <c r="CJ121" i="15"/>
  <c r="CK121" i="15"/>
  <c r="CL121" i="15"/>
  <c r="CM121" i="15"/>
  <c r="CN121" i="15"/>
  <c r="CO121" i="15"/>
  <c r="CP121" i="15"/>
  <c r="CQ121" i="15"/>
  <c r="CR121" i="15"/>
  <c r="CS121" i="15"/>
  <c r="CT121" i="15"/>
  <c r="CU121" i="15"/>
  <c r="CV121" i="15"/>
  <c r="CW121" i="15"/>
  <c r="CX121" i="15"/>
  <c r="CY121" i="15"/>
  <c r="CZ121" i="15"/>
  <c r="DA121" i="15"/>
  <c r="DB121" i="15"/>
  <c r="DC121" i="15"/>
  <c r="DD121" i="15"/>
  <c r="DE121" i="15"/>
  <c r="DF121" i="15"/>
  <c r="DG121" i="15"/>
  <c r="DH121" i="15"/>
  <c r="DI121" i="15"/>
  <c r="DJ121" i="15"/>
  <c r="DK121" i="15"/>
  <c r="DL121" i="15"/>
  <c r="DM121" i="15"/>
  <c r="DN121" i="15"/>
  <c r="DO121" i="15"/>
  <c r="DP121" i="15"/>
  <c r="DQ121" i="15"/>
  <c r="DR121" i="15"/>
  <c r="DS121" i="15"/>
  <c r="DT121" i="15"/>
  <c r="DU121" i="15"/>
  <c r="DV121" i="15"/>
  <c r="DW121" i="15"/>
  <c r="DX121" i="15"/>
  <c r="DY121" i="15"/>
  <c r="DZ121" i="15"/>
  <c r="EA121" i="15"/>
  <c r="EB121" i="15"/>
  <c r="EC121" i="15"/>
  <c r="ED121" i="15"/>
  <c r="EE121" i="15"/>
  <c r="EF121" i="15"/>
  <c r="EG121" i="15"/>
  <c r="EH121" i="15"/>
  <c r="EI121" i="15"/>
  <c r="EJ121" i="15"/>
  <c r="EK121" i="15"/>
  <c r="EL121" i="15"/>
  <c r="EM121" i="15"/>
  <c r="EN121" i="15"/>
  <c r="EO121" i="15"/>
  <c r="EP121" i="15"/>
  <c r="EQ121" i="15"/>
  <c r="ER121" i="15"/>
  <c r="ES121" i="15"/>
  <c r="ET121" i="15"/>
  <c r="EU121" i="15"/>
  <c r="EV121" i="15"/>
  <c r="EW121" i="15"/>
  <c r="EX121" i="15"/>
  <c r="EY121" i="15"/>
  <c r="EZ121" i="15"/>
  <c r="FA121" i="15"/>
  <c r="FB121" i="15"/>
  <c r="FC121" i="15"/>
  <c r="FD121" i="15"/>
  <c r="FE121" i="15"/>
  <c r="FF121" i="15"/>
  <c r="FG121" i="15"/>
  <c r="FH121" i="15"/>
  <c r="FI121" i="15"/>
  <c r="FJ121" i="15"/>
  <c r="FK121" i="15"/>
  <c r="FL121" i="15"/>
  <c r="FM121" i="15"/>
  <c r="FN121" i="15"/>
  <c r="FO121" i="15"/>
  <c r="FP121" i="15"/>
  <c r="FQ121" i="15"/>
  <c r="FR121" i="15"/>
  <c r="FS121" i="15"/>
  <c r="FT121" i="15"/>
  <c r="FU121" i="15"/>
  <c r="FV121" i="15"/>
  <c r="FW121" i="15"/>
  <c r="FX121" i="15"/>
  <c r="FY121" i="15"/>
  <c r="FZ121" i="15"/>
  <c r="GA121" i="15"/>
  <c r="GB121" i="15"/>
  <c r="GC121" i="15"/>
  <c r="GD121" i="15"/>
  <c r="GE121" i="15"/>
  <c r="GF121" i="15"/>
  <c r="GG121" i="15"/>
  <c r="GH121" i="15"/>
  <c r="GI121" i="15"/>
  <c r="GJ121" i="15"/>
  <c r="GK121" i="15"/>
  <c r="GL121" i="15"/>
  <c r="GM121" i="15"/>
  <c r="GN121" i="15"/>
  <c r="GO121" i="15"/>
  <c r="GP121" i="15"/>
  <c r="GQ121" i="15"/>
  <c r="GR121" i="15"/>
  <c r="GS121" i="15"/>
  <c r="GT121" i="15"/>
  <c r="GU121" i="15"/>
  <c r="GV121" i="15"/>
  <c r="GW121" i="15"/>
  <c r="GX121" i="15"/>
  <c r="GY121" i="15"/>
  <c r="GZ121" i="15"/>
  <c r="HA121" i="15"/>
  <c r="HB121" i="15"/>
  <c r="HC121" i="15"/>
  <c r="HD121" i="15"/>
  <c r="HE121" i="15"/>
  <c r="HF121" i="15"/>
  <c r="HG121" i="15"/>
  <c r="HH121" i="15"/>
  <c r="HI121" i="15"/>
  <c r="HJ121" i="15"/>
  <c r="HK121" i="15"/>
  <c r="HL121" i="15"/>
  <c r="HM121" i="15"/>
  <c r="HN121" i="15"/>
  <c r="HO121" i="15"/>
  <c r="HP121" i="15"/>
  <c r="HQ121" i="15"/>
  <c r="HR121" i="15"/>
  <c r="HS121" i="15"/>
  <c r="HT121" i="15"/>
  <c r="HU121" i="15"/>
  <c r="HV121" i="15"/>
  <c r="HW121" i="15"/>
  <c r="HX121" i="15"/>
  <c r="HY121" i="15"/>
  <c r="HZ121" i="15"/>
  <c r="IA121" i="15"/>
  <c r="IB121" i="15"/>
  <c r="IC121" i="15"/>
  <c r="ID121" i="15"/>
  <c r="IE121" i="15"/>
  <c r="IF121" i="15"/>
  <c r="IG121" i="15"/>
  <c r="IH121" i="15"/>
  <c r="II121" i="15"/>
  <c r="IJ121" i="15"/>
  <c r="IK121" i="15"/>
  <c r="IL121" i="15"/>
  <c r="IM121" i="15"/>
  <c r="IN121" i="15"/>
  <c r="IO121" i="15"/>
  <c r="IP121" i="15"/>
  <c r="IQ121" i="15"/>
  <c r="IR121" i="15"/>
  <c r="IS121" i="15"/>
  <c r="IT121" i="15"/>
  <c r="IU121" i="15"/>
  <c r="IV121" i="15"/>
  <c r="A122" i="15"/>
  <c r="B122" i="15"/>
  <c r="C122" i="15"/>
  <c r="D122" i="15"/>
  <c r="E122" i="15"/>
  <c r="F122" i="15"/>
  <c r="G122" i="15"/>
  <c r="H122" i="15"/>
  <c r="I122" i="15"/>
  <c r="J122" i="15"/>
  <c r="K122" i="15"/>
  <c r="L122" i="15"/>
  <c r="M122" i="15"/>
  <c r="N122" i="15"/>
  <c r="O122" i="15"/>
  <c r="P122" i="15"/>
  <c r="Q122" i="15"/>
  <c r="R122" i="15"/>
  <c r="S122" i="15"/>
  <c r="T122" i="15"/>
  <c r="U122" i="15"/>
  <c r="V122" i="15"/>
  <c r="W122" i="15"/>
  <c r="X122" i="15"/>
  <c r="Y122" i="15"/>
  <c r="Z122" i="15"/>
  <c r="AA122" i="15"/>
  <c r="AB122" i="15"/>
  <c r="AC122" i="15"/>
  <c r="AD122" i="15"/>
  <c r="AE122" i="15"/>
  <c r="AF122" i="15"/>
  <c r="AG122" i="15"/>
  <c r="AH122" i="15"/>
  <c r="AI122" i="15"/>
  <c r="AJ122" i="15"/>
  <c r="AK122" i="15"/>
  <c r="AL122" i="15"/>
  <c r="AM122" i="15"/>
  <c r="AN122" i="15"/>
  <c r="AO122" i="15"/>
  <c r="AP122" i="15"/>
  <c r="AQ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W122" i="15"/>
  <c r="BX122" i="15"/>
  <c r="BY122" i="15"/>
  <c r="BZ122" i="15"/>
  <c r="CA122" i="15"/>
  <c r="CB122" i="15"/>
  <c r="CC122" i="15"/>
  <c r="CD122" i="15"/>
  <c r="CE122" i="15"/>
  <c r="CF122" i="15"/>
  <c r="CG122" i="15"/>
  <c r="CH122" i="15"/>
  <c r="CI122" i="15"/>
  <c r="CJ122" i="15"/>
  <c r="CK122" i="15"/>
  <c r="CL122" i="15"/>
  <c r="CM122" i="15"/>
  <c r="CN122" i="15"/>
  <c r="CO122" i="15"/>
  <c r="CP122" i="15"/>
  <c r="CQ122" i="15"/>
  <c r="CR122" i="15"/>
  <c r="CS122" i="15"/>
  <c r="CT122" i="15"/>
  <c r="CU122" i="15"/>
  <c r="CV122" i="15"/>
  <c r="CW122" i="15"/>
  <c r="CX122" i="15"/>
  <c r="CY122" i="15"/>
  <c r="CZ122" i="15"/>
  <c r="DA122" i="15"/>
  <c r="DB122" i="15"/>
  <c r="DC122" i="15"/>
  <c r="DD122" i="15"/>
  <c r="DE122" i="15"/>
  <c r="DF122" i="15"/>
  <c r="DG122" i="15"/>
  <c r="DH122" i="15"/>
  <c r="DI122" i="15"/>
  <c r="DJ122" i="15"/>
  <c r="DK122" i="15"/>
  <c r="DL122" i="15"/>
  <c r="DM122" i="15"/>
  <c r="DN122" i="15"/>
  <c r="DO122" i="15"/>
  <c r="DP122" i="15"/>
  <c r="DQ122" i="15"/>
  <c r="DR122" i="15"/>
  <c r="DS122" i="15"/>
  <c r="DT122" i="15"/>
  <c r="DU122" i="15"/>
  <c r="DV122" i="15"/>
  <c r="DW122" i="15"/>
  <c r="DX122" i="15"/>
  <c r="DY122" i="15"/>
  <c r="DZ122" i="15"/>
  <c r="EA122" i="15"/>
  <c r="EB122" i="15"/>
  <c r="EC122" i="15"/>
  <c r="ED122" i="15"/>
  <c r="EE122" i="15"/>
  <c r="EF122" i="15"/>
  <c r="EG122" i="15"/>
  <c r="EH122" i="15"/>
  <c r="EI122" i="15"/>
  <c r="EJ122" i="15"/>
  <c r="EK122" i="15"/>
  <c r="EL122" i="15"/>
  <c r="EM122" i="15"/>
  <c r="EN122" i="15"/>
  <c r="EO122" i="15"/>
  <c r="EP122" i="15"/>
  <c r="EQ122" i="15"/>
  <c r="ER122" i="15"/>
  <c r="ES122" i="15"/>
  <c r="ET122" i="15"/>
  <c r="EU122" i="15"/>
  <c r="EV122" i="15"/>
  <c r="EW122" i="15"/>
  <c r="EX122" i="15"/>
  <c r="EY122" i="15"/>
  <c r="EZ122" i="15"/>
  <c r="FA122" i="15"/>
  <c r="FB122" i="15"/>
  <c r="FC122" i="15"/>
  <c r="FD122" i="15"/>
  <c r="FE122" i="15"/>
  <c r="FF122" i="15"/>
  <c r="FG122" i="15"/>
  <c r="FH122" i="15"/>
  <c r="FI122" i="15"/>
  <c r="FJ122" i="15"/>
  <c r="FK122" i="15"/>
  <c r="FL122" i="15"/>
  <c r="FM122" i="15"/>
  <c r="FN122" i="15"/>
  <c r="FO122" i="15"/>
  <c r="FP122" i="15"/>
  <c r="FQ122" i="15"/>
  <c r="FR122" i="15"/>
  <c r="FS122" i="15"/>
  <c r="FT122" i="15"/>
  <c r="FU122" i="15"/>
  <c r="FV122" i="15"/>
  <c r="FW122" i="15"/>
  <c r="FX122" i="15"/>
  <c r="FY122" i="15"/>
  <c r="FZ122" i="15"/>
  <c r="GA122" i="15"/>
  <c r="GB122" i="15"/>
  <c r="GC122" i="15"/>
  <c r="GD122" i="15"/>
  <c r="GE122" i="15"/>
  <c r="GF122" i="15"/>
  <c r="GG122" i="15"/>
  <c r="GH122" i="15"/>
  <c r="GI122" i="15"/>
  <c r="GJ122" i="15"/>
  <c r="GK122" i="15"/>
  <c r="GL122" i="15"/>
  <c r="GM122" i="15"/>
  <c r="GN122" i="15"/>
  <c r="GO122" i="15"/>
  <c r="GP122" i="15"/>
  <c r="GQ122" i="15"/>
  <c r="GR122" i="15"/>
  <c r="GS122" i="15"/>
  <c r="GT122" i="15"/>
  <c r="GU122" i="15"/>
  <c r="GV122" i="15"/>
  <c r="GW122" i="15"/>
  <c r="GX122" i="15"/>
  <c r="GY122" i="15"/>
  <c r="GZ122" i="15"/>
  <c r="HA122" i="15"/>
  <c r="HB122" i="15"/>
  <c r="HC122" i="15"/>
  <c r="HD122" i="15"/>
  <c r="HE122" i="15"/>
  <c r="HF122" i="15"/>
  <c r="HG122" i="15"/>
  <c r="HH122" i="15"/>
  <c r="HI122" i="15"/>
  <c r="HJ122" i="15"/>
  <c r="HK122" i="15"/>
  <c r="HL122" i="15"/>
  <c r="HM122" i="15"/>
  <c r="HN122" i="15"/>
  <c r="HO122" i="15"/>
  <c r="HP122" i="15"/>
  <c r="HQ122" i="15"/>
  <c r="HR122" i="15"/>
  <c r="HS122" i="15"/>
  <c r="HT122" i="15"/>
  <c r="HU122" i="15"/>
  <c r="HV122" i="15"/>
  <c r="HW122" i="15"/>
  <c r="HX122" i="15"/>
  <c r="HY122" i="15"/>
  <c r="HZ122" i="15"/>
  <c r="IA122" i="15"/>
  <c r="IB122" i="15"/>
  <c r="IC122" i="15"/>
  <c r="ID122" i="15"/>
  <c r="IE122" i="15"/>
  <c r="IF122" i="15"/>
  <c r="IG122" i="15"/>
  <c r="IH122" i="15"/>
  <c r="II122" i="15"/>
  <c r="IJ122" i="15"/>
  <c r="IK122" i="15"/>
  <c r="IL122" i="15"/>
  <c r="IM122" i="15"/>
  <c r="IN122" i="15"/>
  <c r="IO122" i="15"/>
  <c r="IP122" i="15"/>
  <c r="IQ122" i="15"/>
  <c r="IR122" i="15"/>
  <c r="IS122" i="15"/>
  <c r="IT122" i="15"/>
  <c r="IU122" i="15"/>
  <c r="IV122" i="15"/>
  <c r="A123" i="15"/>
  <c r="B123" i="15"/>
  <c r="C123" i="15"/>
  <c r="D123" i="15"/>
  <c r="E123" i="15"/>
  <c r="F123" i="15"/>
  <c r="G123" i="15"/>
  <c r="H123" i="15"/>
  <c r="I123" i="15"/>
  <c r="J123" i="15"/>
  <c r="K123" i="15"/>
  <c r="L123" i="15"/>
  <c r="M123" i="15"/>
  <c r="N123" i="15"/>
  <c r="O123" i="15"/>
  <c r="P123" i="15"/>
  <c r="Q123" i="15"/>
  <c r="R123" i="15"/>
  <c r="S123" i="15"/>
  <c r="T123" i="15"/>
  <c r="U123" i="15"/>
  <c r="V123" i="15"/>
  <c r="W123" i="15"/>
  <c r="X123" i="15"/>
  <c r="Y123" i="15"/>
  <c r="Z123" i="15"/>
  <c r="AA123" i="15"/>
  <c r="AB123" i="15"/>
  <c r="AC123" i="15"/>
  <c r="AD123" i="15"/>
  <c r="AE123" i="15"/>
  <c r="AF123" i="15"/>
  <c r="AG123" i="15"/>
  <c r="AH123" i="15"/>
  <c r="AI123" i="15"/>
  <c r="AJ123" i="15"/>
  <c r="AK123" i="15"/>
  <c r="AL123" i="15"/>
  <c r="AM123" i="15"/>
  <c r="AN123" i="15"/>
  <c r="AO123" i="15"/>
  <c r="AP123" i="15"/>
  <c r="AQ123" i="15"/>
  <c r="AR123" i="15"/>
  <c r="AS123" i="15"/>
  <c r="AT123" i="15"/>
  <c r="AU123" i="15"/>
  <c r="AV123" i="15"/>
  <c r="AW123" i="15"/>
  <c r="AX123" i="15"/>
  <c r="AY123" i="15"/>
  <c r="AZ123" i="15"/>
  <c r="BA123" i="15"/>
  <c r="BB123" i="15"/>
  <c r="BC123" i="15"/>
  <c r="BD123" i="15"/>
  <c r="BE123" i="15"/>
  <c r="BF123" i="15"/>
  <c r="BG123" i="15"/>
  <c r="BH123" i="15"/>
  <c r="BI123" i="15"/>
  <c r="BJ123" i="15"/>
  <c r="BK123" i="15"/>
  <c r="BL123" i="15"/>
  <c r="BM123" i="15"/>
  <c r="BN123" i="15"/>
  <c r="BO123" i="15"/>
  <c r="BP123" i="15"/>
  <c r="BQ123" i="15"/>
  <c r="BR123" i="15"/>
  <c r="BS123" i="15"/>
  <c r="BT123" i="15"/>
  <c r="BU123" i="15"/>
  <c r="BV123" i="15"/>
  <c r="BW123" i="15"/>
  <c r="BX123" i="15"/>
  <c r="BY123" i="15"/>
  <c r="BZ123" i="15"/>
  <c r="CA123" i="15"/>
  <c r="CB123" i="15"/>
  <c r="CC123" i="15"/>
  <c r="CD123" i="15"/>
  <c r="CE123" i="15"/>
  <c r="CF123" i="15"/>
  <c r="CG123" i="15"/>
  <c r="CH123" i="15"/>
  <c r="CI123" i="15"/>
  <c r="CJ123" i="15"/>
  <c r="CK123" i="15"/>
  <c r="CL123" i="15"/>
  <c r="CM123" i="15"/>
  <c r="CN123" i="15"/>
  <c r="CO123" i="15"/>
  <c r="CP123" i="15"/>
  <c r="CQ123" i="15"/>
  <c r="CR123" i="15"/>
  <c r="CS123" i="15"/>
  <c r="CT123" i="15"/>
  <c r="CU123" i="15"/>
  <c r="CV123" i="15"/>
  <c r="CW123" i="15"/>
  <c r="CX123" i="15"/>
  <c r="CY123" i="15"/>
  <c r="CZ123" i="15"/>
  <c r="DA123" i="15"/>
  <c r="DB123" i="15"/>
  <c r="DC123" i="15"/>
  <c r="DD123" i="15"/>
  <c r="DE123" i="15"/>
  <c r="DF123" i="15"/>
  <c r="DG123" i="15"/>
  <c r="DH123" i="15"/>
  <c r="DI123" i="15"/>
  <c r="DJ123" i="15"/>
  <c r="DK123" i="15"/>
  <c r="DL123" i="15"/>
  <c r="DM123" i="15"/>
  <c r="DN123" i="15"/>
  <c r="DO123" i="15"/>
  <c r="DP123" i="15"/>
  <c r="DQ123" i="15"/>
  <c r="DR123" i="15"/>
  <c r="DS123" i="15"/>
  <c r="DT123" i="15"/>
  <c r="DU123" i="15"/>
  <c r="DV123" i="15"/>
  <c r="DW123" i="15"/>
  <c r="DX123" i="15"/>
  <c r="DY123" i="15"/>
  <c r="DZ123" i="15"/>
  <c r="EA123" i="15"/>
  <c r="EB123" i="15"/>
  <c r="EC123" i="15"/>
  <c r="ED123" i="15"/>
  <c r="EE123" i="15"/>
  <c r="EF123" i="15"/>
  <c r="EG123" i="15"/>
  <c r="EH123" i="15"/>
  <c r="EI123" i="15"/>
  <c r="EJ123" i="15"/>
  <c r="EK123" i="15"/>
  <c r="EL123" i="15"/>
  <c r="EM123" i="15"/>
  <c r="EN123" i="15"/>
  <c r="EO123" i="15"/>
  <c r="EP123" i="15"/>
  <c r="EQ123" i="15"/>
  <c r="ER123" i="15"/>
  <c r="ES123" i="15"/>
  <c r="ET123" i="15"/>
  <c r="EU123" i="15"/>
  <c r="EV123" i="15"/>
  <c r="EW123" i="15"/>
  <c r="EX123" i="15"/>
  <c r="EY123" i="15"/>
  <c r="EZ123" i="15"/>
  <c r="FA123" i="15"/>
  <c r="FB123" i="15"/>
  <c r="FC123" i="15"/>
  <c r="FD123" i="15"/>
  <c r="FE123" i="15"/>
  <c r="FF123" i="15"/>
  <c r="FG123" i="15"/>
  <c r="FH123" i="15"/>
  <c r="FI123" i="15"/>
  <c r="FJ123" i="15"/>
  <c r="FK123" i="15"/>
  <c r="FL123" i="15"/>
  <c r="FM123" i="15"/>
  <c r="FN123" i="15"/>
  <c r="FO123" i="15"/>
  <c r="FP123" i="15"/>
  <c r="FQ123" i="15"/>
  <c r="FR123" i="15"/>
  <c r="FS123" i="15"/>
  <c r="FT123" i="15"/>
  <c r="FU123" i="15"/>
  <c r="FV123" i="15"/>
  <c r="FW123" i="15"/>
  <c r="FX123" i="15"/>
  <c r="FY123" i="15"/>
  <c r="FZ123" i="15"/>
  <c r="GA123" i="15"/>
  <c r="GB123" i="15"/>
  <c r="GC123" i="15"/>
  <c r="GD123" i="15"/>
  <c r="GE123" i="15"/>
  <c r="GF123" i="15"/>
  <c r="GG123" i="15"/>
  <c r="GH123" i="15"/>
  <c r="GI123" i="15"/>
  <c r="GJ123" i="15"/>
  <c r="GK123" i="15"/>
  <c r="GL123" i="15"/>
  <c r="GM123" i="15"/>
  <c r="GN123" i="15"/>
  <c r="GO123" i="15"/>
  <c r="GP123" i="15"/>
  <c r="GQ123" i="15"/>
  <c r="GR123" i="15"/>
  <c r="GS123" i="15"/>
  <c r="GT123" i="15"/>
  <c r="GU123" i="15"/>
  <c r="GV123" i="15"/>
  <c r="GW123" i="15"/>
  <c r="GX123" i="15"/>
  <c r="GY123" i="15"/>
  <c r="GZ123" i="15"/>
  <c r="HA123" i="15"/>
  <c r="HB123" i="15"/>
  <c r="HC123" i="15"/>
  <c r="HD123" i="15"/>
  <c r="HE123" i="15"/>
  <c r="HF123" i="15"/>
  <c r="HG123" i="15"/>
  <c r="HH123" i="15"/>
  <c r="HI123" i="15"/>
  <c r="HJ123" i="15"/>
  <c r="HK123" i="15"/>
  <c r="HL123" i="15"/>
  <c r="HM123" i="15"/>
  <c r="HN123" i="15"/>
  <c r="HO123" i="15"/>
  <c r="HP123" i="15"/>
  <c r="HQ123" i="15"/>
  <c r="HR123" i="15"/>
  <c r="HS123" i="15"/>
  <c r="HT123" i="15"/>
  <c r="HU123" i="15"/>
  <c r="HV123" i="15"/>
  <c r="HW123" i="15"/>
  <c r="HX123" i="15"/>
  <c r="HY123" i="15"/>
  <c r="HZ123" i="15"/>
  <c r="IA123" i="15"/>
  <c r="IB123" i="15"/>
  <c r="IC123" i="15"/>
  <c r="ID123" i="15"/>
  <c r="IE123" i="15"/>
  <c r="IF123" i="15"/>
  <c r="IG123" i="15"/>
  <c r="IH123" i="15"/>
  <c r="II123" i="15"/>
  <c r="IJ123" i="15"/>
  <c r="IK123" i="15"/>
  <c r="IL123" i="15"/>
  <c r="IM123" i="15"/>
  <c r="IN123" i="15"/>
  <c r="IO123" i="15"/>
  <c r="IP123" i="15"/>
  <c r="IQ123" i="15"/>
  <c r="IR123" i="15"/>
  <c r="IS123" i="15"/>
  <c r="IT123" i="15"/>
  <c r="IU123" i="15"/>
  <c r="IV123" i="15"/>
  <c r="A124" i="15"/>
  <c r="B124" i="15"/>
  <c r="C124" i="15"/>
  <c r="D124" i="15"/>
  <c r="E124" i="15"/>
  <c r="F124" i="15"/>
  <c r="G124" i="15"/>
  <c r="H124" i="15"/>
  <c r="I124" i="15"/>
  <c r="J124" i="15"/>
  <c r="K124" i="15"/>
  <c r="L124" i="15"/>
  <c r="M124" i="15"/>
  <c r="N124" i="15"/>
  <c r="O124" i="15"/>
  <c r="P124" i="15"/>
  <c r="Q124" i="15"/>
  <c r="R124" i="15"/>
  <c r="S124" i="15"/>
  <c r="T124" i="15"/>
  <c r="U124" i="15"/>
  <c r="V124" i="15"/>
  <c r="W124" i="15"/>
  <c r="X124" i="15"/>
  <c r="Y124" i="15"/>
  <c r="Z124" i="15"/>
  <c r="AA124" i="15"/>
  <c r="AB124" i="15"/>
  <c r="AC124" i="15"/>
  <c r="AD124" i="15"/>
  <c r="AE124" i="15"/>
  <c r="AF124" i="15"/>
  <c r="AG124" i="15"/>
  <c r="AH124" i="15"/>
  <c r="AI124" i="15"/>
  <c r="AJ124" i="15"/>
  <c r="AK124" i="15"/>
  <c r="AL124" i="15"/>
  <c r="AM124" i="15"/>
  <c r="AN124" i="15"/>
  <c r="AO124" i="15"/>
  <c r="AP124" i="15"/>
  <c r="AQ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U124" i="15"/>
  <c r="BV124" i="15"/>
  <c r="BW124" i="15"/>
  <c r="BX124" i="15"/>
  <c r="BY124" i="15"/>
  <c r="BZ124" i="15"/>
  <c r="CA124" i="15"/>
  <c r="CB124" i="15"/>
  <c r="CC124" i="15"/>
  <c r="CD124" i="15"/>
  <c r="CE124" i="15"/>
  <c r="CF124" i="15"/>
  <c r="CG124" i="15"/>
  <c r="CH124" i="15"/>
  <c r="CI124" i="15"/>
  <c r="CJ124" i="15"/>
  <c r="CK124" i="15"/>
  <c r="CL124" i="15"/>
  <c r="CM124" i="15"/>
  <c r="CN124" i="15"/>
  <c r="CO124" i="15"/>
  <c r="CP124" i="15"/>
  <c r="CQ124" i="15"/>
  <c r="CR124" i="15"/>
  <c r="CS124" i="15"/>
  <c r="CT124" i="15"/>
  <c r="CU124" i="15"/>
  <c r="CV124" i="15"/>
  <c r="CW124" i="15"/>
  <c r="CX124" i="15"/>
  <c r="CY124" i="15"/>
  <c r="CZ124" i="15"/>
  <c r="DA124" i="15"/>
  <c r="DB124" i="15"/>
  <c r="DC124" i="15"/>
  <c r="DD124" i="15"/>
  <c r="DE124" i="15"/>
  <c r="DF124" i="15"/>
  <c r="DG124" i="15"/>
  <c r="DH124" i="15"/>
  <c r="DI124" i="15"/>
  <c r="DJ124" i="15"/>
  <c r="DK124" i="15"/>
  <c r="DL124" i="15"/>
  <c r="DM124" i="15"/>
  <c r="DN124" i="15"/>
  <c r="DO124" i="15"/>
  <c r="DP124" i="15"/>
  <c r="DQ124" i="15"/>
  <c r="DR124" i="15"/>
  <c r="DS124" i="15"/>
  <c r="DT124" i="15"/>
  <c r="DU124" i="15"/>
  <c r="DV124" i="15"/>
  <c r="DW124" i="15"/>
  <c r="DX124" i="15"/>
  <c r="DY124" i="15"/>
  <c r="DZ124" i="15"/>
  <c r="EA124" i="15"/>
  <c r="EB124" i="15"/>
  <c r="EC124" i="15"/>
  <c r="ED124" i="15"/>
  <c r="EE124" i="15"/>
  <c r="EF124" i="15"/>
  <c r="EG124" i="15"/>
  <c r="EH124" i="15"/>
  <c r="EI124" i="15"/>
  <c r="EJ124" i="15"/>
  <c r="EK124" i="15"/>
  <c r="EL124" i="15"/>
  <c r="EM124" i="15"/>
  <c r="EN124" i="15"/>
  <c r="EO124" i="15"/>
  <c r="EP124" i="15"/>
  <c r="EQ124" i="15"/>
  <c r="ER124" i="15"/>
  <c r="ES124" i="15"/>
  <c r="ET124" i="15"/>
  <c r="EU124" i="15"/>
  <c r="EV124" i="15"/>
  <c r="EW124" i="15"/>
  <c r="EX124" i="15"/>
  <c r="EY124" i="15"/>
  <c r="EZ124" i="15"/>
  <c r="FA124" i="15"/>
  <c r="FB124" i="15"/>
  <c r="FC124" i="15"/>
  <c r="FD124" i="15"/>
  <c r="FE124" i="15"/>
  <c r="FF124" i="15"/>
  <c r="FG124" i="15"/>
  <c r="FH124" i="15"/>
  <c r="FI124" i="15"/>
  <c r="FJ124" i="15"/>
  <c r="FK124" i="15"/>
  <c r="FL124" i="15"/>
  <c r="FM124" i="15"/>
  <c r="FN124" i="15"/>
  <c r="FO124" i="15"/>
  <c r="FP124" i="15"/>
  <c r="FQ124" i="15"/>
  <c r="FR124" i="15"/>
  <c r="FS124" i="15"/>
  <c r="FT124" i="15"/>
  <c r="FU124" i="15"/>
  <c r="FV124" i="15"/>
  <c r="FW124" i="15"/>
  <c r="FX124" i="15"/>
  <c r="FY124" i="15"/>
  <c r="FZ124" i="15"/>
  <c r="GA124" i="15"/>
  <c r="GB124" i="15"/>
  <c r="GC124" i="15"/>
  <c r="GD124" i="15"/>
  <c r="GE124" i="15"/>
  <c r="GF124" i="15"/>
  <c r="GG124" i="15"/>
  <c r="GH124" i="15"/>
  <c r="GI124" i="15"/>
  <c r="GJ124" i="15"/>
  <c r="GK124" i="15"/>
  <c r="GL124" i="15"/>
  <c r="GM124" i="15"/>
  <c r="GN124" i="15"/>
  <c r="GO124" i="15"/>
  <c r="GP124" i="15"/>
  <c r="GQ124" i="15"/>
  <c r="GR124" i="15"/>
  <c r="GS124" i="15"/>
  <c r="GT124" i="15"/>
  <c r="GU124" i="15"/>
  <c r="GV124" i="15"/>
  <c r="GW124" i="15"/>
  <c r="GX124" i="15"/>
  <c r="GY124" i="15"/>
  <c r="GZ124" i="15"/>
  <c r="HA124" i="15"/>
  <c r="HB124" i="15"/>
  <c r="HC124" i="15"/>
  <c r="HD124" i="15"/>
  <c r="HE124" i="15"/>
  <c r="HF124" i="15"/>
  <c r="HG124" i="15"/>
  <c r="HH124" i="15"/>
  <c r="HI124" i="15"/>
  <c r="HJ124" i="15"/>
  <c r="HK124" i="15"/>
  <c r="HL124" i="15"/>
  <c r="HM124" i="15"/>
  <c r="HN124" i="15"/>
  <c r="HO124" i="15"/>
  <c r="HP124" i="15"/>
  <c r="HQ124" i="15"/>
  <c r="HR124" i="15"/>
  <c r="HS124" i="15"/>
  <c r="HT124" i="15"/>
  <c r="HU124" i="15"/>
  <c r="HV124" i="15"/>
  <c r="HW124" i="15"/>
  <c r="HX124" i="15"/>
  <c r="HY124" i="15"/>
  <c r="HZ124" i="15"/>
  <c r="IA124" i="15"/>
  <c r="IB124" i="15"/>
  <c r="IC124" i="15"/>
  <c r="ID124" i="15"/>
  <c r="IE124" i="15"/>
  <c r="IF124" i="15"/>
  <c r="IG124" i="15"/>
  <c r="IH124" i="15"/>
  <c r="II124" i="15"/>
  <c r="IJ124" i="15"/>
  <c r="IK124" i="15"/>
  <c r="IL124" i="15"/>
  <c r="IM124" i="15"/>
  <c r="IN124" i="15"/>
  <c r="IO124" i="15"/>
  <c r="IP124" i="15"/>
  <c r="IQ124" i="15"/>
  <c r="IR124" i="15"/>
  <c r="IS124" i="15"/>
  <c r="IT124" i="15"/>
  <c r="IU124" i="15"/>
  <c r="IV124" i="15"/>
  <c r="A125" i="15"/>
  <c r="B125" i="15"/>
  <c r="C125" i="15"/>
  <c r="D125" i="15"/>
  <c r="E125" i="15"/>
  <c r="F125" i="15"/>
  <c r="G125" i="15"/>
  <c r="H125" i="15"/>
  <c r="I125" i="15"/>
  <c r="J125" i="15"/>
  <c r="K125" i="15"/>
  <c r="L125" i="15"/>
  <c r="M125" i="15"/>
  <c r="N125" i="15"/>
  <c r="O125" i="15"/>
  <c r="P125" i="15"/>
  <c r="Q125" i="15"/>
  <c r="R125" i="15"/>
  <c r="S125" i="15"/>
  <c r="T125" i="15"/>
  <c r="U125" i="15"/>
  <c r="V125" i="15"/>
  <c r="W125" i="15"/>
  <c r="X125" i="15"/>
  <c r="Y125" i="15"/>
  <c r="Z125" i="15"/>
  <c r="AA125" i="15"/>
  <c r="AB125" i="15"/>
  <c r="AC125" i="15"/>
  <c r="AD125" i="15"/>
  <c r="AE125" i="15"/>
  <c r="AF125" i="15"/>
  <c r="AG125" i="15"/>
  <c r="AH125" i="15"/>
  <c r="AI125" i="15"/>
  <c r="AJ125" i="15"/>
  <c r="AK125" i="15"/>
  <c r="AL125" i="15"/>
  <c r="AM125" i="15"/>
  <c r="AN125" i="15"/>
  <c r="AO125" i="15"/>
  <c r="AP125" i="15"/>
  <c r="AQ125" i="15"/>
  <c r="AR125" i="15"/>
  <c r="AS125" i="15"/>
  <c r="AT125" i="15"/>
  <c r="AU125" i="15"/>
  <c r="AV125" i="15"/>
  <c r="AW125" i="15"/>
  <c r="AX125" i="15"/>
  <c r="AY125" i="15"/>
  <c r="AZ125" i="15"/>
  <c r="BA125" i="15"/>
  <c r="BB125" i="15"/>
  <c r="BC125" i="15"/>
  <c r="BD125" i="15"/>
  <c r="BE125" i="15"/>
  <c r="BF125" i="15"/>
  <c r="BG125" i="15"/>
  <c r="BH125" i="15"/>
  <c r="BI125" i="15"/>
  <c r="BJ125" i="15"/>
  <c r="BK125" i="15"/>
  <c r="BL125" i="15"/>
  <c r="BM125" i="15"/>
  <c r="BN125" i="15"/>
  <c r="BO125" i="15"/>
  <c r="BP125" i="15"/>
  <c r="BQ125" i="15"/>
  <c r="BR125" i="15"/>
  <c r="BS125" i="15"/>
  <c r="BT125" i="15"/>
  <c r="BU125" i="15"/>
  <c r="BV125" i="15"/>
  <c r="BW125" i="15"/>
  <c r="BX125" i="15"/>
  <c r="BY125" i="15"/>
  <c r="BZ125" i="15"/>
  <c r="CA125" i="15"/>
  <c r="CB125" i="15"/>
  <c r="CC125" i="15"/>
  <c r="CD125" i="15"/>
  <c r="CE125" i="15"/>
  <c r="CF125" i="15"/>
  <c r="CG125" i="15"/>
  <c r="CH125" i="15"/>
  <c r="CI125" i="15"/>
  <c r="CJ125" i="15"/>
  <c r="CK125" i="15"/>
  <c r="CL125" i="15"/>
  <c r="CM125" i="15"/>
  <c r="CN125" i="15"/>
  <c r="CO125" i="15"/>
  <c r="CP125" i="15"/>
  <c r="CQ125" i="15"/>
  <c r="CR125" i="15"/>
  <c r="CS125" i="15"/>
  <c r="CT125" i="15"/>
  <c r="CU125" i="15"/>
  <c r="CV125" i="15"/>
  <c r="CW125" i="15"/>
  <c r="CX125" i="15"/>
  <c r="CY125" i="15"/>
  <c r="CZ125" i="15"/>
  <c r="DA125" i="15"/>
  <c r="DB125" i="15"/>
  <c r="DC125" i="15"/>
  <c r="DD125" i="15"/>
  <c r="DE125" i="15"/>
  <c r="DF125" i="15"/>
  <c r="DG125" i="15"/>
  <c r="DH125" i="15"/>
  <c r="DI125" i="15"/>
  <c r="DJ125" i="15"/>
  <c r="DK125" i="15"/>
  <c r="DL125" i="15"/>
  <c r="DM125" i="15"/>
  <c r="DN125" i="15"/>
  <c r="DO125" i="15"/>
  <c r="DP125" i="15"/>
  <c r="DQ125" i="15"/>
  <c r="DR125" i="15"/>
  <c r="DS125" i="15"/>
  <c r="DT125" i="15"/>
  <c r="DU125" i="15"/>
  <c r="DV125" i="15"/>
  <c r="DW125" i="15"/>
  <c r="DX125" i="15"/>
  <c r="DY125" i="15"/>
  <c r="DZ125" i="15"/>
  <c r="EA125" i="15"/>
  <c r="EB125" i="15"/>
  <c r="EC125" i="15"/>
  <c r="ED125" i="15"/>
  <c r="EE125" i="15"/>
  <c r="EF125" i="15"/>
  <c r="EG125" i="15"/>
  <c r="EH125" i="15"/>
  <c r="EI125" i="15"/>
  <c r="EJ125" i="15"/>
  <c r="EK125" i="15"/>
  <c r="EL125" i="15"/>
  <c r="EM125" i="15"/>
  <c r="EN125" i="15"/>
  <c r="EO125" i="15"/>
  <c r="EP125" i="15"/>
  <c r="EQ125" i="15"/>
  <c r="ER125" i="15"/>
  <c r="ES125" i="15"/>
  <c r="ET125" i="15"/>
  <c r="EU125" i="15"/>
  <c r="EV125" i="15"/>
  <c r="EW125" i="15"/>
  <c r="EX125" i="15"/>
  <c r="EY125" i="15"/>
  <c r="EZ125" i="15"/>
  <c r="FA125" i="15"/>
  <c r="FB125" i="15"/>
  <c r="FC125" i="15"/>
  <c r="FD125" i="15"/>
  <c r="FE125" i="15"/>
  <c r="FF125" i="15"/>
  <c r="FG125" i="15"/>
  <c r="FH125" i="15"/>
  <c r="FI125" i="15"/>
  <c r="FJ125" i="15"/>
  <c r="FK125" i="15"/>
  <c r="FL125" i="15"/>
  <c r="FM125" i="15"/>
  <c r="FN125" i="15"/>
  <c r="FO125" i="15"/>
  <c r="FP125" i="15"/>
  <c r="FQ125" i="15"/>
  <c r="FR125" i="15"/>
  <c r="FS125" i="15"/>
  <c r="FT125" i="15"/>
  <c r="FU125" i="15"/>
  <c r="FV125" i="15"/>
  <c r="FW125" i="15"/>
  <c r="FX125" i="15"/>
  <c r="FY125" i="15"/>
  <c r="FZ125" i="15"/>
  <c r="GA125" i="15"/>
  <c r="GB125" i="15"/>
  <c r="GC125" i="15"/>
  <c r="GD125" i="15"/>
  <c r="GE125" i="15"/>
  <c r="GF125" i="15"/>
  <c r="GG125" i="15"/>
  <c r="GH125" i="15"/>
  <c r="GI125" i="15"/>
  <c r="GJ125" i="15"/>
  <c r="GK125" i="15"/>
  <c r="GL125" i="15"/>
  <c r="GM125" i="15"/>
  <c r="GN125" i="15"/>
  <c r="GO125" i="15"/>
  <c r="GP125" i="15"/>
  <c r="GQ125" i="15"/>
  <c r="GR125" i="15"/>
  <c r="GS125" i="15"/>
  <c r="GT125" i="15"/>
  <c r="GU125" i="15"/>
  <c r="GV125" i="15"/>
  <c r="GW125" i="15"/>
  <c r="GX125" i="15"/>
  <c r="GY125" i="15"/>
  <c r="GZ125" i="15"/>
  <c r="HA125" i="15"/>
  <c r="HB125" i="15"/>
  <c r="HC125" i="15"/>
  <c r="HD125" i="15"/>
  <c r="HE125" i="15"/>
  <c r="HF125" i="15"/>
  <c r="HG125" i="15"/>
  <c r="HH125" i="15"/>
  <c r="HI125" i="15"/>
  <c r="HJ125" i="15"/>
  <c r="HK125" i="15"/>
  <c r="HL125" i="15"/>
  <c r="HM125" i="15"/>
  <c r="HN125" i="15"/>
  <c r="HO125" i="15"/>
  <c r="HP125" i="15"/>
  <c r="HQ125" i="15"/>
  <c r="HR125" i="15"/>
  <c r="HS125" i="15"/>
  <c r="HT125" i="15"/>
  <c r="HU125" i="15"/>
  <c r="HV125" i="15"/>
  <c r="HW125" i="15"/>
  <c r="HX125" i="15"/>
  <c r="HY125" i="15"/>
  <c r="HZ125" i="15"/>
  <c r="IA125" i="15"/>
  <c r="IB125" i="15"/>
  <c r="IC125" i="15"/>
  <c r="ID125" i="15"/>
  <c r="IE125" i="15"/>
  <c r="IF125" i="15"/>
  <c r="IG125" i="15"/>
  <c r="IH125" i="15"/>
  <c r="II125" i="15"/>
  <c r="IJ125" i="15"/>
  <c r="IK125" i="15"/>
  <c r="IL125" i="15"/>
  <c r="IM125" i="15"/>
  <c r="IN125" i="15"/>
  <c r="IO125" i="15"/>
  <c r="IP125" i="15"/>
  <c r="IQ125" i="15"/>
  <c r="IR125" i="15"/>
  <c r="IS125" i="15"/>
  <c r="IT125" i="15"/>
  <c r="IU125" i="15"/>
  <c r="IV125" i="15"/>
  <c r="A126" i="15"/>
  <c r="B126" i="15"/>
  <c r="C126" i="15"/>
  <c r="D126" i="15"/>
  <c r="E126" i="15"/>
  <c r="F126" i="15"/>
  <c r="G126" i="15"/>
  <c r="H126" i="15"/>
  <c r="I126" i="15"/>
  <c r="J126" i="15"/>
  <c r="K126" i="15"/>
  <c r="L126" i="15"/>
  <c r="M126" i="15"/>
  <c r="N126" i="15"/>
  <c r="O126" i="15"/>
  <c r="P126" i="15"/>
  <c r="Q126" i="15"/>
  <c r="R126" i="15"/>
  <c r="S126" i="15"/>
  <c r="T126" i="15"/>
  <c r="U126" i="15"/>
  <c r="V126" i="15"/>
  <c r="W126" i="15"/>
  <c r="X126" i="15"/>
  <c r="Y126" i="15"/>
  <c r="Z126" i="15"/>
  <c r="AA126" i="15"/>
  <c r="AB126" i="15"/>
  <c r="AC126" i="15"/>
  <c r="AD126" i="15"/>
  <c r="AE126" i="15"/>
  <c r="AF126" i="15"/>
  <c r="AG126" i="15"/>
  <c r="AH126" i="15"/>
  <c r="AI126" i="15"/>
  <c r="AJ126" i="15"/>
  <c r="AK126" i="15"/>
  <c r="AL126" i="15"/>
  <c r="AM126" i="15"/>
  <c r="AN126" i="15"/>
  <c r="AO126" i="15"/>
  <c r="AP126" i="15"/>
  <c r="AQ126" i="15"/>
  <c r="AR126" i="15"/>
  <c r="AS126" i="15"/>
  <c r="AT126" i="15"/>
  <c r="AU126" i="15"/>
  <c r="AV126" i="15"/>
  <c r="AW126" i="15"/>
  <c r="AX126" i="15"/>
  <c r="AY126" i="15"/>
  <c r="AZ126" i="15"/>
  <c r="BA126" i="15"/>
  <c r="BB126" i="15"/>
  <c r="BC126" i="15"/>
  <c r="BD126" i="15"/>
  <c r="BE126" i="15"/>
  <c r="BF126" i="15"/>
  <c r="BG126" i="15"/>
  <c r="BH126" i="15"/>
  <c r="BI126" i="15"/>
  <c r="BJ126" i="15"/>
  <c r="BK126" i="15"/>
  <c r="BL126" i="15"/>
  <c r="BM126" i="15"/>
  <c r="BN126" i="15"/>
  <c r="BO126" i="15"/>
  <c r="BP126" i="15"/>
  <c r="BQ126" i="15"/>
  <c r="BR126" i="15"/>
  <c r="BS126" i="15"/>
  <c r="BT126" i="15"/>
  <c r="BU126" i="15"/>
  <c r="BV126" i="15"/>
  <c r="BW126" i="15"/>
  <c r="BX126" i="15"/>
  <c r="BY126" i="15"/>
  <c r="BZ126" i="15"/>
  <c r="CA126" i="15"/>
  <c r="CB126" i="15"/>
  <c r="CC126" i="15"/>
  <c r="CD126" i="15"/>
  <c r="CE126" i="15"/>
  <c r="CF126" i="15"/>
  <c r="CG126" i="15"/>
  <c r="CH126" i="15"/>
  <c r="CI126" i="15"/>
  <c r="CJ126" i="15"/>
  <c r="CK126" i="15"/>
  <c r="CL126" i="15"/>
  <c r="CM126" i="15"/>
  <c r="CN126" i="15"/>
  <c r="CO126" i="15"/>
  <c r="CP126" i="15"/>
  <c r="CQ126" i="15"/>
  <c r="CR126" i="15"/>
  <c r="CS126" i="15"/>
  <c r="CT126" i="15"/>
  <c r="CU126" i="15"/>
  <c r="CV126" i="15"/>
  <c r="CW126" i="15"/>
  <c r="CX126" i="15"/>
  <c r="CY126" i="15"/>
  <c r="CZ126" i="15"/>
  <c r="DA126" i="15"/>
  <c r="DB126" i="15"/>
  <c r="DC126" i="15"/>
  <c r="DD126" i="15"/>
  <c r="DE126" i="15"/>
  <c r="DF126" i="15"/>
  <c r="DG126" i="15"/>
  <c r="DH126" i="15"/>
  <c r="DI126" i="15"/>
  <c r="DJ126" i="15"/>
  <c r="DK126" i="15"/>
  <c r="DL126" i="15"/>
  <c r="DM126" i="15"/>
  <c r="DN126" i="15"/>
  <c r="DO126" i="15"/>
  <c r="DP126" i="15"/>
  <c r="DQ126" i="15"/>
  <c r="DR126" i="15"/>
  <c r="DS126" i="15"/>
  <c r="DT126" i="15"/>
  <c r="DU126" i="15"/>
  <c r="DV126" i="15"/>
  <c r="DW126" i="15"/>
  <c r="DX126" i="15"/>
  <c r="DY126" i="15"/>
  <c r="DZ126" i="15"/>
  <c r="EA126" i="15"/>
  <c r="EB126" i="15"/>
  <c r="EC126" i="15"/>
  <c r="ED126" i="15"/>
  <c r="EE126" i="15"/>
  <c r="EF126" i="15"/>
  <c r="EG126" i="15"/>
  <c r="EH126" i="15"/>
  <c r="EI126" i="15"/>
  <c r="EJ126" i="15"/>
  <c r="EK126" i="15"/>
  <c r="EL126" i="15"/>
  <c r="EM126" i="15"/>
  <c r="EN126" i="15"/>
  <c r="EO126" i="15"/>
  <c r="EP126" i="15"/>
  <c r="EQ126" i="15"/>
  <c r="ER126" i="15"/>
  <c r="ES126" i="15"/>
  <c r="ET126" i="15"/>
  <c r="EU126" i="15"/>
  <c r="EV126" i="15"/>
  <c r="EW126" i="15"/>
  <c r="EX126" i="15"/>
  <c r="EY126" i="15"/>
  <c r="EZ126" i="15"/>
  <c r="FA126" i="15"/>
  <c r="FB126" i="15"/>
  <c r="FC126" i="15"/>
  <c r="FD126" i="15"/>
  <c r="FE126" i="15"/>
  <c r="FF126" i="15"/>
  <c r="FG126" i="15"/>
  <c r="FH126" i="15"/>
  <c r="FI126" i="15"/>
  <c r="FJ126" i="15"/>
  <c r="FK126" i="15"/>
  <c r="FL126" i="15"/>
  <c r="FM126" i="15"/>
  <c r="FN126" i="15"/>
  <c r="FO126" i="15"/>
  <c r="FP126" i="15"/>
  <c r="FQ126" i="15"/>
  <c r="FR126" i="15"/>
  <c r="FS126" i="15"/>
  <c r="FT126" i="15"/>
  <c r="FU126" i="15"/>
  <c r="FV126" i="15"/>
  <c r="FW126" i="15"/>
  <c r="FX126" i="15"/>
  <c r="FY126" i="15"/>
  <c r="FZ126" i="15"/>
  <c r="GA126" i="15"/>
  <c r="GB126" i="15"/>
  <c r="GC126" i="15"/>
  <c r="GD126" i="15"/>
  <c r="GE126" i="15"/>
  <c r="GF126" i="15"/>
  <c r="GG126" i="15"/>
  <c r="GH126" i="15"/>
  <c r="GI126" i="15"/>
  <c r="GJ126" i="15"/>
  <c r="GK126" i="15"/>
  <c r="GL126" i="15"/>
  <c r="GM126" i="15"/>
  <c r="GN126" i="15"/>
  <c r="GO126" i="15"/>
  <c r="GP126" i="15"/>
  <c r="GQ126" i="15"/>
  <c r="GR126" i="15"/>
  <c r="GS126" i="15"/>
  <c r="GT126" i="15"/>
  <c r="GU126" i="15"/>
  <c r="GV126" i="15"/>
  <c r="GW126" i="15"/>
  <c r="GX126" i="15"/>
  <c r="GY126" i="15"/>
  <c r="GZ126" i="15"/>
  <c r="HA126" i="15"/>
  <c r="HB126" i="15"/>
  <c r="HC126" i="15"/>
  <c r="HD126" i="15"/>
  <c r="HE126" i="15"/>
  <c r="HF126" i="15"/>
  <c r="HG126" i="15"/>
  <c r="HH126" i="15"/>
  <c r="HI126" i="15"/>
  <c r="HJ126" i="15"/>
  <c r="HK126" i="15"/>
  <c r="HL126" i="15"/>
  <c r="HM126" i="15"/>
  <c r="HN126" i="15"/>
  <c r="HO126" i="15"/>
  <c r="HP126" i="15"/>
  <c r="HQ126" i="15"/>
  <c r="HR126" i="15"/>
  <c r="HS126" i="15"/>
  <c r="HT126" i="15"/>
  <c r="HU126" i="15"/>
  <c r="HV126" i="15"/>
  <c r="HW126" i="15"/>
  <c r="HX126" i="15"/>
  <c r="HY126" i="15"/>
  <c r="HZ126" i="15"/>
  <c r="IA126" i="15"/>
  <c r="IB126" i="15"/>
  <c r="IC126" i="15"/>
  <c r="ID126" i="15"/>
  <c r="IE126" i="15"/>
  <c r="IF126" i="15"/>
  <c r="IG126" i="15"/>
  <c r="IH126" i="15"/>
  <c r="II126" i="15"/>
  <c r="IJ126" i="15"/>
  <c r="IK126" i="15"/>
  <c r="IL126" i="15"/>
  <c r="IM126" i="15"/>
  <c r="IN126" i="15"/>
  <c r="IO126" i="15"/>
  <c r="IP126" i="15"/>
  <c r="IQ126" i="15"/>
  <c r="IR126" i="15"/>
  <c r="IS126" i="15"/>
  <c r="IT126" i="15"/>
  <c r="IU126" i="15"/>
  <c r="IV126" i="15"/>
  <c r="A127" i="15"/>
  <c r="B127" i="15"/>
  <c r="C127" i="15"/>
  <c r="D127" i="15"/>
  <c r="E127" i="15"/>
  <c r="F127" i="15"/>
  <c r="H127" i="15"/>
  <c r="I127" i="15"/>
  <c r="J127" i="15"/>
  <c r="K127" i="15"/>
  <c r="L127" i="15"/>
  <c r="M127" i="15"/>
  <c r="N127" i="15"/>
  <c r="O127" i="15"/>
  <c r="P127" i="15"/>
  <c r="Q127" i="15"/>
  <c r="R127" i="15"/>
  <c r="S127" i="15"/>
  <c r="T127" i="15"/>
  <c r="U127" i="15"/>
  <c r="V127" i="15"/>
  <c r="W127" i="15"/>
  <c r="X127" i="15"/>
  <c r="Y127" i="15"/>
  <c r="Z127" i="15"/>
  <c r="AA127" i="15"/>
  <c r="AB127" i="15"/>
  <c r="AC127" i="15"/>
  <c r="AD127" i="15"/>
  <c r="AE127" i="15"/>
  <c r="AF127" i="15"/>
  <c r="AG127" i="15"/>
  <c r="AH127" i="15"/>
  <c r="AI127" i="15"/>
  <c r="AJ127" i="15"/>
  <c r="AK127" i="15"/>
  <c r="AL127" i="15"/>
  <c r="AM127" i="15"/>
  <c r="AN127" i="15"/>
  <c r="AO127" i="15"/>
  <c r="AP127" i="15"/>
  <c r="AQ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U127" i="15"/>
  <c r="BV127" i="15"/>
  <c r="BW127" i="15"/>
  <c r="BX127" i="15"/>
  <c r="BY127" i="15"/>
  <c r="BZ127" i="15"/>
  <c r="CA127" i="15"/>
  <c r="CB127" i="15"/>
  <c r="CC127" i="15"/>
  <c r="CD127" i="15"/>
  <c r="CE127" i="15"/>
  <c r="CF127" i="15"/>
  <c r="CG127" i="15"/>
  <c r="CH127" i="15"/>
  <c r="CI127" i="15"/>
  <c r="CJ127" i="15"/>
  <c r="CK127" i="15"/>
  <c r="CL127" i="15"/>
  <c r="CM127" i="15"/>
  <c r="CN127" i="15"/>
  <c r="CO127" i="15"/>
  <c r="CP127" i="15"/>
  <c r="CQ127" i="15"/>
  <c r="CR127" i="15"/>
  <c r="CS127" i="15"/>
  <c r="CT127" i="15"/>
  <c r="CU127" i="15"/>
  <c r="CV127" i="15"/>
  <c r="CW127" i="15"/>
  <c r="CX127" i="15"/>
  <c r="CY127" i="15"/>
  <c r="CZ127" i="15"/>
  <c r="DA127" i="15"/>
  <c r="DB127" i="15"/>
  <c r="DC127" i="15"/>
  <c r="DD127" i="15"/>
  <c r="DE127" i="15"/>
  <c r="DF127" i="15"/>
  <c r="DG127" i="15"/>
  <c r="DH127" i="15"/>
  <c r="DI127" i="15"/>
  <c r="DJ127" i="15"/>
  <c r="DK127" i="15"/>
  <c r="DL127" i="15"/>
  <c r="DM127" i="15"/>
  <c r="DN127" i="15"/>
  <c r="DO127" i="15"/>
  <c r="DP127" i="15"/>
  <c r="DQ127" i="15"/>
  <c r="DR127" i="15"/>
  <c r="DS127" i="15"/>
  <c r="DT127" i="15"/>
  <c r="DU127" i="15"/>
  <c r="DV127" i="15"/>
  <c r="DW127" i="15"/>
  <c r="DX127" i="15"/>
  <c r="DY127" i="15"/>
  <c r="DZ127" i="15"/>
  <c r="EA127" i="15"/>
  <c r="EB127" i="15"/>
  <c r="EC127" i="15"/>
  <c r="ED127" i="15"/>
  <c r="EE127" i="15"/>
  <c r="EF127" i="15"/>
  <c r="EG127" i="15"/>
  <c r="EH127" i="15"/>
  <c r="EI127" i="15"/>
  <c r="EJ127" i="15"/>
  <c r="EK127" i="15"/>
  <c r="EL127" i="15"/>
  <c r="EM127" i="15"/>
  <c r="EN127" i="15"/>
  <c r="EO127" i="15"/>
  <c r="EP127" i="15"/>
  <c r="EQ127" i="15"/>
  <c r="ER127" i="15"/>
  <c r="ES127" i="15"/>
  <c r="ET127" i="15"/>
  <c r="EU127" i="15"/>
  <c r="EV127" i="15"/>
  <c r="EW127" i="15"/>
  <c r="EX127" i="15"/>
  <c r="EY127" i="15"/>
  <c r="EZ127" i="15"/>
  <c r="FA127" i="15"/>
  <c r="FB127" i="15"/>
  <c r="FC127" i="15"/>
  <c r="FD127" i="15"/>
  <c r="FE127" i="15"/>
  <c r="FF127" i="15"/>
  <c r="FG127" i="15"/>
  <c r="FH127" i="15"/>
  <c r="FI127" i="15"/>
  <c r="FJ127" i="15"/>
  <c r="FK127" i="15"/>
  <c r="FL127" i="15"/>
  <c r="FM127" i="15"/>
  <c r="FN127" i="15"/>
  <c r="FO127" i="15"/>
  <c r="FP127" i="15"/>
  <c r="FQ127" i="15"/>
  <c r="FR127" i="15"/>
  <c r="FS127" i="15"/>
  <c r="FT127" i="15"/>
  <c r="FU127" i="15"/>
  <c r="FV127" i="15"/>
  <c r="FW127" i="15"/>
  <c r="FX127" i="15"/>
  <c r="FY127" i="15"/>
  <c r="FZ127" i="15"/>
  <c r="GA127" i="15"/>
  <c r="GB127" i="15"/>
  <c r="GC127" i="15"/>
  <c r="GD127" i="15"/>
  <c r="GE127" i="15"/>
  <c r="GF127" i="15"/>
  <c r="GG127" i="15"/>
  <c r="GH127" i="15"/>
  <c r="GI127" i="15"/>
  <c r="GJ127" i="15"/>
  <c r="GK127" i="15"/>
  <c r="GL127" i="15"/>
  <c r="GM127" i="15"/>
  <c r="GN127" i="15"/>
  <c r="GO127" i="15"/>
  <c r="GP127" i="15"/>
  <c r="GQ127" i="15"/>
  <c r="GR127" i="15"/>
  <c r="GS127" i="15"/>
  <c r="GT127" i="15"/>
  <c r="GU127" i="15"/>
  <c r="GV127" i="15"/>
  <c r="GW127" i="15"/>
  <c r="GX127" i="15"/>
  <c r="GY127" i="15"/>
  <c r="GZ127" i="15"/>
  <c r="HA127" i="15"/>
  <c r="HB127" i="15"/>
  <c r="HC127" i="15"/>
  <c r="HD127" i="15"/>
  <c r="HE127" i="15"/>
  <c r="HF127" i="15"/>
  <c r="HG127" i="15"/>
  <c r="HH127" i="15"/>
  <c r="HI127" i="15"/>
  <c r="HJ127" i="15"/>
  <c r="HK127" i="15"/>
  <c r="HL127" i="15"/>
  <c r="HM127" i="15"/>
  <c r="HN127" i="15"/>
  <c r="HO127" i="15"/>
  <c r="HP127" i="15"/>
  <c r="HQ127" i="15"/>
  <c r="HR127" i="15"/>
  <c r="HS127" i="15"/>
  <c r="HT127" i="15"/>
  <c r="HU127" i="15"/>
  <c r="HV127" i="15"/>
  <c r="HW127" i="15"/>
  <c r="HX127" i="15"/>
  <c r="HY127" i="15"/>
  <c r="HZ127" i="15"/>
  <c r="IA127" i="15"/>
  <c r="IB127" i="15"/>
  <c r="IC127" i="15"/>
  <c r="ID127" i="15"/>
  <c r="IE127" i="15"/>
  <c r="IF127" i="15"/>
  <c r="IG127" i="15"/>
  <c r="IH127" i="15"/>
  <c r="II127" i="15"/>
  <c r="IJ127" i="15"/>
  <c r="IK127" i="15"/>
  <c r="IL127" i="15"/>
  <c r="IM127" i="15"/>
  <c r="IN127" i="15"/>
  <c r="IO127" i="15"/>
  <c r="IP127" i="15"/>
  <c r="IQ127" i="15"/>
  <c r="IR127" i="15"/>
  <c r="IS127" i="15"/>
  <c r="IT127" i="15"/>
  <c r="IU127" i="15"/>
  <c r="IV127" i="15"/>
  <c r="A128" i="15"/>
  <c r="B128" i="15"/>
  <c r="C128" i="15"/>
  <c r="D128" i="15"/>
  <c r="E128" i="15"/>
  <c r="F128" i="15"/>
  <c r="G128" i="15"/>
  <c r="H128" i="15"/>
  <c r="I128" i="15"/>
  <c r="J128" i="15"/>
  <c r="K128" i="15"/>
  <c r="L128" i="15"/>
  <c r="M128" i="15"/>
  <c r="N128" i="15"/>
  <c r="O128" i="15"/>
  <c r="P128" i="15"/>
  <c r="Q128" i="15"/>
  <c r="R128" i="15"/>
  <c r="S128" i="15"/>
  <c r="T128" i="15"/>
  <c r="U128" i="15"/>
  <c r="V128" i="15"/>
  <c r="W128" i="15"/>
  <c r="X128" i="15"/>
  <c r="Y128" i="15"/>
  <c r="Z128" i="15"/>
  <c r="AA128" i="15"/>
  <c r="AB128" i="15"/>
  <c r="AC128" i="15"/>
  <c r="AD128" i="15"/>
  <c r="AE128" i="15"/>
  <c r="AF128" i="15"/>
  <c r="AG128" i="15"/>
  <c r="AH128" i="15"/>
  <c r="AI128" i="15"/>
  <c r="AJ128" i="15"/>
  <c r="AK128" i="15"/>
  <c r="AL128" i="15"/>
  <c r="AM128" i="15"/>
  <c r="AN128" i="15"/>
  <c r="AO128" i="15"/>
  <c r="AP128" i="15"/>
  <c r="AQ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W128" i="15"/>
  <c r="BX128" i="15"/>
  <c r="BY128" i="15"/>
  <c r="BZ128" i="15"/>
  <c r="CA128" i="15"/>
  <c r="CB128" i="15"/>
  <c r="CC128" i="15"/>
  <c r="CD128" i="15"/>
  <c r="CE128" i="15"/>
  <c r="CF128" i="15"/>
  <c r="CG128" i="15"/>
  <c r="CH128" i="15"/>
  <c r="CI128" i="15"/>
  <c r="CJ128" i="15"/>
  <c r="CK128" i="15"/>
  <c r="CL128" i="15"/>
  <c r="CM128" i="15"/>
  <c r="CN128" i="15"/>
  <c r="CO128" i="15"/>
  <c r="CP128" i="15"/>
  <c r="CQ128" i="15"/>
  <c r="CR128" i="15"/>
  <c r="CS128" i="15"/>
  <c r="CT128" i="15"/>
  <c r="CU128" i="15"/>
  <c r="CV128" i="15"/>
  <c r="CW128" i="15"/>
  <c r="CX128" i="15"/>
  <c r="CY128" i="15"/>
  <c r="CZ128" i="15"/>
  <c r="DA128" i="15"/>
  <c r="DB128" i="15"/>
  <c r="DC128" i="15"/>
  <c r="DD128" i="15"/>
  <c r="DE128" i="15"/>
  <c r="DF128" i="15"/>
  <c r="DG128" i="15"/>
  <c r="DH128" i="15"/>
  <c r="DI128" i="15"/>
  <c r="DJ128" i="15"/>
  <c r="DK128" i="15"/>
  <c r="DL128" i="15"/>
  <c r="DM128" i="15"/>
  <c r="DN128" i="15"/>
  <c r="DO128" i="15"/>
  <c r="DP128" i="15"/>
  <c r="DQ128" i="15"/>
  <c r="DR128" i="15"/>
  <c r="DS128" i="15"/>
  <c r="DT128" i="15"/>
  <c r="DU128" i="15"/>
  <c r="DV128" i="15"/>
  <c r="DW128" i="15"/>
  <c r="DX128" i="15"/>
  <c r="DY128" i="15"/>
  <c r="DZ128" i="15"/>
  <c r="EA128" i="15"/>
  <c r="EB128" i="15"/>
  <c r="EC128" i="15"/>
  <c r="ED128" i="15"/>
  <c r="EE128" i="15"/>
  <c r="EF128" i="15"/>
  <c r="EG128" i="15"/>
  <c r="EH128" i="15"/>
  <c r="EI128" i="15"/>
  <c r="EJ128" i="15"/>
  <c r="EK128" i="15"/>
  <c r="EL128" i="15"/>
  <c r="EM128" i="15"/>
  <c r="EN128" i="15"/>
  <c r="EO128" i="15"/>
  <c r="EP128" i="15"/>
  <c r="EQ128" i="15"/>
  <c r="ER128" i="15"/>
  <c r="ES128" i="15"/>
  <c r="ET128" i="15"/>
  <c r="EU128" i="15"/>
  <c r="EV128" i="15"/>
  <c r="EW128" i="15"/>
  <c r="EX128" i="15"/>
  <c r="EY128" i="15"/>
  <c r="EZ128" i="15"/>
  <c r="FA128" i="15"/>
  <c r="FB128" i="15"/>
  <c r="FC128" i="15"/>
  <c r="FD128" i="15"/>
  <c r="FE128" i="15"/>
  <c r="FF128" i="15"/>
  <c r="FG128" i="15"/>
  <c r="FH128" i="15"/>
  <c r="FI128" i="15"/>
  <c r="FJ128" i="15"/>
  <c r="FK128" i="15"/>
  <c r="FL128" i="15"/>
  <c r="FM128" i="15"/>
  <c r="FN128" i="15"/>
  <c r="FO128" i="15"/>
  <c r="FP128" i="15"/>
  <c r="FQ128" i="15"/>
  <c r="FR128" i="15"/>
  <c r="FS128" i="15"/>
  <c r="FT128" i="15"/>
  <c r="FU128" i="15"/>
  <c r="FV128" i="15"/>
  <c r="FW128" i="15"/>
  <c r="FX128" i="15"/>
  <c r="FY128" i="15"/>
  <c r="FZ128" i="15"/>
  <c r="GA128" i="15"/>
  <c r="GB128" i="15"/>
  <c r="GC128" i="15"/>
  <c r="GD128" i="15"/>
  <c r="GE128" i="15"/>
  <c r="GF128" i="15"/>
  <c r="GG128" i="15"/>
  <c r="GH128" i="15"/>
  <c r="GI128" i="15"/>
  <c r="GJ128" i="15"/>
  <c r="GK128" i="15"/>
  <c r="GL128" i="15"/>
  <c r="GM128" i="15"/>
  <c r="GN128" i="15"/>
  <c r="GO128" i="15"/>
  <c r="GP128" i="15"/>
  <c r="GQ128" i="15"/>
  <c r="GR128" i="15"/>
  <c r="GS128" i="15"/>
  <c r="GT128" i="15"/>
  <c r="GU128" i="15"/>
  <c r="GV128" i="15"/>
  <c r="GW128" i="15"/>
  <c r="GX128" i="15"/>
  <c r="GY128" i="15"/>
  <c r="GZ128" i="15"/>
  <c r="HA128" i="15"/>
  <c r="HB128" i="15"/>
  <c r="HC128" i="15"/>
  <c r="HD128" i="15"/>
  <c r="HE128" i="15"/>
  <c r="HF128" i="15"/>
  <c r="HG128" i="15"/>
  <c r="HH128" i="15"/>
  <c r="HI128" i="15"/>
  <c r="HJ128" i="15"/>
  <c r="HK128" i="15"/>
  <c r="HL128" i="15"/>
  <c r="HM128" i="15"/>
  <c r="HN128" i="15"/>
  <c r="HO128" i="15"/>
  <c r="HP128" i="15"/>
  <c r="HQ128" i="15"/>
  <c r="HR128" i="15"/>
  <c r="HS128" i="15"/>
  <c r="HT128" i="15"/>
  <c r="HU128" i="15"/>
  <c r="HV128" i="15"/>
  <c r="HW128" i="15"/>
  <c r="HX128" i="15"/>
  <c r="HY128" i="15"/>
  <c r="HZ128" i="15"/>
  <c r="IA128" i="15"/>
  <c r="IB128" i="15"/>
  <c r="IC128" i="15"/>
  <c r="ID128" i="15"/>
  <c r="IE128" i="15"/>
  <c r="IF128" i="15"/>
  <c r="IG128" i="15"/>
  <c r="IH128" i="15"/>
  <c r="II128" i="15"/>
  <c r="IJ128" i="15"/>
  <c r="IK128" i="15"/>
  <c r="IL128" i="15"/>
  <c r="IM128" i="15"/>
  <c r="IN128" i="15"/>
  <c r="IO128" i="15"/>
  <c r="IP128" i="15"/>
  <c r="IQ128" i="15"/>
  <c r="IR128" i="15"/>
  <c r="IS128" i="15"/>
  <c r="IT128" i="15"/>
  <c r="IU128" i="15"/>
  <c r="IV128" i="15"/>
  <c r="A129" i="15"/>
  <c r="B129" i="15"/>
  <c r="C129" i="15"/>
  <c r="D129" i="15"/>
  <c r="E129" i="15"/>
  <c r="F129" i="15"/>
  <c r="G129" i="15"/>
  <c r="H129" i="15"/>
  <c r="I129" i="15"/>
  <c r="J129" i="15"/>
  <c r="K129" i="15"/>
  <c r="L129" i="15"/>
  <c r="M129" i="15"/>
  <c r="N129" i="15"/>
  <c r="W129" i="15"/>
  <c r="X129" i="15"/>
  <c r="Y129" i="15"/>
  <c r="Z129" i="15"/>
  <c r="AA129" i="15"/>
  <c r="AB129" i="15"/>
  <c r="AC129" i="15"/>
  <c r="AD129" i="15"/>
  <c r="AE129" i="15"/>
  <c r="AF129" i="15"/>
  <c r="AG129" i="15"/>
  <c r="AH129" i="15"/>
  <c r="AI129" i="15"/>
  <c r="AJ129" i="15"/>
  <c r="AK129" i="15"/>
  <c r="AL129" i="15"/>
  <c r="AM129" i="15"/>
  <c r="AN129" i="15"/>
  <c r="AO129" i="15"/>
  <c r="AP129" i="15"/>
  <c r="AQ129" i="15"/>
  <c r="AR129" i="15"/>
  <c r="AS129" i="15"/>
  <c r="AT129" i="15"/>
  <c r="G127" i="15" l="1"/>
</calcChain>
</file>

<file path=xl/comments1.xml><?xml version="1.0" encoding="utf-8"?>
<comments xmlns="http://schemas.openxmlformats.org/spreadsheetml/2006/main">
  <authors>
    <author>Microsoft th</author>
    <author>Pie</author>
    <author>User</author>
  </authors>
  <commentList>
    <comment ref="J7" authorId="0" shapeId="0">
      <text>
        <r>
          <rPr>
            <sz val="9"/>
            <color indexed="81"/>
            <rFont val="Tahoma"/>
            <family val="2"/>
          </rPr>
          <t xml:space="preserve">Date Format: DD-MMM-YY
</t>
        </r>
      </text>
    </comment>
    <comment ref="J9" authorId="0" shapeId="0">
      <text>
        <r>
          <rPr>
            <sz val="9"/>
            <color indexed="81"/>
            <rFont val="Tahoma"/>
            <family val="2"/>
          </rPr>
          <t xml:space="preserve">Date Format: DD-MMM-YY
</t>
        </r>
      </text>
    </comment>
    <comment ref="E13" authorId="0" shapeId="0">
      <text>
        <r>
          <rPr>
            <sz val="9"/>
            <color indexed="81"/>
            <rFont val="Tahoma"/>
            <family val="2"/>
          </rPr>
          <t>Tester name
Click alt + enter to type in the new line</t>
        </r>
      </text>
    </comment>
    <comment ref="J13" authorId="0" shapeId="0">
      <text>
        <r>
          <rPr>
            <sz val="9"/>
            <color indexed="81"/>
            <rFont val="Tahoma"/>
            <family val="2"/>
          </rPr>
          <t xml:space="preserve">Baseline number for testing
</t>
        </r>
      </text>
    </comment>
    <comment ref="C22" authorId="0" shapeId="0">
      <text>
        <r>
          <rPr>
            <sz val="9"/>
            <color indexed="81"/>
            <rFont val="Tahoma"/>
            <family val="2"/>
          </rPr>
          <t xml:space="preserve">1 cycle should execute all planned test cases, 1 cycle may consist of &gt; 1 round
</t>
        </r>
      </text>
    </comment>
    <comment ref="E22" authorId="0" shapeId="0">
      <text>
        <r>
          <rPr>
            <sz val="9"/>
            <color indexed="81"/>
            <rFont val="Tahoma"/>
            <family val="2"/>
          </rPr>
          <t xml:space="preserve">Number of test cases that are planned to run in each test round
</t>
        </r>
      </text>
    </comment>
    <comment ref="F22" authorId="0" shapeId="0">
      <text>
        <r>
          <rPr>
            <sz val="9"/>
            <color indexed="81"/>
            <rFont val="Tahoma"/>
            <family val="2"/>
          </rPr>
          <t xml:space="preserve">Number of test cases that are actually run in each test round
</t>
        </r>
      </text>
    </comment>
    <comment ref="G22" authorId="0" shapeId="0">
      <text>
        <r>
          <rPr>
            <sz val="9"/>
            <color indexed="81"/>
            <rFont val="Tahoma"/>
            <family val="2"/>
          </rPr>
          <t>Number of test cases that successfully tested in each round
- This cell is not allow to change or edit. If any accidentally mistake occurs and "#VALUE!" display in this cell, user can fix it by double click  the cell and press "Ctrl+Shift+Enter".</t>
        </r>
      </text>
    </comment>
    <comment ref="H22" authorId="0" shapeId="0">
      <text>
        <r>
          <rPr>
            <sz val="9"/>
            <color indexed="81"/>
            <rFont val="Tahoma"/>
            <family val="2"/>
          </rPr>
          <t>Number of test cases that un successfully tested in each round
- This cell is not allow to change or edit. If any accidentally mistake occurs and "#VALUE!" display in this cell, user can fix it by double click  the cell and press "Ctrl+Shift+Enter".</t>
        </r>
      </text>
    </comment>
    <comment ref="I22" authorId="0" shapeId="0">
      <text>
        <r>
          <rPr>
            <sz val="9"/>
            <color indexed="81"/>
            <rFont val="Tahoma"/>
            <family val="2"/>
          </rPr>
          <t xml:space="preserve">The range of test case number that are planned to run in each test round e.g. TC001 - TC059
</t>
        </r>
      </text>
    </comment>
    <comment ref="J22" authorId="0" shapeId="0">
      <text>
        <r>
          <rPr>
            <sz val="9"/>
            <color indexed="81"/>
            <rFont val="Tahoma"/>
            <family val="2"/>
          </rPr>
          <t xml:space="preserve">The range of test case number that are actually run in each test round e.g. TC001 - TC38
</t>
        </r>
      </text>
    </comment>
    <comment ref="K22" authorId="1" shapeId="0">
      <text>
        <r>
          <rPr>
            <sz val="9"/>
            <color indexed="81"/>
            <rFont val="Tahoma"/>
            <family val="2"/>
          </rPr>
          <t>(#Actual Test case/#Planned Test case)*100</t>
        </r>
      </text>
    </comment>
    <comment ref="G28" authorId="0" shapeId="0">
      <text>
        <r>
          <rPr>
            <sz val="9"/>
            <color indexed="81"/>
            <rFont val="Tahoma"/>
            <family val="2"/>
          </rPr>
          <t xml:space="preserve">Test condition Type:
Normal: Test is done under the condition of  sceanario that normally occur
Negative: Test is done under the condition of scenario that might impact system in the negative way
</t>
        </r>
      </text>
    </comment>
    <comment ref="C30"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37"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42"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52"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56"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60"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 ref="C64" authorId="2" shapeId="0">
      <text>
        <r>
          <rPr>
            <sz val="8"/>
            <color indexed="81"/>
            <rFont val="Tahoma"/>
            <family val="2"/>
          </rPr>
          <t>This column had formula for running number automaticaly,if you record data into the cell, the formula will be lost. But if you need to use formula again,please copy other cell then paste to the field that you want.</t>
        </r>
      </text>
    </comment>
  </commentList>
</comments>
</file>

<file path=xl/sharedStrings.xml><?xml version="1.0" encoding="utf-8"?>
<sst xmlns="http://schemas.openxmlformats.org/spreadsheetml/2006/main" count="806" uniqueCount="292">
  <si>
    <t>Project Information</t>
  </si>
  <si>
    <t>Project Code :</t>
  </si>
  <si>
    <t xml:space="preserve">Project Name : </t>
  </si>
  <si>
    <t>Test Script</t>
  </si>
  <si>
    <t xml:space="preserve">Approved by: </t>
  </si>
  <si>
    <t>Round</t>
  </si>
  <si>
    <t>Expected result</t>
  </si>
  <si>
    <t>Test case ID</t>
  </si>
  <si>
    <t>Plan</t>
  </si>
  <si>
    <t>Actual</t>
  </si>
  <si>
    <t>Passed</t>
  </si>
  <si>
    <t>Failed</t>
  </si>
  <si>
    <t xml:space="preserve">Testers: </t>
  </si>
  <si>
    <t xml:space="preserve">Test Plan Version: </t>
  </si>
  <si>
    <t>TC001</t>
  </si>
  <si>
    <t xml:space="preserve">Approved date: </t>
  </si>
  <si>
    <t xml:space="preserve">Updated date: </t>
  </si>
  <si>
    <t xml:space="preserve">Baseline No: </t>
  </si>
  <si>
    <t xml:space="preserve">Test Round: </t>
  </si>
  <si>
    <t>Type</t>
  </si>
  <si>
    <t>Active Test cases</t>
  </si>
  <si>
    <t>Inactive Test cases</t>
  </si>
  <si>
    <t>Planned Test case #</t>
  </si>
  <si>
    <t>Actual Test case #</t>
  </si>
  <si>
    <t>Normal</t>
  </si>
  <si>
    <t xml:space="preserve">Test Level: </t>
  </si>
  <si>
    <t>Cycle</t>
  </si>
  <si>
    <t>Scenario Description</t>
  </si>
  <si>
    <t>% Actual Test case</t>
  </si>
  <si>
    <t>Data</t>
  </si>
  <si>
    <t>Test Case Summary</t>
  </si>
  <si>
    <t>Author :</t>
  </si>
  <si>
    <t>Condition description</t>
  </si>
  <si>
    <t>Steps</t>
  </si>
  <si>
    <t>Actual result</t>
  </si>
  <si>
    <t>Passed/Failed</t>
  </si>
  <si>
    <t>TC002</t>
  </si>
  <si>
    <t>Negative</t>
  </si>
  <si>
    <t>Integration test</t>
  </si>
  <si>
    <t>การจัดการผู้ใช้งาน</t>
  </si>
  <si>
    <t>AAAAAFe39w4=</t>
  </si>
  <si>
    <t>AAAAAFe39w8=</t>
  </si>
  <si>
    <t>AAAAAFe39xA=</t>
  </si>
  <si>
    <t>AAAAAFe39xE=</t>
  </si>
  <si>
    <t>AAAAAFe39xI=</t>
  </si>
  <si>
    <t>AAAAAFe39xM=</t>
  </si>
  <si>
    <t>AAAAAFe39xQ=</t>
  </si>
  <si>
    <t>AAAAAFe39xU=</t>
  </si>
  <si>
    <t>TC004</t>
  </si>
  <si>
    <t>TC006</t>
  </si>
  <si>
    <t>TC007</t>
  </si>
  <si>
    <t>01</t>
  </si>
  <si>
    <t>02</t>
  </si>
  <si>
    <t>03</t>
  </si>
  <si>
    <t>04</t>
  </si>
  <si>
    <t>05</t>
  </si>
  <si>
    <t>06</t>
  </si>
  <si>
    <t>Nipon Jaiboon</t>
  </si>
  <si>
    <t>คุณสมบัติหลัก</t>
  </si>
  <si>
    <t>ลงทะเบียน ผู้ใช้งานระบบ</t>
  </si>
  <si>
    <t>การจัดการประกาศสำนักประเมินผล</t>
  </si>
  <si>
    <t>การจัดการนโยบายเชิงยุทธศาสตร์</t>
  </si>
  <si>
    <t>การจัดการหลักธรรมาภิบาล</t>
  </si>
  <si>
    <t>การจัดการข้อมูลกระทรวง</t>
  </si>
  <si>
    <t>TC005</t>
  </si>
  <si>
    <t>TC003</t>
  </si>
  <si>
    <t>แบบประเมินความเสี่ยง</t>
  </si>
  <si>
    <t>ระบบจัดทำงบประมาณ</t>
  </si>
  <si>
    <t>ระบบการประเมินงบประมาณ</t>
  </si>
  <si>
    <t>TC008</t>
  </si>
  <si>
    <t>TC009</t>
  </si>
  <si>
    <t>TC010</t>
  </si>
  <si>
    <t>TC011</t>
  </si>
  <si>
    <t>การจัดการข้อมูลหน่วยงาน</t>
  </si>
  <si>
    <t xml:space="preserve">ระบบทำงานในลักษณะของ Web-Base Application คือผู้ใช้ระบบใช้งานผ่านทางระบบเครือข่ายโดยมี Web Browser เป็นเครื่องมือในการเข้าถึงการทำงานของระบบ ซึ่งรองรับ Web Browser ดังต่อไปนี้ Internet Explorer 9 ขึ้นไป
</t>
  </si>
  <si>
    <t>แสดงผลปกติเมื่อใช้ระบบผ่าน  Internet Explorer 9 ขึ้นไป</t>
  </si>
  <si>
    <t>1.เข้าระบบด้วย  Internet Explorer 9 ขึ้นไป</t>
  </si>
  <si>
    <t xml:space="preserve">ระบบทำงานในลักษณะของ Web-Base Application คือผู้ใช้ระบบใช้งานผ่านทางระบบเครือข่ายโดยมี Web Browser เป็นเครื่องมือในการเข้าถึงการทำงานของระบบ ซึ่งรองรับ Web Browser ดังต่อไปนี้ Mozilla Firefox 36 ขึ้นไป
</t>
  </si>
  <si>
    <t>1.เข้าระบบด้วย  Mozilla Firefox 36 ขึ้นไป</t>
  </si>
  <si>
    <t>แสดงผลปกติเมื่อใช้ระบบผ่าน  Mozilla Firefox 36 ขึ้นไป</t>
  </si>
  <si>
    <t xml:space="preserve">ระบบทำงานในลักษณะของ Web-Base Application คือผู้ใช้ระบบใช้งานผ่านทางระบบเครือข่ายโดยมี Web Browser เป็นเครื่องมือในการเข้าถึงการทำงานของระบบ ซึ่งใช้ Web Browser ที่นอกเหนือจากดังต่อไปนี้ Internet Explorer 9 ขึ้นไป หรือ Mozilla Firefox 36 ขึ้นไป
</t>
  </si>
  <si>
    <t>1.เข้าระบบ ซึ่งใช้ Web Browser ที่นอกเหนือจากดังต่อไปนี้ Internet Explorer 9 ขึ้นไป หรือ Mozilla Firefox 36 ขึ้นไป</t>
  </si>
  <si>
    <t>แสดงผลไม่ปกติเมื่อเข้าระบบ ซึ่งใช้ Web Browser ที่นอกเหนือจากดังต่อไปนี้ Internet Explorer 9 ขึ้นไป หรือ Mozilla Firefox 36 ขึ้นไป</t>
  </si>
  <si>
    <t>เข้าใช้งานเว็บไซต์ สำหรับส่วนราชการ รัฐวิสาหกิจ หน่วยงานอื่นของรัฐ จังหวัด และกลุ่มจังหวัด</t>
  </si>
  <si>
    <t>1.เข้าใช้งานเว็บไซต์ สำหรับส่วนราชการ รัฐวิสาหกิจ หน่วยงานอื่นของรัฐ จังหวัด และกลุ่มจังหวัด</t>
  </si>
  <si>
    <t>สามารถเข้าใช้งานเว็บไซต์ สำหรับส่วนราชการ รัฐวิสาหกิจ หน่วยงานอื่นของรัฐ จังหวัด และกลุ่มจังหวัด</t>
  </si>
  <si>
    <t>เข้าใช้งานเว็บไซต์ สำหรับเจ้าหน้าที่สำนักงบฯ</t>
  </si>
  <si>
    <t>1.เข้าใช้งานเว็บไซต์ สำหรับเจ้าหน้าที่สำนักงบฯ</t>
  </si>
  <si>
    <t>สามารถเข้าใช้งานเว็บไซต์ สำหรับเจ้าหน้าที่สำนักงบฯ</t>
  </si>
  <si>
    <t xml:space="preserve">เข้าเว็บไซต์ สำหรับบทบาทผู้ดูแลระบบ </t>
  </si>
  <si>
    <t xml:space="preserve">1.เข้าเว็บไซต์ สำหรับบทบาทผู้ดูแลระบบ </t>
  </si>
  <si>
    <t xml:space="preserve">สามารถเข้าเว็บไซต์ สำหรับบทบาทผู้ดูแลระบบ </t>
  </si>
  <si>
    <t>07</t>
  </si>
  <si>
    <t>08</t>
  </si>
  <si>
    <t>09</t>
  </si>
  <si>
    <t>10</t>
  </si>
  <si>
    <t>11</t>
  </si>
  <si>
    <t>12</t>
  </si>
  <si>
    <t>ลงทะเบียน (ส่วนราชการ รัฐวิสาหกิจ หน่วยงานอื่นของรัฐ จังหวัด และกลุ่มจังหวัด) คือ การลงทะเบียนการใช้งานระบบของ ส่วนราชการต่าง ๆ</t>
  </si>
  <si>
    <t>สามารถบันทึกข้อมูลการลงทะเบียนได้ แต่ยังไม่สามารถเข้าสู่ระบบได้ทันที ต้องให้ผู้ดูแลระบบมา เปิดใช้งาน จึงสามารถเข้าใช้งานได้</t>
  </si>
  <si>
    <t>1.ลงทะเบียน (ส่วนราชการ รัฐวิสาหกิจ หน่วยงานอื่นของรัฐ จังหวัด และกลุ่มจังหวัด)</t>
  </si>
  <si>
    <t xml:space="preserve"> เลขที่บัตรประชาชน
 ชื่อ(ภาษาไทย)
 นามสกุล(ภาษาไทย)
 ชื่อ(ภาษาอังกฤษ)
 นามสกุล(ภาษาอังกฤษ)
 ที่อยู่หน่วยงาน (ส่งเอกสาร)
 หมายเลขโทรศัพท์กลาง
 เบอร์ต่อ
 หมายเลขโทรศัพท์ตรง
 หมายเลขโทรศัพท์มือถือ
 E-Mail
 สถานะผู้ใช้งาน
 สังกัดกระทรวง/กลุ่มจังหวัด
 สังกัดหน่วยงาน/กลุ่มจังหวัด
</t>
  </si>
  <si>
    <t>ลงทะเบียน (ส่วนราชการ รัฐวิสาหกิจ หน่วยงานอื่นของรัฐ จังหวัด และกลุ่มจังหวัด) คือ การลงทะเบียนการใช้งานระบบของ ส่วนราชการต่าง ๆ โดยใช้ข้อมูลไม่ถูกต้องหรือผิดรูปแบบ</t>
  </si>
  <si>
    <t>ไม่สามารถบันทึกข้อมูลการลงทะเบียนได้</t>
  </si>
  <si>
    <t>ลงทะเบียน (สำนักงบประมาณ) คือ การลงทะเบียนการใช้งานระบบของ เจ้าหน้าที่สำนักงบประมาณ (เจ้าหน้าที่จัดทำงบประมาณ/เจ้าหน้าที่ประเมินผล/ผู้ดูแลระบบ)</t>
  </si>
  <si>
    <t>สามารถบันทึกข้อมูลการลงทะเบียนได้ แต่ยังไม่สามารถเข้าสู่ระบบได้ทันที ต้องให้ผู้ดูแลระบบมา เปิดใช้งานให้ จึงสามารถเข้าใช้งานได้</t>
  </si>
  <si>
    <t>1.ลงทะเบียนการใช้งานระบบของ เจ้าหน้าที่สำนักงบประมาณ (เจ้าหน้าที่จัดทำงบประมาณ/เจ้าหน้าที่ประเมินผล/ผู้ดูแลระบบ)</t>
  </si>
  <si>
    <t>ลงทะเบียน (สำนักงบประมาณ) คือ การลงทะเบียนการใช้งานระบบของ เจ้าหน้าที่สำนักงบประมาณ (เจ้าหน้าที่จัดทำงบประมาณ/เจ้าหน้าที่ประเมินผล/ผู้ดูแลระบบ) โดยใช้ข้อมูลไม่ถูกต้องหรือผิดรูปแบบ</t>
  </si>
  <si>
    <t>สามารถปิดใช้งานผู้ใช้งานได้ โดยสถานะปิดใช้งาน คือ การระงับการใช้งานของผู้ใช้ชั่วคราว ซึ่งจะมีผลทำให้ผู้ใช้งานคนดังกล่าวไม่สามารถเข้าใช้งานระบบได้</t>
  </si>
  <si>
    <t>สามารถปิดใช้งานผู้ใช้งานได้ โดยสถานะปิดใช้งาน ซึ่งจะมีผลทำให้ผู้ใช้งานคนดังกล่าวไม่สามารถเข้าใช้งานระบบได้</t>
  </si>
  <si>
    <t>1.ปิดใช้งานผู้ใช้งาน</t>
  </si>
  <si>
    <t>สามารถเปิดใช้งานผู้ใช้งานได้ โดยสถานะเปิดใช้งาน คือ ผู้ใช้งานปกติ ที่สามารถเข้าใช้งานระบบได้</t>
  </si>
  <si>
    <t>1.เปิดใช้งานผู้ใช้งาน</t>
  </si>
  <si>
    <t>สามารถลบผู้ใช้งานได้ โดยผู้ใช้งานที่ถูกลบไม่สามารถเข้าใช้งานระบบได้อีกต่อไป แต่ไม่ได้ลบออกจากฐานข้อมูล</t>
  </si>
  <si>
    <t>สามารถลบผู้ใช้งานได้ โดยผู้ใช้งานที่ถูกลบไม่สามารถเข้าใช้งานระบบได้อีกต่อไป</t>
  </si>
  <si>
    <t>1.ลบผู้ใช้งานได้</t>
  </si>
  <si>
    <t>สามารถปลดล็อคผู้ใช้งานได้ โดยผู้ใช้งานที่ถูกล็อค คือ ผู้ใช้งาน ที่เข้าใช้งานระบบ แล้วไม่ได้ logout ออกจากระบบ ซึ่งจะทำให้ไม่สามารถเข้าใช้งานระบบได้ชั่วคราว</t>
  </si>
  <si>
    <t>สามารถปลดล็อคผู้ใช้งานได้ โดยผู้ใช้งานที่ถูกล็อค</t>
  </si>
  <si>
    <t>1.ปลดล็อคผู้ใช้งาน</t>
  </si>
  <si>
    <t>สามารถแสดงรายละเอียดผู้ใช้งานได้ ซึ่งการแสดงรายละเอียดของผู้ใช้งานทีละราย ตามที่เลือกจากตารางผู้ใช้</t>
  </si>
  <si>
    <t xml:space="preserve"> ชื่อ(ภาษาไทย)
 นามสกุล(ภาษาไทย)
 ชื่อ(ภาษาอังกฤษ)
 นามสกุล(ภาษาอังกฤษ)
 ที่อยู่
 สถานะ
 เบอร์โทรศัพท์กลาง
 เบอร์โทรศัพท์มือถือ
 เบอร์โทรศัพท์ตรง
 Email
</t>
  </si>
  <si>
    <t>สามารถค้นหาผู้ใช้งานได้</t>
  </si>
  <si>
    <t>สามารถแสดงรายละเอียดผู้ใช้งานได้ ซึ่งการแสดงรายละเอียดของผู้ใช้งานทีละราย ตามที่เลือกจากตารางผู้ใช้  โดยกรอกข้อมูลไม่ถูกต้องหรือผิดรูปแบบ</t>
  </si>
  <si>
    <t>ไม่แสดงแสดงรายละเอียดผู้ใช้งานได้</t>
  </si>
  <si>
    <t xml:space="preserve"> เลขบัตรประชาชน
 ชื่อ (ไทยหรืออังกฤษ)
 นามสกุล (ไทยหรืออังกฤษ)
 กระทรวง
 สถานะ (ส่วนราชการ/จังหวัด, เจ้าหน้าที่จัดทำงบประมาณ, เจ้าหน้าที่ประเมินผล, ผู้ดูแลระบบ)
 เปิดใช้งาน (เปิดใช้งาน/ปิดใช้งาน)
 ลบแล้ว (ยังไม่ลบ/ลบแล้ว)
</t>
  </si>
  <si>
    <t>ค้นหาผู้ใช้งาน โดยกรอกข้อมูลไม่ถูกต้องหรือผิดรูปแบบ</t>
  </si>
  <si>
    <t>ไม่สามารถค้นหาผู้ใช้งานได้</t>
  </si>
  <si>
    <t>สามารถออกรายงานผู้ใช้งานได้ โดยการออกรายงานจะออกรายงานตามผู้ใช้ที่อยู่ในตารางผู้ใช้งานในขณะนั้น</t>
  </si>
  <si>
    <t xml:space="preserve"> บัตรประจำตัวประชาชน
 ชื่อ(ภาษาไทย)
 นามสกุล(ภาษาไทย)
 ที่อยู่
 โทรศัพท์มือถือ
 รหัสกระทรวง
 รหัสสังกัด (ชื่อหน่วยงาน)
 สถานะผู้ใช้งาน (บทบาทของผู้ใช้งาน)
</t>
  </si>
  <si>
    <t>สามารถออกรายงานผู้ใช้งานได้ โดยการออกรายงานจะออกรายงานตามผู้ใช้ที่อยู่ในตารางผู้ใช้งานในขณะนั้น โดยสามารถ Export เป็นไฟล์ Pdf, Excel, Word</t>
  </si>
  <si>
    <t>สามารถเพิ่มประกาศฯ ได้ เมื่อเพิ่มประกาศฯ จะมีผลการใช้งานทันที</t>
  </si>
  <si>
    <t>เพิ่มประกาศฯ ได้ เมื่อเพิ่มประกาศฯ จะมีผลการใช้งานทันที</t>
  </si>
  <si>
    <t>สามารถแก้ไขประกาศฯ ได้ เมื่อแก้ไขประกาศฯ จะมีผลการใช้งานทันที</t>
  </si>
  <si>
    <t>แก้ไขประกาศฯ ได้ เมื่อแก้ไขประกาศฯ จะมีผลการใช้งานทันที</t>
  </si>
  <si>
    <t>สามารถลบประกาศฯ ได้ เมื่อลบประกาศฯ จะมีผลการใช้งานทันที และจะลบออกจากฐานข้อมูลด้วย</t>
  </si>
  <si>
    <t>ลบประกาศฯ ได้ เมื่อลบประกาศฯ จะมีผลการใช้งานทันที และจะลบออกจากฐานข้อมูลด้วย</t>
  </si>
  <si>
    <t>สามารถเพิ่มนโยบายฯ ได้ เมื่อเพิ่มนโยบายฯ จะมีผลการใช้งานทันที</t>
  </si>
  <si>
    <t>เพิ่มนโยบายฯ ได้ เมื่อเพิ่มนโยบายฯ จะมีผลการใช้งานทันที</t>
  </si>
  <si>
    <t>สามารถแก้ไขนโยบายฯ ได้ เมื่อแก้ไขนโยบายฯ จะมีผลการใช้งานทันที</t>
  </si>
  <si>
    <t>แก้ไขนโยบายฯ ได้ เมื่อแก้ไขนโยบายฯ จะมีผลการใช้งานทันที</t>
  </si>
  <si>
    <t>สามารถลบนโยบายฯ ได้ เมื่อลบนโยบายฯ จะมีผลการใช้งานทันที แต่ไม่ได้ลบออกจากฐานข้อมูล</t>
  </si>
  <si>
    <t>ลบนโยบายฯ ได้ เมื่อลบนโยบายฯ จะมีผลการใช้งานทันที แต่ไม่ได้ลบออกจากฐานข้อมูล</t>
  </si>
  <si>
    <t>สามารถเพิ่มหลักธรรมาภิบาลได้ เมื่อเพิ่มหลักธรรมาภิบาล จะมีผลการใช้งานทันที</t>
  </si>
  <si>
    <t>เพิ่มหลักธรรมาภิบาลได้ เมื่อเพิ่มหลักธรรมาภิบาล จะมีผลการใช้งานทันที</t>
  </si>
  <si>
    <t>สามารถแก้ไขหลักธรรมาภิบาลได้ เมื่อแก้ไขหลักธรรมาภิบาลจะมีผลการใช้งานทันที</t>
  </si>
  <si>
    <t>แก้ไขหลักธรรมาภิบาลได้ เมื่อแก้ไขหลักธรรมาภิบาลจะมีผลการใช้งานทันที</t>
  </si>
  <si>
    <t>สามารถลบหลักธรรมาภิบาลได้ เมื่อลบหลักธรรมาภิบาล จะมีผลการใช้งานทันที แต่ไม่ได้ลบออกจากฐานข้อมูล</t>
  </si>
  <si>
    <t>ลบหลักธรรมาภิบาลได้ เมื่อลบหลักธรรมาภิบาล จะมีผลการใช้งานทันที แต่ไม่ได้ลบออกจากฐานข้อมูล</t>
  </si>
  <si>
    <t>สามารถเพิ่มกระทรวงได้ แต่การเพิ่มกระทรวงจะไม่สามารถเพิ่ม รหัสกระทรวงและชื่อกระทรวงซ้ำกับข้อมูลที่มีอยู่ในฐานข้อมูลได้</t>
  </si>
  <si>
    <t>เพิ่มกระทรวงได้ แต่การเพิ่มกระทรวงจะไม่สามารถเพิ่ม รหัสกระทรวงและชื่อกระทรวงซ้ำกับข้อมูลที่มีอยู่ในฐานข้อมูลได้</t>
  </si>
  <si>
    <t>เพิ่มกระทรวงโดยการเพิ่มกระทรวงจะเพิ่ม รหัสกระทรวงและชื่อกระทรวงซ้ำกับข้อมูลที่มีอยู่ในฐานข้อมูล</t>
  </si>
  <si>
    <t xml:space="preserve">ไม่สามารถเพิ่มกระทรวงได้ </t>
  </si>
  <si>
    <t>แก้ไขกระทรวงได้ ซึ่งการแก้ไขกระทรวงจะไม่สามารถแก้ไข รหัสกระทรวงและชื่อกระทรวงซ้ำกับข้อมูลที่มีอยู่ในฐานข้อมูลได้ ยกเว้นเป็นรหัสหรือชื่อกระทรวงเดิมที่เลือก เช่น กระทรวงกลาโหม รหัส 02000 สามารถแก้ไขเป็น กระทรวงกลาโหม รหัส 02009 ได้ หรือ กระทรวงกลาโหม2 รหัส 02000 ได้</t>
  </si>
  <si>
    <t>แก้ไขกระทรวงได้ ซึ่งการแก้ไขกระทรวงจะเพิ่ม รหัสกระทรวงและชื่อกระทรวงซ้ำกับข้อมูลที่มีอยู่ในฐานข้อมูล</t>
  </si>
  <si>
    <t>สามารถแก้ไข รหัสกระทรวงและชื่อกระทรวงซ้ำกับข้อมูลที่มีอยู่ในฐานข้อมูลได้ ยกเว้นเป็นรหัสหรือชื่อกระทรวงเดิมที่เลือก เช่น กระทรวงกลาโหม รหัส 02000 สามารถแก้ไขเป็น กระทรวงกลาโหม รหัส 02009 ได้ หรือ กระทรวงกลาโหม2 รหัส 02000 ได้</t>
  </si>
  <si>
    <t>ไม่สามารถแก้ไข รหัสกระทรวงและชื่อกระทรวงซ้ำกับข้อมูลที่มีอยู่ในฐานข้อมูลได้</t>
  </si>
  <si>
    <t>สามารถทำแบบประเมิน ซึ่งการทำแบบประเมินจะต้องทำเรียงลำดับจากข้อแรกไปยังข้อสุดท้าย จะไม่สามารถทำข้ามข้อได้</t>
  </si>
  <si>
    <t>ทำแบบประเมิน ซึ่งการทำแบบประเมินจะต้องทำเรียงลำดับจากข้อแรกไปยังข้อสุดท้าย จะไม่สามารถทำข้ามข้อได้</t>
  </si>
  <si>
    <t xml:space="preserve">สามารถแก้ไขแบบประเมิน
 ถ้ายังทำแบบประเมินไม่ครบทุกข้อจะยังไม่สามารถกลับไปแก้ไขข้อมูลของหน้าจอก่อนหน้านี้ได้  และต้องหลังจากที่ทำแบบประเมินครบทั้งหมดแล้วเท่านั้นจึงจะสามารถกลับไปแก้ไขคำตอบ
 การแก้ไขแบบประเมินสามารถทำได้เฉพาะแบบประเมินที่ยังไม่ Sign-off เท่านั้น
</t>
  </si>
  <si>
    <t>แก้ไขแบบประเมิน
 ถ้ายังทำแบบประเมินไม่ครบทุกข้อจะยังไม่สามารถกลับไปแก้ไขข้อมูลของหน้าจอก่อนหน้านี้ได้  และต้องหลังจากที่ทำแบบประเมินครบทั้งหมดแล้วเท่านั้นจึงจะสามารถกลับไปแก้ไขคำตอบ
 การแก้ไขแบบประเมินสามารถทำได้เฉพาะแบบประเมินที่ยังไม่ Sign-off เท่านั้น</t>
  </si>
  <si>
    <t>แก้ไขแบบประเมิน
ที่ยังทำแบบประเมินไม่ครบทุกข้อ และไม่ทำแบบประเมินไม่ครบทั้งหมด
 การแก้ไขแบบประเมินสามารถทำได้เฉพาะแบบประเมินที่ยังไม่ Sign-off เท่านั้น</t>
  </si>
  <si>
    <t>ไม่สามารถแก้ไขแบบประเมิน</t>
  </si>
  <si>
    <t>บันทึกคำตอบอัตโนมัติระหว่างทำแบบประเมิน ซึ่งระหว่างการทำแบบประเมิน ทุกๆ ครั้งที่เปลี่ยนข้อในการตอบคำถามระบบจะบันทึกข้อมูลคำตอบของหน้าจอก่อนหน้านี้ให้อัตโนมัติ</t>
  </si>
  <si>
    <t>สามารถบันทึกคำตอบอัตโนมัติระหว่างทำแบบประเมิน ซึ่งระหว่างการทำแบบประเมิน ทุกๆ ครั้งที่เปลี่ยนข้อในการตอบคำถามระบบจะบันทึกข้อมูลคำตอบของหน้าจอก่อนหน้านี้ให้อัตโนมัติ</t>
  </si>
  <si>
    <t>สามารถ Sign-off แบบประเมิน โดยหลังจากที่ทำแบบประเมินเสร็จเรียบร้อยแล้ว จะมีปุ่ม Sign-off แสดงขึ้นมา เมื่อกดปุ่ม Sign-off โครงการจะถูกส่งไปยังสำนักงบฯ และหลังจากนี้จะไม่สามารถแก้ไขคำตอบได้อีก</t>
  </si>
  <si>
    <t>Sign-off แบบประเมิน โดยหลังจากที่ทำแบบประเมินเสร็จเรียบร้อยแล้ว จะมีปุ่ม Sign-off แสดงขึ้นมา เมื่อกดปุ่ม Sign-off โครงการจะถูกส่งไปยังสำนักงบฯ และหลังจากนี้จะไม่สามารถแก้ไขคำตอบได้อีก</t>
  </si>
  <si>
    <t>หน้าจอแสดงรายการของโครงการที่ยังไม่สมบูรณ์ โดยจะแสดงรายการของโครงการที่อยู่ระหว่างทำแบบประเมิน</t>
  </si>
  <si>
    <t>หน้าจอแสดงรายการของโครงการที่ยังไม่ส่งผลการวิเคราะห์ โดยจะแสดงรายการของโครงการที่ทำแบบประเมินเสร็จแล้ว และยังไม่ได้ Sign-off</t>
  </si>
  <si>
    <t>หน้าจอแสดงรายการของโครงการที่ส่งผลการวิเคราะห์ โดยจะแสดงรายการของโครงการที่ส่ง Sign-off แล้ว</t>
  </si>
  <si>
    <t>หน้าจอแสดงรายการของโครงการที่ไม่อยู่ในข่ายต้องวิเคราะห์ความเสี่ยง โดยจะแสดงรายการของโครงการที่ไม่อยู่ในข่ายที่จะต้องทำแบบประเมิน</t>
  </si>
  <si>
    <t>สามารถแสดงโครงการที่ยังไม่สมบูรณ์ โดยจะแสดงรายการของโครงการที่อยู่ระหว่างทำแบบประเมิน และแสดงตามปีงบประมาณให้เลือกดูได้เฉพาะปีงบประมาณที่ต้องการ</t>
  </si>
  <si>
    <t>สามารถแสดงรายการของโครงการที่ยังไม่ส่งผลการวิเคราะห์ โดยจะแสดงรายการของโครงการที่ทำแบบประเมินเสร็จแล้ว และยังไม่ได้ Sign-off  และแสดงตามปีงบประมาณให้เลือกดูได้เฉพาะปีงบประมาณที่ต้องการ</t>
  </si>
  <si>
    <t>สามารถแสดงโครงการที่ส่งผลการวิเคราะห์ โดยจะแสดงรายการของโครงการที่ส่ง Sign-off แล้ว  และแสดงตามปีงบประมาณให้เลือกดูได้เฉพาะปีงบประมาณที่ต้องการ</t>
  </si>
  <si>
    <t>สามารถแสดงโครงการที่ไม่อยู่ในข่ายต้องวิเคราะห์ความเสี่ยง โดยจะแสดงรายการของโครงการที่ไม่อยู่ในข่ายที่จะต้องทำแบบประเมิน  และแสดงตามปีงบประมาณให้เลือกดูได้เฉพาะปีงบประมาณที่ต้องการ</t>
  </si>
  <si>
    <t>สามารถแก้ไขหน่วยงานภายในกระทรวงได้ แต่ไม่สามารถย้ายหน่วยงานข้ามกระทรวงได้</t>
  </si>
  <si>
    <t>แก้ไขหน่วยงานภายในกระทรวงได้ แต่ไม่สามารถย้ายหน่วยงานข้ามกระทรวงได้</t>
  </si>
  <si>
    <t>ย้ายหน่วยงานข้ามกระทรวงได้</t>
  </si>
  <si>
    <t>ไม่สามารถย้ายหน่วยงานข้ามกระทรวงได้</t>
  </si>
  <si>
    <t>สามารถค้นหาโครงการได้ตามเงื่อนไข</t>
  </si>
  <si>
    <t>แสดงความคิดเห็นเพิ่มเติมจากเจ้าหน้าที่จัดทำงบประมาณได้ คือ โครงการที่ผ่านการ Sign จากหน่วยงาน ในความรับผิดชอบของผู้จัดทำงบประมาณ</t>
  </si>
  <si>
    <t>สามารถแสดงความคิดเห็นเพิ่มเติมจากเจ้าหน้าที่จัดทำงบประมาณได้</t>
  </si>
  <si>
    <t>ค้นหาโครงการได้ตามเงื่อน</t>
  </si>
  <si>
    <t xml:space="preserve"> หน่วยงานในความรับผิดชอบของผู้ใช้ โดยค้นหาจากทั้งหมด หรือ หน่วยงานใด`หน่วยงานหนึ่ง
 ปีงบประมาณ
 ช่วงเงินงบประมาณ
และแสดงโครงการในรูปแบบตาราง ซึ่งมีรายละเอียดดังนี้
 ชื่อโครงการ เป็นลิ้งเข้าไปสู่หน้าจอการออกรายงาน
 ลักษณะโครงการ
 รหัสหน่วยงาน
 วงเงินงบประมาณ ตัวอย่างข้อมูล(20,000,000.00) แสดงผลตำแหน่งชิดขวาของคอลัมน์
 วันเวลา ตัวอย่างข้อมูล (24/03/2558 06:50)
 ผลการวิเคราะห์ความเสี่ยง แสดงผลตำแหน่งกลางคอลัมน์
</t>
  </si>
  <si>
    <t>ค้นหาโครงการได้ตามเงื่อนไข</t>
  </si>
  <si>
    <t>13</t>
  </si>
  <si>
    <t>ค้นหาโครงการได้ตามเงื่อนไข โดยกรอกข้อมูลไม่ถูกต้องหรือผิดรูปแบบ</t>
  </si>
  <si>
    <t>ไม่สามารถค้นหาโครงการได้ตามเงื่อนไข</t>
  </si>
  <si>
    <t>แสดงรายละเอียดโครงการ ที่เลือกจากตาราง</t>
  </si>
  <si>
    <t xml:space="preserve"> รหัสกระทรวง
 กระทรวง
 รหัสหน่วยงาน
 หน่วยงาน
 รหัสโครงการ
 ชื่อโครงการ
 ยุทธศาสตร์การจัดสรรงบประมาณ
 ปีงบประมาณ
 วงเงินงบประมาณทั้งสิ้น (บาท)
 สรุปผลคะแนนการวิเคราะห์ความเสี่ยงตามหลักธรรมาภิบาล อยู่ในเกณฑ์ที่มีระดับความเสี่ยง (สูง/กลาง/ต่ำ)
 ผลคะแนนการวิเคราะห์ความเสี่ยงด้านสภาพแวดล้อมภายในและภายนอก อยู่ในระดับที่มีความเสี่ยง
</t>
  </si>
  <si>
    <t>แสดงรายละเอียดโครงการ ที่เลือกจากตาราง โดยกรอกข้อมูลไม่ถูกต้องหรือผิดรูปแบบ</t>
  </si>
  <si>
    <t>ไม่สามารถแสดงรายละเอียดโครงการ ที่เลือกจากตาราง</t>
  </si>
  <si>
    <t>สามารถแสดงรายละเอียดโครงการ ที่เลือกจากตาราง</t>
  </si>
  <si>
    <t>สามารถออกรายงาน รายงานที่ 1 รายงานกลั่นกรองโครงการได้</t>
  </si>
  <si>
    <t>ออกรายงาน รายงานที่ 1 รายงานกลั่นกรองโครงการ</t>
  </si>
  <si>
    <t>ออกรายงาน รายงานที่ 2 รายงานการวิเคราะห์ความเสี่ยงตามหลักธรรมาภิบาลไ</t>
  </si>
  <si>
    <t xml:space="preserve">สามารถออกรายงาน รายงานที่ 2 รายงานการวิเคราะห์ความเสี่ยงตามหลักธรรมาภิบาลได้ </t>
  </si>
  <si>
    <t>สามารถออกรายงาน รายงานที่ 3 รายงานการวิเคราะห์ความเสี่ยงด้านสภาพแวดล้อมภายในและภายนอกได้</t>
  </si>
  <si>
    <t>ออกรายงาน รายงานที่ 3 รายงานการวิเคราะห์ความเสี่ยงด้านสภาพแวดล้อมภายในและภายนอก</t>
  </si>
  <si>
    <t>สามารถออกรายงาน รายงานที่ 4 รายงานสรุปผลการวิเคราะห์ความเสี่ยงตามหลักธรรมาภิบาลได้</t>
  </si>
  <si>
    <t>ออกรายงาน รายงานที่ 4 รายงานสรุปผลการวิเคราะห์ความเสี่ยงตามหลักธรรมาภิบาล</t>
  </si>
  <si>
    <t>บันทึกผลการพิจารณาจากรัฐสภา ค้นหาโครงการได้ตามเงื่อนไข</t>
  </si>
  <si>
    <t xml:space="preserve"> หน่วยงานในความรับผิดชอบของผู้ใช้ โดยค้นหาจากทั้งหมด หรือ หน่วยงานใดหน่วยงานหนึ่ง
 ปีงบประมาณ
 ช่วงเงินงบประมาณ
และแสดงโครงการในรูปแบบตาราง ซึ่งมีรายละเอียดดังนี้
 ชื่อโครงการ เป็นลิ้งเข้าไปสู่หน้าจอการออกรายงาน
 ลักษณะโครงการ
 รหัสหน่วยงาน
 วงเงินงบประมาณ ตัวอย่างข้อมูล (20,000,000.00) แสดงผลตำแหน่งชิดขวาของคอลัมน์
 วันเวลา ตัวอย่างข้อมูล (24/03/2558 06:50)
 ผลการวิเคราะห์ความเสี่ยง แสดงผลตำแหน่งกลางคอลัมน์
</t>
  </si>
  <si>
    <t>บันทึกผลการพิจารณาจากรัฐสภา ค้นหาโครงการได้ตามเงื่อนไข โดยกรอกข้อมูลไม่ถูกต้องหรือผิดรูปแบบ</t>
  </si>
  <si>
    <t xml:space="preserve"> หน่วยงานในความรับผิดชอบของผู้ใช้ โดยค้นหาจากทั้งหมด หรือ หน่วยงานใดหน่วยงานหนึ่ง
 ปีงบประมาณ
 ช่วงเงินงบประมาณ
และแสดงโครงการในรูปแบบตาราง ซึ่งมีรายละเอียดดังนี้
 ชื่อโครงการ เป็นลิ้งเข้าไปสู่หน้าจอการออกรายงาน
 ลักษณะโครงการ
 รหัสหน่วยงาน
 วงเงินงบประมาณ ตัวอย่างข้อมูล (20,000,000.00) แสดงผลตำแหน่งชิดขวาของคอลัมน์
 วันเวลา ตัวอย่างข้อมูล (24/03/2558 06:50)
 ผลการวิเคราะห์ความเสี่ยง แสดงผลตำแหน่งกลางคอลัมน์
</t>
  </si>
  <si>
    <t>14</t>
  </si>
  <si>
    <t>15</t>
  </si>
  <si>
    <t>16</t>
  </si>
  <si>
    <t>17</t>
  </si>
  <si>
    <t>18</t>
  </si>
  <si>
    <t>19</t>
  </si>
  <si>
    <t>20</t>
  </si>
  <si>
    <t>21</t>
  </si>
  <si>
    <t>22</t>
  </si>
  <si>
    <t>23</t>
  </si>
  <si>
    <t xml:space="preserve">ออกรายงาน รายงานที่ 1 รายงานกลั่นกรองโครงการได้ </t>
  </si>
  <si>
    <t xml:space="preserve">สามารถออกรายงาน รายงานที่ 1 รายงานกลั่นกรองโครงการได้ </t>
  </si>
  <si>
    <t>ออกรายงาน รายงานที่ 2 รายงานการวิเคราะห์ความเสี่ยงตามหลักธรรมาภิบาล</t>
  </si>
  <si>
    <t xml:space="preserve">สามารถออกรายงาน รายงานที่ 5 รายงานความคิดเห็นเพิ่มเติมจากเจ้าหน้าที่สำนักงบประมาณได้ </t>
  </si>
  <si>
    <t>ออกรายงาน รายงานที่ 5 รายงานความคิดเห็นเพิ่มเติมจากเจ้าหน้าที่สำนักงบประมาณ</t>
  </si>
  <si>
    <t>สามารถบันทึกผลการพิจารณาจากรัฐสภาได้</t>
  </si>
  <si>
    <t>บันทึกผลการพิจารณาจากรัฐสภา ผ่านการอนุมัติจากรัฐสภา ต้องกรอกจำนวนงบประมาณที่อนุมัติจารัฐสภาด้วย</t>
  </si>
  <si>
    <t>บันทึกผลการพิจารณาจากรัฐสภา ไม่ผ่านการอนุมัติจากรัฐสภา</t>
  </si>
  <si>
    <t>บันทึกผลการพิจารณาจากรัฐสภา ไม่ผ่านการพิจารณาในระดับสำนักงบประมาณ</t>
  </si>
  <si>
    <t>ค้นหาโครงการที่ผ่านการพิจารณาจากรัฐสภา</t>
  </si>
  <si>
    <t>สามารถค้นหาโครงการได้</t>
  </si>
  <si>
    <t>24</t>
  </si>
  <si>
    <t>25</t>
  </si>
  <si>
    <t>26</t>
  </si>
  <si>
    <t>27</t>
  </si>
  <si>
    <t>28</t>
  </si>
  <si>
    <t>29</t>
  </si>
  <si>
    <t>30</t>
  </si>
  <si>
    <t>31</t>
  </si>
  <si>
    <t>32</t>
  </si>
  <si>
    <t>33</t>
  </si>
  <si>
    <t>34</t>
  </si>
  <si>
    <t xml:space="preserve"> ผ่านการอนุมัติจากรัฐสภา
 ไม่ผ่านการอนุมัติจากรัฐสภา
 ไม่ผ่านการพิจารณาในระดับสำนักงบประมาณ
 หน่วยงานในความรับผิดชอบของผู้ใช้ โดยค้นหาจากทั้งหมด หรือ หน่วยงานใดหน่วยงานหนึ่ง
 ปีงบประมาณ
 ช่วงเงินงบประมาณ
</t>
  </si>
  <si>
    <t>ค้นหาโครงการที่ผ่านการพิจารณาจากรัฐสภา โดยกรอกข้อมูลไม่ถูกต้องหรือผิดรูปแบบ</t>
  </si>
  <si>
    <t>ไม่แสดงโครงการในรูปแบบตาราง</t>
  </si>
  <si>
    <t xml:space="preserve">แสดงโครงการในรูปแบบตาราง ซึ่งมีรายละเอียดดังนี้
 ชื่อโครงการ เป็นลิ้งเข้าไปสู่หน้าจอการออกรายงาน
 ลักษณะโครงการ
 รหัสหน่วยงาน
 วงเงินงบประมาณ ตัวอย่างข้อมูล (20,000,000.00) แสดงผลตำแหน่งชิดขวาของคอลัมน์
 สถานะโครงการ
 วงเงินที่ได้รับการอนุมัติจากรัฐสภา (20,000,000.00) แสดงผลตำแหน่งชิดขวาของคอลัมน์
 วันเวลา ตัวอย่างข้อมูล (24/03/2558 06:50)
 ผลการวิเคราะห์ความเสี่ยง แสดงผลตำแหน่งกลางคอลัมน์
</t>
  </si>
  <si>
    <t>สามารถออกรายงาน รายงานที่ 5 รายงานความคิดเห็นเพิ่มเติมจากเจ้าหน้าที่สำนักงบประมาณได้</t>
  </si>
  <si>
    <t xml:space="preserve">สามารถออกรายงาน รายงานที่ 6 รายงานการพิจารณาจากรัฐสภา </t>
  </si>
  <si>
    <t>ออกรายงาน รายงานที่ 6 รายงานการพิจารณาจากรัฐสภา</t>
  </si>
  <si>
    <t>แก้ไขหน่วยงานที่รับผิดชอบ ซึ่งการแก้ไขหน่วยงานที่รับผิดชอบจะมีผลการกับแสดงโครงการ โดยเพิ่มหน่วยงานในความรับผิดชอบ</t>
  </si>
  <si>
    <t>ยกเลิกหน่วยงานที่รับผิดชอบ</t>
  </si>
  <si>
    <t>สามารถเพิ่มหน่วยงานในความรับผิดชอบได้</t>
  </si>
  <si>
    <t>สามารถยกเลิกหน่วยงานที่รับผิดชอบ</t>
  </si>
  <si>
    <t xml:space="preserve"> หน่วยงานในความรับผิดชอบของผู้ใช้ โดยค้นหาจากทั้งหมด หรือ หน่วยงานใดหน่วยงานหนึ่ง
 ปีงบประมาณ
 ช่วงเงินงบประมาณ
</t>
  </si>
  <si>
    <t xml:space="preserve">แสดงโครงการในรูปแบบตาราง ซึ่งมีรายละเอียดดังนี้
 ชื่อโครงการ เป็นลิ้งเข้าไปสู่หน้าจอการออกรายงาน
 ลักษณะโครงการ
 วงเงินงบประมาณ ตัวอย่างข้อมูล (20,000,000.00) แสดงผลตำแหน่งชิดขวาของคอลัมน์
 วันที่แก้ไขครั้งสุดท้าย ตัวอย่างข้อมูล (24/03/2558 06:50)
 ผลการวิเคราะห์ความเสี่ยง แสดงผลตำแหน่งกลางคอลัมน์
</t>
  </si>
  <si>
    <t>แสดงรายละเอียดโครงการ</t>
  </si>
  <si>
    <t>ค้นหาโครงการได้ตามเงื่อน โดยกรอกข้อมูลไม่ถูกต้องหรือผิดรูปแบบ</t>
  </si>
  <si>
    <t xml:space="preserve">ไม่แสดงโครงการ
</t>
  </si>
  <si>
    <t>แสดงรายละเอียดโครงการ โดยกรอกข้อมูลไม่ถูกต้องหรือผิดรูปแบบ</t>
  </si>
  <si>
    <t>ไม่สามารถแสดงรายละเอียดโครงการ</t>
  </si>
  <si>
    <t>ค้นหาโครงการที่ไม่อยู่ในข่ายการวิเคราะห์ความเสี่ยงตามหลักธรรมาภิบาล ค้นหาโครงการได้ตามเงื่อน</t>
  </si>
  <si>
    <t>ค้นหาโครงการที่ผ่านการแสดงความคิดเห็นจากเจ้าหน้าที่จัดทำงบประมาณ จะแสดงโครงการฯ ของหน่วยงานได้ที่ละหน่วยงาน หรือแสดงทั้งหมดได้ ค้นหาโครงการได้ตามเงื่อนไข</t>
  </si>
  <si>
    <t>ถออกรายงาน รายงานที่ 1 รายงานกลั่นกรองโครงการ</t>
  </si>
  <si>
    <t>อกรายงาน รายงานที่ 3 รายงานการวิเคราะห์ความเสี่ยงด้านสภาพแวดล้อมภายในและภายนอก</t>
  </si>
  <si>
    <t>ค้นหาโครงการที่ผ่านการพิจารณาจากรัฐสภา  สามารถค้นหาโครงการได้ตามเงื่อนไข</t>
  </si>
  <si>
    <t>ามารถออกรายงาน รายงานที่ 3 รายงานการวิเคราะห์ความเสี่ยงด้านสภาพแวดล้อมภายในและภายนอกได้</t>
  </si>
  <si>
    <t>สามารถค้นหาโครงการที่ผ่านการพิจารณาจากรัฐสภาตามเงื่อนไข</t>
  </si>
  <si>
    <t xml:space="preserve">ออกรายงาน ภาพรวมทั่วประเทศ แยกตามโครงการที่อยู่ในข่าย/ไม่อยู่ในข่ายการวิเคราะห์ความเสี่ยงได้ คือ รายงานที่แบ่งโครงการฯ ออกเป็น 2 กลุ่ม (โครงการที่อยู่ในข่าย/ไม่อยู่ในข่าย) </t>
  </si>
  <si>
    <t>ออกรายงาน ภาพรวมทั่วประเทศ แยกตามประเภทโครงการได้ คือ รายงานที่แบ่งโครงการฯ ออกเป็น 2 กลุ่ม (โครงการใหม่/ต่อเนื่อง)</t>
  </si>
  <si>
    <t xml:space="preserve">ออกรายงาน ภาพรวมทั่วประเทศ แยกตามผลการพิจารณาจากรัฐสภาได้ คือ รายงานที่แบ่งโครงการฯ ออกเป็น 3 กลุ่ม (โครงการผ่านการอนุมัติจากรัฐสภา/ไม่ผ่านการอนุมัติจากรัฐสภา/ไม่ผ่านการพิจารณาประกอบการจัดทำงบประมาณ) </t>
  </si>
  <si>
    <t>ออกรายงาน ภาพรวมทั่วประเทศ แยกตามลักษณะของโครงการได้ คือ รายงานที่แบ่งโครงการฯ ออกเป็น 4 กลุ่ม (บริหารทั่วไป/บริการชุมชนและสังคม/เศรษฐกิจ/อื่นๆ)</t>
  </si>
  <si>
    <t>ออกรายงาน ภาพรวมทั่วประเทศ แยกตามยุทธศาสตร์จัดสรรโครงการได้ คือ รายงานที่แบ่งโครงการฯ ออกเป็นกลุ่ม ขึ้นอยู่กับการกำหนดแผนยุทธศาสตร์</t>
  </si>
  <si>
    <t>ออกรายงาน ภาพรวมทั่วประเทศ แยกตามสถานะ การวิเคราะห์โครงการได้ คือ รายงานของโครงการที่อยู่ในระหว่างดำเนินการวิเคราะห์ฯ</t>
  </si>
  <si>
    <t>ออกรายงาน ภาพรวมทั่วประเทศ แยกตามผลการวิเคราะห์ความเสี่ยงตามหลักธรรมาภิบาลได้ คือ รายงานที่แบ่งโครงการฯ ออกเป็น 3 กลุ่ม (โครงการที่มีผลการวิเคราะห์ความเสี่ยงต่ำ/กลาง/สูง)</t>
  </si>
  <si>
    <t>ออกรายงาน ตรวจสอบโครงการของส่วนราชการทั่วประเทศ จำแนกตามรายกระทรวงได้ คือ รายงานที่แบ่งโครงการฯ ออกเป็น 3 กลุ่ม (โครงการที่บันทึกเสร็จแล้ว/อยู่ระหว่างการบันทึก/หน่วยงานที่ไม่ทำรายการ)</t>
  </si>
  <si>
    <t xml:space="preserve">ออกรายงาน ภาพรวมผลการวิเคราะห์ความเสี่ยงตามหลักธรรมาภิบาลของส่วนราชการทั่วประเทศ จำแนกตามรายกระทรวงได้ คือ รายงานแสดงโครงการจำแนกตามรายการกระทรวง หน่วยงาน </t>
  </si>
  <si>
    <t xml:space="preserve">สามารถออกรายงาน รายงานที่ 3 รายงานการวิเคราะห์ความเสี่ยงด้านสภาพแวดล้อมภายในและภายนอกได้ </t>
  </si>
  <si>
    <t>สามารถออกรายงาน รายงานที่ 6 รายงานการพิจารณาจากรัฐสภา</t>
  </si>
  <si>
    <t xml:space="preserve">สามารถออกรายงาน ภาพรวมทั่วประเทศ แยกตามโครงการที่อยู่ในข่าย/ไม่อยู่ในข่ายการวิเคราะห์ความเสี่ยงได้ คือ รายงานที่แบ่งโครงการฯ ออกเป็น 2 กลุ่ม (โครงการที่อยู่ในข่าย/ไม่อยู่ในข่าย) </t>
  </si>
  <si>
    <t>สามารถออกรายงาน ภาพรวมทั่วประเทศ แยกตามประเภทโครงการได้ คือ รายงานที่แบ่งโครงการฯ ออกเป็น 2 กลุ่ม (โครงการใหม่/ต่อเนื่อง)</t>
  </si>
  <si>
    <t xml:space="preserve">สามารถออกรายงาน ภาพรวมทั่วประเทศ แยกตามผลการพิจารณาจากรัฐสภาได้ คือ รายงานที่แบ่งโครงการฯ ออกเป็น 3 กลุ่ม (โครงการผ่านการอนุมัติจากรัฐสภา/ไม่ผ่านการอนุมัติจากรัฐสภา/ไม่ผ่านการพิจารณาประกอบการจัดทำงบประมาณ) </t>
  </si>
  <si>
    <t>สามารถออกรายงาน ภาพรวมทั่วประเทศ แยกตามลักษณะของโครงการได้ คือ รายงานที่แบ่งโครงการฯ ออกเป็น 4 กลุ่ม (บริหารทั่วไป/บริการชุมชนและสังคม/เศรษฐกิจ/อื่นๆ)</t>
  </si>
  <si>
    <t>สามารถออกรายงาน ภาพรวมทั่วประเทศ แยกตามยุทธศาสตร์จัดสรรโครงการได้ คือ รายงานที่แบ่งโครงการฯ ออกเป็นกลุ่ม ขึ้นอยู่กับการกำหนดแผนยุทธศาสตร์</t>
  </si>
  <si>
    <t xml:space="preserve"> สามารถออกรายงาน ภาพรวมทั่วประเทศ แยกตามสถานะ การวิเคราะห์โครงการได้ คือ รายงานของโครงการที่อยู่ในระหว่างดำเนินการวิเคราะห์ฯ</t>
  </si>
  <si>
    <t>สามารถออกรายงาน ภาพรวมทั่วประเทศ แยกตามผลการวิเคราะห์ความเสี่ยงตามหลักธรรมาภิบาลได้ คือ รายงานที่แบ่งโครงการฯ ออกเป็น 3 กลุ่ม (โครงการที่มีผลการวิเคราะห์ความเสี่ยงต่ำ/กลาง/สูง)</t>
  </si>
  <si>
    <t>สามารถออกรายงาน ตรวจสอบโครงการของส่วนราชการทั่วประเทศ จำแนกตามรายกระทรวงได้ คือ รายงานที่แบ่งโครงการฯ ออกเป็น 3 กลุ่ม (โครงการที่บันทึกเสร็จแล้ว/อยู่ระหว่างการบันทึก/หน่วยงานที่ไม่ทำรายการ)</t>
  </si>
  <si>
    <t xml:space="preserve">สามารถออกรายงาน ภาพรวมผลการวิเคราะห์ความเสี่ยงตามหลักธรรมาภิบาลของส่วนราชการทั่วประเทศ จำแนกตามรายกระทรวงได้ คือ รายงานแสดงโครงการจำแนกตามรายการกระทรวง หน่วยงาน </t>
  </si>
  <si>
    <t xml:space="preserve"> กระทรวง โดยค้นหาจากทุกกระทรวง หรือ กระทรวงใดกระทรวงหนึ่ง
 ปีงบประมาณ
 ช่วงเงินงบประมาณ
</t>
  </si>
  <si>
    <t xml:space="preserve"> กระทรวง โดยค้นหาจากทุกกระทรวง หรือ กระทรวงใดกระทรวงหนึ่ง
 ปีงบประมาณ
 ช่วงเงินงบประมาณ</t>
  </si>
  <si>
    <t>ค้นหาโครงการที่ไม่อยู่ในข่ายการวิเคราะห์ความเสี่ยงตามหลักธรรมาภิบาล ค้นหาโครงการได้ตามเงื่อน โดยกรอกข้อมูลไม่ถูกต้องหรือผิดรูปแบบ</t>
  </si>
  <si>
    <t>ค้นหาโครงการที่ผ่านการแสดงความคิดเห็นจากเจ้าหน้าที่จัดทำงบประมาณ จะแสดงโครงการฯ ของหน่วยงานได้ที่ละหน่วยงาน หรือแสดงทั้งหมดได้ ค้นหาโครงการได้ตามเงื่อนไข โดยกรอกข้อมูลไม่ถูกต้องหรือผิดรูปแบบ</t>
  </si>
  <si>
    <t>ไม่สามารถค้นหาโครงการได้</t>
  </si>
  <si>
    <t>ค้นหาโครงการที่ผ่านการพิจารณาจากรัฐสภา  สามารถค้นหาโครงการได้ตามเงื่อนไข โดยกรอกข้อมูลไม่ถูกต้องหรือผิดรูปแบบ</t>
  </si>
  <si>
    <t>ไม่สามารถค้นหาโครงการที่ผ่านการพิจารณาจากรัฐสภาตามเงื่อนไข</t>
  </si>
  <si>
    <t>35</t>
  </si>
  <si>
    <t>36</t>
  </si>
  <si>
    <t>37</t>
  </si>
  <si>
    <t>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</si>
</sst>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409]d\-mmm\-yy;@"/>
  </numFmts>
  <fonts count="26" x14ac:knownFonts="1">
    <font>
      <sz val="10"/>
      <name val="Verdana"/>
    </font>
    <font>
      <sz val="10"/>
      <name val="Verdana"/>
      <family val="2"/>
    </font>
    <font>
      <sz val="10"/>
      <name val="Browallia New"/>
      <family val="2"/>
    </font>
    <font>
      <sz val="14"/>
      <name val="Browallia New"/>
      <family val="2"/>
    </font>
    <font>
      <b/>
      <sz val="14"/>
      <name val="Browallia New"/>
      <family val="2"/>
    </font>
    <font>
      <sz val="9"/>
      <color indexed="81"/>
      <name val="Tahoma"/>
      <family val="2"/>
    </font>
    <font>
      <b/>
      <sz val="22"/>
      <color indexed="16"/>
      <name val="Browallia New"/>
      <family val="2"/>
    </font>
    <font>
      <sz val="10"/>
      <name val="Arial"/>
      <family val="2"/>
    </font>
    <font>
      <b/>
      <u/>
      <sz val="14"/>
      <name val="Browallia New"/>
      <family val="2"/>
    </font>
    <font>
      <b/>
      <sz val="14"/>
      <color indexed="9"/>
      <name val="Browallia New"/>
      <family val="2"/>
    </font>
    <font>
      <sz val="14"/>
      <color indexed="9"/>
      <name val="Browallia New"/>
      <family val="2"/>
    </font>
    <font>
      <sz val="11"/>
      <color indexed="8"/>
      <name val="Tahoma"/>
      <family val="2"/>
      <charset val="222"/>
    </font>
    <font>
      <sz val="11"/>
      <color indexed="8"/>
      <name val="Calibri"/>
      <family val="2"/>
    </font>
    <font>
      <b/>
      <sz val="20"/>
      <color indexed="9"/>
      <name val="Browallia New"/>
      <family val="2"/>
    </font>
    <font>
      <b/>
      <sz val="22"/>
      <color indexed="41"/>
      <name val="Browallia New"/>
      <family val="2"/>
    </font>
    <font>
      <i/>
      <sz val="14"/>
      <color indexed="23"/>
      <name val="Browallia New"/>
      <family val="2"/>
    </font>
    <font>
      <sz val="8"/>
      <name val="Verdana"/>
      <family val="2"/>
    </font>
    <font>
      <u/>
      <sz val="7.5"/>
      <color indexed="12"/>
      <name val="Verdana"/>
      <family val="2"/>
    </font>
    <font>
      <sz val="8"/>
      <color indexed="81"/>
      <name val="Tahoma"/>
      <family val="2"/>
    </font>
    <font>
      <u/>
      <sz val="14"/>
      <name val="Browallia New"/>
      <family val="2"/>
    </font>
    <font>
      <sz val="14"/>
      <color indexed="12"/>
      <name val="Browallia New"/>
      <family val="2"/>
    </font>
    <font>
      <b/>
      <sz val="22"/>
      <name val="Browallia New"/>
      <family val="2"/>
    </font>
    <font>
      <sz val="11"/>
      <color theme="1"/>
      <name val="Tahoma"/>
      <family val="2"/>
      <charset val="222"/>
    </font>
    <font>
      <sz val="14"/>
      <color theme="1"/>
      <name val="Browallia New"/>
      <family val="2"/>
    </font>
    <font>
      <sz val="14"/>
      <color rgb="FFFF0000"/>
      <name val="Browallia New"/>
      <family val="2"/>
    </font>
    <font>
      <sz val="14"/>
      <color rgb="FFFF0066"/>
      <name val="Browallia New"/>
      <family val="2"/>
    </font>
  </fonts>
  <fills count="10">
    <fill>
      <patternFill patternType="none"/>
    </fill>
    <fill>
      <patternFill patternType="gray125"/>
    </fill>
    <fill>
      <patternFill patternType="solid">
        <fgColor indexed="56"/>
        <bgColor indexed="8"/>
      </patternFill>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46"/>
        <bgColor indexed="64"/>
      </patternFill>
    </fill>
    <fill>
      <patternFill patternType="solid">
        <fgColor rgb="FFFFFFA3"/>
        <bgColor indexed="64"/>
      </patternFill>
    </fill>
    <fill>
      <patternFill patternType="solid">
        <fgColor rgb="FFFFFF99"/>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right style="thin">
        <color indexed="23"/>
      </right>
      <top style="thin">
        <color indexed="23"/>
      </top>
      <bottom style="thin">
        <color indexed="23"/>
      </bottom>
      <diagonal/>
    </border>
    <border>
      <left style="thin">
        <color indexed="23"/>
      </left>
      <right style="thin">
        <color indexed="23"/>
      </right>
      <top style="thin">
        <color indexed="55"/>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diagonal/>
    </border>
    <border>
      <left style="thin">
        <color indexed="64"/>
      </left>
      <right style="thin">
        <color indexed="64"/>
      </right>
      <top style="thin">
        <color indexed="64"/>
      </top>
      <bottom style="thin">
        <color indexed="64"/>
      </bottom>
      <diagonal/>
    </border>
    <border>
      <left style="thin">
        <color indexed="23"/>
      </left>
      <right/>
      <top style="thin">
        <color indexed="23"/>
      </top>
      <bottom style="thin">
        <color indexed="64"/>
      </bottom>
      <diagonal/>
    </border>
    <border>
      <left/>
      <right style="thin">
        <color indexed="23"/>
      </right>
      <top style="thin">
        <color indexed="64"/>
      </top>
      <bottom style="thin">
        <color indexed="64"/>
      </bottom>
      <diagonal/>
    </border>
    <border>
      <left style="thin">
        <color indexed="23"/>
      </left>
      <right/>
      <top style="thin">
        <color indexed="64"/>
      </top>
      <bottom style="thin">
        <color indexed="64"/>
      </bottom>
      <diagonal/>
    </border>
    <border>
      <left/>
      <right style="thin">
        <color indexed="23"/>
      </right>
      <top style="thin">
        <color indexed="23"/>
      </top>
      <bottom style="thin">
        <color indexed="64"/>
      </bottom>
      <diagonal/>
    </border>
    <border>
      <left/>
      <right/>
      <top style="thin">
        <color indexed="64"/>
      </top>
      <bottom style="thin">
        <color indexed="64"/>
      </bottom>
      <diagonal/>
    </border>
    <border>
      <left style="thin">
        <color indexed="23"/>
      </left>
      <right/>
      <top style="thin">
        <color indexed="55"/>
      </top>
      <bottom style="thin">
        <color indexed="23"/>
      </bottom>
      <diagonal/>
    </border>
    <border>
      <left/>
      <right style="thin">
        <color indexed="23"/>
      </right>
      <top style="thin">
        <color indexed="55"/>
      </top>
      <bottom style="thin">
        <color indexed="23"/>
      </bottom>
      <diagonal/>
    </border>
    <border>
      <left/>
      <right style="thin">
        <color indexed="55"/>
      </right>
      <top style="thin">
        <color indexed="23"/>
      </top>
      <bottom style="thin">
        <color indexed="23"/>
      </bottom>
      <diagonal/>
    </border>
    <border>
      <left style="thin">
        <color indexed="23"/>
      </left>
      <right/>
      <top/>
      <bottom style="thin">
        <color indexed="64"/>
      </bottom>
      <diagonal/>
    </border>
  </borders>
  <cellStyleXfs count="19">
    <xf numFmtId="0" fontId="0" fillId="0" borderId="0"/>
    <xf numFmtId="164" fontId="12"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22" fillId="0" borderId="0"/>
    <xf numFmtId="0" fontId="7" fillId="0" borderId="0"/>
    <xf numFmtId="0" fontId="7" fillId="0" borderId="0"/>
    <xf numFmtId="0" fontId="7" fillId="0" borderId="0"/>
    <xf numFmtId="0" fontId="7" fillId="0" borderId="0"/>
    <xf numFmtId="9" fontId="12"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cellStyleXfs>
  <cellXfs count="210">
    <xf numFmtId="0" fontId="0" fillId="0" borderId="0" xfId="0"/>
    <xf numFmtId="0" fontId="13" fillId="2" borderId="0" xfId="3" applyNumberFormat="1" applyFont="1" applyFill="1" applyBorder="1" applyAlignment="1" applyProtection="1">
      <alignment vertical="center"/>
    </xf>
    <xf numFmtId="0" fontId="14" fillId="2" borderId="0" xfId="3" applyNumberFormat="1" applyFont="1" applyFill="1" applyBorder="1" applyAlignment="1" applyProtection="1">
      <alignment vertical="center"/>
    </xf>
    <xf numFmtId="0" fontId="6" fillId="2" borderId="0" xfId="3" applyNumberFormat="1" applyFont="1" applyFill="1" applyBorder="1" applyAlignment="1" applyProtection="1">
      <alignment vertical="center"/>
    </xf>
    <xf numFmtId="0" fontId="3" fillId="0" borderId="0" xfId="3" applyFont="1" applyBorder="1" applyAlignment="1" applyProtection="1">
      <alignment vertical="top" wrapText="1"/>
      <protection locked="0"/>
    </xf>
    <xf numFmtId="0" fontId="3" fillId="3" borderId="3" xfId="3" applyFont="1" applyFill="1" applyBorder="1" applyAlignment="1" applyProtection="1">
      <alignment vertical="top" wrapText="1"/>
      <protection locked="0"/>
    </xf>
    <xf numFmtId="0" fontId="3" fillId="3" borderId="4" xfId="3" applyFont="1" applyFill="1" applyBorder="1" applyProtection="1"/>
    <xf numFmtId="0" fontId="3" fillId="3" borderId="4" xfId="3" applyFont="1" applyFill="1" applyBorder="1" applyProtection="1">
      <protection locked="0"/>
    </xf>
    <xf numFmtId="0" fontId="3" fillId="3" borderId="5" xfId="3" applyFont="1" applyFill="1" applyBorder="1" applyProtection="1">
      <protection locked="0"/>
    </xf>
    <xf numFmtId="0" fontId="3" fillId="0" borderId="0" xfId="3" applyFont="1" applyProtection="1">
      <protection locked="0"/>
    </xf>
    <xf numFmtId="0" fontId="3" fillId="3" borderId="6" xfId="3" applyFont="1" applyFill="1" applyBorder="1" applyAlignment="1" applyProtection="1">
      <alignment vertical="top" wrapText="1"/>
      <protection locked="0"/>
    </xf>
    <xf numFmtId="0" fontId="8" fillId="3" borderId="0" xfId="3" applyFont="1" applyFill="1" applyBorder="1" applyAlignment="1" applyProtection="1">
      <alignment horizontal="left" vertical="center" indent="1"/>
    </xf>
    <xf numFmtId="0" fontId="9" fillId="3" borderId="0" xfId="3" applyFont="1" applyFill="1" applyBorder="1" applyProtection="1"/>
    <xf numFmtId="0" fontId="10" fillId="3" borderId="0" xfId="3" applyFont="1" applyFill="1" applyBorder="1" applyProtection="1">
      <protection locked="0"/>
    </xf>
    <xf numFmtId="0" fontId="3" fillId="3" borderId="0" xfId="3" applyFont="1" applyFill="1" applyBorder="1" applyProtection="1">
      <protection locked="0"/>
    </xf>
    <xf numFmtId="0" fontId="3" fillId="3" borderId="7" xfId="3" applyFont="1" applyFill="1" applyBorder="1" applyProtection="1">
      <protection locked="0"/>
    </xf>
    <xf numFmtId="0" fontId="3" fillId="3" borderId="0" xfId="3" applyFont="1" applyFill="1" applyBorder="1" applyProtection="1"/>
    <xf numFmtId="0" fontId="4" fillId="3" borderId="0" xfId="3" applyFont="1" applyFill="1" applyBorder="1" applyAlignment="1" applyProtection="1">
      <alignment horizontal="right"/>
    </xf>
    <xf numFmtId="0" fontId="3" fillId="3" borderId="0" xfId="3" applyFont="1" applyFill="1" applyBorder="1" applyAlignment="1" applyProtection="1">
      <alignment horizontal="left" vertical="top"/>
    </xf>
    <xf numFmtId="0" fontId="3" fillId="3" borderId="6" xfId="3" applyFont="1" applyFill="1" applyBorder="1" applyAlignment="1" applyProtection="1">
      <alignment vertical="top"/>
      <protection locked="0"/>
    </xf>
    <xf numFmtId="0" fontId="3" fillId="3" borderId="0" xfId="3" applyFont="1" applyFill="1" applyProtection="1">
      <protection locked="0"/>
    </xf>
    <xf numFmtId="0" fontId="4" fillId="3" borderId="0" xfId="3" applyFont="1" applyFill="1" applyBorder="1" applyProtection="1"/>
    <xf numFmtId="0" fontId="4" fillId="3" borderId="0" xfId="3" applyFont="1" applyFill="1" applyBorder="1" applyAlignment="1" applyProtection="1">
      <alignment horizontal="right" vertical="top"/>
    </xf>
    <xf numFmtId="0" fontId="3" fillId="3" borderId="8" xfId="3" applyFont="1" applyFill="1" applyBorder="1" applyAlignment="1" applyProtection="1">
      <alignment vertical="top"/>
      <protection locked="0"/>
    </xf>
    <xf numFmtId="0" fontId="3" fillId="3" borderId="9" xfId="3" applyFont="1" applyFill="1" applyBorder="1" applyProtection="1"/>
    <xf numFmtId="0" fontId="3" fillId="3" borderId="9" xfId="3" applyFont="1" applyFill="1" applyBorder="1" applyProtection="1">
      <protection locked="0"/>
    </xf>
    <xf numFmtId="0" fontId="3" fillId="0" borderId="0" xfId="3" applyFont="1" applyFill="1" applyAlignment="1" applyProtection="1">
      <alignment vertical="top"/>
      <protection locked="0"/>
    </xf>
    <xf numFmtId="0" fontId="3" fillId="0" borderId="0" xfId="3" applyFont="1" applyFill="1" applyProtection="1">
      <protection locked="0"/>
    </xf>
    <xf numFmtId="0" fontId="4" fillId="3" borderId="0" xfId="3" applyFont="1" applyFill="1" applyBorder="1" applyAlignment="1" applyProtection="1">
      <alignment horizontal="right"/>
      <protection locked="0"/>
    </xf>
    <xf numFmtId="0" fontId="3" fillId="3" borderId="3" xfId="3" applyFont="1" applyFill="1" applyBorder="1" applyAlignment="1" applyProtection="1">
      <alignment vertical="top"/>
      <protection locked="0"/>
    </xf>
    <xf numFmtId="0" fontId="3" fillId="3" borderId="0" xfId="3" applyFont="1" applyFill="1" applyBorder="1" applyAlignment="1" applyProtection="1">
      <alignment horizontal="left" vertical="top" wrapText="1"/>
    </xf>
    <xf numFmtId="0" fontId="3" fillId="3" borderId="4" xfId="3" applyFont="1" applyFill="1" applyBorder="1" applyAlignment="1" applyProtection="1">
      <alignment vertical="top" wrapText="1"/>
      <protection locked="0"/>
    </xf>
    <xf numFmtId="0" fontId="3" fillId="3" borderId="0" xfId="3" applyFont="1" applyFill="1" applyBorder="1" applyAlignment="1" applyProtection="1">
      <alignment vertical="top" wrapText="1"/>
      <protection locked="0"/>
    </xf>
    <xf numFmtId="0" fontId="3" fillId="3" borderId="0" xfId="3" applyFont="1" applyFill="1" applyBorder="1" applyAlignment="1" applyProtection="1">
      <alignment vertical="top"/>
      <protection locked="0"/>
    </xf>
    <xf numFmtId="0" fontId="3" fillId="3" borderId="9" xfId="3" applyFont="1" applyFill="1" applyBorder="1" applyAlignment="1" applyProtection="1">
      <alignment vertical="top"/>
      <protection locked="0"/>
    </xf>
    <xf numFmtId="0" fontId="3" fillId="3" borderId="4" xfId="3" applyFont="1" applyFill="1" applyBorder="1" applyAlignment="1" applyProtection="1">
      <alignment vertical="top"/>
      <protection locked="0"/>
    </xf>
    <xf numFmtId="0" fontId="2" fillId="3" borderId="9" xfId="3" applyFont="1" applyFill="1" applyBorder="1" applyAlignment="1">
      <alignment horizontal="left" vertical="top"/>
    </xf>
    <xf numFmtId="165" fontId="3" fillId="3" borderId="9" xfId="3" applyNumberFormat="1" applyFont="1" applyFill="1" applyBorder="1" applyAlignment="1" applyProtection="1">
      <alignment vertical="top"/>
      <protection locked="0"/>
    </xf>
    <xf numFmtId="0" fontId="10" fillId="3" borderId="9" xfId="3" applyFont="1" applyFill="1" applyBorder="1" applyProtection="1">
      <protection locked="0"/>
    </xf>
    <xf numFmtId="0" fontId="4" fillId="3" borderId="0" xfId="3" applyFont="1" applyFill="1" applyBorder="1" applyAlignment="1" applyProtection="1">
      <alignment vertical="center"/>
      <protection locked="0"/>
    </xf>
    <xf numFmtId="0" fontId="4" fillId="3" borderId="0" xfId="3" applyFont="1" applyFill="1" applyBorder="1" applyAlignment="1" applyProtection="1">
      <alignment horizontal="right" vertical="top" wrapText="1"/>
    </xf>
    <xf numFmtId="0" fontId="3" fillId="3" borderId="0" xfId="0" applyFont="1" applyFill="1"/>
    <xf numFmtId="0" fontId="3" fillId="3" borderId="0" xfId="0" applyFont="1" applyFill="1" applyAlignment="1">
      <alignment horizontal="right"/>
    </xf>
    <xf numFmtId="0" fontId="3" fillId="3" borderId="4" xfId="0" applyFont="1" applyFill="1" applyBorder="1"/>
    <xf numFmtId="0" fontId="3" fillId="3" borderId="11" xfId="0" applyFont="1" applyFill="1" applyBorder="1"/>
    <xf numFmtId="0" fontId="3" fillId="3" borderId="0" xfId="0" applyFont="1" applyFill="1" applyBorder="1"/>
    <xf numFmtId="0" fontId="3" fillId="3" borderId="6" xfId="0" applyFont="1" applyFill="1" applyBorder="1"/>
    <xf numFmtId="0" fontId="3" fillId="4" borderId="2" xfId="3" applyFont="1" applyFill="1" applyBorder="1" applyProtection="1">
      <protection locked="0"/>
    </xf>
    <xf numFmtId="0" fontId="4" fillId="3" borderId="0" xfId="3" applyFont="1" applyFill="1" applyBorder="1" applyAlignment="1" applyProtection="1">
      <alignment vertical="top"/>
      <protection locked="0"/>
    </xf>
    <xf numFmtId="0" fontId="4" fillId="3" borderId="4" xfId="3" applyFont="1" applyFill="1" applyBorder="1" applyProtection="1"/>
    <xf numFmtId="0" fontId="3" fillId="3" borderId="4" xfId="3" applyFont="1" applyFill="1" applyBorder="1" applyAlignment="1" applyProtection="1">
      <alignment horizontal="left" vertical="top" wrapText="1"/>
    </xf>
    <xf numFmtId="0" fontId="4" fillId="3" borderId="2" xfId="3" applyFont="1" applyFill="1" applyBorder="1" applyAlignment="1" applyProtection="1">
      <alignment horizontal="center"/>
    </xf>
    <xf numFmtId="0" fontId="4" fillId="3" borderId="2" xfId="3" applyFont="1" applyFill="1" applyBorder="1" applyAlignment="1" applyProtection="1">
      <alignment horizontal="center"/>
      <protection locked="0"/>
    </xf>
    <xf numFmtId="0" fontId="3" fillId="4" borderId="2" xfId="3" applyFont="1" applyFill="1" applyBorder="1" applyAlignment="1" applyProtection="1">
      <alignment horizontal="center"/>
    </xf>
    <xf numFmtId="0" fontId="3" fillId="4" borderId="2" xfId="3" applyFont="1" applyFill="1" applyBorder="1" applyAlignment="1" applyProtection="1">
      <alignment horizontal="center"/>
      <protection locked="0"/>
    </xf>
    <xf numFmtId="1" fontId="3" fillId="5" borderId="2" xfId="3" applyNumberFormat="1" applyFont="1" applyFill="1" applyBorder="1" applyAlignment="1" applyProtection="1">
      <alignment horizontal="center"/>
      <protection locked="0"/>
    </xf>
    <xf numFmtId="0" fontId="7" fillId="0" borderId="0" xfId="12"/>
    <xf numFmtId="0" fontId="3" fillId="3" borderId="6" xfId="3" applyFont="1" applyFill="1" applyBorder="1" applyAlignment="1" applyProtection="1">
      <alignment horizontal="center"/>
      <protection locked="0"/>
    </xf>
    <xf numFmtId="0" fontId="3" fillId="3" borderId="0" xfId="3" applyFont="1" applyFill="1" applyBorder="1" applyAlignment="1" applyProtection="1">
      <alignment horizontal="center"/>
      <protection locked="0"/>
    </xf>
    <xf numFmtId="0" fontId="3" fillId="3" borderId="0" xfId="0" applyFont="1" applyFill="1" applyBorder="1" applyAlignment="1">
      <alignment horizontal="left"/>
    </xf>
    <xf numFmtId="0" fontId="4" fillId="3" borderId="0" xfId="0" applyFont="1" applyFill="1" applyBorder="1" applyAlignment="1">
      <alignment horizontal="right"/>
    </xf>
    <xf numFmtId="0" fontId="4" fillId="3" borderId="0" xfId="3" applyFont="1" applyFill="1" applyBorder="1" applyAlignment="1" applyProtection="1">
      <alignment horizontal="center"/>
      <protection locked="0"/>
    </xf>
    <xf numFmtId="10" fontId="3" fillId="5" borderId="2" xfId="3" applyNumberFormat="1" applyFont="1" applyFill="1" applyBorder="1" applyProtection="1">
      <protection locked="0"/>
    </xf>
    <xf numFmtId="1" fontId="3" fillId="5" borderId="2" xfId="16" applyNumberFormat="1" applyFont="1" applyFill="1" applyBorder="1" applyAlignment="1" applyProtection="1">
      <alignment horizontal="center"/>
    </xf>
    <xf numFmtId="0" fontId="4" fillId="3" borderId="6" xfId="3" applyFont="1" applyFill="1" applyBorder="1" applyAlignment="1" applyProtection="1">
      <alignment horizontal="center"/>
      <protection locked="0"/>
    </xf>
    <xf numFmtId="0" fontId="3" fillId="3" borderId="15" xfId="3" applyFont="1" applyFill="1" applyBorder="1" applyProtection="1">
      <protection locked="0"/>
    </xf>
    <xf numFmtId="0" fontId="3" fillId="3" borderId="0" xfId="3" applyFont="1" applyFill="1" applyBorder="1" applyAlignment="1" applyProtection="1">
      <alignment horizontal="left" vertical="center"/>
    </xf>
    <xf numFmtId="165" fontId="3" fillId="3" borderId="0" xfId="3" applyNumberFormat="1" applyFont="1" applyFill="1" applyBorder="1" applyAlignment="1" applyProtection="1">
      <alignment horizontal="left" vertical="top" wrapText="1"/>
    </xf>
    <xf numFmtId="0" fontId="0" fillId="3" borderId="6" xfId="0" applyFill="1" applyBorder="1"/>
    <xf numFmtId="0" fontId="3" fillId="3" borderId="0" xfId="0" applyFont="1" applyFill="1" applyBorder="1" applyAlignment="1">
      <alignment horizontal="left" vertical="top" wrapText="1"/>
    </xf>
    <xf numFmtId="0" fontId="3" fillId="3" borderId="6" xfId="0" applyFont="1" applyFill="1" applyBorder="1" applyAlignment="1">
      <alignment horizontal="left"/>
    </xf>
    <xf numFmtId="0" fontId="3" fillId="3" borderId="0" xfId="3" applyFont="1" applyFill="1" applyBorder="1" applyAlignment="1" applyProtection="1">
      <alignment horizontal="center" vertical="top" wrapText="1"/>
    </xf>
    <xf numFmtId="0" fontId="3" fillId="3" borderId="7" xfId="3" applyFont="1" applyFill="1" applyBorder="1" applyProtection="1"/>
    <xf numFmtId="0" fontId="4" fillId="3" borderId="14" xfId="3" applyFont="1" applyFill="1" applyBorder="1" applyAlignment="1" applyProtection="1">
      <alignment horizontal="center"/>
      <protection locked="0"/>
    </xf>
    <xf numFmtId="0" fontId="3" fillId="0" borderId="16" xfId="3" applyFont="1" applyBorder="1" applyAlignment="1">
      <alignment horizontal="left" vertical="top" wrapText="1"/>
    </xf>
    <xf numFmtId="0" fontId="9" fillId="7" borderId="4" xfId="3" applyFont="1" applyFill="1" applyBorder="1" applyAlignment="1" applyProtection="1"/>
    <xf numFmtId="0" fontId="3" fillId="7" borderId="4" xfId="3" applyFont="1" applyFill="1" applyBorder="1" applyProtection="1">
      <protection locked="0"/>
    </xf>
    <xf numFmtId="0" fontId="10" fillId="7" borderId="5" xfId="3" applyFont="1" applyFill="1" applyBorder="1" applyProtection="1">
      <protection locked="0"/>
    </xf>
    <xf numFmtId="0" fontId="3" fillId="7" borderId="5" xfId="3" applyFont="1" applyFill="1" applyBorder="1" applyProtection="1">
      <protection locked="0"/>
    </xf>
    <xf numFmtId="0" fontId="4" fillId="5"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top" wrapText="1"/>
      <protection locked="0"/>
    </xf>
    <xf numFmtId="0" fontId="3" fillId="0" borderId="1" xfId="3" applyFont="1" applyBorder="1" applyAlignment="1">
      <alignment horizontal="left" vertical="top" wrapText="1"/>
    </xf>
    <xf numFmtId="0" fontId="3" fillId="8" borderId="16" xfId="3" applyFont="1" applyFill="1" applyBorder="1" applyAlignment="1">
      <alignment horizontal="left" vertical="top" wrapText="1"/>
    </xf>
    <xf numFmtId="0" fontId="23" fillId="8" borderId="1" xfId="3" applyFont="1" applyFill="1" applyBorder="1" applyAlignment="1" applyProtection="1">
      <alignment horizontal="left" vertical="top" wrapText="1"/>
      <protection locked="0"/>
    </xf>
    <xf numFmtId="0" fontId="23" fillId="8" borderId="16" xfId="3" applyFont="1" applyFill="1" applyBorder="1" applyAlignment="1" applyProtection="1">
      <alignment horizontal="left" vertical="top"/>
      <protection locked="0"/>
    </xf>
    <xf numFmtId="0" fontId="15" fillId="8" borderId="16" xfId="3" applyFont="1" applyFill="1" applyBorder="1" applyAlignment="1" applyProtection="1">
      <alignment horizontal="left" vertical="top" wrapText="1"/>
      <protection locked="0"/>
    </xf>
    <xf numFmtId="0" fontId="15" fillId="8" borderId="1" xfId="3" applyFont="1" applyFill="1" applyBorder="1" applyAlignment="1" applyProtection="1">
      <alignment vertical="top" wrapText="1"/>
      <protection locked="0"/>
    </xf>
    <xf numFmtId="0" fontId="3" fillId="0" borderId="16" xfId="3" applyFont="1" applyFill="1" applyBorder="1" applyAlignment="1">
      <alignment horizontal="left" vertical="top" wrapText="1"/>
    </xf>
    <xf numFmtId="0" fontId="17" fillId="0" borderId="0" xfId="2" applyAlignment="1" applyProtection="1"/>
    <xf numFmtId="0" fontId="1" fillId="0" borderId="0" xfId="3"/>
    <xf numFmtId="0" fontId="1" fillId="0" borderId="0" xfId="9"/>
    <xf numFmtId="0" fontId="7" fillId="0" borderId="0" xfId="14"/>
    <xf numFmtId="0" fontId="7" fillId="0" borderId="0" xfId="15"/>
    <xf numFmtId="9" fontId="0" fillId="0" borderId="0" xfId="16" applyFont="1"/>
    <xf numFmtId="0" fontId="3" fillId="8" borderId="20" xfId="3" applyFont="1" applyFill="1" applyBorder="1" applyAlignment="1">
      <alignment horizontal="left" vertical="top" wrapText="1"/>
    </xf>
    <xf numFmtId="0" fontId="3" fillId="0" borderId="21" xfId="3" applyFont="1" applyBorder="1" applyAlignment="1">
      <alignment horizontal="left" vertical="top" wrapText="1"/>
    </xf>
    <xf numFmtId="1" fontId="3" fillId="4" borderId="18" xfId="3" applyNumberFormat="1" applyFont="1" applyFill="1" applyBorder="1" applyAlignment="1" applyProtection="1">
      <alignment vertical="top" wrapText="1"/>
      <protection locked="0"/>
    </xf>
    <xf numFmtId="1" fontId="3" fillId="8" borderId="18" xfId="3" applyNumberFormat="1" applyFont="1" applyFill="1" applyBorder="1" applyAlignment="1" applyProtection="1">
      <alignment vertical="top" wrapText="1"/>
      <protection locked="0"/>
    </xf>
    <xf numFmtId="1" fontId="3" fillId="8" borderId="16" xfId="3" applyNumberFormat="1" applyFont="1" applyFill="1" applyBorder="1" applyAlignment="1" applyProtection="1">
      <alignment vertical="top" wrapText="1"/>
      <protection locked="0"/>
    </xf>
    <xf numFmtId="1" fontId="3" fillId="0" borderId="22" xfId="3" applyNumberFormat="1" applyFont="1" applyFill="1" applyBorder="1" applyAlignment="1" applyProtection="1">
      <alignment vertical="top" wrapText="1"/>
      <protection locked="0"/>
    </xf>
    <xf numFmtId="0" fontId="3" fillId="0" borderId="16" xfId="1" applyNumberFormat="1" applyFont="1" applyBorder="1" applyAlignment="1">
      <alignment horizontal="left" vertical="top" wrapText="1"/>
    </xf>
    <xf numFmtId="0" fontId="3" fillId="3" borderId="4" xfId="3" applyNumberFormat="1" applyFont="1" applyFill="1" applyBorder="1" applyProtection="1">
      <protection locked="0"/>
    </xf>
    <xf numFmtId="0" fontId="3" fillId="0" borderId="0" xfId="3" applyNumberFormat="1" applyFont="1" applyProtection="1">
      <protection locked="0"/>
    </xf>
    <xf numFmtId="0" fontId="9" fillId="7" borderId="4" xfId="3" applyNumberFormat="1" applyFont="1" applyFill="1" applyBorder="1" applyAlignment="1" applyProtection="1"/>
    <xf numFmtId="0" fontId="15" fillId="8" borderId="16" xfId="3" applyNumberFormat="1" applyFont="1" applyFill="1" applyBorder="1" applyAlignment="1" applyProtection="1">
      <alignment horizontal="left" vertical="top" wrapText="1"/>
      <protection locked="0"/>
    </xf>
    <xf numFmtId="0" fontId="3" fillId="0" borderId="16" xfId="3" applyNumberFormat="1" applyFont="1" applyBorder="1" applyAlignment="1">
      <alignment horizontal="left" vertical="top" wrapText="1"/>
    </xf>
    <xf numFmtId="0" fontId="3" fillId="0" borderId="16" xfId="3" applyNumberFormat="1" applyFont="1" applyFill="1" applyBorder="1" applyAlignment="1">
      <alignment horizontal="left" vertical="top" wrapText="1"/>
    </xf>
    <xf numFmtId="0" fontId="3" fillId="8" borderId="16" xfId="3" applyNumberFormat="1" applyFont="1" applyFill="1" applyBorder="1" applyAlignment="1">
      <alignment horizontal="left" vertical="top" wrapText="1"/>
    </xf>
    <xf numFmtId="0" fontId="23" fillId="0" borderId="21" xfId="3" applyNumberFormat="1" applyFont="1" applyBorder="1" applyAlignment="1" applyProtection="1">
      <alignment vertical="top" wrapText="1"/>
      <protection locked="0"/>
    </xf>
    <xf numFmtId="0" fontId="3" fillId="3" borderId="9" xfId="3" applyNumberFormat="1" applyFont="1" applyFill="1" applyBorder="1" applyAlignment="1" applyProtection="1">
      <alignment vertical="top"/>
      <protection locked="0"/>
    </xf>
    <xf numFmtId="165" fontId="23" fillId="0" borderId="22" xfId="3" applyNumberFormat="1" applyFont="1" applyFill="1" applyBorder="1" applyAlignment="1" applyProtection="1">
      <alignment horizontal="left" vertical="top" wrapText="1"/>
      <protection locked="0"/>
    </xf>
    <xf numFmtId="0" fontId="3" fillId="3" borderId="0" xfId="3" applyFont="1" applyFill="1" applyBorder="1" applyAlignment="1" applyProtection="1">
      <alignment vertical="center"/>
    </xf>
    <xf numFmtId="0" fontId="19" fillId="3" borderId="0" xfId="3" applyFont="1" applyFill="1" applyBorder="1" applyAlignment="1" applyProtection="1">
      <alignment vertical="center"/>
    </xf>
    <xf numFmtId="0" fontId="3" fillId="3" borderId="0" xfId="0" applyFont="1" applyFill="1" applyAlignment="1">
      <alignment horizontal="right" vertical="center"/>
    </xf>
    <xf numFmtId="0" fontId="3" fillId="3" borderId="6" xfId="3" applyFont="1" applyFill="1" applyBorder="1" applyAlignment="1" applyProtection="1">
      <alignment horizontal="center" vertical="center" wrapText="1"/>
    </xf>
    <xf numFmtId="0" fontId="3" fillId="0" borderId="12" xfId="3" applyFont="1" applyFill="1" applyBorder="1" applyAlignment="1" applyProtection="1">
      <alignment horizontal="center" vertical="center" wrapText="1"/>
    </xf>
    <xf numFmtId="0" fontId="24" fillId="0" borderId="0" xfId="3" applyFont="1" applyProtection="1">
      <protection locked="0"/>
    </xf>
    <xf numFmtId="0" fontId="24" fillId="3" borderId="6" xfId="3" applyFont="1" applyFill="1" applyBorder="1" applyAlignment="1" applyProtection="1">
      <alignment vertical="top" wrapText="1"/>
      <protection locked="0"/>
    </xf>
    <xf numFmtId="0" fontId="24" fillId="3" borderId="7" xfId="3" applyFont="1" applyFill="1" applyBorder="1" applyProtection="1">
      <protection locked="0"/>
    </xf>
    <xf numFmtId="0" fontId="21" fillId="2" borderId="0" xfId="3" applyNumberFormat="1" applyFont="1" applyFill="1" applyBorder="1" applyAlignment="1" applyProtection="1">
      <alignment vertical="center"/>
    </xf>
    <xf numFmtId="0" fontId="4" fillId="7" borderId="4" xfId="3" applyFont="1" applyFill="1" applyBorder="1" applyAlignment="1" applyProtection="1"/>
    <xf numFmtId="0" fontId="24" fillId="8" borderId="20" xfId="3" applyFont="1" applyFill="1" applyBorder="1" applyAlignment="1">
      <alignment horizontal="left" vertical="top" wrapText="1"/>
    </xf>
    <xf numFmtId="0" fontId="24" fillId="8" borderId="16" xfId="3" applyFont="1" applyFill="1" applyBorder="1" applyAlignment="1">
      <alignment horizontal="left" vertical="top" wrapText="1"/>
    </xf>
    <xf numFmtId="0" fontId="24" fillId="8" borderId="16" xfId="3" applyNumberFormat="1" applyFont="1" applyFill="1" applyBorder="1" applyAlignment="1">
      <alignment horizontal="left" vertical="top" wrapText="1"/>
    </xf>
    <xf numFmtId="0" fontId="3" fillId="0" borderId="17" xfId="3" applyFont="1" applyBorder="1" applyAlignment="1" applyProtection="1">
      <alignment horizontal="center" vertical="center" wrapText="1"/>
      <protection locked="0"/>
    </xf>
    <xf numFmtId="0" fontId="3" fillId="0" borderId="17" xfId="3" applyFont="1" applyFill="1" applyBorder="1" applyAlignment="1" applyProtection="1">
      <alignment horizontal="center" vertical="center" wrapText="1"/>
      <protection locked="0"/>
    </xf>
    <xf numFmtId="49" fontId="24" fillId="4" borderId="16" xfId="3" applyNumberFormat="1" applyFont="1" applyFill="1" applyBorder="1" applyAlignment="1" applyProtection="1">
      <alignment vertical="top" wrapText="1"/>
      <protection locked="0"/>
    </xf>
    <xf numFmtId="0" fontId="3" fillId="8" borderId="17" xfId="3" applyFont="1" applyFill="1" applyBorder="1" applyAlignment="1" applyProtection="1">
      <alignment horizontal="center" vertical="center" wrapText="1"/>
      <protection locked="0"/>
    </xf>
    <xf numFmtId="0" fontId="24" fillId="8" borderId="17" xfId="3" applyFont="1" applyFill="1" applyBorder="1" applyAlignment="1" applyProtection="1">
      <alignment horizontal="center" vertical="center" wrapText="1"/>
      <protection locked="0"/>
    </xf>
    <xf numFmtId="0" fontId="23" fillId="0" borderId="16" xfId="3" applyFont="1" applyBorder="1" applyAlignment="1" applyProtection="1">
      <alignment horizontal="left" vertical="top" wrapText="1"/>
      <protection locked="0"/>
    </xf>
    <xf numFmtId="165" fontId="23" fillId="0" borderId="18" xfId="3" applyNumberFormat="1" applyFont="1" applyBorder="1" applyAlignment="1" applyProtection="1">
      <alignment horizontal="left" vertical="top" wrapText="1"/>
      <protection locked="0"/>
    </xf>
    <xf numFmtId="0" fontId="23" fillId="8" borderId="18" xfId="3" applyFont="1" applyFill="1" applyBorder="1" applyAlignment="1" applyProtection="1">
      <alignment horizontal="left" vertical="top" wrapText="1"/>
      <protection locked="0"/>
    </xf>
    <xf numFmtId="0" fontId="23" fillId="8" borderId="16" xfId="3" applyFont="1" applyFill="1" applyBorder="1" applyAlignment="1" applyProtection="1">
      <alignment horizontal="left" vertical="top" wrapText="1"/>
      <protection locked="0"/>
    </xf>
    <xf numFmtId="165" fontId="23" fillId="0" borderId="24" xfId="3" applyNumberFormat="1" applyFont="1" applyBorder="1" applyAlignment="1" applyProtection="1">
      <alignment horizontal="left" vertical="top" wrapText="1"/>
      <protection locked="0"/>
    </xf>
    <xf numFmtId="165" fontId="23" fillId="0" borderId="24" xfId="3" applyNumberFormat="1" applyFont="1" applyFill="1" applyBorder="1" applyAlignment="1" applyProtection="1">
      <alignment horizontal="left" vertical="top" wrapText="1"/>
      <protection locked="0"/>
    </xf>
    <xf numFmtId="165" fontId="23" fillId="0" borderId="30" xfId="3" applyNumberFormat="1" applyFont="1" applyFill="1" applyBorder="1" applyAlignment="1" applyProtection="1">
      <alignment horizontal="left" vertical="top" wrapText="1"/>
      <protection locked="0"/>
    </xf>
    <xf numFmtId="0" fontId="3" fillId="0" borderId="20" xfId="3" applyFont="1" applyBorder="1" applyAlignment="1">
      <alignment horizontal="left" vertical="top" wrapText="1"/>
    </xf>
    <xf numFmtId="165" fontId="23" fillId="0" borderId="18" xfId="3" applyNumberFormat="1" applyFont="1" applyBorder="1" applyAlignment="1" applyProtection="1">
      <alignment horizontal="left" vertical="top" wrapText="1"/>
      <protection locked="0"/>
    </xf>
    <xf numFmtId="165" fontId="23" fillId="0" borderId="24" xfId="3" applyNumberFormat="1" applyFont="1" applyFill="1" applyBorder="1" applyAlignment="1" applyProtection="1">
      <alignment horizontal="left" vertical="top" wrapText="1"/>
      <protection locked="0"/>
    </xf>
    <xf numFmtId="165" fontId="23" fillId="0" borderId="19" xfId="3" applyNumberFormat="1" applyFont="1" applyBorder="1" applyAlignment="1" applyProtection="1">
      <alignment horizontal="center" vertical="center" wrapText="1"/>
      <protection locked="0"/>
    </xf>
    <xf numFmtId="165" fontId="23" fillId="0" borderId="26" xfId="3" applyNumberFormat="1" applyFont="1" applyBorder="1" applyAlignment="1" applyProtection="1">
      <alignment horizontal="left" vertical="top" wrapText="1"/>
      <protection locked="0"/>
    </xf>
    <xf numFmtId="165" fontId="23" fillId="9" borderId="18" xfId="3" applyNumberFormat="1" applyFont="1" applyFill="1" applyBorder="1" applyAlignment="1" applyProtection="1">
      <alignment horizontal="left" vertical="top" wrapText="1"/>
      <protection locked="0"/>
    </xf>
    <xf numFmtId="0" fontId="4" fillId="6" borderId="18" xfId="3" applyFont="1" applyFill="1" applyBorder="1" applyAlignment="1" applyProtection="1">
      <alignment horizontal="center" vertical="top" wrapText="1"/>
      <protection locked="0"/>
    </xf>
    <xf numFmtId="0" fontId="15" fillId="8" borderId="18" xfId="3" applyFont="1" applyFill="1" applyBorder="1" applyAlignment="1" applyProtection="1">
      <alignment horizontal="left" vertical="top" wrapText="1"/>
      <protection locked="0"/>
    </xf>
    <xf numFmtId="165" fontId="23" fillId="9" borderId="24" xfId="3" applyNumberFormat="1" applyFont="1" applyFill="1" applyBorder="1" applyAlignment="1" applyProtection="1">
      <alignment horizontal="left" vertical="top" wrapText="1"/>
      <protection locked="0"/>
    </xf>
    <xf numFmtId="165" fontId="3" fillId="9" borderId="24" xfId="3" applyNumberFormat="1" applyFont="1" applyFill="1" applyBorder="1" applyAlignment="1" applyProtection="1">
      <alignment horizontal="left" vertical="top" wrapText="1"/>
      <protection locked="0"/>
    </xf>
    <xf numFmtId="165" fontId="24" fillId="9" borderId="24" xfId="3" applyNumberFormat="1" applyFont="1" applyFill="1" applyBorder="1" applyAlignment="1" applyProtection="1">
      <alignment horizontal="left" vertical="top" wrapText="1"/>
      <protection locked="0"/>
    </xf>
    <xf numFmtId="165" fontId="23" fillId="0" borderId="24" xfId="3" applyNumberFormat="1" applyFont="1" applyBorder="1" applyAlignment="1" applyProtection="1">
      <alignment horizontal="left" vertical="top" wrapText="1"/>
      <protection locked="0"/>
    </xf>
    <xf numFmtId="0" fontId="3" fillId="8" borderId="18" xfId="3" applyFont="1" applyFill="1" applyBorder="1" applyAlignment="1" applyProtection="1">
      <alignment horizontal="left" vertical="top" wrapText="1"/>
      <protection locked="0"/>
    </xf>
    <xf numFmtId="0" fontId="1" fillId="8" borderId="16" xfId="0" applyFont="1" applyFill="1" applyBorder="1" applyAlignment="1">
      <alignment horizontal="left" vertical="top" wrapText="1"/>
    </xf>
    <xf numFmtId="0" fontId="3" fillId="8" borderId="24" xfId="3" applyFont="1" applyFill="1" applyBorder="1" applyAlignment="1" applyProtection="1">
      <alignment horizontal="left" vertical="top" wrapText="1"/>
      <protection locked="0"/>
    </xf>
    <xf numFmtId="0" fontId="3" fillId="8" borderId="23" xfId="3" applyFont="1" applyFill="1" applyBorder="1" applyAlignment="1" applyProtection="1">
      <alignment horizontal="left" vertical="top" wrapText="1"/>
      <protection locked="0"/>
    </xf>
    <xf numFmtId="165" fontId="23" fillId="0" borderId="18" xfId="3" applyNumberFormat="1" applyFont="1" applyBorder="1" applyAlignment="1" applyProtection="1">
      <alignment horizontal="left" vertical="top" wrapText="1"/>
      <protection locked="0"/>
    </xf>
    <xf numFmtId="165" fontId="23" fillId="0" borderId="16" xfId="3" applyNumberFormat="1" applyFont="1" applyBorder="1" applyAlignment="1" applyProtection="1">
      <alignment horizontal="left" vertical="top" wrapText="1"/>
      <protection locked="0"/>
    </xf>
    <xf numFmtId="165" fontId="23" fillId="8" borderId="1" xfId="3" applyNumberFormat="1" applyFont="1" applyFill="1" applyBorder="1" applyAlignment="1" applyProtection="1">
      <alignment horizontal="left" vertical="top" wrapText="1"/>
      <protection locked="0"/>
    </xf>
    <xf numFmtId="0" fontId="23" fillId="0" borderId="18" xfId="3" applyFont="1" applyBorder="1" applyAlignment="1" applyProtection="1">
      <alignment horizontal="left" vertical="top" wrapText="1"/>
      <protection locked="0"/>
    </xf>
    <xf numFmtId="0" fontId="23" fillId="0" borderId="16" xfId="3" applyFont="1" applyBorder="1" applyAlignment="1" applyProtection="1">
      <alignment horizontal="left" vertical="top" wrapText="1"/>
      <protection locked="0"/>
    </xf>
    <xf numFmtId="0" fontId="23" fillId="0" borderId="22" xfId="3" applyFont="1" applyFill="1" applyBorder="1" applyAlignment="1" applyProtection="1">
      <alignment horizontal="left" vertical="top" wrapText="1"/>
      <protection locked="0"/>
    </xf>
    <xf numFmtId="0" fontId="23" fillId="0" borderId="25" xfId="3" applyFont="1" applyFill="1" applyBorder="1" applyAlignment="1" applyProtection="1">
      <alignment horizontal="left" vertical="top" wrapText="1"/>
      <protection locked="0"/>
    </xf>
    <xf numFmtId="0" fontId="24" fillId="8" borderId="24" xfId="3" applyFont="1" applyFill="1" applyBorder="1" applyAlignment="1" applyProtection="1">
      <alignment horizontal="left" vertical="top" wrapText="1"/>
      <protection locked="0"/>
    </xf>
    <xf numFmtId="0" fontId="24" fillId="8" borderId="23" xfId="3" applyFont="1" applyFill="1" applyBorder="1" applyAlignment="1" applyProtection="1">
      <alignment horizontal="left" vertical="top" wrapText="1"/>
      <protection locked="0"/>
    </xf>
    <xf numFmtId="0" fontId="23" fillId="8" borderId="24" xfId="3" applyFont="1" applyFill="1" applyBorder="1" applyAlignment="1" applyProtection="1">
      <alignment horizontal="left" vertical="top" wrapText="1"/>
      <protection locked="0"/>
    </xf>
    <xf numFmtId="0" fontId="23" fillId="8" borderId="23" xfId="3" applyFont="1" applyFill="1" applyBorder="1" applyAlignment="1" applyProtection="1">
      <alignment horizontal="left" vertical="top" wrapText="1"/>
      <protection locked="0"/>
    </xf>
    <xf numFmtId="0" fontId="23" fillId="0" borderId="24" xfId="3" applyFont="1" applyBorder="1" applyAlignment="1" applyProtection="1">
      <alignment horizontal="left" vertical="top" wrapText="1"/>
      <protection locked="0"/>
    </xf>
    <xf numFmtId="0" fontId="23" fillId="0" borderId="26" xfId="3" applyFont="1" applyBorder="1" applyAlignment="1" applyProtection="1">
      <alignment horizontal="left" vertical="top" wrapText="1"/>
      <protection locked="0"/>
    </xf>
    <xf numFmtId="0" fontId="23" fillId="0" borderId="23" xfId="3" applyFont="1" applyBorder="1" applyAlignment="1" applyProtection="1">
      <alignment horizontal="left" vertical="top" wrapText="1"/>
      <protection locked="0"/>
    </xf>
    <xf numFmtId="0" fontId="20" fillId="4" borderId="12" xfId="2" applyFont="1" applyFill="1" applyBorder="1" applyAlignment="1" applyProtection="1">
      <alignment horizontal="left" vertical="center"/>
    </xf>
    <xf numFmtId="0" fontId="20" fillId="4" borderId="11" xfId="2" applyFont="1" applyFill="1" applyBorder="1" applyAlignment="1" applyProtection="1">
      <alignment horizontal="left" vertical="center"/>
    </xf>
    <xf numFmtId="0" fontId="20" fillId="4" borderId="13" xfId="2" applyFont="1" applyFill="1" applyBorder="1" applyAlignment="1" applyProtection="1">
      <alignment horizontal="left" vertical="center"/>
    </xf>
    <xf numFmtId="165" fontId="3" fillId="4" borderId="12" xfId="3" applyNumberFormat="1" applyFont="1" applyFill="1" applyBorder="1" applyAlignment="1" applyProtection="1">
      <alignment horizontal="left" vertical="center" wrapText="1"/>
    </xf>
    <xf numFmtId="165" fontId="3" fillId="4" borderId="13" xfId="3" applyNumberFormat="1" applyFont="1" applyFill="1" applyBorder="1" applyAlignment="1" applyProtection="1">
      <alignment horizontal="left" vertical="center" wrapText="1"/>
    </xf>
    <xf numFmtId="0" fontId="25" fillId="4" borderId="12" xfId="3" applyFont="1" applyFill="1" applyBorder="1" applyAlignment="1" applyProtection="1">
      <alignment horizontal="left" vertical="center"/>
    </xf>
    <xf numFmtId="0" fontId="25" fillId="4" borderId="11" xfId="3" applyFont="1" applyFill="1" applyBorder="1" applyAlignment="1" applyProtection="1">
      <alignment horizontal="left" vertical="center"/>
    </xf>
    <xf numFmtId="0" fontId="25" fillId="4" borderId="13" xfId="3" applyFont="1" applyFill="1" applyBorder="1" applyAlignment="1" applyProtection="1">
      <alignment horizontal="left" vertical="center"/>
    </xf>
    <xf numFmtId="0" fontId="4" fillId="5" borderId="1" xfId="3" applyFont="1" applyFill="1" applyBorder="1" applyAlignment="1" applyProtection="1">
      <alignment horizontal="center" vertical="top" wrapText="1"/>
    </xf>
    <xf numFmtId="0" fontId="23" fillId="8" borderId="18" xfId="3" applyFont="1" applyFill="1" applyBorder="1" applyAlignment="1" applyProtection="1">
      <alignment horizontal="left" vertical="top" wrapText="1"/>
      <protection locked="0"/>
    </xf>
    <xf numFmtId="0" fontId="23" fillId="8" borderId="16" xfId="3" applyFont="1" applyFill="1" applyBorder="1" applyAlignment="1" applyProtection="1">
      <alignment horizontal="left" vertical="top" wrapText="1"/>
      <protection locked="0"/>
    </xf>
    <xf numFmtId="0" fontId="3" fillId="5" borderId="12" xfId="0" applyFont="1" applyFill="1" applyBorder="1" applyAlignment="1">
      <alignment horizontal="left"/>
    </xf>
    <xf numFmtId="0" fontId="3" fillId="5" borderId="11" xfId="0" applyFont="1" applyFill="1" applyBorder="1" applyAlignment="1">
      <alignment horizontal="left"/>
    </xf>
    <xf numFmtId="0" fontId="3" fillId="5" borderId="13" xfId="0" applyFont="1" applyFill="1" applyBorder="1" applyAlignment="1">
      <alignment horizontal="left"/>
    </xf>
    <xf numFmtId="0" fontId="3" fillId="5" borderId="12" xfId="2" applyFont="1" applyFill="1" applyBorder="1" applyAlignment="1" applyProtection="1">
      <alignment horizontal="left" vertical="center"/>
    </xf>
    <xf numFmtId="0" fontId="3" fillId="5" borderId="13" xfId="2" applyFont="1" applyFill="1" applyBorder="1" applyAlignment="1" applyProtection="1">
      <alignment horizontal="left" vertical="center"/>
    </xf>
    <xf numFmtId="0" fontId="25" fillId="5" borderId="12" xfId="3" applyFont="1" applyFill="1" applyBorder="1" applyAlignment="1" applyProtection="1">
      <alignment horizontal="left" vertical="center"/>
    </xf>
    <xf numFmtId="0" fontId="25" fillId="5" borderId="11" xfId="3" applyFont="1" applyFill="1" applyBorder="1" applyAlignment="1" applyProtection="1">
      <alignment horizontal="left" vertical="center"/>
    </xf>
    <xf numFmtId="0" fontId="25" fillId="5" borderId="13" xfId="3" applyFont="1" applyFill="1" applyBorder="1" applyAlignment="1" applyProtection="1">
      <alignment horizontal="left" vertical="center"/>
    </xf>
    <xf numFmtId="0" fontId="3" fillId="0" borderId="12" xfId="3" applyFont="1" applyFill="1" applyBorder="1" applyAlignment="1" applyProtection="1">
      <alignment horizontal="left" vertical="center" wrapText="1"/>
    </xf>
    <xf numFmtId="0" fontId="3" fillId="0" borderId="11" xfId="3" applyFont="1" applyFill="1" applyBorder="1" applyAlignment="1" applyProtection="1">
      <alignment horizontal="left" vertical="center" wrapText="1"/>
    </xf>
    <xf numFmtId="0" fontId="23" fillId="8" borderId="27" xfId="3" applyFont="1" applyFill="1" applyBorder="1" applyAlignment="1" applyProtection="1">
      <alignment horizontal="left" vertical="top" wrapText="1"/>
      <protection locked="0"/>
    </xf>
    <xf numFmtId="0" fontId="23" fillId="8" borderId="28" xfId="3" applyFont="1" applyFill="1" applyBorder="1" applyAlignment="1" applyProtection="1">
      <alignment horizontal="left" vertical="top" wrapText="1"/>
      <protection locked="0"/>
    </xf>
    <xf numFmtId="0" fontId="0" fillId="0" borderId="19" xfId="0" applyBorder="1" applyAlignment="1">
      <alignment horizontal="left" wrapText="1"/>
    </xf>
    <xf numFmtId="0" fontId="0" fillId="0" borderId="29" xfId="0" applyBorder="1" applyAlignment="1">
      <alignment horizontal="left" wrapText="1"/>
    </xf>
    <xf numFmtId="0" fontId="4" fillId="3" borderId="0" xfId="0" applyFont="1" applyFill="1" applyAlignment="1">
      <alignment horizontal="right"/>
    </xf>
    <xf numFmtId="0" fontId="3" fillId="4" borderId="3"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3" fillId="4" borderId="0"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9"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0" fillId="0" borderId="1" xfId="0" applyBorder="1" applyAlignment="1">
      <alignment horizontal="center" vertical="top" wrapText="1"/>
    </xf>
    <xf numFmtId="0" fontId="3" fillId="5" borderId="19" xfId="3" applyFont="1" applyFill="1" applyBorder="1" applyAlignment="1" applyProtection="1">
      <alignment horizontal="left" vertical="top" wrapText="1"/>
    </xf>
    <xf numFmtId="0" fontId="3" fillId="5" borderId="16" xfId="3" applyFont="1" applyFill="1" applyBorder="1" applyAlignment="1" applyProtection="1">
      <alignment horizontal="left" vertical="top" wrapText="1"/>
    </xf>
    <xf numFmtId="0" fontId="3" fillId="0" borderId="22" xfId="3" applyFont="1" applyFill="1" applyBorder="1" applyAlignment="1" applyProtection="1">
      <alignment horizontal="left" vertical="top" wrapText="1"/>
      <protection locked="0"/>
    </xf>
    <xf numFmtId="0" fontId="3" fillId="0" borderId="25" xfId="3" applyFont="1" applyFill="1" applyBorder="1" applyAlignment="1" applyProtection="1">
      <alignment horizontal="left" vertical="top" wrapText="1"/>
      <protection locked="0"/>
    </xf>
    <xf numFmtId="0" fontId="23" fillId="0" borderId="24" xfId="3" applyFont="1" applyFill="1" applyBorder="1" applyAlignment="1" applyProtection="1">
      <alignment horizontal="left" vertical="top" wrapText="1"/>
      <protection locked="0"/>
    </xf>
    <xf numFmtId="0" fontId="23" fillId="0" borderId="23" xfId="3" applyFont="1" applyFill="1" applyBorder="1" applyAlignment="1" applyProtection="1">
      <alignment horizontal="left" vertical="top" wrapText="1"/>
      <protection locked="0"/>
    </xf>
  </cellXfs>
  <cellStyles count="19">
    <cellStyle name="Comma" xfId="1" builtinId="3"/>
    <cellStyle name="Hyperlink" xfId="2" builtinId="8"/>
    <cellStyle name="Normal" xfId="0" builtinId="0"/>
    <cellStyle name="Normal 2" xfId="3"/>
    <cellStyle name="Normal 2 2" xfId="4"/>
    <cellStyle name="Normal 2_Excel Template" xfId="5"/>
    <cellStyle name="Normal 3" xfId="6"/>
    <cellStyle name="Normal 3 2" xfId="7"/>
    <cellStyle name="Normal 3 3" xfId="8"/>
    <cellStyle name="Normal 3 4" xfId="9"/>
    <cellStyle name="Normal 3_GPI_CM-DT053" xfId="10"/>
    <cellStyle name="Normal 4" xfId="11"/>
    <cellStyle name="Normal 5" xfId="12"/>
    <cellStyle name="Normal 6" xfId="13"/>
    <cellStyle name="Normal_GPI_LOD_v2.2_Buay" xfId="14"/>
    <cellStyle name="Normal_SPI_PSP_SPMP_DT" xfId="15"/>
    <cellStyle name="Percent" xfId="16" builtinId="5"/>
    <cellStyle name="Percent 2" xfId="17"/>
    <cellStyle name="Percent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FF9900"/>
      <rgbColor rgb="000000FF"/>
      <rgbColor rgb="00999966"/>
      <rgbColor rgb="00EEE8DA"/>
      <rgbColor rgb="0053D4C9"/>
      <rgbColor rgb="00631F34"/>
      <rgbColor rgb="00008000"/>
      <rgbColor rgb="00999966"/>
      <rgbColor rgb="00819C00"/>
      <rgbColor rgb="00666633"/>
      <rgbColor rgb="00007F74"/>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FFFFB6"/>
      <rgbColor rgb="00FFCC33"/>
      <rgbColor rgb="00BBCCDD"/>
      <rgbColor rgb="00DDDDCC"/>
      <rgbColor rgb="00336699"/>
      <rgbColor rgb="00DED3B6"/>
      <rgbColor rgb="003E70A1"/>
      <rgbColor rgb="0036ACA2"/>
      <rgbColor rgb="00AEC53D"/>
      <rgbColor rgb="00DBB887"/>
      <rgbColor rgb="00C6934C"/>
      <rgbColor rgb="00935600"/>
      <rgbColor rgb="00CCCC99"/>
      <rgbColor rgb="00B2B2B2"/>
      <rgbColor rgb="00003366"/>
      <rgbColor rgb="00808000"/>
      <rgbColor rgb="001B571B"/>
      <rgbColor rgb="0058631F"/>
      <rgbColor rgb="00734300"/>
      <rgbColor rgb="00E7F3FE"/>
      <rgbColor rgb="00DFDF9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Q158"/>
  <sheetViews>
    <sheetView showGridLines="0" tabSelected="1" topLeftCell="G1" zoomScaleNormal="100" zoomScaleSheetLayoutView="100" workbookViewId="0">
      <selection activeCell="O33" sqref="O33"/>
    </sheetView>
  </sheetViews>
  <sheetFormatPr defaultRowHeight="12.75" customHeight="1" outlineLevelRow="1" x14ac:dyDescent="0.4"/>
  <cols>
    <col min="1" max="1" width="1.625" style="9" customWidth="1"/>
    <col min="2" max="2" width="2.875" style="4" customWidth="1"/>
    <col min="3" max="3" width="6.375" style="9" bestFit="1" customWidth="1"/>
    <col min="4" max="4" width="9.25" style="9" bestFit="1" customWidth="1"/>
    <col min="5" max="5" width="25.625" style="9" customWidth="1"/>
    <col min="6" max="6" width="15.5" style="9" bestFit="1" customWidth="1"/>
    <col min="7" max="7" width="15.125" style="9" customWidth="1"/>
    <col min="8" max="9" width="15.625" style="9" customWidth="1"/>
    <col min="10" max="10" width="47" style="9" bestFit="1" customWidth="1"/>
    <col min="11" max="11" width="25.75" style="9" customWidth="1"/>
    <col min="12" max="12" width="28" style="102" customWidth="1"/>
    <col min="13" max="13" width="20.625" style="9" customWidth="1"/>
    <col min="14" max="14" width="14.625" style="9" customWidth="1"/>
    <col min="15" max="15" width="32" style="9" customWidth="1"/>
    <col min="16" max="16" width="11.25" style="9" customWidth="1"/>
    <col min="17" max="17" width="3.375" style="9" customWidth="1"/>
    <col min="18" max="16384" width="9" style="9"/>
  </cols>
  <sheetData>
    <row r="1" spans="2:17" ht="12.75" customHeight="1" x14ac:dyDescent="0.4">
      <c r="B1" s="1" t="s">
        <v>3</v>
      </c>
      <c r="C1" s="1"/>
      <c r="D1" s="2"/>
      <c r="E1" s="2"/>
      <c r="F1" s="3"/>
      <c r="G1" s="3"/>
      <c r="H1" s="119"/>
      <c r="I1" s="3"/>
      <c r="J1" s="3"/>
      <c r="K1" s="3"/>
      <c r="L1" s="3"/>
      <c r="M1" s="3"/>
      <c r="N1" s="3"/>
      <c r="O1" s="3"/>
      <c r="P1" s="3"/>
      <c r="Q1" s="3"/>
    </row>
    <row r="2" spans="2:17" ht="12.75" hidden="1" customHeight="1" outlineLevel="1" x14ac:dyDescent="0.4">
      <c r="B2" s="5"/>
      <c r="C2" s="31"/>
      <c r="D2" s="6"/>
      <c r="E2" s="6"/>
      <c r="F2" s="7"/>
      <c r="G2" s="7"/>
      <c r="H2" s="7"/>
      <c r="I2" s="7"/>
      <c r="J2" s="7"/>
      <c r="K2" s="7"/>
      <c r="L2" s="7"/>
      <c r="M2" s="7"/>
      <c r="N2" s="7"/>
      <c r="O2" s="7"/>
      <c r="P2" s="7"/>
      <c r="Q2" s="7"/>
    </row>
    <row r="3" spans="2:17" ht="12.75" hidden="1" customHeight="1" outlineLevel="1" x14ac:dyDescent="0.45">
      <c r="B3" s="10"/>
      <c r="C3" s="39" t="s">
        <v>0</v>
      </c>
      <c r="D3" s="11"/>
      <c r="E3" s="12"/>
      <c r="F3" s="13"/>
      <c r="G3" s="13"/>
      <c r="H3" s="14"/>
      <c r="I3" s="13"/>
      <c r="J3" s="13"/>
      <c r="K3" s="13"/>
      <c r="L3" s="13"/>
      <c r="M3" s="13"/>
      <c r="N3" s="13"/>
      <c r="O3" s="13"/>
      <c r="P3" s="13"/>
      <c r="Q3" s="13"/>
    </row>
    <row r="4" spans="2:17" ht="12.75" hidden="1" customHeight="1" outlineLevel="1" x14ac:dyDescent="0.4">
      <c r="B4" s="10"/>
      <c r="C4" s="32"/>
      <c r="D4" s="16"/>
      <c r="E4" s="14"/>
      <c r="F4" s="14"/>
      <c r="G4" s="14"/>
      <c r="H4" s="14"/>
      <c r="I4" s="14"/>
      <c r="J4" s="14"/>
      <c r="K4" s="14"/>
      <c r="L4" s="14"/>
      <c r="M4" s="14"/>
      <c r="N4" s="14"/>
      <c r="O4" s="14"/>
      <c r="P4" s="14"/>
      <c r="Q4" s="14"/>
    </row>
    <row r="5" spans="2:17" ht="12.75" hidden="1" customHeight="1" outlineLevel="1" x14ac:dyDescent="0.45">
      <c r="B5" s="10"/>
      <c r="C5" s="32"/>
      <c r="D5" s="17" t="s">
        <v>1</v>
      </c>
      <c r="E5" s="177"/>
      <c r="F5" s="178"/>
      <c r="G5" s="179"/>
      <c r="H5" s="66"/>
      <c r="I5" s="17" t="s">
        <v>2</v>
      </c>
      <c r="J5" s="180"/>
      <c r="K5" s="181"/>
      <c r="L5" s="18"/>
      <c r="M5" s="18"/>
      <c r="N5" s="18"/>
      <c r="O5" s="18"/>
      <c r="P5" s="18"/>
      <c r="Q5" s="18"/>
    </row>
    <row r="6" spans="2:17" ht="12.75" hidden="1" customHeight="1" outlineLevel="1" x14ac:dyDescent="0.45">
      <c r="B6" s="19"/>
      <c r="C6" s="33"/>
      <c r="D6" s="21"/>
      <c r="E6" s="16"/>
      <c r="F6" s="20"/>
      <c r="G6" s="20"/>
      <c r="H6" s="20"/>
      <c r="I6" s="16"/>
      <c r="J6" s="111"/>
      <c r="K6" s="111"/>
      <c r="L6" s="16"/>
      <c r="M6" s="16"/>
      <c r="N6" s="16"/>
      <c r="O6" s="16"/>
      <c r="P6" s="16"/>
      <c r="Q6" s="16"/>
    </row>
    <row r="7" spans="2:17" ht="12.75" hidden="1" customHeight="1" outlineLevel="1" x14ac:dyDescent="0.45">
      <c r="B7" s="10"/>
      <c r="C7" s="32"/>
      <c r="D7" s="17" t="s">
        <v>31</v>
      </c>
      <c r="E7" s="166" t="s">
        <v>57</v>
      </c>
      <c r="F7" s="167"/>
      <c r="G7" s="168"/>
      <c r="H7" s="66"/>
      <c r="I7" s="17" t="s">
        <v>16</v>
      </c>
      <c r="J7" s="169">
        <v>42605</v>
      </c>
      <c r="K7" s="170"/>
      <c r="L7" s="67"/>
      <c r="M7" s="67"/>
      <c r="N7" s="30"/>
      <c r="O7" s="30"/>
      <c r="P7" s="30"/>
      <c r="Q7" s="30"/>
    </row>
    <row r="8" spans="2:17" ht="12.75" hidden="1" customHeight="1" outlineLevel="1" x14ac:dyDescent="0.45">
      <c r="B8" s="19"/>
      <c r="C8" s="33"/>
      <c r="D8" s="21"/>
      <c r="E8" s="16"/>
      <c r="F8" s="20"/>
      <c r="G8" s="20"/>
      <c r="H8" s="20"/>
      <c r="I8" s="16"/>
      <c r="J8" s="112"/>
      <c r="K8" s="112"/>
      <c r="L8" s="30"/>
      <c r="M8" s="30"/>
      <c r="N8" s="30"/>
      <c r="O8" s="30"/>
      <c r="P8" s="30"/>
      <c r="Q8" s="30"/>
    </row>
    <row r="9" spans="2:17" ht="12.75" hidden="1" customHeight="1" outlineLevel="1" x14ac:dyDescent="0.45">
      <c r="B9" s="19"/>
      <c r="C9" s="33"/>
      <c r="D9" s="22" t="s">
        <v>4</v>
      </c>
      <c r="E9" s="171" t="s">
        <v>57</v>
      </c>
      <c r="F9" s="172"/>
      <c r="G9" s="173"/>
      <c r="H9" s="66"/>
      <c r="I9" s="28" t="s">
        <v>15</v>
      </c>
      <c r="J9" s="169">
        <v>42605</v>
      </c>
      <c r="K9" s="170"/>
      <c r="L9" s="67"/>
      <c r="M9" s="67"/>
      <c r="N9" s="30"/>
      <c r="O9" s="30"/>
      <c r="P9" s="30"/>
      <c r="Q9" s="30"/>
    </row>
    <row r="10" spans="2:17" ht="12.75" hidden="1" customHeight="1" outlineLevel="1" x14ac:dyDescent="0.45">
      <c r="B10" s="19"/>
      <c r="C10" s="33"/>
      <c r="D10" s="21"/>
      <c r="E10" s="16"/>
      <c r="F10" s="20"/>
      <c r="G10" s="20"/>
      <c r="H10" s="20"/>
      <c r="I10" s="16"/>
      <c r="J10" s="112"/>
      <c r="K10" s="112"/>
      <c r="L10" s="30"/>
      <c r="M10" s="30"/>
      <c r="N10" s="30"/>
      <c r="O10" s="30"/>
      <c r="P10" s="30"/>
      <c r="Q10" s="30"/>
    </row>
    <row r="11" spans="2:17" ht="12.75" hidden="1" customHeight="1" outlineLevel="1" x14ac:dyDescent="0.45">
      <c r="B11" s="19"/>
      <c r="C11" s="33"/>
      <c r="D11" s="22" t="s">
        <v>13</v>
      </c>
      <c r="E11" s="182">
        <v>1</v>
      </c>
      <c r="F11" s="183"/>
      <c r="G11" s="184"/>
      <c r="H11" s="66"/>
      <c r="I11" s="28" t="s">
        <v>25</v>
      </c>
      <c r="J11" s="185" t="s">
        <v>38</v>
      </c>
      <c r="K11" s="186"/>
      <c r="L11" s="68"/>
      <c r="M11" s="30"/>
      <c r="N11" s="40"/>
      <c r="O11" s="30"/>
      <c r="P11" s="30"/>
      <c r="Q11" s="30"/>
    </row>
    <row r="12" spans="2:17" ht="12.75" hidden="1" customHeight="1" outlineLevel="1" x14ac:dyDescent="0.4">
      <c r="B12" s="46"/>
      <c r="C12" s="42"/>
      <c r="D12" s="42"/>
      <c r="E12" s="42"/>
      <c r="F12" s="43"/>
      <c r="G12" s="44"/>
      <c r="H12" s="45"/>
      <c r="I12" s="42"/>
      <c r="J12" s="113"/>
      <c r="K12" s="113"/>
      <c r="L12" s="45"/>
      <c r="M12" s="45"/>
      <c r="N12" s="41"/>
      <c r="O12" s="41"/>
      <c r="P12" s="41"/>
      <c r="Q12" s="41"/>
    </row>
    <row r="13" spans="2:17" ht="12.75" hidden="1" customHeight="1" outlineLevel="1" x14ac:dyDescent="0.45">
      <c r="B13" s="46"/>
      <c r="C13" s="191" t="s">
        <v>12</v>
      </c>
      <c r="D13" s="191"/>
      <c r="E13" s="192" t="s">
        <v>57</v>
      </c>
      <c r="F13" s="193"/>
      <c r="G13" s="194"/>
      <c r="H13" s="69"/>
      <c r="I13" s="60" t="s">
        <v>17</v>
      </c>
      <c r="J13" s="201"/>
      <c r="K13" s="202"/>
      <c r="L13" s="70"/>
      <c r="M13" s="59"/>
      <c r="N13" s="41"/>
      <c r="O13" s="41"/>
      <c r="P13" s="41"/>
      <c r="Q13" s="41"/>
    </row>
    <row r="14" spans="2:17" ht="12.75" hidden="1" customHeight="1" outlineLevel="1" x14ac:dyDescent="0.45">
      <c r="B14" s="19"/>
      <c r="C14" s="33"/>
      <c r="D14" s="21"/>
      <c r="E14" s="195"/>
      <c r="F14" s="196"/>
      <c r="G14" s="197"/>
      <c r="H14" s="69"/>
      <c r="I14" s="16"/>
      <c r="J14" s="111"/>
      <c r="K14" s="111"/>
      <c r="L14" s="30"/>
      <c r="M14" s="30"/>
      <c r="N14" s="30"/>
      <c r="O14" s="30"/>
      <c r="P14" s="30"/>
      <c r="Q14" s="30"/>
    </row>
    <row r="15" spans="2:17" ht="12.75" hidden="1" customHeight="1" outlineLevel="1" x14ac:dyDescent="0.45">
      <c r="B15" s="19"/>
      <c r="C15" s="33"/>
      <c r="D15" s="22"/>
      <c r="E15" s="195"/>
      <c r="F15" s="196"/>
      <c r="G15" s="197"/>
      <c r="H15" s="69"/>
      <c r="I15" s="28" t="s">
        <v>18</v>
      </c>
      <c r="J15" s="115">
        <v>1</v>
      </c>
      <c r="K15" s="114"/>
      <c r="L15" s="71"/>
      <c r="M15" s="30"/>
      <c r="N15" s="40"/>
      <c r="O15" s="30"/>
      <c r="P15" s="30"/>
      <c r="Q15" s="30"/>
    </row>
    <row r="16" spans="2:17" ht="12.75" hidden="1" customHeight="1" outlineLevel="1" x14ac:dyDescent="0.4">
      <c r="B16" s="19"/>
      <c r="C16" s="33"/>
      <c r="D16" s="72"/>
      <c r="E16" s="198"/>
      <c r="F16" s="199"/>
      <c r="G16" s="200"/>
      <c r="H16" s="69"/>
      <c r="I16" s="69"/>
      <c r="J16" s="69"/>
      <c r="K16" s="14"/>
      <c r="L16" s="14"/>
      <c r="M16" s="14"/>
      <c r="N16" s="14"/>
      <c r="O16" s="14"/>
      <c r="P16" s="14"/>
      <c r="Q16" s="14"/>
    </row>
    <row r="17" spans="2:17" ht="12.75" hidden="1" customHeight="1" outlineLevel="1" x14ac:dyDescent="0.4">
      <c r="B17" s="23"/>
      <c r="C17" s="34"/>
      <c r="D17" s="24"/>
      <c r="E17" s="24"/>
      <c r="F17" s="25"/>
      <c r="G17" s="25"/>
      <c r="H17" s="25"/>
      <c r="I17" s="25"/>
      <c r="J17" s="25"/>
      <c r="K17" s="25"/>
      <c r="L17" s="25"/>
      <c r="M17" s="25"/>
      <c r="N17" s="25"/>
      <c r="O17" s="25"/>
      <c r="P17" s="25"/>
      <c r="Q17" s="25"/>
    </row>
    <row r="18" spans="2:17" ht="12.75" hidden="1" customHeight="1" outlineLevel="1" x14ac:dyDescent="0.4">
      <c r="B18" s="26"/>
      <c r="C18" s="26"/>
      <c r="D18" s="27"/>
      <c r="E18" s="27"/>
      <c r="F18" s="27"/>
      <c r="G18" s="27"/>
      <c r="H18" s="27"/>
      <c r="I18" s="27"/>
      <c r="J18" s="27"/>
      <c r="K18" s="27"/>
      <c r="L18" s="27"/>
      <c r="M18" s="27"/>
      <c r="N18" s="27"/>
      <c r="O18" s="27"/>
      <c r="P18" s="27"/>
      <c r="Q18" s="27"/>
    </row>
    <row r="19" spans="2:17" ht="12.75" hidden="1" customHeight="1" outlineLevel="1" x14ac:dyDescent="0.45">
      <c r="B19" s="29"/>
      <c r="C19" s="35"/>
      <c r="D19" s="49"/>
      <c r="E19" s="6"/>
      <c r="F19" s="7"/>
      <c r="G19" s="7"/>
      <c r="H19" s="7"/>
      <c r="I19" s="7"/>
      <c r="J19" s="7"/>
      <c r="K19" s="6"/>
      <c r="L19" s="50"/>
      <c r="M19" s="50"/>
      <c r="N19" s="50"/>
      <c r="O19" s="50"/>
      <c r="P19" s="50"/>
      <c r="Q19" s="50"/>
    </row>
    <row r="20" spans="2:17" ht="12.75" hidden="1" customHeight="1" outlineLevel="1" x14ac:dyDescent="0.4">
      <c r="B20" s="19"/>
      <c r="C20" s="48" t="s">
        <v>30</v>
      </c>
      <c r="D20" s="16"/>
      <c r="E20" s="16"/>
      <c r="F20" s="14"/>
      <c r="G20" s="14"/>
      <c r="H20" s="14"/>
      <c r="I20" s="14"/>
      <c r="J20" s="14"/>
      <c r="K20" s="14"/>
      <c r="L20" s="14"/>
      <c r="M20" s="14"/>
      <c r="N20" s="14"/>
      <c r="O20" s="14"/>
      <c r="P20" s="14"/>
      <c r="Q20" s="14"/>
    </row>
    <row r="21" spans="2:17" ht="12.75" hidden="1" customHeight="1" outlineLevel="1" x14ac:dyDescent="0.45">
      <c r="B21" s="19"/>
      <c r="C21" s="33"/>
      <c r="D21" s="21"/>
      <c r="E21" s="16"/>
      <c r="F21" s="14"/>
      <c r="G21" s="14"/>
      <c r="H21" s="14"/>
      <c r="I21" s="14"/>
      <c r="J21" s="14"/>
      <c r="K21" s="16"/>
      <c r="L21" s="30"/>
      <c r="M21" s="30"/>
      <c r="N21" s="30"/>
      <c r="O21" s="30"/>
      <c r="P21" s="30"/>
      <c r="Q21" s="30"/>
    </row>
    <row r="22" spans="2:17" ht="12.75" hidden="1" customHeight="1" outlineLevel="1" x14ac:dyDescent="0.45">
      <c r="B22" s="19"/>
      <c r="C22" s="51" t="s">
        <v>26</v>
      </c>
      <c r="D22" s="51" t="s">
        <v>5</v>
      </c>
      <c r="E22" s="51" t="s">
        <v>8</v>
      </c>
      <c r="F22" s="52" t="s">
        <v>9</v>
      </c>
      <c r="G22" s="52" t="s">
        <v>10</v>
      </c>
      <c r="H22" s="52" t="s">
        <v>11</v>
      </c>
      <c r="I22" s="52" t="s">
        <v>22</v>
      </c>
      <c r="J22" s="52" t="s">
        <v>23</v>
      </c>
      <c r="K22" s="51" t="s">
        <v>28</v>
      </c>
      <c r="L22" s="52" t="s">
        <v>20</v>
      </c>
      <c r="M22" s="73" t="s">
        <v>21</v>
      </c>
      <c r="N22" s="64"/>
      <c r="O22" s="61"/>
      <c r="P22" s="14"/>
      <c r="Q22" s="14"/>
    </row>
    <row r="23" spans="2:17" ht="12.75" hidden="1" customHeight="1" outlineLevel="1" x14ac:dyDescent="0.4">
      <c r="B23" s="19"/>
      <c r="C23" s="53"/>
      <c r="D23" s="53"/>
      <c r="E23" s="53"/>
      <c r="F23" s="54"/>
      <c r="G23" s="55"/>
      <c r="H23" s="55"/>
      <c r="I23" s="47"/>
      <c r="J23" s="47"/>
      <c r="K23" s="62" t="str">
        <f>IF(AND(F23&lt;&gt;"",E23&lt;&gt;""),F23/E23,"")</f>
        <v/>
      </c>
      <c r="L23" s="63"/>
      <c r="M23" s="55"/>
      <c r="N23" s="57"/>
      <c r="O23" s="58"/>
      <c r="P23" s="14"/>
      <c r="Q23" s="14"/>
    </row>
    <row r="24" spans="2:17" ht="12.75" hidden="1" customHeight="1" outlineLevel="1" x14ac:dyDescent="0.4">
      <c r="B24" s="23"/>
      <c r="C24" s="34"/>
      <c r="D24" s="24"/>
      <c r="E24" s="24"/>
      <c r="F24" s="25"/>
      <c r="G24" s="25"/>
      <c r="H24" s="25"/>
      <c r="I24" s="25"/>
      <c r="J24" s="25"/>
      <c r="K24" s="25"/>
      <c r="L24" s="25"/>
      <c r="M24" s="25"/>
      <c r="N24" s="25"/>
      <c r="O24" s="25"/>
      <c r="P24" s="25"/>
      <c r="Q24" s="25"/>
    </row>
    <row r="25" spans="2:17" ht="12.75" customHeight="1" collapsed="1" x14ac:dyDescent="0.4"/>
    <row r="26" spans="2:17" s="27" customFormat="1" ht="12.75" customHeight="1" x14ac:dyDescent="0.4">
      <c r="B26" s="29"/>
      <c r="C26" s="7"/>
      <c r="D26" s="7"/>
      <c r="E26" s="7"/>
      <c r="F26" s="7"/>
      <c r="G26" s="7"/>
      <c r="H26" s="7"/>
      <c r="I26" s="7"/>
      <c r="J26" s="7"/>
      <c r="K26" s="7"/>
      <c r="L26" s="101"/>
      <c r="M26" s="7"/>
      <c r="N26" s="7"/>
      <c r="O26" s="7"/>
      <c r="P26" s="7"/>
      <c r="Q26" s="8"/>
    </row>
    <row r="27" spans="2:17" ht="21" customHeight="1" x14ac:dyDescent="0.45">
      <c r="B27" s="10"/>
      <c r="C27" s="75"/>
      <c r="D27" s="120"/>
      <c r="E27" s="75"/>
      <c r="F27" s="75"/>
      <c r="G27" s="75"/>
      <c r="H27" s="75"/>
      <c r="I27" s="75"/>
      <c r="J27" s="76"/>
      <c r="K27" s="76"/>
      <c r="L27" s="103"/>
      <c r="M27" s="75"/>
      <c r="N27" s="75"/>
      <c r="O27" s="77"/>
      <c r="P27" s="78"/>
      <c r="Q27" s="65"/>
    </row>
    <row r="28" spans="2:17" ht="45.75" customHeight="1" x14ac:dyDescent="0.4">
      <c r="B28" s="10"/>
      <c r="C28" s="174" t="s">
        <v>7</v>
      </c>
      <c r="D28" s="174"/>
      <c r="E28" s="174" t="s">
        <v>27</v>
      </c>
      <c r="F28" s="203"/>
      <c r="G28" s="79" t="s">
        <v>19</v>
      </c>
      <c r="H28" s="174" t="s">
        <v>32</v>
      </c>
      <c r="I28" s="174"/>
      <c r="J28" s="79" t="s">
        <v>29</v>
      </c>
      <c r="K28" s="174" t="s">
        <v>33</v>
      </c>
      <c r="L28" s="174"/>
      <c r="M28" s="174" t="s">
        <v>6</v>
      </c>
      <c r="N28" s="174"/>
      <c r="O28" s="142" t="s">
        <v>34</v>
      </c>
      <c r="P28" s="80" t="s">
        <v>35</v>
      </c>
      <c r="Q28" s="15"/>
    </row>
    <row r="29" spans="2:17" ht="20.25" customHeight="1" x14ac:dyDescent="0.4">
      <c r="B29" s="10"/>
      <c r="C29" s="189"/>
      <c r="D29" s="189"/>
      <c r="E29" s="189"/>
      <c r="F29" s="189"/>
      <c r="G29" s="189"/>
      <c r="H29" s="189"/>
      <c r="I29" s="189"/>
      <c r="J29" s="189"/>
      <c r="K29" s="189"/>
      <c r="L29" s="189"/>
      <c r="M29" s="189"/>
      <c r="N29" s="189"/>
      <c r="O29" s="189"/>
      <c r="P29" s="190"/>
      <c r="Q29" s="15"/>
    </row>
    <row r="30" spans="2:17" ht="19.5" customHeight="1" x14ac:dyDescent="0.4">
      <c r="B30" s="10"/>
      <c r="C30" s="97" t="s">
        <v>14</v>
      </c>
      <c r="D30" s="98"/>
      <c r="E30" s="148" t="s">
        <v>58</v>
      </c>
      <c r="F30" s="149"/>
      <c r="G30" s="83"/>
      <c r="H30" s="187"/>
      <c r="I30" s="188"/>
      <c r="J30" s="84"/>
      <c r="K30" s="85"/>
      <c r="L30" s="104"/>
      <c r="M30" s="154"/>
      <c r="N30" s="154"/>
      <c r="O30" s="143"/>
      <c r="P30" s="86"/>
      <c r="Q30" s="15"/>
    </row>
    <row r="31" spans="2:17" ht="40.5" outlineLevel="1" x14ac:dyDescent="0.4">
      <c r="B31" s="10"/>
      <c r="C31" s="96" t="s">
        <v>14</v>
      </c>
      <c r="D31" s="126" t="s">
        <v>51</v>
      </c>
      <c r="E31" s="155" t="s">
        <v>58</v>
      </c>
      <c r="F31" s="156"/>
      <c r="G31" s="81" t="s">
        <v>24</v>
      </c>
      <c r="H31" s="155" t="s">
        <v>74</v>
      </c>
      <c r="I31" s="156"/>
      <c r="J31" s="129"/>
      <c r="K31" s="74" t="s">
        <v>76</v>
      </c>
      <c r="L31" s="100"/>
      <c r="M31" s="152" t="s">
        <v>75</v>
      </c>
      <c r="N31" s="153"/>
      <c r="O31" s="137"/>
      <c r="P31" s="124" t="s">
        <v>10</v>
      </c>
      <c r="Q31" s="15"/>
    </row>
    <row r="32" spans="2:17" ht="40.5" outlineLevel="1" x14ac:dyDescent="0.4">
      <c r="B32" s="10"/>
      <c r="C32" s="96" t="s">
        <v>14</v>
      </c>
      <c r="D32" s="126" t="s">
        <v>52</v>
      </c>
      <c r="E32" s="155" t="s">
        <v>58</v>
      </c>
      <c r="F32" s="156"/>
      <c r="G32" s="81" t="s">
        <v>24</v>
      </c>
      <c r="H32" s="155" t="s">
        <v>77</v>
      </c>
      <c r="I32" s="156"/>
      <c r="J32" s="129"/>
      <c r="K32" s="74" t="s">
        <v>78</v>
      </c>
      <c r="L32" s="100"/>
      <c r="M32" s="152" t="s">
        <v>79</v>
      </c>
      <c r="N32" s="153"/>
      <c r="O32" s="130"/>
      <c r="P32" s="124" t="s">
        <v>10</v>
      </c>
      <c r="Q32" s="15"/>
    </row>
    <row r="33" spans="2:17" ht="81" customHeight="1" outlineLevel="1" x14ac:dyDescent="0.4">
      <c r="B33" s="10"/>
      <c r="C33" s="96" t="s">
        <v>14</v>
      </c>
      <c r="D33" s="126" t="s">
        <v>53</v>
      </c>
      <c r="E33" s="155" t="s">
        <v>58</v>
      </c>
      <c r="F33" s="156"/>
      <c r="G33" s="81" t="s">
        <v>37</v>
      </c>
      <c r="H33" s="155" t="s">
        <v>80</v>
      </c>
      <c r="I33" s="156"/>
      <c r="J33" s="129"/>
      <c r="K33" s="74" t="s">
        <v>81</v>
      </c>
      <c r="L33" s="100"/>
      <c r="M33" s="152" t="s">
        <v>82</v>
      </c>
      <c r="N33" s="153"/>
      <c r="O33" s="130"/>
      <c r="P33" s="124" t="s">
        <v>10</v>
      </c>
      <c r="Q33" s="15"/>
    </row>
    <row r="34" spans="2:17" ht="60.75" outlineLevel="1" x14ac:dyDescent="0.4">
      <c r="B34" s="10"/>
      <c r="C34" s="96" t="s">
        <v>14</v>
      </c>
      <c r="D34" s="126" t="s">
        <v>54</v>
      </c>
      <c r="E34" s="155" t="s">
        <v>58</v>
      </c>
      <c r="F34" s="156"/>
      <c r="G34" s="81" t="s">
        <v>24</v>
      </c>
      <c r="H34" s="155" t="s">
        <v>83</v>
      </c>
      <c r="I34" s="156"/>
      <c r="J34" s="129"/>
      <c r="K34" s="74" t="s">
        <v>84</v>
      </c>
      <c r="L34" s="100"/>
      <c r="M34" s="152" t="s">
        <v>85</v>
      </c>
      <c r="N34" s="153"/>
      <c r="O34" s="130"/>
      <c r="P34" s="124"/>
      <c r="Q34" s="15"/>
    </row>
    <row r="35" spans="2:17" ht="40.5" outlineLevel="1" x14ac:dyDescent="0.4">
      <c r="B35" s="10"/>
      <c r="C35" s="96" t="s">
        <v>14</v>
      </c>
      <c r="D35" s="126" t="s">
        <v>55</v>
      </c>
      <c r="E35" s="155" t="s">
        <v>58</v>
      </c>
      <c r="F35" s="156"/>
      <c r="G35" s="81" t="s">
        <v>24</v>
      </c>
      <c r="H35" s="155" t="s">
        <v>86</v>
      </c>
      <c r="I35" s="156"/>
      <c r="J35" s="129"/>
      <c r="K35" s="74" t="s">
        <v>87</v>
      </c>
      <c r="L35" s="100"/>
      <c r="M35" s="152" t="s">
        <v>88</v>
      </c>
      <c r="N35" s="153"/>
      <c r="O35" s="130"/>
      <c r="P35" s="124"/>
      <c r="Q35" s="15"/>
    </row>
    <row r="36" spans="2:17" ht="40.5" outlineLevel="1" x14ac:dyDescent="0.4">
      <c r="B36" s="10"/>
      <c r="C36" s="96" t="s">
        <v>14</v>
      </c>
      <c r="D36" s="126" t="s">
        <v>56</v>
      </c>
      <c r="E36" s="155" t="s">
        <v>58</v>
      </c>
      <c r="F36" s="156"/>
      <c r="G36" s="81" t="s">
        <v>24</v>
      </c>
      <c r="H36" s="155" t="s">
        <v>89</v>
      </c>
      <c r="I36" s="156"/>
      <c r="J36" s="129"/>
      <c r="K36" s="74" t="s">
        <v>90</v>
      </c>
      <c r="L36" s="100"/>
      <c r="M36" s="152" t="s">
        <v>91</v>
      </c>
      <c r="N36" s="153"/>
      <c r="O36" s="130"/>
      <c r="P36" s="124"/>
      <c r="Q36" s="15"/>
    </row>
    <row r="37" spans="2:17" ht="19.5" customHeight="1" x14ac:dyDescent="0.4">
      <c r="B37" s="10"/>
      <c r="C37" s="97" t="s">
        <v>36</v>
      </c>
      <c r="D37" s="98"/>
      <c r="E37" s="148" t="s">
        <v>59</v>
      </c>
      <c r="F37" s="149"/>
      <c r="G37" s="83"/>
      <c r="H37" s="131"/>
      <c r="I37" s="132"/>
      <c r="J37" s="82"/>
      <c r="K37" s="82"/>
      <c r="L37" s="107"/>
      <c r="M37" s="154"/>
      <c r="N37" s="154"/>
      <c r="O37" s="141"/>
      <c r="P37" s="127"/>
      <c r="Q37" s="15"/>
    </row>
    <row r="38" spans="2:17" s="27" customFormat="1" ht="303.75" outlineLevel="1" x14ac:dyDescent="0.4">
      <c r="B38" s="10"/>
      <c r="C38" s="99" t="s">
        <v>36</v>
      </c>
      <c r="D38" s="126" t="s">
        <v>51</v>
      </c>
      <c r="E38" s="155" t="s">
        <v>59</v>
      </c>
      <c r="F38" s="156"/>
      <c r="G38" s="81" t="s">
        <v>24</v>
      </c>
      <c r="H38" s="206" t="s">
        <v>98</v>
      </c>
      <c r="I38" s="207"/>
      <c r="J38" s="87" t="s">
        <v>101</v>
      </c>
      <c r="K38" s="87" t="s">
        <v>100</v>
      </c>
      <c r="L38" s="106"/>
      <c r="M38" s="152" t="s">
        <v>99</v>
      </c>
      <c r="N38" s="153"/>
      <c r="O38" s="110"/>
      <c r="P38" s="125"/>
      <c r="Q38" s="15"/>
    </row>
    <row r="39" spans="2:17" s="27" customFormat="1" ht="303.75" outlineLevel="1" x14ac:dyDescent="0.4">
      <c r="B39" s="10"/>
      <c r="C39" s="99" t="s">
        <v>36</v>
      </c>
      <c r="D39" s="126" t="s">
        <v>52</v>
      </c>
      <c r="E39" s="155" t="s">
        <v>59</v>
      </c>
      <c r="F39" s="156"/>
      <c r="G39" s="81" t="s">
        <v>37</v>
      </c>
      <c r="H39" s="206" t="s">
        <v>102</v>
      </c>
      <c r="I39" s="207"/>
      <c r="J39" s="87" t="s">
        <v>101</v>
      </c>
      <c r="K39" s="87" t="s">
        <v>100</v>
      </c>
      <c r="L39" s="106"/>
      <c r="M39" s="152" t="s">
        <v>103</v>
      </c>
      <c r="N39" s="153"/>
      <c r="O39" s="135"/>
      <c r="P39" s="125"/>
      <c r="Q39" s="15"/>
    </row>
    <row r="40" spans="2:17" s="27" customFormat="1" ht="303.75" outlineLevel="1" x14ac:dyDescent="0.4">
      <c r="B40" s="10"/>
      <c r="C40" s="99" t="s">
        <v>36</v>
      </c>
      <c r="D40" s="126" t="s">
        <v>53</v>
      </c>
      <c r="E40" s="155" t="s">
        <v>59</v>
      </c>
      <c r="F40" s="156"/>
      <c r="G40" s="81"/>
      <c r="H40" s="206" t="s">
        <v>104</v>
      </c>
      <c r="I40" s="207"/>
      <c r="J40" s="87" t="s">
        <v>101</v>
      </c>
      <c r="K40" s="87" t="s">
        <v>106</v>
      </c>
      <c r="L40" s="106"/>
      <c r="M40" s="152" t="s">
        <v>105</v>
      </c>
      <c r="N40" s="153"/>
      <c r="O40" s="135"/>
      <c r="P40" s="125"/>
      <c r="Q40" s="15"/>
    </row>
    <row r="41" spans="2:17" s="27" customFormat="1" ht="303.75" outlineLevel="1" x14ac:dyDescent="0.4">
      <c r="B41" s="10"/>
      <c r="C41" s="99" t="s">
        <v>36</v>
      </c>
      <c r="D41" s="126" t="s">
        <v>54</v>
      </c>
      <c r="E41" s="155" t="s">
        <v>59</v>
      </c>
      <c r="F41" s="156"/>
      <c r="G41" s="81"/>
      <c r="H41" s="206" t="s">
        <v>107</v>
      </c>
      <c r="I41" s="207"/>
      <c r="J41" s="87" t="s">
        <v>101</v>
      </c>
      <c r="K41" s="87" t="s">
        <v>106</v>
      </c>
      <c r="L41" s="106"/>
      <c r="M41" s="152" t="s">
        <v>103</v>
      </c>
      <c r="N41" s="153"/>
      <c r="O41" s="135"/>
      <c r="P41" s="125"/>
      <c r="Q41" s="15"/>
    </row>
    <row r="42" spans="2:17" ht="19.5" customHeight="1" x14ac:dyDescent="0.4">
      <c r="B42" s="10"/>
      <c r="C42" s="97" t="s">
        <v>65</v>
      </c>
      <c r="D42" s="98"/>
      <c r="E42" s="148" t="s">
        <v>39</v>
      </c>
      <c r="F42" s="149"/>
      <c r="G42" s="83"/>
      <c r="H42" s="175"/>
      <c r="I42" s="176"/>
      <c r="J42" s="82"/>
      <c r="K42" s="82"/>
      <c r="L42" s="107"/>
      <c r="M42" s="154"/>
      <c r="N42" s="154"/>
      <c r="O42" s="144"/>
      <c r="P42" s="127"/>
      <c r="Q42" s="15"/>
    </row>
    <row r="43" spans="2:17" ht="20.25" outlineLevel="1" x14ac:dyDescent="0.4">
      <c r="B43" s="10"/>
      <c r="C43" s="96" t="s">
        <v>65</v>
      </c>
      <c r="D43" s="126" t="s">
        <v>51</v>
      </c>
      <c r="E43" s="155" t="s">
        <v>39</v>
      </c>
      <c r="F43" s="156"/>
      <c r="G43" s="81" t="s">
        <v>24</v>
      </c>
      <c r="H43" s="163" t="s">
        <v>108</v>
      </c>
      <c r="I43" s="165"/>
      <c r="J43" s="74"/>
      <c r="K43" s="74" t="s">
        <v>110</v>
      </c>
      <c r="L43" s="105"/>
      <c r="M43" s="152" t="s">
        <v>109</v>
      </c>
      <c r="N43" s="153"/>
      <c r="O43" s="147"/>
      <c r="P43" s="125"/>
      <c r="Q43" s="15"/>
    </row>
    <row r="44" spans="2:17" ht="20.25" outlineLevel="1" x14ac:dyDescent="0.4">
      <c r="B44" s="10"/>
      <c r="C44" s="96" t="s">
        <v>65</v>
      </c>
      <c r="D44" s="126" t="s">
        <v>52</v>
      </c>
      <c r="E44" s="155" t="s">
        <v>39</v>
      </c>
      <c r="F44" s="156"/>
      <c r="G44" s="81" t="s">
        <v>24</v>
      </c>
      <c r="H44" s="163" t="s">
        <v>111</v>
      </c>
      <c r="I44" s="165"/>
      <c r="J44" s="136"/>
      <c r="K44" s="74" t="s">
        <v>112</v>
      </c>
      <c r="L44" s="105"/>
      <c r="M44" s="152" t="s">
        <v>111</v>
      </c>
      <c r="N44" s="153"/>
      <c r="O44" s="133"/>
      <c r="P44" s="125"/>
      <c r="Q44" s="15"/>
    </row>
    <row r="45" spans="2:17" ht="20.25" outlineLevel="1" x14ac:dyDescent="0.4">
      <c r="B45" s="10"/>
      <c r="C45" s="96" t="s">
        <v>65</v>
      </c>
      <c r="D45" s="126" t="s">
        <v>53</v>
      </c>
      <c r="E45" s="155" t="s">
        <v>39</v>
      </c>
      <c r="F45" s="156"/>
      <c r="G45" s="81" t="s">
        <v>24</v>
      </c>
      <c r="H45" s="163" t="s">
        <v>113</v>
      </c>
      <c r="I45" s="165"/>
      <c r="J45" s="136"/>
      <c r="K45" s="74" t="s">
        <v>115</v>
      </c>
      <c r="L45" s="105"/>
      <c r="M45" s="152" t="s">
        <v>114</v>
      </c>
      <c r="N45" s="153"/>
      <c r="O45" s="133"/>
      <c r="P45" s="125"/>
      <c r="Q45" s="15"/>
    </row>
    <row r="46" spans="2:17" ht="20.25" outlineLevel="1" x14ac:dyDescent="0.4">
      <c r="B46" s="10"/>
      <c r="C46" s="96" t="s">
        <v>65</v>
      </c>
      <c r="D46" s="126" t="s">
        <v>54</v>
      </c>
      <c r="E46" s="155" t="s">
        <v>39</v>
      </c>
      <c r="F46" s="156"/>
      <c r="G46" s="81" t="s">
        <v>24</v>
      </c>
      <c r="H46" s="163" t="s">
        <v>116</v>
      </c>
      <c r="I46" s="165"/>
      <c r="J46" s="136"/>
      <c r="K46" s="74" t="s">
        <v>118</v>
      </c>
      <c r="L46" s="105"/>
      <c r="M46" s="152" t="s">
        <v>117</v>
      </c>
      <c r="N46" s="153"/>
      <c r="O46" s="133"/>
      <c r="P46" s="125"/>
      <c r="Q46" s="15"/>
    </row>
    <row r="47" spans="2:17" ht="222.75" outlineLevel="1" x14ac:dyDescent="0.4">
      <c r="B47" s="10"/>
      <c r="C47" s="96" t="s">
        <v>65</v>
      </c>
      <c r="D47" s="126" t="s">
        <v>55</v>
      </c>
      <c r="E47" s="155" t="s">
        <v>39</v>
      </c>
      <c r="F47" s="156"/>
      <c r="G47" s="81" t="s">
        <v>24</v>
      </c>
      <c r="H47" s="163" t="s">
        <v>119</v>
      </c>
      <c r="I47" s="165"/>
      <c r="J47" s="136" t="s">
        <v>120</v>
      </c>
      <c r="K47" s="74"/>
      <c r="L47" s="105"/>
      <c r="M47" s="152" t="s">
        <v>119</v>
      </c>
      <c r="N47" s="153"/>
      <c r="O47" s="133"/>
      <c r="P47" s="125"/>
      <c r="Q47" s="15"/>
    </row>
    <row r="48" spans="2:17" ht="222.75" outlineLevel="1" x14ac:dyDescent="0.4">
      <c r="B48" s="10"/>
      <c r="C48" s="96" t="s">
        <v>65</v>
      </c>
      <c r="D48" s="126" t="s">
        <v>56</v>
      </c>
      <c r="E48" s="155" t="s">
        <v>39</v>
      </c>
      <c r="F48" s="156"/>
      <c r="G48" s="81" t="s">
        <v>37</v>
      </c>
      <c r="H48" s="163" t="s">
        <v>122</v>
      </c>
      <c r="I48" s="165"/>
      <c r="J48" s="136" t="s">
        <v>120</v>
      </c>
      <c r="K48" s="74"/>
      <c r="L48" s="105"/>
      <c r="M48" s="152" t="s">
        <v>123</v>
      </c>
      <c r="N48" s="153"/>
      <c r="O48" s="133"/>
      <c r="P48" s="125"/>
      <c r="Q48" s="15"/>
    </row>
    <row r="49" spans="2:17" ht="182.25" outlineLevel="1" x14ac:dyDescent="0.4">
      <c r="B49" s="10"/>
      <c r="C49" s="96" t="s">
        <v>65</v>
      </c>
      <c r="D49" s="126" t="s">
        <v>92</v>
      </c>
      <c r="E49" s="155" t="s">
        <v>39</v>
      </c>
      <c r="F49" s="156"/>
      <c r="G49" s="81" t="s">
        <v>24</v>
      </c>
      <c r="H49" s="163" t="s">
        <v>121</v>
      </c>
      <c r="I49" s="165"/>
      <c r="J49" s="136" t="s">
        <v>124</v>
      </c>
      <c r="K49" s="74"/>
      <c r="L49" s="105"/>
      <c r="M49" s="152" t="s">
        <v>121</v>
      </c>
      <c r="N49" s="153"/>
      <c r="O49" s="133"/>
      <c r="P49" s="125"/>
      <c r="Q49" s="15"/>
    </row>
    <row r="50" spans="2:17" ht="182.25" outlineLevel="1" x14ac:dyDescent="0.4">
      <c r="B50" s="10"/>
      <c r="C50" s="96" t="s">
        <v>65</v>
      </c>
      <c r="D50" s="126" t="s">
        <v>93</v>
      </c>
      <c r="E50" s="155" t="s">
        <v>39</v>
      </c>
      <c r="F50" s="156"/>
      <c r="G50" s="81" t="s">
        <v>37</v>
      </c>
      <c r="H50" s="163" t="s">
        <v>125</v>
      </c>
      <c r="I50" s="165"/>
      <c r="J50" s="136" t="s">
        <v>124</v>
      </c>
      <c r="K50" s="74"/>
      <c r="L50" s="105"/>
      <c r="M50" s="152" t="s">
        <v>126</v>
      </c>
      <c r="N50" s="153"/>
      <c r="O50" s="133"/>
      <c r="P50" s="125"/>
      <c r="Q50" s="15"/>
    </row>
    <row r="51" spans="2:17" ht="182.25" outlineLevel="1" x14ac:dyDescent="0.4">
      <c r="B51" s="10"/>
      <c r="C51" s="96" t="s">
        <v>65</v>
      </c>
      <c r="D51" s="126" t="s">
        <v>94</v>
      </c>
      <c r="E51" s="155" t="s">
        <v>39</v>
      </c>
      <c r="F51" s="156"/>
      <c r="G51" s="81" t="s">
        <v>24</v>
      </c>
      <c r="H51" s="163" t="s">
        <v>127</v>
      </c>
      <c r="I51" s="165"/>
      <c r="J51" s="136" t="s">
        <v>128</v>
      </c>
      <c r="K51" s="74"/>
      <c r="L51" s="105"/>
      <c r="M51" s="152" t="s">
        <v>129</v>
      </c>
      <c r="N51" s="153"/>
      <c r="O51" s="133"/>
      <c r="P51" s="125"/>
      <c r="Q51" s="15"/>
    </row>
    <row r="52" spans="2:17" ht="19.5" customHeight="1" x14ac:dyDescent="0.4">
      <c r="B52" s="10"/>
      <c r="C52" s="97" t="s">
        <v>48</v>
      </c>
      <c r="D52" s="98"/>
      <c r="E52" s="148" t="s">
        <v>60</v>
      </c>
      <c r="F52" s="149"/>
      <c r="G52" s="83"/>
      <c r="H52" s="161"/>
      <c r="I52" s="162"/>
      <c r="J52" s="94"/>
      <c r="K52" s="82"/>
      <c r="L52" s="107"/>
      <c r="M52" s="154"/>
      <c r="N52" s="154"/>
      <c r="O52" s="144"/>
      <c r="P52" s="127"/>
      <c r="Q52" s="15"/>
    </row>
    <row r="53" spans="2:17" ht="20.25" outlineLevel="1" x14ac:dyDescent="0.4">
      <c r="B53" s="10"/>
      <c r="C53" s="99" t="s">
        <v>48</v>
      </c>
      <c r="D53" s="126" t="s">
        <v>51</v>
      </c>
      <c r="E53" s="155" t="s">
        <v>60</v>
      </c>
      <c r="F53" s="156"/>
      <c r="G53" s="81" t="s">
        <v>24</v>
      </c>
      <c r="H53" s="163" t="s">
        <v>131</v>
      </c>
      <c r="I53" s="164"/>
      <c r="J53" s="95"/>
      <c r="K53" s="74"/>
      <c r="L53" s="108"/>
      <c r="M53" s="152" t="s">
        <v>130</v>
      </c>
      <c r="N53" s="153"/>
      <c r="O53" s="140"/>
      <c r="P53" s="125"/>
      <c r="Q53" s="15"/>
    </row>
    <row r="54" spans="2:17" ht="20.25" outlineLevel="1" x14ac:dyDescent="0.4">
      <c r="B54" s="10"/>
      <c r="C54" s="99" t="s">
        <v>48</v>
      </c>
      <c r="D54" s="126" t="s">
        <v>52</v>
      </c>
      <c r="E54" s="155" t="s">
        <v>60</v>
      </c>
      <c r="F54" s="156"/>
      <c r="G54" s="81" t="s">
        <v>24</v>
      </c>
      <c r="H54" s="163" t="s">
        <v>133</v>
      </c>
      <c r="I54" s="164"/>
      <c r="J54" s="95"/>
      <c r="K54" s="74"/>
      <c r="L54" s="108"/>
      <c r="M54" s="152" t="s">
        <v>132</v>
      </c>
      <c r="N54" s="153"/>
      <c r="O54" s="140"/>
      <c r="P54" s="125"/>
      <c r="Q54" s="15"/>
    </row>
    <row r="55" spans="2:17" ht="20.25" outlineLevel="1" x14ac:dyDescent="0.4">
      <c r="B55" s="10"/>
      <c r="C55" s="99" t="s">
        <v>48</v>
      </c>
      <c r="D55" s="126" t="s">
        <v>53</v>
      </c>
      <c r="E55" s="155" t="s">
        <v>60</v>
      </c>
      <c r="F55" s="156"/>
      <c r="G55" s="81" t="s">
        <v>24</v>
      </c>
      <c r="H55" s="163" t="s">
        <v>135</v>
      </c>
      <c r="I55" s="164"/>
      <c r="J55" s="95"/>
      <c r="K55" s="74"/>
      <c r="L55" s="108"/>
      <c r="M55" s="152" t="s">
        <v>134</v>
      </c>
      <c r="N55" s="153"/>
      <c r="O55" s="140"/>
      <c r="P55" s="125"/>
      <c r="Q55" s="15"/>
    </row>
    <row r="56" spans="2:17" ht="19.5" customHeight="1" x14ac:dyDescent="0.4">
      <c r="B56" s="10"/>
      <c r="C56" s="97" t="s">
        <v>64</v>
      </c>
      <c r="D56" s="98"/>
      <c r="E56" s="148" t="s">
        <v>61</v>
      </c>
      <c r="F56" s="149"/>
      <c r="G56" s="83"/>
      <c r="H56" s="161"/>
      <c r="I56" s="162"/>
      <c r="J56" s="94"/>
      <c r="K56" s="82"/>
      <c r="L56" s="107"/>
      <c r="M56" s="154"/>
      <c r="N56" s="154"/>
      <c r="O56" s="144"/>
      <c r="P56" s="127"/>
      <c r="Q56" s="15"/>
    </row>
    <row r="57" spans="2:17" s="27" customFormat="1" ht="20.25" outlineLevel="1" x14ac:dyDescent="0.4">
      <c r="B57" s="10"/>
      <c r="C57" s="96" t="s">
        <v>64</v>
      </c>
      <c r="D57" s="126" t="s">
        <v>51</v>
      </c>
      <c r="E57" s="155" t="s">
        <v>61</v>
      </c>
      <c r="F57" s="156"/>
      <c r="G57" s="81" t="s">
        <v>24</v>
      </c>
      <c r="H57" s="208" t="s">
        <v>137</v>
      </c>
      <c r="I57" s="209"/>
      <c r="J57" s="87"/>
      <c r="K57" s="74"/>
      <c r="L57" s="106"/>
      <c r="M57" s="152" t="s">
        <v>136</v>
      </c>
      <c r="N57" s="153"/>
      <c r="O57" s="138"/>
      <c r="P57" s="125"/>
      <c r="Q57" s="15"/>
    </row>
    <row r="58" spans="2:17" s="27" customFormat="1" ht="20.25" outlineLevel="1" x14ac:dyDescent="0.4">
      <c r="B58" s="10"/>
      <c r="C58" s="96" t="s">
        <v>64</v>
      </c>
      <c r="D58" s="126" t="s">
        <v>52</v>
      </c>
      <c r="E58" s="155" t="s">
        <v>61</v>
      </c>
      <c r="F58" s="156"/>
      <c r="G58" s="81" t="s">
        <v>24</v>
      </c>
      <c r="H58" s="208" t="s">
        <v>139</v>
      </c>
      <c r="I58" s="209"/>
      <c r="J58" s="87"/>
      <c r="K58" s="74"/>
      <c r="L58" s="106"/>
      <c r="M58" s="152" t="s">
        <v>138</v>
      </c>
      <c r="N58" s="153"/>
      <c r="O58" s="138"/>
      <c r="P58" s="125"/>
      <c r="Q58" s="15"/>
    </row>
    <row r="59" spans="2:17" s="27" customFormat="1" ht="20.25" outlineLevel="1" x14ac:dyDescent="0.4">
      <c r="B59" s="10"/>
      <c r="C59" s="96" t="s">
        <v>64</v>
      </c>
      <c r="D59" s="126" t="s">
        <v>53</v>
      </c>
      <c r="E59" s="155" t="s">
        <v>61</v>
      </c>
      <c r="F59" s="156"/>
      <c r="G59" s="81" t="s">
        <v>24</v>
      </c>
      <c r="H59" s="208" t="s">
        <v>141</v>
      </c>
      <c r="I59" s="209"/>
      <c r="J59" s="87"/>
      <c r="K59" s="74"/>
      <c r="L59" s="106"/>
      <c r="M59" s="152" t="s">
        <v>140</v>
      </c>
      <c r="N59" s="153"/>
      <c r="O59" s="138"/>
      <c r="P59" s="125"/>
      <c r="Q59" s="15"/>
    </row>
    <row r="60" spans="2:17" s="116" customFormat="1" ht="19.5" customHeight="1" x14ac:dyDescent="0.4">
      <c r="B60" s="117"/>
      <c r="C60" s="97" t="s">
        <v>49</v>
      </c>
      <c r="D60" s="98"/>
      <c r="E60" s="148" t="s">
        <v>62</v>
      </c>
      <c r="F60" s="149"/>
      <c r="G60" s="83"/>
      <c r="H60" s="159"/>
      <c r="I60" s="160"/>
      <c r="J60" s="121"/>
      <c r="K60" s="122"/>
      <c r="L60" s="123"/>
      <c r="M60" s="154"/>
      <c r="N60" s="154"/>
      <c r="O60" s="146"/>
      <c r="P60" s="128"/>
      <c r="Q60" s="118"/>
    </row>
    <row r="61" spans="2:17" ht="20.25" outlineLevel="1" x14ac:dyDescent="0.4">
      <c r="B61" s="10"/>
      <c r="C61" s="99" t="s">
        <v>49</v>
      </c>
      <c r="D61" s="126" t="s">
        <v>51</v>
      </c>
      <c r="E61" s="155" t="s">
        <v>62</v>
      </c>
      <c r="F61" s="156"/>
      <c r="G61" s="81" t="s">
        <v>24</v>
      </c>
      <c r="H61" s="163" t="s">
        <v>143</v>
      </c>
      <c r="I61" s="164"/>
      <c r="J61" s="95"/>
      <c r="K61" s="95"/>
      <c r="L61" s="108"/>
      <c r="M61" s="152" t="s">
        <v>142</v>
      </c>
      <c r="N61" s="153"/>
      <c r="O61" s="139"/>
      <c r="P61" s="124"/>
      <c r="Q61" s="15"/>
    </row>
    <row r="62" spans="2:17" ht="20.25" outlineLevel="1" x14ac:dyDescent="0.4">
      <c r="B62" s="10"/>
      <c r="C62" s="99" t="s">
        <v>49</v>
      </c>
      <c r="D62" s="126" t="s">
        <v>52</v>
      </c>
      <c r="E62" s="155" t="s">
        <v>62</v>
      </c>
      <c r="F62" s="156"/>
      <c r="G62" s="81" t="s">
        <v>24</v>
      </c>
      <c r="H62" s="163" t="s">
        <v>145</v>
      </c>
      <c r="I62" s="164"/>
      <c r="J62" s="95"/>
      <c r="K62" s="95"/>
      <c r="L62" s="108"/>
      <c r="M62" s="152" t="s">
        <v>144</v>
      </c>
      <c r="N62" s="153"/>
      <c r="O62" s="139"/>
      <c r="P62" s="124"/>
      <c r="Q62" s="15"/>
    </row>
    <row r="63" spans="2:17" ht="20.25" outlineLevel="1" x14ac:dyDescent="0.4">
      <c r="B63" s="10"/>
      <c r="C63" s="99" t="s">
        <v>49</v>
      </c>
      <c r="D63" s="126" t="s">
        <v>53</v>
      </c>
      <c r="E63" s="155" t="s">
        <v>62</v>
      </c>
      <c r="F63" s="156"/>
      <c r="G63" s="81" t="s">
        <v>24</v>
      </c>
      <c r="H63" s="163" t="s">
        <v>147</v>
      </c>
      <c r="I63" s="164"/>
      <c r="J63" s="95"/>
      <c r="K63" s="95"/>
      <c r="L63" s="108"/>
      <c r="M63" s="152" t="s">
        <v>146</v>
      </c>
      <c r="N63" s="153"/>
      <c r="O63" s="139"/>
      <c r="P63" s="124"/>
      <c r="Q63" s="15"/>
    </row>
    <row r="64" spans="2:17" ht="19.5" customHeight="1" x14ac:dyDescent="0.4">
      <c r="B64" s="10"/>
      <c r="C64" s="97" t="s">
        <v>50</v>
      </c>
      <c r="D64" s="98"/>
      <c r="E64" s="148" t="s">
        <v>63</v>
      </c>
      <c r="F64" s="149"/>
      <c r="G64" s="83"/>
      <c r="H64" s="150"/>
      <c r="I64" s="151"/>
      <c r="J64" s="94"/>
      <c r="K64" s="82"/>
      <c r="L64" s="107"/>
      <c r="M64" s="154"/>
      <c r="N64" s="154"/>
      <c r="O64" s="145"/>
      <c r="P64" s="127"/>
      <c r="Q64" s="15"/>
    </row>
    <row r="65" spans="2:17" s="27" customFormat="1" ht="20.25" outlineLevel="1" x14ac:dyDescent="0.4">
      <c r="B65" s="10"/>
      <c r="C65" s="96" t="s">
        <v>50</v>
      </c>
      <c r="D65" s="126" t="s">
        <v>51</v>
      </c>
      <c r="E65" s="155" t="s">
        <v>63</v>
      </c>
      <c r="F65" s="156"/>
      <c r="G65" s="81" t="s">
        <v>24</v>
      </c>
      <c r="H65" s="157" t="s">
        <v>149</v>
      </c>
      <c r="I65" s="158"/>
      <c r="J65" s="87"/>
      <c r="K65" s="74"/>
      <c r="L65" s="106"/>
      <c r="M65" s="152" t="s">
        <v>148</v>
      </c>
      <c r="N65" s="153"/>
      <c r="O65" s="138"/>
      <c r="P65" s="125"/>
      <c r="Q65" s="15"/>
    </row>
    <row r="66" spans="2:17" s="27" customFormat="1" ht="20.25" outlineLevel="1" x14ac:dyDescent="0.4">
      <c r="B66" s="10"/>
      <c r="C66" s="96" t="s">
        <v>50</v>
      </c>
      <c r="D66" s="126" t="s">
        <v>52</v>
      </c>
      <c r="E66" s="155" t="s">
        <v>63</v>
      </c>
      <c r="F66" s="156"/>
      <c r="G66" s="81" t="s">
        <v>37</v>
      </c>
      <c r="H66" s="157" t="s">
        <v>150</v>
      </c>
      <c r="I66" s="158"/>
      <c r="J66" s="87"/>
      <c r="K66" s="74"/>
      <c r="L66" s="106"/>
      <c r="M66" s="152" t="s">
        <v>151</v>
      </c>
      <c r="N66" s="153"/>
      <c r="O66" s="138"/>
      <c r="P66" s="125"/>
      <c r="Q66" s="15"/>
    </row>
    <row r="67" spans="2:17" s="27" customFormat="1" ht="20.25" outlineLevel="1" x14ac:dyDescent="0.4">
      <c r="B67" s="10"/>
      <c r="C67" s="96" t="s">
        <v>50</v>
      </c>
      <c r="D67" s="126" t="s">
        <v>53</v>
      </c>
      <c r="E67" s="155" t="s">
        <v>63</v>
      </c>
      <c r="F67" s="156"/>
      <c r="G67" s="81" t="s">
        <v>24</v>
      </c>
      <c r="H67" s="157" t="s">
        <v>152</v>
      </c>
      <c r="I67" s="158"/>
      <c r="J67" s="87"/>
      <c r="K67" s="74"/>
      <c r="L67" s="106"/>
      <c r="M67" s="152" t="s">
        <v>154</v>
      </c>
      <c r="N67" s="153"/>
      <c r="O67" s="138"/>
      <c r="P67" s="125"/>
      <c r="Q67" s="15"/>
    </row>
    <row r="68" spans="2:17" s="27" customFormat="1" ht="20.25" outlineLevel="1" x14ac:dyDescent="0.4">
      <c r="B68" s="10"/>
      <c r="C68" s="96" t="s">
        <v>50</v>
      </c>
      <c r="D68" s="126" t="s">
        <v>54</v>
      </c>
      <c r="E68" s="155" t="s">
        <v>63</v>
      </c>
      <c r="F68" s="156"/>
      <c r="G68" s="81" t="s">
        <v>24</v>
      </c>
      <c r="H68" s="157" t="s">
        <v>153</v>
      </c>
      <c r="I68" s="158"/>
      <c r="J68" s="87"/>
      <c r="K68" s="74"/>
      <c r="L68" s="106"/>
      <c r="M68" s="152" t="s">
        <v>155</v>
      </c>
      <c r="N68" s="153"/>
      <c r="O68" s="138"/>
      <c r="P68" s="125"/>
      <c r="Q68" s="15"/>
    </row>
    <row r="69" spans="2:17" ht="19.5" customHeight="1" x14ac:dyDescent="0.4">
      <c r="B69" s="10"/>
      <c r="C69" s="97" t="s">
        <v>69</v>
      </c>
      <c r="D69" s="98"/>
      <c r="E69" s="148" t="s">
        <v>73</v>
      </c>
      <c r="F69" s="149"/>
      <c r="G69" s="83"/>
      <c r="H69" s="150"/>
      <c r="I69" s="151"/>
      <c r="J69" s="94"/>
      <c r="K69" s="82"/>
      <c r="L69" s="107"/>
      <c r="M69" s="154"/>
      <c r="N69" s="154"/>
      <c r="O69" s="145"/>
      <c r="P69" s="127"/>
      <c r="Q69" s="15"/>
    </row>
    <row r="70" spans="2:17" s="27" customFormat="1" ht="20.25" outlineLevel="1" x14ac:dyDescent="0.4">
      <c r="B70" s="10"/>
      <c r="C70" s="99" t="s">
        <v>69</v>
      </c>
      <c r="D70" s="126" t="s">
        <v>51</v>
      </c>
      <c r="E70" s="155" t="s">
        <v>73</v>
      </c>
      <c r="F70" s="156"/>
      <c r="G70" s="81" t="s">
        <v>24</v>
      </c>
      <c r="H70" s="157" t="s">
        <v>157</v>
      </c>
      <c r="I70" s="158"/>
      <c r="J70" s="87"/>
      <c r="K70" s="74"/>
      <c r="L70" s="106"/>
      <c r="M70" s="152" t="s">
        <v>156</v>
      </c>
      <c r="N70" s="153"/>
      <c r="O70" s="138"/>
      <c r="P70" s="125"/>
      <c r="Q70" s="15"/>
    </row>
    <row r="71" spans="2:17" s="27" customFormat="1" ht="20.25" outlineLevel="1" x14ac:dyDescent="0.4">
      <c r="B71" s="10"/>
      <c r="C71" s="99" t="s">
        <v>69</v>
      </c>
      <c r="D71" s="126" t="s">
        <v>53</v>
      </c>
      <c r="E71" s="155" t="s">
        <v>73</v>
      </c>
      <c r="F71" s="156"/>
      <c r="G71" s="81" t="s">
        <v>24</v>
      </c>
      <c r="H71" s="157" t="s">
        <v>175</v>
      </c>
      <c r="I71" s="158"/>
      <c r="J71" s="87"/>
      <c r="K71" s="74"/>
      <c r="L71" s="106"/>
      <c r="M71" s="152" t="s">
        <v>174</v>
      </c>
      <c r="N71" s="153"/>
      <c r="O71" s="138"/>
      <c r="P71" s="125"/>
      <c r="Q71" s="15"/>
    </row>
    <row r="72" spans="2:17" s="27" customFormat="1" ht="20.25" outlineLevel="1" x14ac:dyDescent="0.4">
      <c r="B72" s="10"/>
      <c r="C72" s="99" t="s">
        <v>69</v>
      </c>
      <c r="D72" s="126" t="s">
        <v>54</v>
      </c>
      <c r="E72" s="155" t="s">
        <v>73</v>
      </c>
      <c r="F72" s="156"/>
      <c r="G72" s="81" t="s">
        <v>37</v>
      </c>
      <c r="H72" s="157" t="s">
        <v>176</v>
      </c>
      <c r="I72" s="158"/>
      <c r="J72" s="87"/>
      <c r="K72" s="74"/>
      <c r="L72" s="106"/>
      <c r="M72" s="152" t="s">
        <v>177</v>
      </c>
      <c r="N72" s="153"/>
      <c r="O72" s="138"/>
      <c r="P72" s="125"/>
      <c r="Q72" s="15"/>
    </row>
    <row r="73" spans="2:17" ht="19.5" customHeight="1" x14ac:dyDescent="0.4">
      <c r="B73" s="10"/>
      <c r="C73" s="97" t="s">
        <v>70</v>
      </c>
      <c r="D73" s="98"/>
      <c r="E73" s="148" t="s">
        <v>66</v>
      </c>
      <c r="F73" s="149"/>
      <c r="G73" s="83"/>
      <c r="H73" s="150"/>
      <c r="I73" s="151"/>
      <c r="J73" s="94"/>
      <c r="K73" s="82"/>
      <c r="L73" s="107"/>
      <c r="M73" s="154"/>
      <c r="N73" s="154"/>
      <c r="O73" s="145"/>
      <c r="P73" s="127"/>
      <c r="Q73" s="15"/>
    </row>
    <row r="74" spans="2:17" s="27" customFormat="1" ht="20.25" outlineLevel="1" x14ac:dyDescent="0.4">
      <c r="B74" s="10"/>
      <c r="C74" s="96" t="s">
        <v>70</v>
      </c>
      <c r="D74" s="126" t="s">
        <v>51</v>
      </c>
      <c r="E74" s="155" t="s">
        <v>66</v>
      </c>
      <c r="F74" s="156"/>
      <c r="G74" s="81" t="s">
        <v>24</v>
      </c>
      <c r="H74" s="157" t="s">
        <v>157</v>
      </c>
      <c r="I74" s="158"/>
      <c r="J74" s="87"/>
      <c r="K74" s="74"/>
      <c r="L74" s="106"/>
      <c r="M74" s="152" t="s">
        <v>156</v>
      </c>
      <c r="N74" s="153"/>
      <c r="O74" s="138"/>
      <c r="P74" s="125"/>
      <c r="Q74" s="15"/>
    </row>
    <row r="75" spans="2:17" s="27" customFormat="1" ht="20.25" outlineLevel="1" x14ac:dyDescent="0.4">
      <c r="B75" s="10"/>
      <c r="C75" s="96" t="s">
        <v>70</v>
      </c>
      <c r="D75" s="126" t="s">
        <v>52</v>
      </c>
      <c r="E75" s="155" t="s">
        <v>66</v>
      </c>
      <c r="F75" s="156"/>
      <c r="G75" s="81" t="s">
        <v>24</v>
      </c>
      <c r="H75" s="157" t="s">
        <v>159</v>
      </c>
      <c r="I75" s="158"/>
      <c r="J75" s="87"/>
      <c r="K75" s="74"/>
      <c r="L75" s="106"/>
      <c r="M75" s="152" t="s">
        <v>158</v>
      </c>
      <c r="N75" s="153"/>
      <c r="O75" s="134"/>
      <c r="P75" s="125"/>
      <c r="Q75" s="15"/>
    </row>
    <row r="76" spans="2:17" s="27" customFormat="1" ht="20.25" outlineLevel="1" x14ac:dyDescent="0.4">
      <c r="B76" s="10"/>
      <c r="C76" s="96" t="s">
        <v>70</v>
      </c>
      <c r="D76" s="126" t="s">
        <v>53</v>
      </c>
      <c r="E76" s="155" t="s">
        <v>66</v>
      </c>
      <c r="F76" s="156"/>
      <c r="G76" s="81" t="s">
        <v>37</v>
      </c>
      <c r="H76" s="157" t="s">
        <v>160</v>
      </c>
      <c r="I76" s="158"/>
      <c r="J76" s="87"/>
      <c r="K76" s="74"/>
      <c r="L76" s="106"/>
      <c r="M76" s="152" t="s">
        <v>161</v>
      </c>
      <c r="N76" s="153"/>
      <c r="O76" s="134"/>
      <c r="P76" s="125"/>
      <c r="Q76" s="15"/>
    </row>
    <row r="77" spans="2:17" s="27" customFormat="1" ht="20.25" outlineLevel="1" x14ac:dyDescent="0.4">
      <c r="B77" s="10"/>
      <c r="C77" s="96" t="s">
        <v>70</v>
      </c>
      <c r="D77" s="126" t="s">
        <v>54</v>
      </c>
      <c r="E77" s="155" t="s">
        <v>66</v>
      </c>
      <c r="F77" s="156"/>
      <c r="G77" s="81" t="s">
        <v>24</v>
      </c>
      <c r="H77" s="157" t="s">
        <v>162</v>
      </c>
      <c r="I77" s="158"/>
      <c r="J77" s="87"/>
      <c r="K77" s="74"/>
      <c r="L77" s="106"/>
      <c r="M77" s="152" t="s">
        <v>163</v>
      </c>
      <c r="N77" s="153"/>
      <c r="O77" s="134"/>
      <c r="P77" s="125"/>
      <c r="Q77" s="15"/>
    </row>
    <row r="78" spans="2:17" s="27" customFormat="1" ht="20.25" outlineLevel="1" x14ac:dyDescent="0.4">
      <c r="B78" s="10"/>
      <c r="C78" s="96" t="s">
        <v>70</v>
      </c>
      <c r="D78" s="126" t="s">
        <v>55</v>
      </c>
      <c r="E78" s="155" t="s">
        <v>66</v>
      </c>
      <c r="F78" s="156"/>
      <c r="G78" s="81" t="s">
        <v>24</v>
      </c>
      <c r="H78" s="157" t="s">
        <v>165</v>
      </c>
      <c r="I78" s="158"/>
      <c r="J78" s="87"/>
      <c r="K78" s="74"/>
      <c r="L78" s="106"/>
      <c r="M78" s="152" t="s">
        <v>164</v>
      </c>
      <c r="N78" s="153"/>
      <c r="O78" s="134"/>
      <c r="P78" s="125"/>
      <c r="Q78" s="15"/>
    </row>
    <row r="79" spans="2:17" s="27" customFormat="1" ht="20.25" outlineLevel="1" x14ac:dyDescent="0.4">
      <c r="B79" s="10"/>
      <c r="C79" s="96" t="s">
        <v>70</v>
      </c>
      <c r="D79" s="126" t="s">
        <v>56</v>
      </c>
      <c r="E79" s="155" t="s">
        <v>66</v>
      </c>
      <c r="F79" s="156"/>
      <c r="G79" s="81" t="s">
        <v>24</v>
      </c>
      <c r="H79" s="157" t="s">
        <v>166</v>
      </c>
      <c r="I79" s="158"/>
      <c r="J79" s="87"/>
      <c r="K79" s="74"/>
      <c r="L79" s="106"/>
      <c r="M79" s="152" t="s">
        <v>170</v>
      </c>
      <c r="N79" s="153"/>
      <c r="O79" s="134"/>
      <c r="P79" s="125"/>
      <c r="Q79" s="15"/>
    </row>
    <row r="80" spans="2:17" s="27" customFormat="1" ht="20.25" outlineLevel="1" x14ac:dyDescent="0.4">
      <c r="B80" s="10"/>
      <c r="C80" s="96" t="s">
        <v>70</v>
      </c>
      <c r="D80" s="126" t="s">
        <v>92</v>
      </c>
      <c r="E80" s="155" t="s">
        <v>66</v>
      </c>
      <c r="F80" s="156"/>
      <c r="G80" s="81" t="s">
        <v>24</v>
      </c>
      <c r="H80" s="157" t="s">
        <v>167</v>
      </c>
      <c r="I80" s="158"/>
      <c r="J80" s="87"/>
      <c r="K80" s="74"/>
      <c r="L80" s="106"/>
      <c r="M80" s="152" t="s">
        <v>171</v>
      </c>
      <c r="N80" s="153"/>
      <c r="O80" s="134"/>
      <c r="P80" s="125"/>
      <c r="Q80" s="15"/>
    </row>
    <row r="81" spans="2:17" s="27" customFormat="1" ht="20.25" outlineLevel="1" x14ac:dyDescent="0.4">
      <c r="B81" s="10"/>
      <c r="C81" s="96" t="s">
        <v>70</v>
      </c>
      <c r="D81" s="126" t="s">
        <v>93</v>
      </c>
      <c r="E81" s="155" t="s">
        <v>66</v>
      </c>
      <c r="F81" s="156"/>
      <c r="G81" s="81" t="s">
        <v>24</v>
      </c>
      <c r="H81" s="157" t="s">
        <v>168</v>
      </c>
      <c r="I81" s="158"/>
      <c r="J81" s="87"/>
      <c r="K81" s="74"/>
      <c r="L81" s="106"/>
      <c r="M81" s="152" t="s">
        <v>172</v>
      </c>
      <c r="N81" s="153"/>
      <c r="O81" s="134"/>
      <c r="P81" s="125"/>
      <c r="Q81" s="15"/>
    </row>
    <row r="82" spans="2:17" s="27" customFormat="1" ht="20.25" outlineLevel="1" x14ac:dyDescent="0.4">
      <c r="B82" s="10"/>
      <c r="C82" s="96" t="s">
        <v>70</v>
      </c>
      <c r="D82" s="126" t="s">
        <v>94</v>
      </c>
      <c r="E82" s="155" t="s">
        <v>66</v>
      </c>
      <c r="F82" s="156"/>
      <c r="G82" s="81" t="s">
        <v>24</v>
      </c>
      <c r="H82" s="157" t="s">
        <v>169</v>
      </c>
      <c r="I82" s="158"/>
      <c r="J82" s="87"/>
      <c r="K82" s="74"/>
      <c r="L82" s="106"/>
      <c r="M82" s="152" t="s">
        <v>173</v>
      </c>
      <c r="N82" s="153"/>
      <c r="O82" s="134"/>
      <c r="P82" s="125"/>
      <c r="Q82" s="15"/>
    </row>
    <row r="83" spans="2:17" ht="19.5" customHeight="1" x14ac:dyDescent="0.4">
      <c r="B83" s="10"/>
      <c r="C83" s="97" t="s">
        <v>71</v>
      </c>
      <c r="D83" s="98"/>
      <c r="E83" s="148" t="s">
        <v>67</v>
      </c>
      <c r="F83" s="149"/>
      <c r="G83" s="83"/>
      <c r="H83" s="150"/>
      <c r="I83" s="151"/>
      <c r="J83" s="94"/>
      <c r="K83" s="82"/>
      <c r="L83" s="107"/>
      <c r="M83" s="154"/>
      <c r="N83" s="154"/>
      <c r="O83" s="145"/>
      <c r="P83" s="127"/>
      <c r="Q83" s="15"/>
    </row>
    <row r="84" spans="2:17" s="27" customFormat="1" ht="20.25" outlineLevel="1" x14ac:dyDescent="0.4">
      <c r="B84" s="10"/>
      <c r="C84" s="99" t="s">
        <v>71</v>
      </c>
      <c r="D84" s="126" t="s">
        <v>51</v>
      </c>
      <c r="E84" s="155" t="s">
        <v>67</v>
      </c>
      <c r="F84" s="156"/>
      <c r="G84" s="81" t="s">
        <v>24</v>
      </c>
      <c r="H84" s="157" t="s">
        <v>179</v>
      </c>
      <c r="I84" s="158"/>
      <c r="J84" s="87"/>
      <c r="K84" s="74"/>
      <c r="L84" s="106"/>
      <c r="M84" s="152" t="s">
        <v>180</v>
      </c>
      <c r="N84" s="153"/>
      <c r="O84" s="138"/>
      <c r="P84" s="125"/>
      <c r="Q84" s="15"/>
    </row>
    <row r="85" spans="2:17" s="27" customFormat="1" ht="263.25" outlineLevel="1" x14ac:dyDescent="0.4">
      <c r="B85" s="10"/>
      <c r="C85" s="99" t="s">
        <v>71</v>
      </c>
      <c r="D85" s="126" t="s">
        <v>52</v>
      </c>
      <c r="E85" s="155" t="s">
        <v>67</v>
      </c>
      <c r="F85" s="156"/>
      <c r="G85" s="81" t="s">
        <v>24</v>
      </c>
      <c r="H85" s="157" t="s">
        <v>183</v>
      </c>
      <c r="I85" s="158"/>
      <c r="J85" s="87" t="s">
        <v>182</v>
      </c>
      <c r="K85" s="74"/>
      <c r="L85" s="106"/>
      <c r="M85" s="152" t="s">
        <v>178</v>
      </c>
      <c r="N85" s="153"/>
      <c r="O85" s="138"/>
      <c r="P85" s="125"/>
      <c r="Q85" s="15"/>
    </row>
    <row r="86" spans="2:17" s="27" customFormat="1" ht="263.25" outlineLevel="1" x14ac:dyDescent="0.4">
      <c r="B86" s="10"/>
      <c r="C86" s="99" t="s">
        <v>71</v>
      </c>
      <c r="D86" s="126" t="s">
        <v>53</v>
      </c>
      <c r="E86" s="155" t="s">
        <v>67</v>
      </c>
      <c r="F86" s="156"/>
      <c r="G86" s="81" t="s">
        <v>37</v>
      </c>
      <c r="H86" s="157" t="s">
        <v>185</v>
      </c>
      <c r="I86" s="158"/>
      <c r="J86" s="87" t="s">
        <v>182</v>
      </c>
      <c r="K86" s="74"/>
      <c r="L86" s="106"/>
      <c r="M86" s="152" t="s">
        <v>186</v>
      </c>
      <c r="N86" s="153"/>
      <c r="O86" s="138"/>
      <c r="P86" s="125"/>
      <c r="Q86" s="15"/>
    </row>
    <row r="87" spans="2:17" s="27" customFormat="1" ht="283.5" outlineLevel="1" x14ac:dyDescent="0.4">
      <c r="B87" s="10"/>
      <c r="C87" s="99" t="s">
        <v>71</v>
      </c>
      <c r="D87" s="126" t="s">
        <v>54</v>
      </c>
      <c r="E87" s="155" t="s">
        <v>67</v>
      </c>
      <c r="F87" s="156"/>
      <c r="G87" s="81" t="s">
        <v>24</v>
      </c>
      <c r="H87" s="157" t="s">
        <v>187</v>
      </c>
      <c r="I87" s="158"/>
      <c r="J87" s="87" t="s">
        <v>188</v>
      </c>
      <c r="K87" s="74"/>
      <c r="L87" s="106"/>
      <c r="M87" s="152" t="s">
        <v>191</v>
      </c>
      <c r="N87" s="153"/>
      <c r="O87" s="138"/>
      <c r="P87" s="125"/>
      <c r="Q87" s="15"/>
    </row>
    <row r="88" spans="2:17" s="27" customFormat="1" ht="283.5" outlineLevel="1" x14ac:dyDescent="0.4">
      <c r="B88" s="10"/>
      <c r="C88" s="99" t="s">
        <v>71</v>
      </c>
      <c r="D88" s="126" t="s">
        <v>55</v>
      </c>
      <c r="E88" s="155" t="s">
        <v>67</v>
      </c>
      <c r="F88" s="156"/>
      <c r="G88" s="81" t="s">
        <v>37</v>
      </c>
      <c r="H88" s="157" t="s">
        <v>189</v>
      </c>
      <c r="I88" s="158"/>
      <c r="J88" s="87" t="s">
        <v>188</v>
      </c>
      <c r="K88" s="74"/>
      <c r="L88" s="106"/>
      <c r="M88" s="152" t="s">
        <v>190</v>
      </c>
      <c r="N88" s="153"/>
      <c r="O88" s="138"/>
      <c r="P88" s="125"/>
      <c r="Q88" s="15"/>
    </row>
    <row r="89" spans="2:17" s="27" customFormat="1" ht="20.25" outlineLevel="1" x14ac:dyDescent="0.4">
      <c r="B89" s="10"/>
      <c r="C89" s="99" t="s">
        <v>71</v>
      </c>
      <c r="D89" s="126" t="s">
        <v>56</v>
      </c>
      <c r="E89" s="155" t="s">
        <v>67</v>
      </c>
      <c r="F89" s="156"/>
      <c r="G89" s="81" t="s">
        <v>24</v>
      </c>
      <c r="H89" s="157" t="s">
        <v>193</v>
      </c>
      <c r="I89" s="158"/>
      <c r="J89" s="87"/>
      <c r="K89" s="74"/>
      <c r="L89" s="106"/>
      <c r="M89" s="152" t="s">
        <v>192</v>
      </c>
      <c r="N89" s="153"/>
      <c r="O89" s="138"/>
      <c r="P89" s="125"/>
      <c r="Q89" s="15"/>
    </row>
    <row r="90" spans="2:17" s="27" customFormat="1" ht="20.25" outlineLevel="1" x14ac:dyDescent="0.4">
      <c r="B90" s="10"/>
      <c r="C90" s="99" t="s">
        <v>71</v>
      </c>
      <c r="D90" s="126" t="s">
        <v>92</v>
      </c>
      <c r="E90" s="155" t="s">
        <v>67</v>
      </c>
      <c r="F90" s="156"/>
      <c r="G90" s="81" t="s">
        <v>24</v>
      </c>
      <c r="H90" s="157" t="s">
        <v>194</v>
      </c>
      <c r="I90" s="158"/>
      <c r="J90" s="87"/>
      <c r="K90" s="74"/>
      <c r="L90" s="106"/>
      <c r="M90" s="152" t="s">
        <v>195</v>
      </c>
      <c r="N90" s="153"/>
      <c r="O90" s="138"/>
      <c r="P90" s="125"/>
      <c r="Q90" s="15"/>
    </row>
    <row r="91" spans="2:17" s="27" customFormat="1" ht="20.25" outlineLevel="1" x14ac:dyDescent="0.4">
      <c r="B91" s="10"/>
      <c r="C91" s="99" t="s">
        <v>71</v>
      </c>
      <c r="D91" s="126" t="s">
        <v>93</v>
      </c>
      <c r="E91" s="155" t="s">
        <v>67</v>
      </c>
      <c r="F91" s="156"/>
      <c r="G91" s="81" t="s">
        <v>24</v>
      </c>
      <c r="H91" s="157" t="s">
        <v>197</v>
      </c>
      <c r="I91" s="158"/>
      <c r="J91" s="87"/>
      <c r="K91" s="74"/>
      <c r="L91" s="106"/>
      <c r="M91" s="152" t="s">
        <v>196</v>
      </c>
      <c r="N91" s="153"/>
      <c r="O91" s="138"/>
      <c r="P91" s="125"/>
      <c r="Q91" s="15"/>
    </row>
    <row r="92" spans="2:17" s="27" customFormat="1" ht="20.25" outlineLevel="1" x14ac:dyDescent="0.4">
      <c r="B92" s="10"/>
      <c r="C92" s="99" t="s">
        <v>71</v>
      </c>
      <c r="D92" s="126" t="s">
        <v>94</v>
      </c>
      <c r="E92" s="155" t="s">
        <v>67</v>
      </c>
      <c r="F92" s="156"/>
      <c r="G92" s="81" t="s">
        <v>24</v>
      </c>
      <c r="H92" s="157" t="s">
        <v>199</v>
      </c>
      <c r="I92" s="158"/>
      <c r="J92" s="87"/>
      <c r="K92" s="74"/>
      <c r="L92" s="106"/>
      <c r="M92" s="152" t="s">
        <v>198</v>
      </c>
      <c r="N92" s="153"/>
      <c r="O92" s="138"/>
      <c r="P92" s="125"/>
      <c r="Q92" s="15"/>
    </row>
    <row r="93" spans="2:17" s="27" customFormat="1" ht="283.5" outlineLevel="1" x14ac:dyDescent="0.4">
      <c r="B93" s="10"/>
      <c r="C93" s="99" t="s">
        <v>71</v>
      </c>
      <c r="D93" s="126" t="s">
        <v>95</v>
      </c>
      <c r="E93" s="155" t="s">
        <v>67</v>
      </c>
      <c r="F93" s="156"/>
      <c r="G93" s="81" t="s">
        <v>24</v>
      </c>
      <c r="H93" s="157" t="s">
        <v>200</v>
      </c>
      <c r="I93" s="158"/>
      <c r="J93" s="87" t="s">
        <v>201</v>
      </c>
      <c r="K93" s="74"/>
      <c r="L93" s="106"/>
      <c r="M93" s="152" t="s">
        <v>178</v>
      </c>
      <c r="N93" s="153"/>
      <c r="O93" s="138"/>
      <c r="P93" s="125"/>
      <c r="Q93" s="15"/>
    </row>
    <row r="94" spans="2:17" s="27" customFormat="1" ht="263.25" outlineLevel="1" x14ac:dyDescent="0.4">
      <c r="B94" s="10"/>
      <c r="C94" s="99" t="s">
        <v>71</v>
      </c>
      <c r="D94" s="126" t="s">
        <v>96</v>
      </c>
      <c r="E94" s="155" t="s">
        <v>67</v>
      </c>
      <c r="F94" s="156"/>
      <c r="G94" s="81" t="s">
        <v>37</v>
      </c>
      <c r="H94" s="157" t="s">
        <v>202</v>
      </c>
      <c r="I94" s="158"/>
      <c r="J94" s="87" t="s">
        <v>203</v>
      </c>
      <c r="K94" s="74"/>
      <c r="L94" s="106"/>
      <c r="M94" s="152" t="s">
        <v>186</v>
      </c>
      <c r="N94" s="153"/>
      <c r="O94" s="138"/>
      <c r="P94" s="125"/>
      <c r="Q94" s="15"/>
    </row>
    <row r="95" spans="2:17" s="27" customFormat="1" ht="283.5" outlineLevel="1" x14ac:dyDescent="0.4">
      <c r="B95" s="10"/>
      <c r="C95" s="99" t="s">
        <v>71</v>
      </c>
      <c r="D95" s="126" t="s">
        <v>97</v>
      </c>
      <c r="E95" s="155" t="s">
        <v>67</v>
      </c>
      <c r="F95" s="156"/>
      <c r="G95" s="81" t="s">
        <v>24</v>
      </c>
      <c r="H95" s="157" t="s">
        <v>187</v>
      </c>
      <c r="I95" s="158"/>
      <c r="J95" s="87" t="s">
        <v>188</v>
      </c>
      <c r="K95" s="74"/>
      <c r="L95" s="106"/>
      <c r="M95" s="152" t="s">
        <v>191</v>
      </c>
      <c r="N95" s="153"/>
      <c r="O95" s="138"/>
      <c r="P95" s="125"/>
      <c r="Q95" s="15"/>
    </row>
    <row r="96" spans="2:17" s="27" customFormat="1" ht="283.5" outlineLevel="1" x14ac:dyDescent="0.4">
      <c r="B96" s="10"/>
      <c r="C96" s="99" t="s">
        <v>71</v>
      </c>
      <c r="D96" s="126" t="s">
        <v>184</v>
      </c>
      <c r="E96" s="155" t="s">
        <v>67</v>
      </c>
      <c r="F96" s="156"/>
      <c r="G96" s="81" t="s">
        <v>37</v>
      </c>
      <c r="H96" s="157" t="s">
        <v>189</v>
      </c>
      <c r="I96" s="158"/>
      <c r="J96" s="87" t="s">
        <v>188</v>
      </c>
      <c r="K96" s="74"/>
      <c r="L96" s="106"/>
      <c r="M96" s="152" t="s">
        <v>190</v>
      </c>
      <c r="N96" s="153"/>
      <c r="O96" s="138"/>
      <c r="P96" s="125"/>
      <c r="Q96" s="15"/>
    </row>
    <row r="97" spans="2:17" s="27" customFormat="1" ht="20.25" outlineLevel="1" x14ac:dyDescent="0.4">
      <c r="B97" s="10"/>
      <c r="C97" s="99" t="s">
        <v>71</v>
      </c>
      <c r="D97" s="126" t="s">
        <v>204</v>
      </c>
      <c r="E97" s="155" t="s">
        <v>67</v>
      </c>
      <c r="F97" s="156"/>
      <c r="G97" s="81" t="s">
        <v>24</v>
      </c>
      <c r="H97" s="157" t="s">
        <v>214</v>
      </c>
      <c r="I97" s="158"/>
      <c r="J97" s="87"/>
      <c r="K97" s="74"/>
      <c r="L97" s="106"/>
      <c r="M97" s="152" t="s">
        <v>215</v>
      </c>
      <c r="N97" s="153"/>
      <c r="O97" s="138"/>
      <c r="P97" s="125"/>
      <c r="Q97" s="15"/>
    </row>
    <row r="98" spans="2:17" s="27" customFormat="1" ht="20.25" outlineLevel="1" x14ac:dyDescent="0.4">
      <c r="B98" s="10"/>
      <c r="C98" s="99" t="s">
        <v>71</v>
      </c>
      <c r="D98" s="126" t="s">
        <v>205</v>
      </c>
      <c r="E98" s="155" t="s">
        <v>67</v>
      </c>
      <c r="F98" s="156"/>
      <c r="G98" s="81" t="s">
        <v>24</v>
      </c>
      <c r="H98" s="157" t="s">
        <v>216</v>
      </c>
      <c r="I98" s="158"/>
      <c r="J98" s="87"/>
      <c r="K98" s="74"/>
      <c r="L98" s="106"/>
      <c r="M98" s="152" t="s">
        <v>195</v>
      </c>
      <c r="N98" s="153"/>
      <c r="O98" s="138"/>
      <c r="P98" s="125"/>
      <c r="Q98" s="15"/>
    </row>
    <row r="99" spans="2:17" s="27" customFormat="1" ht="20.25" outlineLevel="1" x14ac:dyDescent="0.4">
      <c r="B99" s="10"/>
      <c r="C99" s="99" t="s">
        <v>71</v>
      </c>
      <c r="D99" s="126" t="s">
        <v>206</v>
      </c>
      <c r="E99" s="155" t="s">
        <v>67</v>
      </c>
      <c r="F99" s="156"/>
      <c r="G99" s="81" t="s">
        <v>24</v>
      </c>
      <c r="H99" s="157" t="s">
        <v>197</v>
      </c>
      <c r="I99" s="158"/>
      <c r="J99" s="87"/>
      <c r="K99" s="74"/>
      <c r="L99" s="106"/>
      <c r="M99" s="152" t="s">
        <v>196</v>
      </c>
      <c r="N99" s="153"/>
      <c r="O99" s="138"/>
      <c r="P99" s="125"/>
      <c r="Q99" s="15"/>
    </row>
    <row r="100" spans="2:17" s="27" customFormat="1" ht="20.25" outlineLevel="1" x14ac:dyDescent="0.4">
      <c r="B100" s="10"/>
      <c r="C100" s="99" t="s">
        <v>71</v>
      </c>
      <c r="D100" s="126" t="s">
        <v>207</v>
      </c>
      <c r="E100" s="155" t="s">
        <v>67</v>
      </c>
      <c r="F100" s="156"/>
      <c r="G100" s="81" t="s">
        <v>24</v>
      </c>
      <c r="H100" s="157" t="s">
        <v>199</v>
      </c>
      <c r="I100" s="158"/>
      <c r="J100" s="87"/>
      <c r="K100" s="74"/>
      <c r="L100" s="106"/>
      <c r="M100" s="152" t="s">
        <v>198</v>
      </c>
      <c r="N100" s="153"/>
      <c r="O100" s="138"/>
      <c r="P100" s="125"/>
      <c r="Q100" s="15"/>
    </row>
    <row r="101" spans="2:17" s="27" customFormat="1" ht="20.25" outlineLevel="1" x14ac:dyDescent="0.4">
      <c r="B101" s="10"/>
      <c r="C101" s="99" t="s">
        <v>71</v>
      </c>
      <c r="D101" s="126" t="s">
        <v>208</v>
      </c>
      <c r="E101" s="155" t="s">
        <v>67</v>
      </c>
      <c r="F101" s="156"/>
      <c r="G101" s="81" t="s">
        <v>24</v>
      </c>
      <c r="H101" s="157" t="s">
        <v>218</v>
      </c>
      <c r="I101" s="158"/>
      <c r="J101" s="87"/>
      <c r="K101" s="74"/>
      <c r="L101" s="106"/>
      <c r="M101" s="152" t="s">
        <v>217</v>
      </c>
      <c r="N101" s="153"/>
      <c r="O101" s="138"/>
      <c r="P101" s="125"/>
      <c r="Q101" s="15"/>
    </row>
    <row r="102" spans="2:17" s="27" customFormat="1" ht="20.25" outlineLevel="1" x14ac:dyDescent="0.4">
      <c r="B102" s="10"/>
      <c r="C102" s="99" t="s">
        <v>71</v>
      </c>
      <c r="D102" s="126" t="s">
        <v>209</v>
      </c>
      <c r="E102" s="155" t="s">
        <v>67</v>
      </c>
      <c r="F102" s="156"/>
      <c r="G102" s="81" t="s">
        <v>24</v>
      </c>
      <c r="H102" s="157" t="s">
        <v>220</v>
      </c>
      <c r="I102" s="158"/>
      <c r="J102" s="87"/>
      <c r="K102" s="74"/>
      <c r="L102" s="106"/>
      <c r="M102" s="152" t="s">
        <v>219</v>
      </c>
      <c r="N102" s="153"/>
      <c r="O102" s="138"/>
      <c r="P102" s="125"/>
      <c r="Q102" s="15"/>
    </row>
    <row r="103" spans="2:17" s="27" customFormat="1" ht="20.25" outlineLevel="1" x14ac:dyDescent="0.4">
      <c r="B103" s="10"/>
      <c r="C103" s="99" t="s">
        <v>71</v>
      </c>
      <c r="D103" s="126" t="s">
        <v>210</v>
      </c>
      <c r="E103" s="155" t="s">
        <v>67</v>
      </c>
      <c r="F103" s="156"/>
      <c r="G103" s="81" t="s">
        <v>24</v>
      </c>
      <c r="H103" s="157" t="s">
        <v>221</v>
      </c>
      <c r="I103" s="158"/>
      <c r="J103" s="87"/>
      <c r="K103" s="74"/>
      <c r="L103" s="106"/>
      <c r="M103" s="152" t="s">
        <v>219</v>
      </c>
      <c r="N103" s="153"/>
      <c r="O103" s="138"/>
      <c r="P103" s="125"/>
      <c r="Q103" s="15"/>
    </row>
    <row r="104" spans="2:17" s="27" customFormat="1" ht="20.25" outlineLevel="1" x14ac:dyDescent="0.4">
      <c r="B104" s="10"/>
      <c r="C104" s="99" t="s">
        <v>71</v>
      </c>
      <c r="D104" s="126" t="s">
        <v>211</v>
      </c>
      <c r="E104" s="155" t="s">
        <v>67</v>
      </c>
      <c r="F104" s="156"/>
      <c r="G104" s="81" t="s">
        <v>24</v>
      </c>
      <c r="H104" s="157" t="s">
        <v>222</v>
      </c>
      <c r="I104" s="158"/>
      <c r="J104" s="87"/>
      <c r="K104" s="74"/>
      <c r="L104" s="106"/>
      <c r="M104" s="152" t="s">
        <v>219</v>
      </c>
      <c r="N104" s="153"/>
      <c r="O104" s="138"/>
      <c r="P104" s="125"/>
      <c r="Q104" s="15"/>
    </row>
    <row r="105" spans="2:17" s="27" customFormat="1" ht="162" outlineLevel="1" x14ac:dyDescent="0.4">
      <c r="B105" s="10"/>
      <c r="C105" s="99" t="s">
        <v>71</v>
      </c>
      <c r="D105" s="126" t="s">
        <v>212</v>
      </c>
      <c r="E105" s="155" t="s">
        <v>67</v>
      </c>
      <c r="F105" s="156"/>
      <c r="G105" s="81" t="s">
        <v>24</v>
      </c>
      <c r="H105" s="157" t="s">
        <v>223</v>
      </c>
      <c r="I105" s="158"/>
      <c r="J105" s="87" t="s">
        <v>236</v>
      </c>
      <c r="K105" s="74"/>
      <c r="L105" s="106"/>
      <c r="M105" s="152" t="s">
        <v>239</v>
      </c>
      <c r="N105" s="153"/>
      <c r="O105" s="138"/>
      <c r="P105" s="125"/>
      <c r="Q105" s="15"/>
    </row>
    <row r="106" spans="2:17" s="27" customFormat="1" ht="162" outlineLevel="1" x14ac:dyDescent="0.4">
      <c r="B106" s="10"/>
      <c r="C106" s="99" t="s">
        <v>71</v>
      </c>
      <c r="D106" s="126" t="s">
        <v>213</v>
      </c>
      <c r="E106" s="155" t="s">
        <v>67</v>
      </c>
      <c r="F106" s="156"/>
      <c r="G106" s="81" t="s">
        <v>24</v>
      </c>
      <c r="H106" s="157" t="s">
        <v>237</v>
      </c>
      <c r="I106" s="158"/>
      <c r="J106" s="87" t="s">
        <v>236</v>
      </c>
      <c r="K106" s="74"/>
      <c r="L106" s="106"/>
      <c r="M106" s="152" t="s">
        <v>238</v>
      </c>
      <c r="N106" s="153"/>
      <c r="O106" s="138"/>
      <c r="P106" s="125"/>
      <c r="Q106" s="15"/>
    </row>
    <row r="107" spans="2:17" s="27" customFormat="1" ht="283.5" outlineLevel="1" x14ac:dyDescent="0.4">
      <c r="B107" s="10"/>
      <c r="C107" s="99" t="s">
        <v>71</v>
      </c>
      <c r="D107" s="126" t="s">
        <v>225</v>
      </c>
      <c r="E107" s="155" t="s">
        <v>67</v>
      </c>
      <c r="F107" s="156"/>
      <c r="G107" s="81" t="s">
        <v>24</v>
      </c>
      <c r="H107" s="157" t="s">
        <v>187</v>
      </c>
      <c r="I107" s="158"/>
      <c r="J107" s="87" t="s">
        <v>188</v>
      </c>
      <c r="K107" s="74"/>
      <c r="L107" s="106"/>
      <c r="M107" s="152" t="s">
        <v>191</v>
      </c>
      <c r="N107" s="153"/>
      <c r="O107" s="138"/>
      <c r="P107" s="125"/>
      <c r="Q107" s="15"/>
    </row>
    <row r="108" spans="2:17" s="27" customFormat="1" ht="283.5" outlineLevel="1" x14ac:dyDescent="0.4">
      <c r="B108" s="10"/>
      <c r="C108" s="99"/>
      <c r="D108" s="126" t="s">
        <v>226</v>
      </c>
      <c r="E108" s="155" t="s">
        <v>67</v>
      </c>
      <c r="F108" s="156"/>
      <c r="G108" s="81" t="s">
        <v>37</v>
      </c>
      <c r="H108" s="157" t="s">
        <v>189</v>
      </c>
      <c r="I108" s="158"/>
      <c r="J108" s="87" t="s">
        <v>188</v>
      </c>
      <c r="K108" s="74"/>
      <c r="L108" s="106"/>
      <c r="M108" s="152" t="s">
        <v>190</v>
      </c>
      <c r="N108" s="153"/>
      <c r="O108" s="138"/>
      <c r="P108" s="125"/>
      <c r="Q108" s="15"/>
    </row>
    <row r="109" spans="2:17" s="27" customFormat="1" ht="20.25" outlineLevel="1" x14ac:dyDescent="0.4">
      <c r="B109" s="10"/>
      <c r="C109" s="99" t="s">
        <v>71</v>
      </c>
      <c r="D109" s="126" t="s">
        <v>227</v>
      </c>
      <c r="E109" s="155" t="s">
        <v>67</v>
      </c>
      <c r="F109" s="156"/>
      <c r="G109" s="81" t="s">
        <v>24</v>
      </c>
      <c r="H109" s="157" t="s">
        <v>193</v>
      </c>
      <c r="I109" s="158"/>
      <c r="J109" s="87"/>
      <c r="K109" s="74"/>
      <c r="L109" s="106"/>
      <c r="M109" s="152" t="s">
        <v>192</v>
      </c>
      <c r="N109" s="153"/>
      <c r="O109" s="138"/>
      <c r="P109" s="125"/>
      <c r="Q109" s="15"/>
    </row>
    <row r="110" spans="2:17" s="27" customFormat="1" ht="20.25" outlineLevel="1" x14ac:dyDescent="0.4">
      <c r="B110" s="10"/>
      <c r="C110" s="99" t="s">
        <v>71</v>
      </c>
      <c r="D110" s="126" t="s">
        <v>228</v>
      </c>
      <c r="E110" s="155" t="s">
        <v>67</v>
      </c>
      <c r="F110" s="156"/>
      <c r="G110" s="81" t="s">
        <v>24</v>
      </c>
      <c r="H110" s="157" t="s">
        <v>216</v>
      </c>
      <c r="I110" s="158"/>
      <c r="J110" s="87"/>
      <c r="K110" s="74"/>
      <c r="L110" s="106"/>
      <c r="M110" s="152" t="s">
        <v>195</v>
      </c>
      <c r="N110" s="153"/>
      <c r="O110" s="138"/>
      <c r="P110" s="125"/>
      <c r="Q110" s="15"/>
    </row>
    <row r="111" spans="2:17" s="27" customFormat="1" ht="20.25" outlineLevel="1" x14ac:dyDescent="0.4">
      <c r="B111" s="10"/>
      <c r="C111" s="99" t="s">
        <v>71</v>
      </c>
      <c r="D111" s="126" t="s">
        <v>229</v>
      </c>
      <c r="E111" s="155" t="s">
        <v>67</v>
      </c>
      <c r="F111" s="156"/>
      <c r="G111" s="81" t="s">
        <v>24</v>
      </c>
      <c r="H111" s="157" t="s">
        <v>197</v>
      </c>
      <c r="I111" s="158"/>
      <c r="J111" s="87"/>
      <c r="K111" s="74"/>
      <c r="L111" s="106"/>
      <c r="M111" s="152" t="s">
        <v>196</v>
      </c>
      <c r="N111" s="153"/>
      <c r="O111" s="138"/>
      <c r="P111" s="125"/>
      <c r="Q111" s="15"/>
    </row>
    <row r="112" spans="2:17" s="27" customFormat="1" ht="20.25" outlineLevel="1" x14ac:dyDescent="0.4">
      <c r="B112" s="10"/>
      <c r="C112" s="99" t="s">
        <v>71</v>
      </c>
      <c r="D112" s="126" t="s">
        <v>230</v>
      </c>
      <c r="E112" s="155" t="s">
        <v>67</v>
      </c>
      <c r="F112" s="156"/>
      <c r="G112" s="81" t="s">
        <v>24</v>
      </c>
      <c r="H112" s="157" t="s">
        <v>199</v>
      </c>
      <c r="I112" s="158"/>
      <c r="J112" s="87"/>
      <c r="K112" s="74"/>
      <c r="L112" s="106"/>
      <c r="M112" s="152" t="s">
        <v>198</v>
      </c>
      <c r="N112" s="153"/>
      <c r="O112" s="138"/>
      <c r="P112" s="125"/>
      <c r="Q112" s="15"/>
    </row>
    <row r="113" spans="2:17" s="27" customFormat="1" ht="20.25" outlineLevel="1" x14ac:dyDescent="0.4">
      <c r="B113" s="10"/>
      <c r="C113" s="99" t="s">
        <v>71</v>
      </c>
      <c r="D113" s="126" t="s">
        <v>231</v>
      </c>
      <c r="E113" s="155" t="s">
        <v>67</v>
      </c>
      <c r="F113" s="156"/>
      <c r="G113" s="81" t="s">
        <v>24</v>
      </c>
      <c r="H113" s="157" t="s">
        <v>218</v>
      </c>
      <c r="I113" s="158"/>
      <c r="J113" s="87"/>
      <c r="K113" s="74"/>
      <c r="L113" s="106"/>
      <c r="M113" s="152" t="s">
        <v>240</v>
      </c>
      <c r="N113" s="153"/>
      <c r="O113" s="138"/>
      <c r="P113" s="125"/>
      <c r="Q113" s="15"/>
    </row>
    <row r="114" spans="2:17" s="27" customFormat="1" ht="20.25" outlineLevel="1" x14ac:dyDescent="0.4">
      <c r="B114" s="10"/>
      <c r="C114" s="99" t="s">
        <v>71</v>
      </c>
      <c r="D114" s="126" t="s">
        <v>232</v>
      </c>
      <c r="E114" s="155" t="s">
        <v>67</v>
      </c>
      <c r="F114" s="156"/>
      <c r="G114" s="81" t="s">
        <v>24</v>
      </c>
      <c r="H114" s="157" t="s">
        <v>242</v>
      </c>
      <c r="I114" s="158"/>
      <c r="J114" s="87"/>
      <c r="K114" s="74"/>
      <c r="L114" s="106"/>
      <c r="M114" s="152" t="s">
        <v>241</v>
      </c>
      <c r="N114" s="153"/>
      <c r="O114" s="138"/>
      <c r="P114" s="125"/>
      <c r="Q114" s="15"/>
    </row>
    <row r="115" spans="2:17" s="27" customFormat="1" ht="20.25" outlineLevel="1" x14ac:dyDescent="0.4">
      <c r="B115" s="10"/>
      <c r="C115" s="99" t="s">
        <v>71</v>
      </c>
      <c r="D115" s="126" t="s">
        <v>233</v>
      </c>
      <c r="E115" s="155" t="s">
        <v>67</v>
      </c>
      <c r="F115" s="156"/>
      <c r="G115" s="81" t="s">
        <v>24</v>
      </c>
      <c r="H115" s="157" t="s">
        <v>243</v>
      </c>
      <c r="I115" s="158"/>
      <c r="J115" s="87"/>
      <c r="K115" s="74"/>
      <c r="L115" s="106"/>
      <c r="M115" s="152" t="s">
        <v>245</v>
      </c>
      <c r="N115" s="153"/>
      <c r="O115" s="138"/>
      <c r="P115" s="125"/>
      <c r="Q115" s="15"/>
    </row>
    <row r="116" spans="2:17" s="27" customFormat="1" ht="20.25" outlineLevel="1" x14ac:dyDescent="0.4">
      <c r="B116" s="10"/>
      <c r="C116" s="99" t="s">
        <v>71</v>
      </c>
      <c r="D116" s="126" t="s">
        <v>234</v>
      </c>
      <c r="E116" s="155" t="s">
        <v>67</v>
      </c>
      <c r="F116" s="156"/>
      <c r="G116" s="81" t="s">
        <v>24</v>
      </c>
      <c r="H116" s="157" t="s">
        <v>244</v>
      </c>
      <c r="I116" s="158"/>
      <c r="J116" s="87"/>
      <c r="K116" s="74"/>
      <c r="L116" s="106"/>
      <c r="M116" s="152" t="s">
        <v>246</v>
      </c>
      <c r="N116" s="153"/>
      <c r="O116" s="138"/>
      <c r="P116" s="125"/>
      <c r="Q116" s="15"/>
    </row>
    <row r="117" spans="2:17" ht="19.5" customHeight="1" x14ac:dyDescent="0.4">
      <c r="B117" s="10"/>
      <c r="C117" s="97" t="s">
        <v>72</v>
      </c>
      <c r="D117" s="98"/>
      <c r="E117" s="148" t="s">
        <v>68</v>
      </c>
      <c r="F117" s="149"/>
      <c r="G117" s="83"/>
      <c r="H117" s="150"/>
      <c r="I117" s="151"/>
      <c r="J117" s="94"/>
      <c r="K117" s="82"/>
      <c r="L117" s="107"/>
      <c r="M117" s="154"/>
      <c r="N117" s="154"/>
      <c r="O117" s="145"/>
      <c r="P117" s="127"/>
      <c r="Q117" s="15"/>
    </row>
    <row r="118" spans="2:17" s="27" customFormat="1" ht="101.25" outlineLevel="1" x14ac:dyDescent="0.4">
      <c r="B118" s="10"/>
      <c r="C118" s="96" t="s">
        <v>72</v>
      </c>
      <c r="D118" s="126" t="s">
        <v>51</v>
      </c>
      <c r="E118" s="155" t="s">
        <v>68</v>
      </c>
      <c r="F118" s="156"/>
      <c r="G118" s="81" t="s">
        <v>24</v>
      </c>
      <c r="H118" s="157" t="s">
        <v>181</v>
      </c>
      <c r="I118" s="158"/>
      <c r="J118" s="87" t="s">
        <v>247</v>
      </c>
      <c r="K118" s="74"/>
      <c r="L118" s="106"/>
      <c r="M118" s="152" t="s">
        <v>248</v>
      </c>
      <c r="N118" s="153"/>
      <c r="O118" s="138"/>
      <c r="P118" s="125"/>
      <c r="Q118" s="15"/>
    </row>
    <row r="119" spans="2:17" s="27" customFormat="1" ht="101.25" outlineLevel="1" x14ac:dyDescent="0.4">
      <c r="B119" s="10"/>
      <c r="C119" s="96" t="s">
        <v>72</v>
      </c>
      <c r="D119" s="126" t="s">
        <v>52</v>
      </c>
      <c r="E119" s="155" t="s">
        <v>68</v>
      </c>
      <c r="F119" s="156"/>
      <c r="G119" s="81" t="s">
        <v>37</v>
      </c>
      <c r="H119" s="157" t="s">
        <v>250</v>
      </c>
      <c r="I119" s="158"/>
      <c r="J119" s="87" t="s">
        <v>247</v>
      </c>
      <c r="K119" s="74"/>
      <c r="L119" s="106"/>
      <c r="M119" s="152" t="s">
        <v>251</v>
      </c>
      <c r="N119" s="153"/>
      <c r="O119" s="138"/>
      <c r="P119" s="125"/>
      <c r="Q119" s="15"/>
    </row>
    <row r="120" spans="2:17" s="27" customFormat="1" ht="283.5" outlineLevel="1" x14ac:dyDescent="0.4">
      <c r="B120" s="10"/>
      <c r="C120" s="96" t="s">
        <v>72</v>
      </c>
      <c r="D120" s="126" t="s">
        <v>53</v>
      </c>
      <c r="E120" s="155" t="s">
        <v>68</v>
      </c>
      <c r="F120" s="156"/>
      <c r="G120" s="81" t="s">
        <v>24</v>
      </c>
      <c r="H120" s="157" t="s">
        <v>249</v>
      </c>
      <c r="I120" s="158"/>
      <c r="J120" s="87" t="s">
        <v>188</v>
      </c>
      <c r="K120" s="74"/>
      <c r="L120" s="106"/>
      <c r="M120" s="152" t="s">
        <v>191</v>
      </c>
      <c r="N120" s="153"/>
      <c r="O120" s="138"/>
      <c r="P120" s="125"/>
      <c r="Q120" s="15"/>
    </row>
    <row r="121" spans="2:17" s="27" customFormat="1" ht="283.5" outlineLevel="1" x14ac:dyDescent="0.4">
      <c r="B121" s="10"/>
      <c r="C121" s="96" t="s">
        <v>72</v>
      </c>
      <c r="D121" s="126" t="s">
        <v>54</v>
      </c>
      <c r="E121" s="155" t="s">
        <v>68</v>
      </c>
      <c r="F121" s="156"/>
      <c r="G121" s="81" t="s">
        <v>37</v>
      </c>
      <c r="H121" s="157" t="s">
        <v>252</v>
      </c>
      <c r="I121" s="158"/>
      <c r="J121" s="87" t="s">
        <v>188</v>
      </c>
      <c r="K121" s="74"/>
      <c r="L121" s="106"/>
      <c r="M121" s="152" t="s">
        <v>253</v>
      </c>
      <c r="N121" s="153"/>
      <c r="O121" s="138"/>
      <c r="P121" s="125"/>
      <c r="Q121" s="15"/>
    </row>
    <row r="122" spans="2:17" s="27" customFormat="1" ht="20.25" outlineLevel="1" x14ac:dyDescent="0.4">
      <c r="B122" s="10"/>
      <c r="C122" s="96" t="s">
        <v>72</v>
      </c>
      <c r="D122" s="126" t="s">
        <v>55</v>
      </c>
      <c r="E122" s="155" t="s">
        <v>68</v>
      </c>
      <c r="F122" s="156"/>
      <c r="G122" s="81" t="s">
        <v>24</v>
      </c>
      <c r="H122" s="157" t="s">
        <v>193</v>
      </c>
      <c r="I122" s="158"/>
      <c r="J122" s="87"/>
      <c r="K122" s="74"/>
      <c r="L122" s="106"/>
      <c r="M122" s="152" t="s">
        <v>192</v>
      </c>
      <c r="N122" s="153"/>
      <c r="O122" s="138"/>
      <c r="P122" s="125"/>
      <c r="Q122" s="15"/>
    </row>
    <row r="123" spans="2:17" s="27" customFormat="1" ht="20.25" outlineLevel="1" x14ac:dyDescent="0.4">
      <c r="B123" s="10"/>
      <c r="C123" s="96" t="s">
        <v>72</v>
      </c>
      <c r="D123" s="126" t="s">
        <v>56</v>
      </c>
      <c r="E123" s="155" t="s">
        <v>68</v>
      </c>
      <c r="F123" s="156"/>
      <c r="G123" s="81" t="s">
        <v>24</v>
      </c>
      <c r="H123" s="157" t="s">
        <v>216</v>
      </c>
      <c r="I123" s="158"/>
      <c r="J123" s="87"/>
      <c r="K123" s="74"/>
      <c r="L123" s="106"/>
      <c r="M123" s="152" t="s">
        <v>195</v>
      </c>
      <c r="N123" s="153"/>
      <c r="O123" s="138"/>
      <c r="P123" s="125"/>
      <c r="Q123" s="15"/>
    </row>
    <row r="124" spans="2:17" s="27" customFormat="1" ht="20.25" outlineLevel="1" x14ac:dyDescent="0.4">
      <c r="B124" s="10"/>
      <c r="C124" s="96" t="s">
        <v>72</v>
      </c>
      <c r="D124" s="126" t="s">
        <v>92</v>
      </c>
      <c r="E124" s="155" t="s">
        <v>68</v>
      </c>
      <c r="F124" s="156"/>
      <c r="G124" s="81" t="s">
        <v>24</v>
      </c>
      <c r="H124" s="157" t="s">
        <v>197</v>
      </c>
      <c r="I124" s="158"/>
      <c r="J124" s="87"/>
      <c r="K124" s="74"/>
      <c r="L124" s="106"/>
      <c r="M124" s="152" t="s">
        <v>196</v>
      </c>
      <c r="N124" s="153"/>
      <c r="O124" s="138"/>
      <c r="P124" s="125"/>
      <c r="Q124" s="15"/>
    </row>
    <row r="125" spans="2:17" s="27" customFormat="1" ht="101.25" outlineLevel="1" x14ac:dyDescent="0.4">
      <c r="B125" s="10"/>
      <c r="C125" s="96" t="s">
        <v>72</v>
      </c>
      <c r="D125" s="126" t="s">
        <v>93</v>
      </c>
      <c r="E125" s="155" t="s">
        <v>68</v>
      </c>
      <c r="F125" s="156"/>
      <c r="G125" s="81" t="s">
        <v>24</v>
      </c>
      <c r="H125" s="157" t="s">
        <v>254</v>
      </c>
      <c r="I125" s="158"/>
      <c r="J125" s="87" t="s">
        <v>247</v>
      </c>
      <c r="K125" s="74"/>
      <c r="L125" s="106"/>
      <c r="M125" s="152" t="s">
        <v>178</v>
      </c>
      <c r="N125" s="153"/>
      <c r="O125" s="138"/>
      <c r="P125" s="125"/>
      <c r="Q125" s="15"/>
    </row>
    <row r="126" spans="2:17" s="27" customFormat="1" ht="101.25" customHeight="1" outlineLevel="1" x14ac:dyDescent="0.4">
      <c r="B126" s="10"/>
      <c r="C126" s="96" t="s">
        <v>72</v>
      </c>
      <c r="D126" s="126" t="s">
        <v>94</v>
      </c>
      <c r="E126" s="155" t="s">
        <v>68</v>
      </c>
      <c r="F126" s="156"/>
      <c r="G126" s="81" t="s">
        <v>37</v>
      </c>
      <c r="H126" s="157" t="s">
        <v>283</v>
      </c>
      <c r="I126" s="158"/>
      <c r="J126" s="87" t="s">
        <v>247</v>
      </c>
      <c r="K126" s="74"/>
      <c r="L126" s="106"/>
      <c r="M126" s="152" t="s">
        <v>186</v>
      </c>
      <c r="N126" s="153"/>
      <c r="O126" s="138"/>
      <c r="P126" s="125"/>
      <c r="Q126" s="15"/>
    </row>
    <row r="127" spans="2:17" s="27" customFormat="1" ht="20.25" outlineLevel="1" x14ac:dyDescent="0.4">
      <c r="B127" s="10"/>
      <c r="C127" s="96" t="s">
        <v>72</v>
      </c>
      <c r="D127" s="126" t="s">
        <v>95</v>
      </c>
      <c r="E127" s="155" t="s">
        <v>68</v>
      </c>
      <c r="F127" s="156"/>
      <c r="G127" s="81" t="s">
        <v>24</v>
      </c>
      <c r="H127" s="157" t="s">
        <v>193</v>
      </c>
      <c r="I127" s="158"/>
      <c r="J127" s="87"/>
      <c r="K127" s="74"/>
      <c r="L127" s="106"/>
      <c r="M127" s="152" t="s">
        <v>192</v>
      </c>
      <c r="N127" s="153"/>
      <c r="O127" s="138"/>
      <c r="P127" s="125"/>
      <c r="Q127" s="15"/>
    </row>
    <row r="128" spans="2:17" s="27" customFormat="1" ht="101.25" outlineLevel="1" x14ac:dyDescent="0.4">
      <c r="B128" s="10"/>
      <c r="C128" s="96" t="s">
        <v>72</v>
      </c>
      <c r="D128" s="126" t="s">
        <v>96</v>
      </c>
      <c r="E128" s="155" t="s">
        <v>68</v>
      </c>
      <c r="F128" s="156"/>
      <c r="G128" s="81" t="s">
        <v>24</v>
      </c>
      <c r="H128" s="157" t="s">
        <v>255</v>
      </c>
      <c r="I128" s="158"/>
      <c r="J128" s="87" t="s">
        <v>247</v>
      </c>
      <c r="K128" s="74"/>
      <c r="L128" s="106"/>
      <c r="M128" s="152" t="s">
        <v>224</v>
      </c>
      <c r="N128" s="153"/>
      <c r="O128" s="138"/>
      <c r="P128" s="125"/>
      <c r="Q128" s="15"/>
    </row>
    <row r="129" spans="2:17" s="27" customFormat="1" ht="101.25" customHeight="1" outlineLevel="1" x14ac:dyDescent="0.4">
      <c r="B129" s="10"/>
      <c r="C129" s="96" t="s">
        <v>72</v>
      </c>
      <c r="D129" s="126" t="s">
        <v>97</v>
      </c>
      <c r="E129" s="155" t="s">
        <v>68</v>
      </c>
      <c r="F129" s="156"/>
      <c r="G129" s="81" t="s">
        <v>37</v>
      </c>
      <c r="H129" s="157" t="s">
        <v>284</v>
      </c>
      <c r="I129" s="158"/>
      <c r="J129" s="87" t="s">
        <v>247</v>
      </c>
      <c r="K129" s="74"/>
      <c r="L129" s="106"/>
      <c r="M129" s="152" t="s">
        <v>285</v>
      </c>
      <c r="N129" s="153"/>
      <c r="O129" s="138"/>
      <c r="P129" s="125"/>
      <c r="Q129" s="15"/>
    </row>
    <row r="130" spans="2:17" s="27" customFormat="1" ht="20.25" outlineLevel="1" x14ac:dyDescent="0.4">
      <c r="B130" s="10"/>
      <c r="C130" s="96" t="s">
        <v>72</v>
      </c>
      <c r="D130" s="126" t="s">
        <v>184</v>
      </c>
      <c r="E130" s="155" t="s">
        <v>68</v>
      </c>
      <c r="F130" s="156"/>
      <c r="G130" s="81" t="s">
        <v>24</v>
      </c>
      <c r="H130" s="157" t="s">
        <v>256</v>
      </c>
      <c r="I130" s="158"/>
      <c r="J130" s="87"/>
      <c r="K130" s="74"/>
      <c r="L130" s="106"/>
      <c r="M130" s="157" t="s">
        <v>215</v>
      </c>
      <c r="N130" s="158"/>
      <c r="O130" s="138"/>
      <c r="P130" s="125"/>
      <c r="Q130" s="15"/>
    </row>
    <row r="131" spans="2:17" s="27" customFormat="1" ht="20.25" outlineLevel="1" x14ac:dyDescent="0.4">
      <c r="B131" s="10"/>
      <c r="C131" s="96" t="s">
        <v>72</v>
      </c>
      <c r="D131" s="126" t="s">
        <v>204</v>
      </c>
      <c r="E131" s="155" t="s">
        <v>68</v>
      </c>
      <c r="F131" s="156"/>
      <c r="G131" s="81" t="s">
        <v>24</v>
      </c>
      <c r="H131" s="157" t="s">
        <v>216</v>
      </c>
      <c r="I131" s="158"/>
      <c r="J131" s="87"/>
      <c r="K131" s="74"/>
      <c r="L131" s="106"/>
      <c r="M131" s="157" t="s">
        <v>195</v>
      </c>
      <c r="N131" s="158"/>
      <c r="O131" s="138"/>
      <c r="P131" s="125"/>
      <c r="Q131" s="15"/>
    </row>
    <row r="132" spans="2:17" s="27" customFormat="1" ht="20.25" outlineLevel="1" x14ac:dyDescent="0.4">
      <c r="B132" s="10"/>
      <c r="C132" s="96" t="s">
        <v>72</v>
      </c>
      <c r="D132" s="126" t="s">
        <v>205</v>
      </c>
      <c r="E132" s="155" t="s">
        <v>68</v>
      </c>
      <c r="F132" s="156"/>
      <c r="G132" s="81" t="s">
        <v>24</v>
      </c>
      <c r="H132" s="157" t="s">
        <v>257</v>
      </c>
      <c r="I132" s="158"/>
      <c r="J132" s="87"/>
      <c r="K132" s="74"/>
      <c r="L132" s="106"/>
      <c r="M132" s="152" t="s">
        <v>259</v>
      </c>
      <c r="N132" s="153"/>
      <c r="O132" s="138"/>
      <c r="P132" s="125"/>
      <c r="Q132" s="15"/>
    </row>
    <row r="133" spans="2:17" s="27" customFormat="1" ht="20.25" outlineLevel="1" x14ac:dyDescent="0.4">
      <c r="B133" s="10"/>
      <c r="C133" s="96" t="s">
        <v>72</v>
      </c>
      <c r="D133" s="126" t="s">
        <v>206</v>
      </c>
      <c r="E133" s="155" t="s">
        <v>68</v>
      </c>
      <c r="F133" s="156"/>
      <c r="G133" s="81" t="s">
        <v>24</v>
      </c>
      <c r="H133" s="157" t="s">
        <v>199</v>
      </c>
      <c r="I133" s="158"/>
      <c r="J133" s="87"/>
      <c r="K133" s="74"/>
      <c r="L133" s="106"/>
      <c r="M133" s="152" t="s">
        <v>198</v>
      </c>
      <c r="N133" s="153"/>
      <c r="O133" s="138"/>
      <c r="P133" s="125"/>
      <c r="Q133" s="15"/>
    </row>
    <row r="134" spans="2:17" s="27" customFormat="1" ht="20.25" outlineLevel="1" x14ac:dyDescent="0.4">
      <c r="B134" s="10"/>
      <c r="C134" s="96" t="s">
        <v>72</v>
      </c>
      <c r="D134" s="126" t="s">
        <v>207</v>
      </c>
      <c r="E134" s="155" t="s">
        <v>68</v>
      </c>
      <c r="F134" s="156"/>
      <c r="G134" s="81" t="s">
        <v>24</v>
      </c>
      <c r="H134" s="157" t="s">
        <v>218</v>
      </c>
      <c r="I134" s="158"/>
      <c r="J134" s="87"/>
      <c r="K134" s="74"/>
      <c r="L134" s="106"/>
      <c r="M134" s="152" t="s">
        <v>240</v>
      </c>
      <c r="N134" s="153"/>
      <c r="O134" s="138"/>
      <c r="P134" s="125"/>
      <c r="Q134" s="15"/>
    </row>
    <row r="135" spans="2:17" s="27" customFormat="1" ht="162" outlineLevel="1" x14ac:dyDescent="0.4">
      <c r="B135" s="10"/>
      <c r="C135" s="96" t="s">
        <v>72</v>
      </c>
      <c r="D135" s="126" t="s">
        <v>208</v>
      </c>
      <c r="E135" s="155" t="s">
        <v>68</v>
      </c>
      <c r="F135" s="156"/>
      <c r="G135" s="81" t="s">
        <v>24</v>
      </c>
      <c r="H135" s="157" t="s">
        <v>258</v>
      </c>
      <c r="I135" s="158"/>
      <c r="J135" s="87" t="s">
        <v>236</v>
      </c>
      <c r="K135" s="74"/>
      <c r="L135" s="106"/>
      <c r="M135" s="152" t="s">
        <v>260</v>
      </c>
      <c r="N135" s="153"/>
      <c r="O135" s="138"/>
      <c r="P135" s="125"/>
      <c r="Q135" s="15"/>
    </row>
    <row r="136" spans="2:17" s="27" customFormat="1" ht="162" outlineLevel="1" x14ac:dyDescent="0.4">
      <c r="B136" s="10"/>
      <c r="C136" s="96" t="s">
        <v>72</v>
      </c>
      <c r="D136" s="126" t="s">
        <v>209</v>
      </c>
      <c r="E136" s="155" t="s">
        <v>68</v>
      </c>
      <c r="F136" s="156"/>
      <c r="G136" s="81" t="s">
        <v>37</v>
      </c>
      <c r="H136" s="157" t="s">
        <v>286</v>
      </c>
      <c r="I136" s="158"/>
      <c r="J136" s="87" t="s">
        <v>236</v>
      </c>
      <c r="K136" s="74"/>
      <c r="L136" s="106"/>
      <c r="M136" s="152" t="s">
        <v>287</v>
      </c>
      <c r="N136" s="153"/>
      <c r="O136" s="134"/>
      <c r="P136" s="125"/>
      <c r="Q136" s="15"/>
    </row>
    <row r="137" spans="2:17" s="27" customFormat="1" ht="20.25" outlineLevel="1" x14ac:dyDescent="0.4">
      <c r="B137" s="10"/>
      <c r="C137" s="96" t="s">
        <v>72</v>
      </c>
      <c r="D137" s="126" t="s">
        <v>210</v>
      </c>
      <c r="E137" s="155" t="s">
        <v>68</v>
      </c>
      <c r="F137" s="156"/>
      <c r="G137" s="81" t="s">
        <v>24</v>
      </c>
      <c r="H137" s="157" t="s">
        <v>193</v>
      </c>
      <c r="I137" s="158"/>
      <c r="J137" s="87"/>
      <c r="K137" s="74"/>
      <c r="L137" s="106"/>
      <c r="M137" s="152" t="s">
        <v>192</v>
      </c>
      <c r="N137" s="153"/>
      <c r="O137" s="138"/>
      <c r="P137" s="125"/>
      <c r="Q137" s="15"/>
    </row>
    <row r="138" spans="2:17" s="27" customFormat="1" ht="20.25" outlineLevel="1" x14ac:dyDescent="0.4">
      <c r="B138" s="10"/>
      <c r="C138" s="96" t="s">
        <v>72</v>
      </c>
      <c r="D138" s="126" t="s">
        <v>211</v>
      </c>
      <c r="E138" s="155" t="s">
        <v>68</v>
      </c>
      <c r="F138" s="156"/>
      <c r="G138" s="81" t="s">
        <v>24</v>
      </c>
      <c r="H138" s="157" t="s">
        <v>216</v>
      </c>
      <c r="I138" s="158"/>
      <c r="J138" s="87"/>
      <c r="K138" s="74"/>
      <c r="L138" s="106"/>
      <c r="M138" s="152" t="s">
        <v>195</v>
      </c>
      <c r="N138" s="153"/>
      <c r="O138" s="138"/>
      <c r="P138" s="125"/>
      <c r="Q138" s="15"/>
    </row>
    <row r="139" spans="2:17" s="27" customFormat="1" ht="20.25" outlineLevel="1" x14ac:dyDescent="0.4">
      <c r="B139" s="10"/>
      <c r="C139" s="96" t="s">
        <v>72</v>
      </c>
      <c r="D139" s="126" t="s">
        <v>212</v>
      </c>
      <c r="E139" s="155" t="s">
        <v>68</v>
      </c>
      <c r="F139" s="156"/>
      <c r="G139" s="81" t="s">
        <v>24</v>
      </c>
      <c r="H139" s="157" t="s">
        <v>197</v>
      </c>
      <c r="I139" s="158"/>
      <c r="J139" s="87"/>
      <c r="K139" s="74"/>
      <c r="L139" s="106"/>
      <c r="M139" s="152" t="s">
        <v>270</v>
      </c>
      <c r="N139" s="153"/>
      <c r="O139" s="138"/>
      <c r="P139" s="125"/>
      <c r="Q139" s="15"/>
    </row>
    <row r="140" spans="2:17" s="27" customFormat="1" ht="20.25" outlineLevel="1" x14ac:dyDescent="0.4">
      <c r="B140" s="10"/>
      <c r="C140" s="96" t="s">
        <v>72</v>
      </c>
      <c r="D140" s="126" t="s">
        <v>213</v>
      </c>
      <c r="E140" s="155" t="s">
        <v>68</v>
      </c>
      <c r="F140" s="156"/>
      <c r="G140" s="81" t="s">
        <v>24</v>
      </c>
      <c r="H140" s="157" t="s">
        <v>199</v>
      </c>
      <c r="I140" s="158"/>
      <c r="J140" s="87"/>
      <c r="K140" s="74"/>
      <c r="L140" s="106"/>
      <c r="M140" s="152" t="s">
        <v>198</v>
      </c>
      <c r="N140" s="153"/>
      <c r="O140" s="138"/>
      <c r="P140" s="125"/>
      <c r="Q140" s="15"/>
    </row>
    <row r="141" spans="2:17" s="27" customFormat="1" ht="20.25" outlineLevel="1" x14ac:dyDescent="0.4">
      <c r="B141" s="10"/>
      <c r="C141" s="96" t="s">
        <v>72</v>
      </c>
      <c r="D141" s="126" t="s">
        <v>225</v>
      </c>
      <c r="E141" s="155" t="s">
        <v>68</v>
      </c>
      <c r="F141" s="156"/>
      <c r="G141" s="81" t="s">
        <v>24</v>
      </c>
      <c r="H141" s="157" t="s">
        <v>218</v>
      </c>
      <c r="I141" s="158"/>
      <c r="J141" s="87"/>
      <c r="K141" s="74"/>
      <c r="L141" s="106"/>
      <c r="M141" s="152" t="s">
        <v>240</v>
      </c>
      <c r="N141" s="153"/>
      <c r="O141" s="138"/>
      <c r="P141" s="125"/>
      <c r="Q141" s="15"/>
    </row>
    <row r="142" spans="2:17" s="27" customFormat="1" ht="20.25" outlineLevel="1" x14ac:dyDescent="0.4">
      <c r="B142" s="10"/>
      <c r="C142" s="96" t="s">
        <v>72</v>
      </c>
      <c r="D142" s="126" t="s">
        <v>226</v>
      </c>
      <c r="E142" s="155" t="s">
        <v>68</v>
      </c>
      <c r="F142" s="156"/>
      <c r="G142" s="81" t="s">
        <v>24</v>
      </c>
      <c r="H142" s="157" t="s">
        <v>242</v>
      </c>
      <c r="I142" s="158"/>
      <c r="J142" s="87"/>
      <c r="K142" s="74"/>
      <c r="L142" s="106"/>
      <c r="M142" s="152" t="s">
        <v>271</v>
      </c>
      <c r="N142" s="153"/>
      <c r="O142" s="138"/>
      <c r="P142" s="125"/>
      <c r="Q142" s="15"/>
    </row>
    <row r="143" spans="2:17" s="27" customFormat="1" ht="20.25" outlineLevel="1" x14ac:dyDescent="0.4">
      <c r="B143" s="10"/>
      <c r="C143" s="96" t="s">
        <v>72</v>
      </c>
      <c r="D143" s="126" t="s">
        <v>227</v>
      </c>
      <c r="E143" s="155" t="s">
        <v>68</v>
      </c>
      <c r="F143" s="156"/>
      <c r="G143" s="81" t="s">
        <v>24</v>
      </c>
      <c r="H143" s="157" t="s">
        <v>261</v>
      </c>
      <c r="I143" s="158"/>
      <c r="J143" s="87"/>
      <c r="K143" s="74"/>
      <c r="L143" s="106"/>
      <c r="M143" s="152" t="s">
        <v>272</v>
      </c>
      <c r="N143" s="153"/>
      <c r="O143" s="138"/>
      <c r="P143" s="125"/>
      <c r="Q143" s="15"/>
    </row>
    <row r="144" spans="2:17" s="27" customFormat="1" ht="20.25" outlineLevel="1" x14ac:dyDescent="0.4">
      <c r="B144" s="10"/>
      <c r="C144" s="96" t="s">
        <v>72</v>
      </c>
      <c r="D144" s="126" t="s">
        <v>228</v>
      </c>
      <c r="E144" s="155" t="s">
        <v>68</v>
      </c>
      <c r="F144" s="156"/>
      <c r="G144" s="81" t="s">
        <v>24</v>
      </c>
      <c r="H144" s="157" t="s">
        <v>262</v>
      </c>
      <c r="I144" s="158"/>
      <c r="J144" s="87"/>
      <c r="K144" s="74"/>
      <c r="L144" s="106"/>
      <c r="M144" s="152" t="s">
        <v>273</v>
      </c>
      <c r="N144" s="153"/>
      <c r="O144" s="138"/>
      <c r="P144" s="125"/>
      <c r="Q144" s="15"/>
    </row>
    <row r="145" spans="2:17" s="27" customFormat="1" ht="20.25" outlineLevel="1" x14ac:dyDescent="0.4">
      <c r="B145" s="10"/>
      <c r="C145" s="96" t="s">
        <v>72</v>
      </c>
      <c r="D145" s="126" t="s">
        <v>229</v>
      </c>
      <c r="E145" s="155" t="s">
        <v>68</v>
      </c>
      <c r="F145" s="156"/>
      <c r="G145" s="81" t="s">
        <v>24</v>
      </c>
      <c r="H145" s="157" t="s">
        <v>263</v>
      </c>
      <c r="I145" s="158"/>
      <c r="J145" s="87"/>
      <c r="K145" s="74"/>
      <c r="L145" s="106"/>
      <c r="M145" s="152" t="s">
        <v>274</v>
      </c>
      <c r="N145" s="153"/>
      <c r="O145" s="138"/>
      <c r="P145" s="125"/>
      <c r="Q145" s="15"/>
    </row>
    <row r="146" spans="2:17" s="27" customFormat="1" ht="20.25" outlineLevel="1" x14ac:dyDescent="0.4">
      <c r="B146" s="10"/>
      <c r="C146" s="96" t="s">
        <v>72</v>
      </c>
      <c r="D146" s="126" t="s">
        <v>230</v>
      </c>
      <c r="E146" s="155" t="s">
        <v>68</v>
      </c>
      <c r="F146" s="156"/>
      <c r="G146" s="81" t="s">
        <v>24</v>
      </c>
      <c r="H146" s="157" t="s">
        <v>264</v>
      </c>
      <c r="I146" s="158"/>
      <c r="J146" s="87"/>
      <c r="K146" s="74"/>
      <c r="L146" s="106"/>
      <c r="M146" s="152" t="s">
        <v>275</v>
      </c>
      <c r="N146" s="153"/>
      <c r="O146" s="138"/>
      <c r="P146" s="125"/>
      <c r="Q146" s="15"/>
    </row>
    <row r="147" spans="2:17" s="27" customFormat="1" ht="20.25" outlineLevel="1" x14ac:dyDescent="0.4">
      <c r="B147" s="10"/>
      <c r="C147" s="96" t="s">
        <v>72</v>
      </c>
      <c r="D147" s="126" t="s">
        <v>231</v>
      </c>
      <c r="E147" s="155" t="s">
        <v>68</v>
      </c>
      <c r="F147" s="156"/>
      <c r="G147" s="81" t="s">
        <v>24</v>
      </c>
      <c r="H147" s="157" t="s">
        <v>265</v>
      </c>
      <c r="I147" s="158"/>
      <c r="J147" s="87"/>
      <c r="K147" s="74"/>
      <c r="L147" s="106"/>
      <c r="M147" s="152" t="s">
        <v>276</v>
      </c>
      <c r="N147" s="153"/>
      <c r="O147" s="138"/>
      <c r="P147" s="125"/>
      <c r="Q147" s="15"/>
    </row>
    <row r="148" spans="2:17" s="27" customFormat="1" ht="20.25" outlineLevel="1" x14ac:dyDescent="0.4">
      <c r="B148" s="10"/>
      <c r="C148" s="96" t="s">
        <v>72</v>
      </c>
      <c r="D148" s="126" t="s">
        <v>232</v>
      </c>
      <c r="E148" s="155" t="s">
        <v>68</v>
      </c>
      <c r="F148" s="156"/>
      <c r="G148" s="81" t="s">
        <v>24</v>
      </c>
      <c r="H148" s="157" t="s">
        <v>266</v>
      </c>
      <c r="I148" s="158"/>
      <c r="J148" s="87"/>
      <c r="K148" s="74"/>
      <c r="L148" s="106"/>
      <c r="M148" s="152" t="s">
        <v>277</v>
      </c>
      <c r="N148" s="153"/>
      <c r="O148" s="138"/>
      <c r="P148" s="125"/>
      <c r="Q148" s="15"/>
    </row>
    <row r="149" spans="2:17" s="27" customFormat="1" ht="20.25" outlineLevel="1" x14ac:dyDescent="0.4">
      <c r="B149" s="10"/>
      <c r="C149" s="96" t="s">
        <v>72</v>
      </c>
      <c r="D149" s="126" t="s">
        <v>233</v>
      </c>
      <c r="E149" s="155" t="s">
        <v>68</v>
      </c>
      <c r="F149" s="156"/>
      <c r="G149" s="81" t="s">
        <v>24</v>
      </c>
      <c r="H149" s="157" t="s">
        <v>267</v>
      </c>
      <c r="I149" s="158"/>
      <c r="J149" s="87"/>
      <c r="K149" s="74"/>
      <c r="L149" s="106"/>
      <c r="M149" s="152" t="s">
        <v>278</v>
      </c>
      <c r="N149" s="153"/>
      <c r="O149" s="138"/>
      <c r="P149" s="125"/>
      <c r="Q149" s="15"/>
    </row>
    <row r="150" spans="2:17" s="27" customFormat="1" ht="20.25" outlineLevel="1" x14ac:dyDescent="0.4">
      <c r="B150" s="10"/>
      <c r="C150" s="96" t="s">
        <v>72</v>
      </c>
      <c r="D150" s="126" t="s">
        <v>234</v>
      </c>
      <c r="E150" s="155" t="s">
        <v>68</v>
      </c>
      <c r="F150" s="156"/>
      <c r="G150" s="81" t="s">
        <v>24</v>
      </c>
      <c r="H150" s="157" t="s">
        <v>268</v>
      </c>
      <c r="I150" s="158"/>
      <c r="J150" s="87"/>
      <c r="K150" s="74"/>
      <c r="L150" s="106"/>
      <c r="M150" s="152" t="s">
        <v>279</v>
      </c>
      <c r="N150" s="153"/>
      <c r="O150" s="138"/>
      <c r="P150" s="125"/>
      <c r="Q150" s="15"/>
    </row>
    <row r="151" spans="2:17" s="27" customFormat="1" ht="81" outlineLevel="1" x14ac:dyDescent="0.4">
      <c r="B151" s="10"/>
      <c r="C151" s="96" t="s">
        <v>72</v>
      </c>
      <c r="D151" s="126" t="s">
        <v>235</v>
      </c>
      <c r="E151" s="155" t="s">
        <v>68</v>
      </c>
      <c r="F151" s="156"/>
      <c r="G151" s="81" t="s">
        <v>24</v>
      </c>
      <c r="H151" s="157" t="s">
        <v>183</v>
      </c>
      <c r="I151" s="158"/>
      <c r="J151" s="87" t="s">
        <v>281</v>
      </c>
      <c r="K151" s="74"/>
      <c r="L151" s="106"/>
      <c r="M151" s="152" t="s">
        <v>178</v>
      </c>
      <c r="N151" s="153"/>
      <c r="O151" s="138"/>
      <c r="P151" s="125"/>
      <c r="Q151" s="15"/>
    </row>
    <row r="152" spans="2:17" s="27" customFormat="1" ht="81" customHeight="1" outlineLevel="1" x14ac:dyDescent="0.4">
      <c r="B152" s="10"/>
      <c r="C152" s="96" t="s">
        <v>72</v>
      </c>
      <c r="D152" s="126" t="s">
        <v>288</v>
      </c>
      <c r="E152" s="155" t="s">
        <v>68</v>
      </c>
      <c r="F152" s="156"/>
      <c r="G152" s="81"/>
      <c r="H152" s="157" t="s">
        <v>185</v>
      </c>
      <c r="I152" s="158"/>
      <c r="J152" s="87" t="s">
        <v>281</v>
      </c>
      <c r="K152" s="74"/>
      <c r="L152" s="106"/>
      <c r="M152" s="152" t="s">
        <v>186</v>
      </c>
      <c r="N152" s="153"/>
      <c r="O152" s="138"/>
      <c r="P152" s="125"/>
      <c r="Q152" s="15"/>
    </row>
    <row r="153" spans="2:17" s="27" customFormat="1" ht="20.25" outlineLevel="1" x14ac:dyDescent="0.4">
      <c r="B153" s="10"/>
      <c r="C153" s="96" t="s">
        <v>72</v>
      </c>
      <c r="D153" s="126" t="s">
        <v>289</v>
      </c>
      <c r="E153" s="155" t="s">
        <v>68</v>
      </c>
      <c r="F153" s="156"/>
      <c r="G153" s="81" t="s">
        <v>24</v>
      </c>
      <c r="H153" s="157" t="s">
        <v>269</v>
      </c>
      <c r="I153" s="158"/>
      <c r="J153" s="87"/>
      <c r="K153" s="74"/>
      <c r="L153" s="106"/>
      <c r="M153" s="152" t="s">
        <v>280</v>
      </c>
      <c r="N153" s="153"/>
      <c r="O153" s="138"/>
      <c r="P153" s="125"/>
      <c r="Q153" s="15"/>
    </row>
    <row r="154" spans="2:17" s="27" customFormat="1" ht="60.75" outlineLevel="1" x14ac:dyDescent="0.4">
      <c r="B154" s="10"/>
      <c r="C154" s="96" t="s">
        <v>72</v>
      </c>
      <c r="D154" s="126" t="s">
        <v>290</v>
      </c>
      <c r="E154" s="155" t="s">
        <v>68</v>
      </c>
      <c r="F154" s="156"/>
      <c r="G154" s="81" t="s">
        <v>24</v>
      </c>
      <c r="H154" s="157" t="s">
        <v>183</v>
      </c>
      <c r="I154" s="158"/>
      <c r="J154" s="87" t="s">
        <v>282</v>
      </c>
      <c r="K154" s="74"/>
      <c r="L154" s="106"/>
      <c r="M154" s="152" t="s">
        <v>178</v>
      </c>
      <c r="N154" s="153"/>
      <c r="O154" s="138"/>
      <c r="P154" s="125"/>
      <c r="Q154" s="15"/>
    </row>
    <row r="155" spans="2:17" s="27" customFormat="1" ht="60.75" customHeight="1" outlineLevel="1" x14ac:dyDescent="0.4">
      <c r="B155" s="10"/>
      <c r="C155" s="96" t="s">
        <v>72</v>
      </c>
      <c r="D155" s="126" t="s">
        <v>291</v>
      </c>
      <c r="E155" s="155" t="s">
        <v>68</v>
      </c>
      <c r="F155" s="156"/>
      <c r="G155" s="81" t="s">
        <v>37</v>
      </c>
      <c r="H155" s="157" t="s">
        <v>185</v>
      </c>
      <c r="I155" s="158"/>
      <c r="J155" s="87" t="s">
        <v>282</v>
      </c>
      <c r="K155" s="74"/>
      <c r="L155" s="106"/>
      <c r="M155" s="152" t="s">
        <v>186</v>
      </c>
      <c r="N155" s="153"/>
      <c r="O155" s="138"/>
      <c r="P155" s="125"/>
      <c r="Q155" s="15"/>
    </row>
    <row r="156" spans="2:17" ht="21" x14ac:dyDescent="0.45">
      <c r="B156" s="10"/>
      <c r="C156" s="75"/>
      <c r="D156" s="120"/>
      <c r="E156" s="75"/>
      <c r="F156" s="75"/>
      <c r="G156" s="75"/>
      <c r="H156" s="75"/>
      <c r="I156" s="75"/>
      <c r="J156" s="76"/>
      <c r="K156" s="76"/>
      <c r="L156" s="103"/>
      <c r="M156" s="75"/>
      <c r="N156" s="75"/>
      <c r="O156" s="77"/>
      <c r="P156" s="78"/>
      <c r="Q156" s="15"/>
    </row>
    <row r="157" spans="2:17" ht="147.75" customHeight="1" x14ac:dyDescent="0.4">
      <c r="B157" s="10"/>
      <c r="C157" s="204"/>
      <c r="D157" s="204"/>
      <c r="E157" s="204"/>
      <c r="F157" s="204"/>
      <c r="G157" s="204"/>
      <c r="H157" s="204"/>
      <c r="I157" s="204"/>
      <c r="J157" s="204"/>
      <c r="K157" s="204"/>
      <c r="L157" s="204"/>
      <c r="M157" s="204"/>
      <c r="N157" s="204"/>
      <c r="O157" s="204"/>
      <c r="P157" s="205"/>
      <c r="Q157" s="15"/>
    </row>
    <row r="158" spans="2:17" ht="12.75" customHeight="1" x14ac:dyDescent="0.4">
      <c r="B158" s="10"/>
      <c r="C158" s="36"/>
      <c r="D158" s="36"/>
      <c r="E158" s="36"/>
      <c r="F158" s="36"/>
      <c r="G158" s="36"/>
      <c r="H158" s="37"/>
      <c r="I158" s="37"/>
      <c r="J158" s="37"/>
      <c r="K158" s="37"/>
      <c r="L158" s="109"/>
      <c r="M158" s="37"/>
      <c r="N158" s="37"/>
      <c r="O158" s="38"/>
      <c r="P158" s="37"/>
      <c r="Q158" s="15"/>
    </row>
  </sheetData>
  <mergeCells count="395">
    <mergeCell ref="C13:D13"/>
    <mergeCell ref="E13:G16"/>
    <mergeCell ref="J13:K13"/>
    <mergeCell ref="E48:F48"/>
    <mergeCell ref="M152:N152"/>
    <mergeCell ref="E155:F155"/>
    <mergeCell ref="H155:I155"/>
    <mergeCell ref="M155:N155"/>
    <mergeCell ref="E153:F153"/>
    <mergeCell ref="H153:I153"/>
    <mergeCell ref="M153:N153"/>
    <mergeCell ref="E152:F152"/>
    <mergeCell ref="H152:I152"/>
    <mergeCell ref="E136:F136"/>
    <mergeCell ref="E126:F126"/>
    <mergeCell ref="H126:I126"/>
    <mergeCell ref="M126:N126"/>
    <mergeCell ref="E129:F129"/>
    <mergeCell ref="H129:I129"/>
    <mergeCell ref="M129:N129"/>
    <mergeCell ref="M127:N127"/>
    <mergeCell ref="E128:F128"/>
    <mergeCell ref="H128:I128"/>
    <mergeCell ref="M128:N128"/>
    <mergeCell ref="E127:F127"/>
    <mergeCell ref="H127:I127"/>
    <mergeCell ref="E150:F150"/>
    <mergeCell ref="H150:I150"/>
    <mergeCell ref="M150:N150"/>
    <mergeCell ref="E151:F151"/>
    <mergeCell ref="H151:I151"/>
    <mergeCell ref="M151:N151"/>
    <mergeCell ref="E148:F148"/>
    <mergeCell ref="H148:I148"/>
    <mergeCell ref="M148:N148"/>
    <mergeCell ref="E149:F149"/>
    <mergeCell ref="H149:I149"/>
    <mergeCell ref="M149:N149"/>
    <mergeCell ref="E146:F146"/>
    <mergeCell ref="H146:I146"/>
    <mergeCell ref="M146:N146"/>
    <mergeCell ref="E147:F147"/>
    <mergeCell ref="H147:I147"/>
    <mergeCell ref="M147:N147"/>
    <mergeCell ref="E154:F154"/>
    <mergeCell ref="E144:F144"/>
    <mergeCell ref="H144:I144"/>
    <mergeCell ref="M144:N144"/>
    <mergeCell ref="E145:F145"/>
    <mergeCell ref="H145:I145"/>
    <mergeCell ref="M145:N145"/>
    <mergeCell ref="E142:F142"/>
    <mergeCell ref="H142:I142"/>
    <mergeCell ref="M142:N142"/>
    <mergeCell ref="E143:F143"/>
    <mergeCell ref="H143:I143"/>
    <mergeCell ref="M143:N143"/>
    <mergeCell ref="E140:F140"/>
    <mergeCell ref="H140:I140"/>
    <mergeCell ref="M140:N140"/>
    <mergeCell ref="E141:F141"/>
    <mergeCell ref="H141:I141"/>
    <mergeCell ref="M141:N141"/>
    <mergeCell ref="E139:F139"/>
    <mergeCell ref="H136:I136"/>
    <mergeCell ref="M136:N136"/>
    <mergeCell ref="H139:I139"/>
    <mergeCell ref="M139:N139"/>
    <mergeCell ref="E138:F138"/>
    <mergeCell ref="H138:I138"/>
    <mergeCell ref="M138:N138"/>
    <mergeCell ref="E135:F135"/>
    <mergeCell ref="H135:I135"/>
    <mergeCell ref="M135:N135"/>
    <mergeCell ref="E137:F137"/>
    <mergeCell ref="H137:I137"/>
    <mergeCell ref="M137:N137"/>
    <mergeCell ref="E133:F133"/>
    <mergeCell ref="H133:I133"/>
    <mergeCell ref="M133:N133"/>
    <mergeCell ref="E134:F134"/>
    <mergeCell ref="H134:I134"/>
    <mergeCell ref="M134:N134"/>
    <mergeCell ref="E130:F130"/>
    <mergeCell ref="H130:I130"/>
    <mergeCell ref="M130:N130"/>
    <mergeCell ref="H154:I154"/>
    <mergeCell ref="M154:N154"/>
    <mergeCell ref="E131:F131"/>
    <mergeCell ref="H131:I131"/>
    <mergeCell ref="M131:N131"/>
    <mergeCell ref="E132:F132"/>
    <mergeCell ref="H132:I132"/>
    <mergeCell ref="M132:N132"/>
    <mergeCell ref="E125:F125"/>
    <mergeCell ref="H125:I125"/>
    <mergeCell ref="M125:N125"/>
    <mergeCell ref="E123:F123"/>
    <mergeCell ref="H123:I123"/>
    <mergeCell ref="M123:N123"/>
    <mergeCell ref="E124:F124"/>
    <mergeCell ref="H124:I124"/>
    <mergeCell ref="M124:N124"/>
    <mergeCell ref="E121:F121"/>
    <mergeCell ref="H121:I121"/>
    <mergeCell ref="M121:N121"/>
    <mergeCell ref="E122:F122"/>
    <mergeCell ref="H122:I122"/>
    <mergeCell ref="M122:N122"/>
    <mergeCell ref="E119:F119"/>
    <mergeCell ref="H119:I119"/>
    <mergeCell ref="M119:N119"/>
    <mergeCell ref="E120:F120"/>
    <mergeCell ref="H120:I120"/>
    <mergeCell ref="M120:N120"/>
    <mergeCell ref="E106:F106"/>
    <mergeCell ref="M106:N106"/>
    <mergeCell ref="E115:F115"/>
    <mergeCell ref="H115:I115"/>
    <mergeCell ref="M115:N115"/>
    <mergeCell ref="E111:F111"/>
    <mergeCell ref="H111:I111"/>
    <mergeCell ref="M111:N111"/>
    <mergeCell ref="E112:F112"/>
    <mergeCell ref="H112:I112"/>
    <mergeCell ref="M112:N112"/>
    <mergeCell ref="E109:F109"/>
    <mergeCell ref="H109:I109"/>
    <mergeCell ref="M109:N109"/>
    <mergeCell ref="E116:F116"/>
    <mergeCell ref="H116:I116"/>
    <mergeCell ref="M116:N116"/>
    <mergeCell ref="E113:F113"/>
    <mergeCell ref="H113:I113"/>
    <mergeCell ref="M113:N113"/>
    <mergeCell ref="E114:F114"/>
    <mergeCell ref="H114:I114"/>
    <mergeCell ref="M114:N114"/>
    <mergeCell ref="E110:F110"/>
    <mergeCell ref="H110:I110"/>
    <mergeCell ref="M110:N110"/>
    <mergeCell ref="E104:F104"/>
    <mergeCell ref="H104:I104"/>
    <mergeCell ref="M104:N104"/>
    <mergeCell ref="H106:I106"/>
    <mergeCell ref="E107:F107"/>
    <mergeCell ref="H107:I107"/>
    <mergeCell ref="M107:N107"/>
    <mergeCell ref="E108:F108"/>
    <mergeCell ref="H108:I108"/>
    <mergeCell ref="M108:N108"/>
    <mergeCell ref="E105:F105"/>
    <mergeCell ref="H105:I105"/>
    <mergeCell ref="M105:N105"/>
    <mergeCell ref="E102:F102"/>
    <mergeCell ref="H102:I102"/>
    <mergeCell ref="M102:N102"/>
    <mergeCell ref="E103:F103"/>
    <mergeCell ref="H103:I103"/>
    <mergeCell ref="M103:N103"/>
    <mergeCell ref="E100:F100"/>
    <mergeCell ref="H100:I100"/>
    <mergeCell ref="M100:N100"/>
    <mergeCell ref="E101:F101"/>
    <mergeCell ref="H101:I101"/>
    <mergeCell ref="M101:N101"/>
    <mergeCell ref="E98:F98"/>
    <mergeCell ref="H98:I98"/>
    <mergeCell ref="M98:N98"/>
    <mergeCell ref="E99:F99"/>
    <mergeCell ref="H99:I99"/>
    <mergeCell ref="M99:N99"/>
    <mergeCell ref="E96:F96"/>
    <mergeCell ref="H96:I96"/>
    <mergeCell ref="M96:N96"/>
    <mergeCell ref="E97:F97"/>
    <mergeCell ref="H97:I97"/>
    <mergeCell ref="M97:N97"/>
    <mergeCell ref="E94:F94"/>
    <mergeCell ref="H94:I94"/>
    <mergeCell ref="M94:N94"/>
    <mergeCell ref="E95:F95"/>
    <mergeCell ref="H95:I95"/>
    <mergeCell ref="M95:N95"/>
    <mergeCell ref="E92:F92"/>
    <mergeCell ref="H92:I92"/>
    <mergeCell ref="M92:N92"/>
    <mergeCell ref="E93:F93"/>
    <mergeCell ref="H93:I93"/>
    <mergeCell ref="M93:N93"/>
    <mergeCell ref="E90:F90"/>
    <mergeCell ref="H90:I90"/>
    <mergeCell ref="M90:N90"/>
    <mergeCell ref="E91:F91"/>
    <mergeCell ref="H91:I91"/>
    <mergeCell ref="M91:N91"/>
    <mergeCell ref="H88:I88"/>
    <mergeCell ref="M88:N88"/>
    <mergeCell ref="E89:F89"/>
    <mergeCell ref="H89:I89"/>
    <mergeCell ref="M89:N89"/>
    <mergeCell ref="E72:F72"/>
    <mergeCell ref="H72:I72"/>
    <mergeCell ref="M72:N72"/>
    <mergeCell ref="E85:F85"/>
    <mergeCell ref="H85:I85"/>
    <mergeCell ref="M85:N85"/>
    <mergeCell ref="H80:I80"/>
    <mergeCell ref="M80:N80"/>
    <mergeCell ref="H81:I81"/>
    <mergeCell ref="M81:N81"/>
    <mergeCell ref="H82:I82"/>
    <mergeCell ref="M82:N82"/>
    <mergeCell ref="E75:F75"/>
    <mergeCell ref="E76:F76"/>
    <mergeCell ref="E77:F77"/>
    <mergeCell ref="E78:F78"/>
    <mergeCell ref="E79:F79"/>
    <mergeCell ref="E80:F80"/>
    <mergeCell ref="E81:F81"/>
    <mergeCell ref="E82:F82"/>
    <mergeCell ref="H75:I75"/>
    <mergeCell ref="M75:N75"/>
    <mergeCell ref="H76:I76"/>
    <mergeCell ref="M76:N76"/>
    <mergeCell ref="H77:I77"/>
    <mergeCell ref="M77:N77"/>
    <mergeCell ref="H78:I78"/>
    <mergeCell ref="M78:N78"/>
    <mergeCell ref="H79:I79"/>
    <mergeCell ref="M79:N79"/>
    <mergeCell ref="E71:F71"/>
    <mergeCell ref="H71:I71"/>
    <mergeCell ref="M71:N71"/>
    <mergeCell ref="M67:N67"/>
    <mergeCell ref="E68:F68"/>
    <mergeCell ref="H68:I68"/>
    <mergeCell ref="M68:N68"/>
    <mergeCell ref="E70:F70"/>
    <mergeCell ref="E58:F58"/>
    <mergeCell ref="H58:I58"/>
    <mergeCell ref="M58:N58"/>
    <mergeCell ref="E63:F63"/>
    <mergeCell ref="H63:I63"/>
    <mergeCell ref="M63:N63"/>
    <mergeCell ref="E62:F62"/>
    <mergeCell ref="H62:I62"/>
    <mergeCell ref="M62:N62"/>
    <mergeCell ref="E59:F59"/>
    <mergeCell ref="H59:I59"/>
    <mergeCell ref="M59:N59"/>
    <mergeCell ref="M57:N57"/>
    <mergeCell ref="E55:F55"/>
    <mergeCell ref="H55:I55"/>
    <mergeCell ref="M55:N55"/>
    <mergeCell ref="E54:F54"/>
    <mergeCell ref="H54:I54"/>
    <mergeCell ref="E50:F50"/>
    <mergeCell ref="E51:F51"/>
    <mergeCell ref="E57:F57"/>
    <mergeCell ref="H57:I57"/>
    <mergeCell ref="M39:N39"/>
    <mergeCell ref="M40:N40"/>
    <mergeCell ref="M41:N41"/>
    <mergeCell ref="M50:N50"/>
    <mergeCell ref="H39:I39"/>
    <mergeCell ref="H40:I40"/>
    <mergeCell ref="H41:I41"/>
    <mergeCell ref="M51:N51"/>
    <mergeCell ref="M54:N54"/>
    <mergeCell ref="H48:I48"/>
    <mergeCell ref="M48:N48"/>
    <mergeCell ref="M45:N45"/>
    <mergeCell ref="M46:N46"/>
    <mergeCell ref="M47:N47"/>
    <mergeCell ref="M49:N49"/>
    <mergeCell ref="H44:I44"/>
    <mergeCell ref="H45:I45"/>
    <mergeCell ref="H46:I46"/>
    <mergeCell ref="H47:I47"/>
    <mergeCell ref="H51:I51"/>
    <mergeCell ref="H49:I49"/>
    <mergeCell ref="H50:I50"/>
    <mergeCell ref="E41:F41"/>
    <mergeCell ref="H65:I65"/>
    <mergeCell ref="H64:I64"/>
    <mergeCell ref="M64:N64"/>
    <mergeCell ref="M69:N69"/>
    <mergeCell ref="H69:I69"/>
    <mergeCell ref="H70:I70"/>
    <mergeCell ref="E66:F66"/>
    <mergeCell ref="H66:I66"/>
    <mergeCell ref="M66:N66"/>
    <mergeCell ref="E67:F67"/>
    <mergeCell ref="H67:I67"/>
    <mergeCell ref="E31:F31"/>
    <mergeCell ref="M31:N31"/>
    <mergeCell ref="H31:I31"/>
    <mergeCell ref="C157:P157"/>
    <mergeCell ref="M38:N38"/>
    <mergeCell ref="H53:I53"/>
    <mergeCell ref="M53:N53"/>
    <mergeCell ref="E61:F61"/>
    <mergeCell ref="E60:F60"/>
    <mergeCell ref="E65:F65"/>
    <mergeCell ref="E69:F69"/>
    <mergeCell ref="E37:F37"/>
    <mergeCell ref="H38:I38"/>
    <mergeCell ref="E38:F38"/>
    <mergeCell ref="E32:F32"/>
    <mergeCell ref="E33:F33"/>
    <mergeCell ref="M33:N33"/>
    <mergeCell ref="M34:N34"/>
    <mergeCell ref="C28:D28"/>
    <mergeCell ref="K28:L28"/>
    <mergeCell ref="E30:F30"/>
    <mergeCell ref="C29:P29"/>
    <mergeCell ref="E28:F28"/>
    <mergeCell ref="H28:I28"/>
    <mergeCell ref="E7:G7"/>
    <mergeCell ref="J7:K7"/>
    <mergeCell ref="E9:G9"/>
    <mergeCell ref="M28:N28"/>
    <mergeCell ref="M32:N32"/>
    <mergeCell ref="H33:I33"/>
    <mergeCell ref="H32:I32"/>
    <mergeCell ref="E42:F42"/>
    <mergeCell ref="H42:I42"/>
    <mergeCell ref="M42:N42"/>
    <mergeCell ref="H34:I34"/>
    <mergeCell ref="E34:F34"/>
    <mergeCell ref="E5:G5"/>
    <mergeCell ref="J5:K5"/>
    <mergeCell ref="J9:K9"/>
    <mergeCell ref="E11:G11"/>
    <mergeCell ref="J11:K11"/>
    <mergeCell ref="H30:I30"/>
    <mergeCell ref="M30:N30"/>
    <mergeCell ref="E35:F35"/>
    <mergeCell ref="E36:F36"/>
    <mergeCell ref="M84:N84"/>
    <mergeCell ref="E117:F117"/>
    <mergeCell ref="M56:N56"/>
    <mergeCell ref="H56:I56"/>
    <mergeCell ref="M61:N61"/>
    <mergeCell ref="H61:I61"/>
    <mergeCell ref="H52:I52"/>
    <mergeCell ref="M52:N52"/>
    <mergeCell ref="H43:I43"/>
    <mergeCell ref="H35:I35"/>
    <mergeCell ref="M35:N35"/>
    <mergeCell ref="H36:I36"/>
    <mergeCell ref="M36:N36"/>
    <mergeCell ref="M37:N37"/>
    <mergeCell ref="E39:F39"/>
    <mergeCell ref="E40:F40"/>
    <mergeCell ref="E56:F56"/>
    <mergeCell ref="H60:I60"/>
    <mergeCell ref="M60:N60"/>
    <mergeCell ref="E64:F64"/>
    <mergeCell ref="M65:N65"/>
    <mergeCell ref="E43:F43"/>
    <mergeCell ref="E53:F53"/>
    <mergeCell ref="E52:F52"/>
    <mergeCell ref="M43:N43"/>
    <mergeCell ref="E44:F44"/>
    <mergeCell ref="E45:F45"/>
    <mergeCell ref="E46:F46"/>
    <mergeCell ref="E47:F47"/>
    <mergeCell ref="E49:F49"/>
    <mergeCell ref="M44:N44"/>
    <mergeCell ref="H117:I117"/>
    <mergeCell ref="M117:N117"/>
    <mergeCell ref="E118:F118"/>
    <mergeCell ref="H118:I118"/>
    <mergeCell ref="M118:N118"/>
    <mergeCell ref="E86:F86"/>
    <mergeCell ref="H86:I86"/>
    <mergeCell ref="M86:N86"/>
    <mergeCell ref="E87:F87"/>
    <mergeCell ref="H87:I87"/>
    <mergeCell ref="M87:N87"/>
    <mergeCell ref="E88:F88"/>
    <mergeCell ref="E73:F73"/>
    <mergeCell ref="H73:I73"/>
    <mergeCell ref="M70:N70"/>
    <mergeCell ref="M73:N73"/>
    <mergeCell ref="E74:F74"/>
    <mergeCell ref="H74:I74"/>
    <mergeCell ref="M74:N74"/>
    <mergeCell ref="E83:F83"/>
    <mergeCell ref="H83:I83"/>
    <mergeCell ref="M83:N83"/>
    <mergeCell ref="E84:F84"/>
    <mergeCell ref="H84:I84"/>
  </mergeCells>
  <phoneticPr fontId="16" type="noConversion"/>
  <dataValidations count="4">
    <dataValidation type="list" allowBlank="1" showInputMessage="1" showErrorMessage="1" sqref="P30:P155">
      <formula1>"Passed, Failed"</formula1>
    </dataValidation>
    <dataValidation type="list" allowBlank="1" showInputMessage="1" showErrorMessage="1" sqref="G30:G155">
      <formula1>"Normal, Negative"</formula1>
    </dataValidation>
    <dataValidation type="list" allowBlank="1" showInputMessage="1" showErrorMessage="1" sqref="J11">
      <formula1>"Unit test, Integration test, System test, Acceptance test"</formula1>
    </dataValidation>
    <dataValidation type="list" allowBlank="1" showInputMessage="1" showErrorMessage="1" sqref="J15">
      <formula1>"1,2,3,4,5,6,7,8,9,10"</formula1>
    </dataValidation>
  </dataValidations>
  <pageMargins left="0.39370078740157483" right="0.39370078740157483" top="0.39370078740157483" bottom="0.39370078740157483" header="0" footer="0"/>
  <pageSetup paperSize="9" scale="68" fitToHeight="13" orientation="landscape" r:id="rId1"/>
  <headerFooter alignWithMargins="0"/>
  <rowBreaks count="1" manualBreakCount="1">
    <brk id="25" max="16383" man="1"/>
  </rowBreaks>
  <colBreaks count="1" manualBreakCount="1">
    <brk id="12" max="1048575" man="1"/>
  </colBreaks>
  <customProperties>
    <customPr name="DVSECTIONID" r:id="rId2"/>
  </customPropertie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129"/>
  <sheetViews>
    <sheetView workbookViewId="0">
      <selection activeCell="V129" sqref="V129"/>
    </sheetView>
  </sheetViews>
  <sheetFormatPr defaultRowHeight="12.75" x14ac:dyDescent="0.2"/>
  <sheetData>
    <row r="1" spans="1:256" x14ac:dyDescent="0.2">
      <c r="A1" t="e">
        <f>IF(#REF!,"AAAAAH+u/QA=",0)</f>
        <v>#REF!</v>
      </c>
      <c r="B1" t="e">
        <f>AND(#REF!,"AAAAAH+u/QE=")</f>
        <v>#REF!</v>
      </c>
      <c r="C1" t="e">
        <f>AND(#REF!,"AAAAAH+u/QI=")</f>
        <v>#REF!</v>
      </c>
      <c r="D1" t="e">
        <f>AND(#REF!,"AAAAAH+u/QM=")</f>
        <v>#REF!</v>
      </c>
      <c r="E1" t="e">
        <f>AND(#REF!,"AAAAAH+u/QQ=")</f>
        <v>#REF!</v>
      </c>
      <c r="F1" t="e">
        <f>AND(#REF!,"AAAAAH+u/QU=")</f>
        <v>#REF!</v>
      </c>
      <c r="G1" t="e">
        <f>AND(#REF!,"AAAAAH+u/QY=")</f>
        <v>#REF!</v>
      </c>
      <c r="H1" t="e">
        <f>AND(#REF!,"AAAAAH+u/Qc=")</f>
        <v>#REF!</v>
      </c>
      <c r="I1" t="e">
        <f>AND(#REF!,"AAAAAH+u/Qg=")</f>
        <v>#REF!</v>
      </c>
      <c r="J1" t="e">
        <f>AND(#REF!,"AAAAAH+u/Qk=")</f>
        <v>#REF!</v>
      </c>
      <c r="K1" t="e">
        <f>AND(#REF!,"AAAAAH+u/Qo=")</f>
        <v>#REF!</v>
      </c>
      <c r="L1" t="e">
        <f>AND(#REF!,"AAAAAH+u/Qs=")</f>
        <v>#REF!</v>
      </c>
      <c r="M1" t="e">
        <f>AND(#REF!,"AAAAAH+u/Qw=")</f>
        <v>#REF!</v>
      </c>
      <c r="N1" t="e">
        <f>AND(#REF!,"AAAAAH+u/Q0=")</f>
        <v>#REF!</v>
      </c>
      <c r="O1" t="e">
        <f>AND(#REF!,"AAAAAH+u/Q4=")</f>
        <v>#REF!</v>
      </c>
      <c r="P1" t="e">
        <f>AND(#REF!,"AAAAAH+u/Q8=")</f>
        <v>#REF!</v>
      </c>
      <c r="Q1" t="e">
        <f>AND(#REF!,"AAAAAH+u/RA=")</f>
        <v>#REF!</v>
      </c>
      <c r="R1" t="e">
        <f>AND(#REF!,"AAAAAH+u/RE=")</f>
        <v>#REF!</v>
      </c>
      <c r="S1" t="e">
        <f>AND(#REF!,"AAAAAH+u/RI=")</f>
        <v>#REF!</v>
      </c>
      <c r="T1" t="e">
        <f>AND(#REF!,"AAAAAH+u/RM=")</f>
        <v>#REF!</v>
      </c>
      <c r="U1" t="e">
        <f>AND(#REF!,"AAAAAH+u/RQ=")</f>
        <v>#REF!</v>
      </c>
      <c r="V1" t="e">
        <f>AND(#REF!,"AAAAAH+u/RU=")</f>
        <v>#REF!</v>
      </c>
      <c r="W1" t="e">
        <f>AND(#REF!,"AAAAAH+u/RY=")</f>
        <v>#REF!</v>
      </c>
      <c r="X1" t="e">
        <f>IF(#REF!,"AAAAAH+u/Rc=",0)</f>
        <v>#REF!</v>
      </c>
      <c r="Y1" t="e">
        <f>AND(#REF!,"AAAAAH+u/Rg=")</f>
        <v>#REF!</v>
      </c>
      <c r="Z1" t="e">
        <f>AND(#REF!,"AAAAAH+u/Rk=")</f>
        <v>#REF!</v>
      </c>
      <c r="AA1" t="e">
        <f>AND(#REF!,"AAAAAH+u/Ro=")</f>
        <v>#REF!</v>
      </c>
      <c r="AB1" t="e">
        <f>AND(#REF!,"AAAAAH+u/Rs=")</f>
        <v>#REF!</v>
      </c>
      <c r="AC1" t="e">
        <f>AND(#REF!,"AAAAAH+u/Rw=")</f>
        <v>#REF!</v>
      </c>
      <c r="AD1" t="e">
        <f>AND(#REF!,"AAAAAH+u/R0=")</f>
        <v>#REF!</v>
      </c>
      <c r="AE1" t="e">
        <f>AND(#REF!,"AAAAAH+u/R4=")</f>
        <v>#REF!</v>
      </c>
      <c r="AF1" t="e">
        <f>AND(#REF!,"AAAAAH+u/R8=")</f>
        <v>#REF!</v>
      </c>
      <c r="AG1" t="e">
        <f>AND(#REF!,"AAAAAH+u/SA=")</f>
        <v>#REF!</v>
      </c>
      <c r="AH1" t="e">
        <f>AND(#REF!,"AAAAAH+u/SE=")</f>
        <v>#REF!</v>
      </c>
      <c r="AI1" t="e">
        <f>AND(#REF!,"AAAAAH+u/SI=")</f>
        <v>#REF!</v>
      </c>
      <c r="AJ1" t="e">
        <f>AND(#REF!,"AAAAAH+u/SM=")</f>
        <v>#REF!</v>
      </c>
      <c r="AK1" t="e">
        <f>AND(#REF!,"AAAAAH+u/SQ=")</f>
        <v>#REF!</v>
      </c>
      <c r="AL1" t="e">
        <f>AND(#REF!,"AAAAAH+u/SU=")</f>
        <v>#REF!</v>
      </c>
      <c r="AM1" t="e">
        <f>AND(#REF!,"AAAAAH+u/SY=")</f>
        <v>#REF!</v>
      </c>
      <c r="AN1" t="e">
        <f>AND(#REF!,"AAAAAH+u/Sc=")</f>
        <v>#REF!</v>
      </c>
      <c r="AO1" t="e">
        <f>AND(#REF!,"AAAAAH+u/Sg=")</f>
        <v>#REF!</v>
      </c>
      <c r="AP1" t="e">
        <f>AND(#REF!,"AAAAAH+u/Sk=")</f>
        <v>#REF!</v>
      </c>
      <c r="AQ1" t="e">
        <f>AND(#REF!,"AAAAAH+u/So=")</f>
        <v>#REF!</v>
      </c>
      <c r="AR1" t="e">
        <f>AND(#REF!,"AAAAAH+u/Ss=")</f>
        <v>#REF!</v>
      </c>
      <c r="AS1" t="e">
        <f>AND(#REF!,"AAAAAH+u/Sw=")</f>
        <v>#REF!</v>
      </c>
      <c r="AT1" t="e">
        <f>AND(#REF!,"AAAAAH+u/S0=")</f>
        <v>#REF!</v>
      </c>
      <c r="AU1" t="e">
        <f>IF(#REF!,"AAAAAH+u/S4=",0)</f>
        <v>#REF!</v>
      </c>
      <c r="AV1" t="e">
        <f>AND(#REF!,"AAAAAH+u/S8=")</f>
        <v>#REF!</v>
      </c>
      <c r="AW1" t="e">
        <f>AND(#REF!,"AAAAAH+u/TA=")</f>
        <v>#REF!</v>
      </c>
      <c r="AX1" t="e">
        <f>AND(#REF!,"AAAAAH+u/TE=")</f>
        <v>#REF!</v>
      </c>
      <c r="AY1" t="e">
        <f>AND(#REF!,"AAAAAH+u/TI=")</f>
        <v>#REF!</v>
      </c>
      <c r="AZ1" t="e">
        <f>AND(#REF!,"AAAAAH+u/TM=")</f>
        <v>#REF!</v>
      </c>
      <c r="BA1" t="e">
        <f>AND(#REF!,"AAAAAH+u/TQ=")</f>
        <v>#REF!</v>
      </c>
      <c r="BB1" t="e">
        <f>AND(#REF!,"AAAAAH+u/TU=")</f>
        <v>#REF!</v>
      </c>
      <c r="BC1" t="e">
        <f>AND(#REF!,"AAAAAH+u/TY=")</f>
        <v>#REF!</v>
      </c>
      <c r="BD1" t="e">
        <f>AND(#REF!,"AAAAAH+u/Tc=")</f>
        <v>#REF!</v>
      </c>
      <c r="BE1" t="e">
        <f>AND(#REF!,"AAAAAH+u/Tg=")</f>
        <v>#REF!</v>
      </c>
      <c r="BF1" t="e">
        <f>AND(#REF!,"AAAAAH+u/Tk=")</f>
        <v>#REF!</v>
      </c>
      <c r="BG1" t="e">
        <f>AND(#REF!,"AAAAAH+u/To=")</f>
        <v>#REF!</v>
      </c>
      <c r="BH1" t="e">
        <f>AND(#REF!,"AAAAAH+u/Ts=")</f>
        <v>#REF!</v>
      </c>
      <c r="BI1" t="e">
        <f>AND(#REF!,"AAAAAH+u/Tw=")</f>
        <v>#REF!</v>
      </c>
      <c r="BJ1" t="e">
        <f>AND(#REF!,"AAAAAH+u/T0=")</f>
        <v>#REF!</v>
      </c>
      <c r="BK1" t="e">
        <f>AND(#REF!,"AAAAAH+u/T4=")</f>
        <v>#REF!</v>
      </c>
      <c r="BL1" t="e">
        <f>AND(#REF!,"AAAAAH+u/T8=")</f>
        <v>#REF!</v>
      </c>
      <c r="BM1" t="e">
        <f>AND(#REF!,"AAAAAH+u/UA=")</f>
        <v>#REF!</v>
      </c>
      <c r="BN1" t="e">
        <f>AND(#REF!,"AAAAAH+u/UE=")</f>
        <v>#REF!</v>
      </c>
      <c r="BO1" t="e">
        <f>AND(#REF!,"AAAAAH+u/UI=")</f>
        <v>#REF!</v>
      </c>
      <c r="BP1" t="e">
        <f>AND(#REF!,"AAAAAH+u/UM=")</f>
        <v>#REF!</v>
      </c>
      <c r="BQ1" t="e">
        <f>AND(#REF!,"AAAAAH+u/UQ=")</f>
        <v>#REF!</v>
      </c>
      <c r="BR1" t="e">
        <f>IF(#REF!,"AAAAAH+u/UU=",0)</f>
        <v>#REF!</v>
      </c>
      <c r="BS1" t="e">
        <f>AND(#REF!,"AAAAAH+u/UY=")</f>
        <v>#REF!</v>
      </c>
      <c r="BT1" t="e">
        <f>AND(#REF!,"AAAAAH+u/Uc=")</f>
        <v>#REF!</v>
      </c>
      <c r="BU1" t="e">
        <f>AND(#REF!,"AAAAAH+u/Ug=")</f>
        <v>#REF!</v>
      </c>
      <c r="BV1" t="e">
        <f>AND(#REF!,"AAAAAH+u/Uk=")</f>
        <v>#REF!</v>
      </c>
      <c r="BW1" t="e">
        <f>AND(#REF!,"AAAAAH+u/Uo=")</f>
        <v>#REF!</v>
      </c>
      <c r="BX1" t="e">
        <f>AND(#REF!,"AAAAAH+u/Us=")</f>
        <v>#REF!</v>
      </c>
      <c r="BY1" t="e">
        <f>AND(#REF!,"AAAAAH+u/Uw=")</f>
        <v>#REF!</v>
      </c>
      <c r="BZ1" t="e">
        <f>AND(#REF!,"AAAAAH+u/U0=")</f>
        <v>#REF!</v>
      </c>
      <c r="CA1" t="e">
        <f>AND(#REF!,"AAAAAH+u/U4=")</f>
        <v>#REF!</v>
      </c>
      <c r="CB1" t="e">
        <f>AND(#REF!,"AAAAAH+u/U8=")</f>
        <v>#REF!</v>
      </c>
      <c r="CC1" t="e">
        <f>AND(#REF!,"AAAAAH+u/VA=")</f>
        <v>#REF!</v>
      </c>
      <c r="CD1" t="e">
        <f>AND(#REF!,"AAAAAH+u/VE=")</f>
        <v>#REF!</v>
      </c>
      <c r="CE1" t="e">
        <f>AND(#REF!,"AAAAAH+u/VI=")</f>
        <v>#REF!</v>
      </c>
      <c r="CF1" t="e">
        <f>AND(#REF!,"AAAAAH+u/VM=")</f>
        <v>#REF!</v>
      </c>
      <c r="CG1" t="e">
        <f>AND(#REF!,"AAAAAH+u/VQ=")</f>
        <v>#REF!</v>
      </c>
      <c r="CH1" t="e">
        <f>AND(#REF!,"AAAAAH+u/VU=")</f>
        <v>#REF!</v>
      </c>
      <c r="CI1" t="e">
        <f>AND(#REF!,"AAAAAH+u/VY=")</f>
        <v>#REF!</v>
      </c>
      <c r="CJ1" t="e">
        <f>AND(#REF!,"AAAAAH+u/Vc=")</f>
        <v>#REF!</v>
      </c>
      <c r="CK1" t="e">
        <f>AND(#REF!,"AAAAAH+u/Vg=")</f>
        <v>#REF!</v>
      </c>
      <c r="CL1" t="e">
        <f>AND(#REF!,"AAAAAH+u/Vk=")</f>
        <v>#REF!</v>
      </c>
      <c r="CM1" t="e">
        <f>AND(#REF!,"AAAAAH+u/Vo=")</f>
        <v>#REF!</v>
      </c>
      <c r="CN1" t="e">
        <f>AND(#REF!,"AAAAAH+u/Vs=")</f>
        <v>#REF!</v>
      </c>
      <c r="CO1" t="e">
        <f>IF(#REF!,"AAAAAH+u/Vw=",0)</f>
        <v>#REF!</v>
      </c>
      <c r="CP1" t="e">
        <f>AND(#REF!,"AAAAAH+u/V0=")</f>
        <v>#REF!</v>
      </c>
      <c r="CQ1" t="e">
        <f>AND(#REF!,"AAAAAH+u/V4=")</f>
        <v>#REF!</v>
      </c>
      <c r="CR1" t="e">
        <f>AND(#REF!,"AAAAAH+u/V8=")</f>
        <v>#REF!</v>
      </c>
      <c r="CS1" t="e">
        <f>AND(#REF!,"AAAAAH+u/WA=")</f>
        <v>#REF!</v>
      </c>
      <c r="CT1" t="e">
        <f>AND(#REF!,"AAAAAH+u/WE=")</f>
        <v>#REF!</v>
      </c>
      <c r="CU1" t="e">
        <f>AND(#REF!,"AAAAAH+u/WI=")</f>
        <v>#REF!</v>
      </c>
      <c r="CV1" t="e">
        <f>AND(#REF!,"AAAAAH+u/WM=")</f>
        <v>#REF!</v>
      </c>
      <c r="CW1" t="e">
        <f>AND(#REF!,"AAAAAH+u/WQ=")</f>
        <v>#REF!</v>
      </c>
      <c r="CX1" t="e">
        <f>AND(#REF!,"AAAAAH+u/WU=")</f>
        <v>#REF!</v>
      </c>
      <c r="CY1" t="e">
        <f>AND(#REF!,"AAAAAH+u/WY=")</f>
        <v>#REF!</v>
      </c>
      <c r="CZ1" t="e">
        <f>AND(#REF!,"AAAAAH+u/Wc=")</f>
        <v>#REF!</v>
      </c>
      <c r="DA1" t="e">
        <f>AND(#REF!,"AAAAAH+u/Wg=")</f>
        <v>#REF!</v>
      </c>
      <c r="DB1" t="e">
        <f>AND(#REF!,"AAAAAH+u/Wk=")</f>
        <v>#REF!</v>
      </c>
      <c r="DC1" t="e">
        <f>AND(#REF!,"AAAAAH+u/Wo=")</f>
        <v>#REF!</v>
      </c>
      <c r="DD1" t="e">
        <f>AND(#REF!,"AAAAAH+u/Ws=")</f>
        <v>#REF!</v>
      </c>
      <c r="DE1" t="e">
        <f>AND(#REF!,"AAAAAH+u/Ww=")</f>
        <v>#REF!</v>
      </c>
      <c r="DF1" t="e">
        <f>AND(#REF!,"AAAAAH+u/W0=")</f>
        <v>#REF!</v>
      </c>
      <c r="DG1" t="e">
        <f>AND(#REF!,"AAAAAH+u/W4=")</f>
        <v>#REF!</v>
      </c>
      <c r="DH1" t="e">
        <f>AND(#REF!,"AAAAAH+u/W8=")</f>
        <v>#REF!</v>
      </c>
      <c r="DI1" t="e">
        <f>AND(#REF!,"AAAAAH+u/XA=")</f>
        <v>#REF!</v>
      </c>
      <c r="DJ1" t="e">
        <f>AND(#REF!,"AAAAAH+u/XE=")</f>
        <v>#REF!</v>
      </c>
      <c r="DK1" t="e">
        <f>AND(#REF!,"AAAAAH+u/XI=")</f>
        <v>#REF!</v>
      </c>
      <c r="DL1" t="e">
        <f>IF(#REF!,"AAAAAH+u/XM=",0)</f>
        <v>#REF!</v>
      </c>
      <c r="DM1" t="e">
        <f>AND(#REF!,"AAAAAH+u/XQ=")</f>
        <v>#REF!</v>
      </c>
      <c r="DN1" t="e">
        <f>AND(#REF!,"AAAAAH+u/XU=")</f>
        <v>#REF!</v>
      </c>
      <c r="DO1" t="e">
        <f>AND(#REF!,"AAAAAH+u/XY=")</f>
        <v>#REF!</v>
      </c>
      <c r="DP1" t="e">
        <f>AND(#REF!,"AAAAAH+u/Xc=")</f>
        <v>#REF!</v>
      </c>
      <c r="DQ1" t="e">
        <f>AND(#REF!,"AAAAAH+u/Xg=")</f>
        <v>#REF!</v>
      </c>
      <c r="DR1" t="e">
        <f>AND(#REF!,"AAAAAH+u/Xk=")</f>
        <v>#REF!</v>
      </c>
      <c r="DS1" t="e">
        <f>AND(#REF!,"AAAAAH+u/Xo=")</f>
        <v>#REF!</v>
      </c>
      <c r="DT1" t="e">
        <f>AND(#REF!,"AAAAAH+u/Xs=")</f>
        <v>#REF!</v>
      </c>
      <c r="DU1" t="e">
        <f>AND(#REF!,"AAAAAH+u/Xw=")</f>
        <v>#REF!</v>
      </c>
      <c r="DV1" t="e">
        <f>AND(#REF!,"AAAAAH+u/X0=")</f>
        <v>#REF!</v>
      </c>
      <c r="DW1" t="e">
        <f>AND(#REF!,"AAAAAH+u/X4=")</f>
        <v>#REF!</v>
      </c>
      <c r="DX1" t="e">
        <f>AND(#REF!,"AAAAAH+u/X8=")</f>
        <v>#REF!</v>
      </c>
      <c r="DY1" t="e">
        <f>AND(#REF!,"AAAAAH+u/YA=")</f>
        <v>#REF!</v>
      </c>
      <c r="DZ1" t="e">
        <f>AND(#REF!,"AAAAAH+u/YE=")</f>
        <v>#REF!</v>
      </c>
      <c r="EA1" t="e">
        <f>AND(#REF!,"AAAAAH+u/YI=")</f>
        <v>#REF!</v>
      </c>
      <c r="EB1" t="e">
        <f>AND(#REF!,"AAAAAH+u/YM=")</f>
        <v>#REF!</v>
      </c>
      <c r="EC1" t="e">
        <f>AND(#REF!,"AAAAAH+u/YQ=")</f>
        <v>#REF!</v>
      </c>
      <c r="ED1" t="e">
        <f>AND(#REF!,"AAAAAH+u/YU=")</f>
        <v>#REF!</v>
      </c>
      <c r="EE1" t="e">
        <f>AND(#REF!,"AAAAAH+u/YY=")</f>
        <v>#REF!</v>
      </c>
      <c r="EF1" t="e">
        <f>AND(#REF!,"AAAAAH+u/Yc=")</f>
        <v>#REF!</v>
      </c>
      <c r="EG1" t="e">
        <f>AND(#REF!,"AAAAAH+u/Yg=")</f>
        <v>#REF!</v>
      </c>
      <c r="EH1" t="e">
        <f>AND(#REF!,"AAAAAH+u/Yk=")</f>
        <v>#REF!</v>
      </c>
      <c r="EI1" t="e">
        <f>IF(#REF!,"AAAAAH+u/Yo=",0)</f>
        <v>#REF!</v>
      </c>
      <c r="EJ1" t="e">
        <f>AND(#REF!,"AAAAAH+u/Ys=")</f>
        <v>#REF!</v>
      </c>
      <c r="EK1" t="e">
        <f>AND(#REF!,"AAAAAH+u/Yw=")</f>
        <v>#REF!</v>
      </c>
      <c r="EL1" t="e">
        <f>AND(#REF!,"AAAAAH+u/Y0=")</f>
        <v>#REF!</v>
      </c>
      <c r="EM1" t="e">
        <f>AND(#REF!,"AAAAAH+u/Y4=")</f>
        <v>#REF!</v>
      </c>
      <c r="EN1" t="e">
        <f>AND(#REF!,"AAAAAH+u/Y8=")</f>
        <v>#REF!</v>
      </c>
      <c r="EO1" t="e">
        <f>AND(#REF!,"AAAAAH+u/ZA=")</f>
        <v>#REF!</v>
      </c>
      <c r="EP1" t="e">
        <f>AND(#REF!,"AAAAAH+u/ZE=")</f>
        <v>#REF!</v>
      </c>
      <c r="EQ1" t="e">
        <f>AND(#REF!,"AAAAAH+u/ZI=")</f>
        <v>#REF!</v>
      </c>
      <c r="ER1" t="e">
        <f>AND(#REF!,"AAAAAH+u/ZM=")</f>
        <v>#REF!</v>
      </c>
      <c r="ES1" t="e">
        <f>AND(#REF!,"AAAAAH+u/ZQ=")</f>
        <v>#REF!</v>
      </c>
      <c r="ET1" t="e">
        <f>AND(#REF!,"AAAAAH+u/ZU=")</f>
        <v>#REF!</v>
      </c>
      <c r="EU1" t="e">
        <f>AND(#REF!,"AAAAAH+u/ZY=")</f>
        <v>#REF!</v>
      </c>
      <c r="EV1" t="e">
        <f>AND(#REF!,"AAAAAH+u/Zc=")</f>
        <v>#REF!</v>
      </c>
      <c r="EW1" t="e">
        <f>AND(#REF!,"AAAAAH+u/Zg=")</f>
        <v>#REF!</v>
      </c>
      <c r="EX1" t="e">
        <f>AND(#REF!,"AAAAAH+u/Zk=")</f>
        <v>#REF!</v>
      </c>
      <c r="EY1" t="e">
        <f>AND(#REF!,"AAAAAH+u/Zo=")</f>
        <v>#REF!</v>
      </c>
      <c r="EZ1" t="e">
        <f>AND(#REF!,"AAAAAH+u/Zs=")</f>
        <v>#REF!</v>
      </c>
      <c r="FA1" t="e">
        <f>AND(#REF!,"AAAAAH+u/Zw=")</f>
        <v>#REF!</v>
      </c>
      <c r="FB1" t="e">
        <f>AND(#REF!,"AAAAAH+u/Z0=")</f>
        <v>#REF!</v>
      </c>
      <c r="FC1" t="e">
        <f>AND(#REF!,"AAAAAH+u/Z4=")</f>
        <v>#REF!</v>
      </c>
      <c r="FD1" t="e">
        <f>AND(#REF!,"AAAAAH+u/Z8=")</f>
        <v>#REF!</v>
      </c>
      <c r="FE1" t="e">
        <f>AND(#REF!,"AAAAAH+u/aA=")</f>
        <v>#REF!</v>
      </c>
      <c r="FF1" t="e">
        <f>IF(#REF!,"AAAAAH+u/aE=",0)</f>
        <v>#REF!</v>
      </c>
      <c r="FG1" t="e">
        <f>AND(#REF!,"AAAAAH+u/aI=")</f>
        <v>#REF!</v>
      </c>
      <c r="FH1" t="e">
        <f>AND(#REF!,"AAAAAH+u/aM=")</f>
        <v>#REF!</v>
      </c>
      <c r="FI1" t="e">
        <f>AND(#REF!,"AAAAAH+u/aQ=")</f>
        <v>#REF!</v>
      </c>
      <c r="FJ1" t="e">
        <f>AND(#REF!,"AAAAAH+u/aU=")</f>
        <v>#REF!</v>
      </c>
      <c r="FK1" t="e">
        <f>AND(#REF!,"AAAAAH+u/aY=")</f>
        <v>#REF!</v>
      </c>
      <c r="FL1" t="e">
        <f>AND(#REF!,"AAAAAH+u/ac=")</f>
        <v>#REF!</v>
      </c>
      <c r="FM1" t="e">
        <f>AND(#REF!,"AAAAAH+u/ag=")</f>
        <v>#REF!</v>
      </c>
      <c r="FN1" t="e">
        <f>AND(#REF!,"AAAAAH+u/ak=")</f>
        <v>#REF!</v>
      </c>
      <c r="FO1" t="e">
        <f>AND(#REF!,"AAAAAH+u/ao=")</f>
        <v>#REF!</v>
      </c>
      <c r="FP1" t="e">
        <f>AND(#REF!,"AAAAAH+u/as=")</f>
        <v>#REF!</v>
      </c>
      <c r="FQ1" t="e">
        <f>AND(#REF!,"AAAAAH+u/aw=")</f>
        <v>#REF!</v>
      </c>
      <c r="FR1" t="e">
        <f>AND(#REF!,"AAAAAH+u/a0=")</f>
        <v>#REF!</v>
      </c>
      <c r="FS1" t="e">
        <f>AND(#REF!,"AAAAAH+u/a4=")</f>
        <v>#REF!</v>
      </c>
      <c r="FT1" t="e">
        <f>AND(#REF!,"AAAAAH+u/a8=")</f>
        <v>#REF!</v>
      </c>
      <c r="FU1" t="e">
        <f>AND(#REF!,"AAAAAH+u/bA=")</f>
        <v>#REF!</v>
      </c>
      <c r="FV1" t="e">
        <f>AND(#REF!,"AAAAAH+u/bE=")</f>
        <v>#REF!</v>
      </c>
      <c r="FW1" t="e">
        <f>AND(#REF!,"AAAAAH+u/bI=")</f>
        <v>#REF!</v>
      </c>
      <c r="FX1" t="e">
        <f>AND(#REF!,"AAAAAH+u/bM=")</f>
        <v>#REF!</v>
      </c>
      <c r="FY1" t="e">
        <f>AND(#REF!,"AAAAAH+u/bQ=")</f>
        <v>#REF!</v>
      </c>
      <c r="FZ1" t="e">
        <f>AND(#REF!,"AAAAAH+u/bU=")</f>
        <v>#REF!</v>
      </c>
      <c r="GA1" t="e">
        <f>AND(#REF!,"AAAAAH+u/bY=")</f>
        <v>#REF!</v>
      </c>
      <c r="GB1" t="e">
        <f>AND(#REF!,"AAAAAH+u/bc=")</f>
        <v>#REF!</v>
      </c>
      <c r="GC1" t="e">
        <f>IF(#REF!,"AAAAAH+u/bg=",0)</f>
        <v>#REF!</v>
      </c>
      <c r="GD1" t="e">
        <f>AND(#REF!,"AAAAAH+u/bk=")</f>
        <v>#REF!</v>
      </c>
      <c r="GE1" t="e">
        <f>AND(#REF!,"AAAAAH+u/bo=")</f>
        <v>#REF!</v>
      </c>
      <c r="GF1" t="e">
        <f>AND(#REF!,"AAAAAH+u/bs=")</f>
        <v>#REF!</v>
      </c>
      <c r="GG1" t="e">
        <f>AND(#REF!,"AAAAAH+u/bw=")</f>
        <v>#REF!</v>
      </c>
      <c r="GH1" t="e">
        <f>AND(#REF!,"AAAAAH+u/b0=")</f>
        <v>#REF!</v>
      </c>
      <c r="GI1" t="e">
        <f>AND(#REF!,"AAAAAH+u/b4=")</f>
        <v>#REF!</v>
      </c>
      <c r="GJ1" t="e">
        <f>AND(#REF!,"AAAAAH+u/b8=")</f>
        <v>#REF!</v>
      </c>
      <c r="GK1" t="e">
        <f>AND(#REF!,"AAAAAH+u/cA=")</f>
        <v>#REF!</v>
      </c>
      <c r="GL1" t="e">
        <f>AND(#REF!,"AAAAAH+u/cE=")</f>
        <v>#REF!</v>
      </c>
      <c r="GM1" t="e">
        <f>AND(#REF!,"AAAAAH+u/cI=")</f>
        <v>#REF!</v>
      </c>
      <c r="GN1" t="e">
        <f>AND(#REF!,"AAAAAH+u/cM=")</f>
        <v>#REF!</v>
      </c>
      <c r="GO1" t="e">
        <f>AND(#REF!,"AAAAAH+u/cQ=")</f>
        <v>#REF!</v>
      </c>
      <c r="GP1" t="e">
        <f>AND(#REF!,"AAAAAH+u/cU=")</f>
        <v>#REF!</v>
      </c>
      <c r="GQ1" t="e">
        <f>AND(#REF!,"AAAAAH+u/cY=")</f>
        <v>#REF!</v>
      </c>
      <c r="GR1" t="e">
        <f>AND(#REF!,"AAAAAH+u/cc=")</f>
        <v>#REF!</v>
      </c>
      <c r="GS1" t="e">
        <f>AND(#REF!,"AAAAAH+u/cg=")</f>
        <v>#REF!</v>
      </c>
      <c r="GT1" t="e">
        <f>AND(#REF!,"AAAAAH+u/ck=")</f>
        <v>#REF!</v>
      </c>
      <c r="GU1" t="e">
        <f>AND(#REF!,"AAAAAH+u/co=")</f>
        <v>#REF!</v>
      </c>
      <c r="GV1" t="e">
        <f>AND(#REF!,"AAAAAH+u/cs=")</f>
        <v>#REF!</v>
      </c>
      <c r="GW1" t="e">
        <f>AND(#REF!,"AAAAAH+u/cw=")</f>
        <v>#REF!</v>
      </c>
      <c r="GX1" t="e">
        <f>AND(#REF!,"AAAAAH+u/c0=")</f>
        <v>#REF!</v>
      </c>
      <c r="GY1" t="e">
        <f>AND(#REF!,"AAAAAH+u/c4=")</f>
        <v>#REF!</v>
      </c>
      <c r="GZ1" t="e">
        <f>IF(#REF!,"AAAAAH+u/c8=",0)</f>
        <v>#REF!</v>
      </c>
      <c r="HA1" t="e">
        <f>AND(#REF!,"AAAAAH+u/dA=")</f>
        <v>#REF!</v>
      </c>
      <c r="HB1" t="e">
        <f>AND(#REF!,"AAAAAH+u/dE=")</f>
        <v>#REF!</v>
      </c>
      <c r="HC1" t="e">
        <f>AND(#REF!,"AAAAAH+u/dI=")</f>
        <v>#REF!</v>
      </c>
      <c r="HD1" t="e">
        <f>AND(#REF!,"AAAAAH+u/dM=")</f>
        <v>#REF!</v>
      </c>
      <c r="HE1" t="e">
        <f>AND(#REF!,"AAAAAH+u/dQ=")</f>
        <v>#REF!</v>
      </c>
      <c r="HF1" t="e">
        <f>AND(#REF!,"AAAAAH+u/dU=")</f>
        <v>#REF!</v>
      </c>
      <c r="HG1" t="e">
        <f>AND(#REF!,"AAAAAH+u/dY=")</f>
        <v>#REF!</v>
      </c>
      <c r="HH1" t="e">
        <f>AND(#REF!,"AAAAAH+u/dc=")</f>
        <v>#REF!</v>
      </c>
      <c r="HI1" t="e">
        <f>AND(#REF!,"AAAAAH+u/dg=")</f>
        <v>#REF!</v>
      </c>
      <c r="HJ1" t="e">
        <f>AND(#REF!,"AAAAAH+u/dk=")</f>
        <v>#REF!</v>
      </c>
      <c r="HK1" t="e">
        <f>AND(#REF!,"AAAAAH+u/do=")</f>
        <v>#REF!</v>
      </c>
      <c r="HL1" t="e">
        <f>AND(#REF!,"AAAAAH+u/ds=")</f>
        <v>#REF!</v>
      </c>
      <c r="HM1" t="e">
        <f>AND(#REF!,"AAAAAH+u/dw=")</f>
        <v>#REF!</v>
      </c>
      <c r="HN1" t="e">
        <f>AND(#REF!,"AAAAAH+u/d0=")</f>
        <v>#REF!</v>
      </c>
      <c r="HO1" t="e">
        <f>AND(#REF!,"AAAAAH+u/d4=")</f>
        <v>#REF!</v>
      </c>
      <c r="HP1" t="e">
        <f>AND(#REF!,"AAAAAH+u/d8=")</f>
        <v>#REF!</v>
      </c>
      <c r="HQ1" t="e">
        <f>AND(#REF!,"AAAAAH+u/eA=")</f>
        <v>#REF!</v>
      </c>
      <c r="HR1" t="e">
        <f>AND(#REF!,"AAAAAH+u/eE=")</f>
        <v>#REF!</v>
      </c>
      <c r="HS1" t="e">
        <f>AND(#REF!,"AAAAAH+u/eI=")</f>
        <v>#REF!</v>
      </c>
      <c r="HT1" t="e">
        <f>AND(#REF!,"AAAAAH+u/eM=")</f>
        <v>#REF!</v>
      </c>
      <c r="HU1" t="e">
        <f>AND(#REF!,"AAAAAH+u/eQ=")</f>
        <v>#REF!</v>
      </c>
      <c r="HV1" t="e">
        <f>AND(#REF!,"AAAAAH+u/eU=")</f>
        <v>#REF!</v>
      </c>
      <c r="HW1" t="e">
        <f>IF(#REF!,"AAAAAH+u/eY=",0)</f>
        <v>#REF!</v>
      </c>
      <c r="HX1" t="e">
        <f>AND(#REF!,"AAAAAH+u/ec=")</f>
        <v>#REF!</v>
      </c>
      <c r="HY1" t="e">
        <f>AND(#REF!,"AAAAAH+u/eg=")</f>
        <v>#REF!</v>
      </c>
      <c r="HZ1" t="e">
        <f>AND(#REF!,"AAAAAH+u/ek=")</f>
        <v>#REF!</v>
      </c>
      <c r="IA1" t="e">
        <f>AND(#REF!,"AAAAAH+u/eo=")</f>
        <v>#REF!</v>
      </c>
      <c r="IB1" t="e">
        <f>AND(#REF!,"AAAAAH+u/es=")</f>
        <v>#REF!</v>
      </c>
      <c r="IC1" t="e">
        <f>AND(#REF!,"AAAAAH+u/ew=")</f>
        <v>#REF!</v>
      </c>
      <c r="ID1" t="e">
        <f>AND(#REF!,"AAAAAH+u/e0=")</f>
        <v>#REF!</v>
      </c>
      <c r="IE1" t="e">
        <f>AND(#REF!,"AAAAAH+u/e4=")</f>
        <v>#REF!</v>
      </c>
      <c r="IF1" t="e">
        <f>AND(#REF!,"AAAAAH+u/e8=")</f>
        <v>#REF!</v>
      </c>
      <c r="IG1" t="e">
        <f>AND(#REF!,"AAAAAH+u/fA=")</f>
        <v>#REF!</v>
      </c>
      <c r="IH1" t="e">
        <f>AND(#REF!,"AAAAAH+u/fE=")</f>
        <v>#REF!</v>
      </c>
      <c r="II1" t="e">
        <f>AND(#REF!,"AAAAAH+u/fI=")</f>
        <v>#REF!</v>
      </c>
      <c r="IJ1" t="e">
        <f>AND(#REF!,"AAAAAH+u/fM=")</f>
        <v>#REF!</v>
      </c>
      <c r="IK1" t="e">
        <f>AND(#REF!,"AAAAAH+u/fQ=")</f>
        <v>#REF!</v>
      </c>
      <c r="IL1" t="e">
        <f>AND(#REF!,"AAAAAH+u/fU=")</f>
        <v>#REF!</v>
      </c>
      <c r="IM1" t="e">
        <f>AND(#REF!,"AAAAAH+u/fY=")</f>
        <v>#REF!</v>
      </c>
      <c r="IN1" t="e">
        <f>AND(#REF!,"AAAAAH+u/fc=")</f>
        <v>#REF!</v>
      </c>
      <c r="IO1" t="e">
        <f>AND(#REF!,"AAAAAH+u/fg=")</f>
        <v>#REF!</v>
      </c>
      <c r="IP1" t="e">
        <f>AND(#REF!,"AAAAAH+u/fk=")</f>
        <v>#REF!</v>
      </c>
      <c r="IQ1" t="e">
        <f>AND(#REF!,"AAAAAH+u/fo=")</f>
        <v>#REF!</v>
      </c>
      <c r="IR1" t="e">
        <f>AND(#REF!,"AAAAAH+u/fs=")</f>
        <v>#REF!</v>
      </c>
      <c r="IS1" t="e">
        <f>AND(#REF!,"AAAAAH+u/fw=")</f>
        <v>#REF!</v>
      </c>
      <c r="IT1" t="e">
        <f>IF(#REF!,"AAAAAH+u/f0=",0)</f>
        <v>#REF!</v>
      </c>
      <c r="IU1" t="e">
        <f>AND(#REF!,"AAAAAH+u/f4=")</f>
        <v>#REF!</v>
      </c>
      <c r="IV1" t="e">
        <f>AND(#REF!,"AAAAAH+u/f8=")</f>
        <v>#REF!</v>
      </c>
    </row>
    <row r="2" spans="1:256" x14ac:dyDescent="0.2">
      <c r="A2" t="e">
        <f>AND(#REF!,"AAAAAF6r6QA=")</f>
        <v>#REF!</v>
      </c>
      <c r="B2" t="e">
        <f>AND(#REF!,"AAAAAF6r6QE=")</f>
        <v>#REF!</v>
      </c>
      <c r="C2" t="e">
        <f>AND(#REF!,"AAAAAF6r6QI=")</f>
        <v>#REF!</v>
      </c>
      <c r="D2" t="e">
        <f>AND(#REF!,"AAAAAF6r6QM=")</f>
        <v>#REF!</v>
      </c>
      <c r="E2" t="e">
        <f>AND(#REF!,"AAAAAF6r6QQ=")</f>
        <v>#REF!</v>
      </c>
      <c r="F2" t="e">
        <f>AND(#REF!,"AAAAAF6r6QU=")</f>
        <v>#REF!</v>
      </c>
      <c r="G2" t="e">
        <f>AND(#REF!,"AAAAAF6r6QY=")</f>
        <v>#REF!</v>
      </c>
      <c r="H2" t="e">
        <f>AND(#REF!,"AAAAAF6r6Qc=")</f>
        <v>#REF!</v>
      </c>
      <c r="I2" t="e">
        <f>AND(#REF!,"AAAAAF6r6Qg=")</f>
        <v>#REF!</v>
      </c>
      <c r="J2" t="e">
        <f>AND(#REF!,"AAAAAF6r6Qk=")</f>
        <v>#REF!</v>
      </c>
      <c r="K2" t="e">
        <f>AND(#REF!,"AAAAAF6r6Qo=")</f>
        <v>#REF!</v>
      </c>
      <c r="L2" t="e">
        <f>AND(#REF!,"AAAAAF6r6Qs=")</f>
        <v>#REF!</v>
      </c>
      <c r="M2" t="e">
        <f>AND(#REF!,"AAAAAF6r6Qw=")</f>
        <v>#REF!</v>
      </c>
      <c r="N2" t="e">
        <f>AND(#REF!,"AAAAAF6r6Q0=")</f>
        <v>#REF!</v>
      </c>
      <c r="O2" t="e">
        <f>AND(#REF!,"AAAAAF6r6Q4=")</f>
        <v>#REF!</v>
      </c>
      <c r="P2" t="e">
        <f>AND(#REF!,"AAAAAF6r6Q8=")</f>
        <v>#REF!</v>
      </c>
      <c r="Q2" t="e">
        <f>AND(#REF!,"AAAAAF6r6RA=")</f>
        <v>#REF!</v>
      </c>
      <c r="R2" t="e">
        <f>AND(#REF!,"AAAAAF6r6RE=")</f>
        <v>#REF!</v>
      </c>
      <c r="S2" t="e">
        <f>AND(#REF!,"AAAAAF6r6RI=")</f>
        <v>#REF!</v>
      </c>
      <c r="T2" t="e">
        <f>AND(#REF!,"AAAAAF6r6RM=")</f>
        <v>#REF!</v>
      </c>
      <c r="U2" t="e">
        <f>IF(#REF!,"AAAAAF6r6RQ=",0)</f>
        <v>#REF!</v>
      </c>
      <c r="V2" t="e">
        <f>AND(#REF!,"AAAAAF6r6RU=")</f>
        <v>#REF!</v>
      </c>
      <c r="W2" t="e">
        <f>AND(#REF!,"AAAAAF6r6RY=")</f>
        <v>#REF!</v>
      </c>
      <c r="X2" t="e">
        <f>AND(#REF!,"AAAAAF6r6Rc=")</f>
        <v>#REF!</v>
      </c>
      <c r="Y2" t="e">
        <f>AND(#REF!,"AAAAAF6r6Rg=")</f>
        <v>#REF!</v>
      </c>
      <c r="Z2" t="e">
        <f>AND(#REF!,"AAAAAF6r6Rk=")</f>
        <v>#REF!</v>
      </c>
      <c r="AA2" t="e">
        <f>AND(#REF!,"AAAAAF6r6Ro=")</f>
        <v>#REF!</v>
      </c>
      <c r="AB2" t="e">
        <f>AND(#REF!,"AAAAAF6r6Rs=")</f>
        <v>#REF!</v>
      </c>
      <c r="AC2" t="e">
        <f>AND(#REF!,"AAAAAF6r6Rw=")</f>
        <v>#REF!</v>
      </c>
      <c r="AD2" t="e">
        <f>AND(#REF!,"AAAAAF6r6R0=")</f>
        <v>#REF!</v>
      </c>
      <c r="AE2" t="e">
        <f>AND(#REF!,"AAAAAF6r6R4=")</f>
        <v>#REF!</v>
      </c>
      <c r="AF2" t="e">
        <f>AND(#REF!,"AAAAAF6r6R8=")</f>
        <v>#REF!</v>
      </c>
      <c r="AG2" t="e">
        <f>AND(#REF!,"AAAAAF6r6SA=")</f>
        <v>#REF!</v>
      </c>
      <c r="AH2" t="e">
        <f>AND(#REF!,"AAAAAF6r6SE=")</f>
        <v>#REF!</v>
      </c>
      <c r="AI2" t="e">
        <f>AND(#REF!,"AAAAAF6r6SI=")</f>
        <v>#REF!</v>
      </c>
      <c r="AJ2" t="e">
        <f>AND(#REF!,"AAAAAF6r6SM=")</f>
        <v>#REF!</v>
      </c>
      <c r="AK2" t="e">
        <f>AND(#REF!,"AAAAAF6r6SQ=")</f>
        <v>#REF!</v>
      </c>
      <c r="AL2" t="e">
        <f>AND(#REF!,"AAAAAF6r6SU=")</f>
        <v>#REF!</v>
      </c>
      <c r="AM2" t="e">
        <f>AND(#REF!,"AAAAAF6r6SY=")</f>
        <v>#REF!</v>
      </c>
      <c r="AN2" t="e">
        <f>AND(#REF!,"AAAAAF6r6Sc=")</f>
        <v>#REF!</v>
      </c>
      <c r="AO2" t="e">
        <f>AND(#REF!,"AAAAAF6r6Sg=")</f>
        <v>#REF!</v>
      </c>
      <c r="AP2" t="e">
        <f>AND(#REF!,"AAAAAF6r6Sk=")</f>
        <v>#REF!</v>
      </c>
      <c r="AQ2" t="e">
        <f>AND(#REF!,"AAAAAF6r6So=")</f>
        <v>#REF!</v>
      </c>
      <c r="AR2" t="e">
        <f>IF(#REF!,"AAAAAF6r6Ss=",0)</f>
        <v>#REF!</v>
      </c>
      <c r="AS2" t="e">
        <f>AND(#REF!,"AAAAAF6r6Sw=")</f>
        <v>#REF!</v>
      </c>
      <c r="AT2" t="e">
        <f>AND(#REF!,"AAAAAF6r6S0=")</f>
        <v>#REF!</v>
      </c>
      <c r="AU2" t="e">
        <f>AND(#REF!,"AAAAAF6r6S4=")</f>
        <v>#REF!</v>
      </c>
      <c r="AV2" t="e">
        <f>AND(#REF!,"AAAAAF6r6S8=")</f>
        <v>#REF!</v>
      </c>
      <c r="AW2" t="e">
        <f>AND(#REF!,"AAAAAF6r6TA=")</f>
        <v>#REF!</v>
      </c>
      <c r="AX2" t="e">
        <f>AND(#REF!,"AAAAAF6r6TE=")</f>
        <v>#REF!</v>
      </c>
      <c r="AY2" t="e">
        <f>AND(#REF!,"AAAAAF6r6TI=")</f>
        <v>#REF!</v>
      </c>
      <c r="AZ2" t="e">
        <f>AND(#REF!,"AAAAAF6r6TM=")</f>
        <v>#REF!</v>
      </c>
      <c r="BA2" t="e">
        <f>AND(#REF!,"AAAAAF6r6TQ=")</f>
        <v>#REF!</v>
      </c>
      <c r="BB2" t="e">
        <f>AND(#REF!,"AAAAAF6r6TU=")</f>
        <v>#REF!</v>
      </c>
      <c r="BC2" t="e">
        <f>AND(#REF!,"AAAAAF6r6TY=")</f>
        <v>#REF!</v>
      </c>
      <c r="BD2" t="e">
        <f>AND(#REF!,"AAAAAF6r6Tc=")</f>
        <v>#REF!</v>
      </c>
      <c r="BE2" t="e">
        <f>AND(#REF!,"AAAAAF6r6Tg=")</f>
        <v>#REF!</v>
      </c>
      <c r="BF2" t="e">
        <f>AND(#REF!,"AAAAAF6r6Tk=")</f>
        <v>#REF!</v>
      </c>
      <c r="BG2" t="e">
        <f>AND(#REF!,"AAAAAF6r6To=")</f>
        <v>#REF!</v>
      </c>
      <c r="BH2" t="e">
        <f>AND(#REF!,"AAAAAF6r6Ts=")</f>
        <v>#REF!</v>
      </c>
      <c r="BI2" t="e">
        <f>AND(#REF!,"AAAAAF6r6Tw=")</f>
        <v>#REF!</v>
      </c>
      <c r="BJ2" t="e">
        <f>AND(#REF!,"AAAAAF6r6T0=")</f>
        <v>#REF!</v>
      </c>
      <c r="BK2" t="e">
        <f>AND(#REF!,"AAAAAF6r6T4=")</f>
        <v>#REF!</v>
      </c>
      <c r="BL2" t="e">
        <f>AND(#REF!,"AAAAAF6r6T8=")</f>
        <v>#REF!</v>
      </c>
      <c r="BM2" t="e">
        <f>AND(#REF!,"AAAAAF6r6UA=")</f>
        <v>#REF!</v>
      </c>
      <c r="BN2" t="e">
        <f>AND(#REF!,"AAAAAF6r6UE=")</f>
        <v>#REF!</v>
      </c>
      <c r="BO2" t="e">
        <f>IF(#REF!,"AAAAAF6r6UI=",0)</f>
        <v>#REF!</v>
      </c>
      <c r="BP2" t="e">
        <f>AND(#REF!,"AAAAAF6r6UM=")</f>
        <v>#REF!</v>
      </c>
      <c r="BQ2" t="e">
        <f>AND(#REF!,"AAAAAF6r6UQ=")</f>
        <v>#REF!</v>
      </c>
      <c r="BR2" t="e">
        <f>AND(#REF!,"AAAAAF6r6UU=")</f>
        <v>#REF!</v>
      </c>
      <c r="BS2" t="e">
        <f>AND(#REF!,"AAAAAF6r6UY=")</f>
        <v>#REF!</v>
      </c>
      <c r="BT2" t="e">
        <f>AND(#REF!,"AAAAAF6r6Uc=")</f>
        <v>#REF!</v>
      </c>
      <c r="BU2" t="e">
        <f>AND(#REF!,"AAAAAF6r6Ug=")</f>
        <v>#REF!</v>
      </c>
      <c r="BV2" t="e">
        <f>AND(#REF!,"AAAAAF6r6Uk=")</f>
        <v>#REF!</v>
      </c>
      <c r="BW2" t="e">
        <f>AND(#REF!,"AAAAAF6r6Uo=")</f>
        <v>#REF!</v>
      </c>
      <c r="BX2" t="e">
        <f>AND(#REF!,"AAAAAF6r6Us=")</f>
        <v>#REF!</v>
      </c>
      <c r="BY2" t="e">
        <f>AND(#REF!,"AAAAAF6r6Uw=")</f>
        <v>#REF!</v>
      </c>
      <c r="BZ2" t="e">
        <f>AND(#REF!,"AAAAAF6r6U0=")</f>
        <v>#REF!</v>
      </c>
      <c r="CA2" t="e">
        <f>AND(#REF!,"AAAAAF6r6U4=")</f>
        <v>#REF!</v>
      </c>
      <c r="CB2" t="e">
        <f>AND(#REF!,"AAAAAF6r6U8=")</f>
        <v>#REF!</v>
      </c>
      <c r="CC2" t="e">
        <f>AND(#REF!,"AAAAAF6r6VA=")</f>
        <v>#REF!</v>
      </c>
      <c r="CD2" t="e">
        <f>AND(#REF!,"AAAAAF6r6VE=")</f>
        <v>#REF!</v>
      </c>
      <c r="CE2" t="e">
        <f>AND(#REF!,"AAAAAF6r6VI=")</f>
        <v>#REF!</v>
      </c>
      <c r="CF2" t="e">
        <f>AND(#REF!,"AAAAAF6r6VM=")</f>
        <v>#REF!</v>
      </c>
      <c r="CG2" t="e">
        <f>AND(#REF!,"AAAAAF6r6VQ=")</f>
        <v>#REF!</v>
      </c>
      <c r="CH2" t="e">
        <f>AND(#REF!,"AAAAAF6r6VU=")</f>
        <v>#REF!</v>
      </c>
      <c r="CI2" t="e">
        <f>AND(#REF!,"AAAAAF6r6VY=")</f>
        <v>#REF!</v>
      </c>
      <c r="CJ2" t="e">
        <f>AND(#REF!,"AAAAAF6r6Vc=")</f>
        <v>#REF!</v>
      </c>
      <c r="CK2" t="e">
        <f>AND(#REF!,"AAAAAF6r6Vg=")</f>
        <v>#REF!</v>
      </c>
      <c r="CL2" t="e">
        <f>IF(#REF!,"AAAAAF6r6Vk=",0)</f>
        <v>#REF!</v>
      </c>
      <c r="CM2" t="e">
        <f>AND(#REF!,"AAAAAF6r6Vo=")</f>
        <v>#REF!</v>
      </c>
      <c r="CN2" t="e">
        <f>AND(#REF!,"AAAAAF6r6Vs=")</f>
        <v>#REF!</v>
      </c>
      <c r="CO2" t="e">
        <f>AND(#REF!,"AAAAAF6r6Vw=")</f>
        <v>#REF!</v>
      </c>
      <c r="CP2" t="e">
        <f>AND(#REF!,"AAAAAF6r6V0=")</f>
        <v>#REF!</v>
      </c>
      <c r="CQ2" t="e">
        <f>AND(#REF!,"AAAAAF6r6V4=")</f>
        <v>#REF!</v>
      </c>
      <c r="CR2" t="e">
        <f>AND(#REF!,"AAAAAF6r6V8=")</f>
        <v>#REF!</v>
      </c>
      <c r="CS2" t="e">
        <f>AND(#REF!,"AAAAAF6r6WA=")</f>
        <v>#REF!</v>
      </c>
      <c r="CT2" t="e">
        <f>AND(#REF!,"AAAAAF6r6WE=")</f>
        <v>#REF!</v>
      </c>
      <c r="CU2" t="e">
        <f>AND(#REF!,"AAAAAF6r6WI=")</f>
        <v>#REF!</v>
      </c>
      <c r="CV2" t="e">
        <f>AND(#REF!,"AAAAAF6r6WM=")</f>
        <v>#REF!</v>
      </c>
      <c r="CW2" t="e">
        <f>AND(#REF!,"AAAAAF6r6WQ=")</f>
        <v>#REF!</v>
      </c>
      <c r="CX2" t="e">
        <f>AND(#REF!,"AAAAAF6r6WU=")</f>
        <v>#REF!</v>
      </c>
      <c r="CY2" t="e">
        <f>AND(#REF!,"AAAAAF6r6WY=")</f>
        <v>#REF!</v>
      </c>
      <c r="CZ2" t="e">
        <f>AND(#REF!,"AAAAAF6r6Wc=")</f>
        <v>#REF!</v>
      </c>
      <c r="DA2" t="e">
        <f>AND(#REF!,"AAAAAF6r6Wg=")</f>
        <v>#REF!</v>
      </c>
      <c r="DB2" t="e">
        <f>AND(#REF!,"AAAAAF6r6Wk=")</f>
        <v>#REF!</v>
      </c>
      <c r="DC2" t="e">
        <f>AND(#REF!,"AAAAAF6r6Wo=")</f>
        <v>#REF!</v>
      </c>
      <c r="DD2" t="e">
        <f>AND(#REF!,"AAAAAF6r6Ws=")</f>
        <v>#REF!</v>
      </c>
      <c r="DE2" t="e">
        <f>AND(#REF!,"AAAAAF6r6Ww=")</f>
        <v>#REF!</v>
      </c>
      <c r="DF2" t="e">
        <f>AND(#REF!,"AAAAAF6r6W0=")</f>
        <v>#REF!</v>
      </c>
      <c r="DG2" t="e">
        <f>AND(#REF!,"AAAAAF6r6W4=")</f>
        <v>#REF!</v>
      </c>
      <c r="DH2" t="e">
        <f>AND(#REF!,"AAAAAF6r6W8=")</f>
        <v>#REF!</v>
      </c>
      <c r="DI2" t="e">
        <f>IF(#REF!,"AAAAAF6r6XA=",0)</f>
        <v>#REF!</v>
      </c>
      <c r="DJ2" t="e">
        <f>AND(#REF!,"AAAAAF6r6XE=")</f>
        <v>#REF!</v>
      </c>
      <c r="DK2" t="e">
        <f>AND(#REF!,"AAAAAF6r6XI=")</f>
        <v>#REF!</v>
      </c>
      <c r="DL2" t="e">
        <f>AND(#REF!,"AAAAAF6r6XM=")</f>
        <v>#REF!</v>
      </c>
      <c r="DM2" t="e">
        <f>AND(#REF!,"AAAAAF6r6XQ=")</f>
        <v>#REF!</v>
      </c>
      <c r="DN2" t="e">
        <f>AND(#REF!,"AAAAAF6r6XU=")</f>
        <v>#REF!</v>
      </c>
      <c r="DO2" t="e">
        <f>AND(#REF!,"AAAAAF6r6XY=")</f>
        <v>#REF!</v>
      </c>
      <c r="DP2" t="e">
        <f>AND(#REF!,"AAAAAF6r6Xc=")</f>
        <v>#REF!</v>
      </c>
      <c r="DQ2" t="e">
        <f>AND(#REF!,"AAAAAF6r6Xg=")</f>
        <v>#REF!</v>
      </c>
      <c r="DR2" t="e">
        <f>AND(#REF!,"AAAAAF6r6Xk=")</f>
        <v>#REF!</v>
      </c>
      <c r="DS2" t="e">
        <f>AND(#REF!,"AAAAAF6r6Xo=")</f>
        <v>#REF!</v>
      </c>
      <c r="DT2" t="e">
        <f>AND(#REF!,"AAAAAF6r6Xs=")</f>
        <v>#REF!</v>
      </c>
      <c r="DU2" t="e">
        <f>AND(#REF!,"AAAAAF6r6Xw=")</f>
        <v>#REF!</v>
      </c>
      <c r="DV2" t="e">
        <f>AND(#REF!,"AAAAAF6r6X0=")</f>
        <v>#REF!</v>
      </c>
      <c r="DW2" t="e">
        <f>AND(#REF!,"AAAAAF6r6X4=")</f>
        <v>#REF!</v>
      </c>
      <c r="DX2" t="e">
        <f>AND(#REF!,"AAAAAF6r6X8=")</f>
        <v>#REF!</v>
      </c>
      <c r="DY2" t="e">
        <f>AND(#REF!,"AAAAAF6r6YA=")</f>
        <v>#REF!</v>
      </c>
      <c r="DZ2" t="e">
        <f>AND(#REF!,"AAAAAF6r6YE=")</f>
        <v>#REF!</v>
      </c>
      <c r="EA2" t="e">
        <f>AND(#REF!,"AAAAAF6r6YI=")</f>
        <v>#REF!</v>
      </c>
      <c r="EB2" t="e">
        <f>AND(#REF!,"AAAAAF6r6YM=")</f>
        <v>#REF!</v>
      </c>
      <c r="EC2" t="e">
        <f>AND(#REF!,"AAAAAF6r6YQ=")</f>
        <v>#REF!</v>
      </c>
      <c r="ED2" t="e">
        <f>AND(#REF!,"AAAAAF6r6YU=")</f>
        <v>#REF!</v>
      </c>
      <c r="EE2" t="e">
        <f>AND(#REF!,"AAAAAF6r6YY=")</f>
        <v>#REF!</v>
      </c>
      <c r="EF2" t="e">
        <f>IF(#REF!,"AAAAAF6r6Yc=",0)</f>
        <v>#REF!</v>
      </c>
      <c r="EG2" t="e">
        <f>AND(#REF!,"AAAAAF6r6Yg=")</f>
        <v>#REF!</v>
      </c>
      <c r="EH2" t="e">
        <f>AND(#REF!,"AAAAAF6r6Yk=")</f>
        <v>#REF!</v>
      </c>
      <c r="EI2" t="e">
        <f>AND(#REF!,"AAAAAF6r6Yo=")</f>
        <v>#REF!</v>
      </c>
      <c r="EJ2" t="e">
        <f>AND(#REF!,"AAAAAF6r6Ys=")</f>
        <v>#REF!</v>
      </c>
      <c r="EK2" t="e">
        <f>AND(#REF!,"AAAAAF6r6Yw=")</f>
        <v>#REF!</v>
      </c>
      <c r="EL2" t="e">
        <f>AND(#REF!,"AAAAAF6r6Y0=")</f>
        <v>#REF!</v>
      </c>
      <c r="EM2" t="e">
        <f>AND(#REF!,"AAAAAF6r6Y4=")</f>
        <v>#REF!</v>
      </c>
      <c r="EN2" t="e">
        <f>AND(#REF!,"AAAAAF6r6Y8=")</f>
        <v>#REF!</v>
      </c>
      <c r="EO2" t="e">
        <f>AND(#REF!,"AAAAAF6r6ZA=")</f>
        <v>#REF!</v>
      </c>
      <c r="EP2" t="e">
        <f>AND(#REF!,"AAAAAF6r6ZE=")</f>
        <v>#REF!</v>
      </c>
      <c r="EQ2" t="e">
        <f>AND(#REF!,"AAAAAF6r6ZI=")</f>
        <v>#REF!</v>
      </c>
      <c r="ER2" t="e">
        <f>AND(#REF!,"AAAAAF6r6ZM=")</f>
        <v>#REF!</v>
      </c>
      <c r="ES2" t="e">
        <f>AND(#REF!,"AAAAAF6r6ZQ=")</f>
        <v>#REF!</v>
      </c>
      <c r="ET2" t="e">
        <f>AND(#REF!,"AAAAAF6r6ZU=")</f>
        <v>#REF!</v>
      </c>
      <c r="EU2" t="e">
        <f>AND(#REF!,"AAAAAF6r6ZY=")</f>
        <v>#REF!</v>
      </c>
      <c r="EV2" t="e">
        <f>AND(#REF!,"AAAAAF6r6Zc=")</f>
        <v>#REF!</v>
      </c>
      <c r="EW2" t="e">
        <f>AND(#REF!,"AAAAAF6r6Zg=")</f>
        <v>#REF!</v>
      </c>
      <c r="EX2" t="e">
        <f>AND(#REF!,"AAAAAF6r6Zk=")</f>
        <v>#REF!</v>
      </c>
      <c r="EY2" t="e">
        <f>AND(#REF!,"AAAAAF6r6Zo=")</f>
        <v>#REF!</v>
      </c>
      <c r="EZ2" t="e">
        <f>AND(#REF!,"AAAAAF6r6Zs=")</f>
        <v>#REF!</v>
      </c>
      <c r="FA2" t="e">
        <f>AND(#REF!,"AAAAAF6r6Zw=")</f>
        <v>#REF!</v>
      </c>
      <c r="FB2" t="e">
        <f>AND(#REF!,"AAAAAF6r6Z0=")</f>
        <v>#REF!</v>
      </c>
      <c r="FC2" t="e">
        <f>IF(#REF!,"AAAAAF6r6Z4=",0)</f>
        <v>#REF!</v>
      </c>
      <c r="FD2" t="e">
        <f>AND(#REF!,"AAAAAF6r6Z8=")</f>
        <v>#REF!</v>
      </c>
      <c r="FE2" t="e">
        <f>AND(#REF!,"AAAAAF6r6aA=")</f>
        <v>#REF!</v>
      </c>
      <c r="FF2" t="e">
        <f>AND(#REF!,"AAAAAF6r6aE=")</f>
        <v>#REF!</v>
      </c>
      <c r="FG2" t="e">
        <f>AND(#REF!,"AAAAAF6r6aI=")</f>
        <v>#REF!</v>
      </c>
      <c r="FH2" t="e">
        <f>AND(#REF!,"AAAAAF6r6aM=")</f>
        <v>#REF!</v>
      </c>
      <c r="FI2" t="e">
        <f>AND(#REF!,"AAAAAF6r6aQ=")</f>
        <v>#REF!</v>
      </c>
      <c r="FJ2" t="e">
        <f>AND(#REF!,"AAAAAF6r6aU=")</f>
        <v>#REF!</v>
      </c>
      <c r="FK2" t="e">
        <f>AND(#REF!,"AAAAAF6r6aY=")</f>
        <v>#REF!</v>
      </c>
      <c r="FL2" t="e">
        <f>AND(#REF!,"AAAAAF6r6ac=")</f>
        <v>#REF!</v>
      </c>
      <c r="FM2" t="e">
        <f>AND(#REF!,"AAAAAF6r6ag=")</f>
        <v>#REF!</v>
      </c>
      <c r="FN2" t="e">
        <f>AND(#REF!,"AAAAAF6r6ak=")</f>
        <v>#REF!</v>
      </c>
      <c r="FO2" t="e">
        <f>AND(#REF!,"AAAAAF6r6ao=")</f>
        <v>#REF!</v>
      </c>
      <c r="FP2" t="e">
        <f>AND(#REF!,"AAAAAF6r6as=")</f>
        <v>#REF!</v>
      </c>
      <c r="FQ2" t="e">
        <f>AND(#REF!,"AAAAAF6r6aw=")</f>
        <v>#REF!</v>
      </c>
      <c r="FR2" t="e">
        <f>AND(#REF!,"AAAAAF6r6a0=")</f>
        <v>#REF!</v>
      </c>
      <c r="FS2" t="e">
        <f>AND(#REF!,"AAAAAF6r6a4=")</f>
        <v>#REF!</v>
      </c>
      <c r="FT2" t="e">
        <f>AND(#REF!,"AAAAAF6r6a8=")</f>
        <v>#REF!</v>
      </c>
      <c r="FU2" t="e">
        <f>AND(#REF!,"AAAAAF6r6bA=")</f>
        <v>#REF!</v>
      </c>
      <c r="FV2" t="e">
        <f>AND(#REF!,"AAAAAF6r6bE=")</f>
        <v>#REF!</v>
      </c>
      <c r="FW2" t="e">
        <f>AND(#REF!,"AAAAAF6r6bI=")</f>
        <v>#REF!</v>
      </c>
      <c r="FX2" t="e">
        <f>AND(#REF!,"AAAAAF6r6bM=")</f>
        <v>#REF!</v>
      </c>
      <c r="FY2" t="e">
        <f>AND(#REF!,"AAAAAF6r6bQ=")</f>
        <v>#REF!</v>
      </c>
      <c r="FZ2" t="e">
        <f>IF(#REF!,"AAAAAF6r6bU=",0)</f>
        <v>#REF!</v>
      </c>
      <c r="GA2" t="e">
        <f>AND(#REF!,"AAAAAF6r6bY=")</f>
        <v>#REF!</v>
      </c>
      <c r="GB2" t="e">
        <f>AND(#REF!,"AAAAAF6r6bc=")</f>
        <v>#REF!</v>
      </c>
      <c r="GC2" t="e">
        <f>AND(#REF!,"AAAAAF6r6bg=")</f>
        <v>#REF!</v>
      </c>
      <c r="GD2" t="e">
        <f>AND(#REF!,"AAAAAF6r6bk=")</f>
        <v>#REF!</v>
      </c>
      <c r="GE2" t="e">
        <f>AND(#REF!,"AAAAAF6r6bo=")</f>
        <v>#REF!</v>
      </c>
      <c r="GF2" t="e">
        <f>AND(#REF!,"AAAAAF6r6bs=")</f>
        <v>#REF!</v>
      </c>
      <c r="GG2" t="e">
        <f>AND(#REF!,"AAAAAF6r6bw=")</f>
        <v>#REF!</v>
      </c>
      <c r="GH2" t="e">
        <f>AND(#REF!,"AAAAAF6r6b0=")</f>
        <v>#REF!</v>
      </c>
      <c r="GI2" t="e">
        <f>AND(#REF!,"AAAAAF6r6b4=")</f>
        <v>#REF!</v>
      </c>
      <c r="GJ2" t="e">
        <f>AND(#REF!,"AAAAAF6r6b8=")</f>
        <v>#REF!</v>
      </c>
      <c r="GK2" t="e">
        <f>AND(#REF!,"AAAAAF6r6cA=")</f>
        <v>#REF!</v>
      </c>
      <c r="GL2" t="e">
        <f>AND(#REF!,"AAAAAF6r6cE=")</f>
        <v>#REF!</v>
      </c>
      <c r="GM2" t="e">
        <f>AND(#REF!,"AAAAAF6r6cI=")</f>
        <v>#REF!</v>
      </c>
      <c r="GN2" t="e">
        <f>AND(#REF!,"AAAAAF6r6cM=")</f>
        <v>#REF!</v>
      </c>
      <c r="GO2" t="e">
        <f>AND(#REF!,"AAAAAF6r6cQ=")</f>
        <v>#REF!</v>
      </c>
      <c r="GP2" t="e">
        <f>AND(#REF!,"AAAAAF6r6cU=")</f>
        <v>#REF!</v>
      </c>
      <c r="GQ2" t="e">
        <f>AND(#REF!,"AAAAAF6r6cY=")</f>
        <v>#REF!</v>
      </c>
      <c r="GR2" t="e">
        <f>AND(#REF!,"AAAAAF6r6cc=")</f>
        <v>#REF!</v>
      </c>
      <c r="GS2" t="e">
        <f>AND(#REF!,"AAAAAF6r6cg=")</f>
        <v>#REF!</v>
      </c>
      <c r="GT2" t="e">
        <f>AND(#REF!,"AAAAAF6r6ck=")</f>
        <v>#REF!</v>
      </c>
      <c r="GU2" t="e">
        <f>AND(#REF!,"AAAAAF6r6co=")</f>
        <v>#REF!</v>
      </c>
      <c r="GV2" t="e">
        <f>AND(#REF!,"AAAAAF6r6cs=")</f>
        <v>#REF!</v>
      </c>
      <c r="GW2" t="e">
        <f>IF(#REF!,"AAAAAF6r6cw=",0)</f>
        <v>#REF!</v>
      </c>
      <c r="GX2" t="e">
        <f>AND(#REF!,"AAAAAF6r6c0=")</f>
        <v>#REF!</v>
      </c>
      <c r="GY2" t="e">
        <f>AND(#REF!,"AAAAAF6r6c4=")</f>
        <v>#REF!</v>
      </c>
      <c r="GZ2" t="e">
        <f>AND(#REF!,"AAAAAF6r6c8=")</f>
        <v>#REF!</v>
      </c>
      <c r="HA2" t="e">
        <f>AND(#REF!,"AAAAAF6r6dA=")</f>
        <v>#REF!</v>
      </c>
      <c r="HB2" t="e">
        <f>AND(#REF!,"AAAAAF6r6dE=")</f>
        <v>#REF!</v>
      </c>
      <c r="HC2" t="e">
        <f>AND(#REF!,"AAAAAF6r6dI=")</f>
        <v>#REF!</v>
      </c>
      <c r="HD2" t="e">
        <f>AND(#REF!,"AAAAAF6r6dM=")</f>
        <v>#REF!</v>
      </c>
      <c r="HE2" t="e">
        <f>AND(#REF!,"AAAAAF6r6dQ=")</f>
        <v>#REF!</v>
      </c>
      <c r="HF2" t="e">
        <f>AND(#REF!,"AAAAAF6r6dU=")</f>
        <v>#REF!</v>
      </c>
      <c r="HG2" t="e">
        <f>AND(#REF!,"AAAAAF6r6dY=")</f>
        <v>#REF!</v>
      </c>
      <c r="HH2" t="e">
        <f>AND(#REF!,"AAAAAF6r6dc=")</f>
        <v>#REF!</v>
      </c>
      <c r="HI2" t="e">
        <f>AND(#REF!,"AAAAAF6r6dg=")</f>
        <v>#REF!</v>
      </c>
      <c r="HJ2" t="e">
        <f>AND(#REF!,"AAAAAF6r6dk=")</f>
        <v>#REF!</v>
      </c>
      <c r="HK2" t="e">
        <f>AND(#REF!,"AAAAAF6r6do=")</f>
        <v>#REF!</v>
      </c>
      <c r="HL2" t="e">
        <f>AND(#REF!,"AAAAAF6r6ds=")</f>
        <v>#REF!</v>
      </c>
      <c r="HM2" t="e">
        <f>AND(#REF!,"AAAAAF6r6dw=")</f>
        <v>#REF!</v>
      </c>
      <c r="HN2" t="e">
        <f>AND(#REF!,"AAAAAF6r6d0=")</f>
        <v>#REF!</v>
      </c>
      <c r="HO2" t="e">
        <f>AND(#REF!,"AAAAAF6r6d4=")</f>
        <v>#REF!</v>
      </c>
      <c r="HP2" t="e">
        <f>AND(#REF!,"AAAAAF6r6d8=")</f>
        <v>#REF!</v>
      </c>
      <c r="HQ2" t="e">
        <f>AND(#REF!,"AAAAAF6r6eA=")</f>
        <v>#REF!</v>
      </c>
      <c r="HR2" t="e">
        <f>AND(#REF!,"AAAAAF6r6eE=")</f>
        <v>#REF!</v>
      </c>
      <c r="HS2" t="e">
        <f>AND(#REF!,"AAAAAF6r6eI=")</f>
        <v>#REF!</v>
      </c>
      <c r="HT2" t="e">
        <f>IF(#REF!,"AAAAAF6r6eM=",0)</f>
        <v>#REF!</v>
      </c>
      <c r="HU2" t="e">
        <f>AND(#REF!,"AAAAAF6r6eQ=")</f>
        <v>#REF!</v>
      </c>
      <c r="HV2" t="e">
        <f>AND(#REF!,"AAAAAF6r6eU=")</f>
        <v>#REF!</v>
      </c>
      <c r="HW2" t="e">
        <f>AND(#REF!,"AAAAAF6r6eY=")</f>
        <v>#REF!</v>
      </c>
      <c r="HX2" t="e">
        <f>AND(#REF!,"AAAAAF6r6ec=")</f>
        <v>#REF!</v>
      </c>
      <c r="HY2" t="e">
        <f>AND(#REF!,"AAAAAF6r6eg=")</f>
        <v>#REF!</v>
      </c>
      <c r="HZ2" t="e">
        <f>AND(#REF!,"AAAAAF6r6ek=")</f>
        <v>#REF!</v>
      </c>
      <c r="IA2" t="e">
        <f>AND(#REF!,"AAAAAF6r6eo=")</f>
        <v>#REF!</v>
      </c>
      <c r="IB2" t="e">
        <f>AND(#REF!,"AAAAAF6r6es=")</f>
        <v>#REF!</v>
      </c>
      <c r="IC2" t="e">
        <f>AND(#REF!,"AAAAAF6r6ew=")</f>
        <v>#REF!</v>
      </c>
      <c r="ID2" t="e">
        <f>AND(#REF!,"AAAAAF6r6e0=")</f>
        <v>#REF!</v>
      </c>
      <c r="IE2" t="e">
        <f>AND(#REF!,"AAAAAF6r6e4=")</f>
        <v>#REF!</v>
      </c>
      <c r="IF2" t="e">
        <f>AND(#REF!,"AAAAAF6r6e8=")</f>
        <v>#REF!</v>
      </c>
      <c r="IG2" t="e">
        <f>AND(#REF!,"AAAAAF6r6fA=")</f>
        <v>#REF!</v>
      </c>
      <c r="IH2" t="e">
        <f>AND(#REF!,"AAAAAF6r6fE=")</f>
        <v>#REF!</v>
      </c>
      <c r="II2" t="e">
        <f>AND(#REF!,"AAAAAF6r6fI=")</f>
        <v>#REF!</v>
      </c>
      <c r="IJ2" t="e">
        <f>AND(#REF!,"AAAAAF6r6fM=")</f>
        <v>#REF!</v>
      </c>
      <c r="IK2" t="e">
        <f>AND(#REF!,"AAAAAF6r6fQ=")</f>
        <v>#REF!</v>
      </c>
      <c r="IL2" t="e">
        <f>AND(#REF!,"AAAAAF6r6fU=")</f>
        <v>#REF!</v>
      </c>
      <c r="IM2" t="e">
        <f>AND(#REF!,"AAAAAF6r6fY=")</f>
        <v>#REF!</v>
      </c>
      <c r="IN2" t="e">
        <f>AND(#REF!,"AAAAAF6r6fc=")</f>
        <v>#REF!</v>
      </c>
      <c r="IO2" t="e">
        <f>AND(#REF!,"AAAAAF6r6fg=")</f>
        <v>#REF!</v>
      </c>
      <c r="IP2" t="e">
        <f>AND(#REF!,"AAAAAF6r6fk=")</f>
        <v>#REF!</v>
      </c>
      <c r="IQ2" t="e">
        <f>IF(#REF!,"AAAAAF6r6fo=",0)</f>
        <v>#REF!</v>
      </c>
      <c r="IR2" t="e">
        <f>AND(#REF!,"AAAAAF6r6fs=")</f>
        <v>#REF!</v>
      </c>
      <c r="IS2" t="e">
        <f>AND(#REF!,"AAAAAF6r6fw=")</f>
        <v>#REF!</v>
      </c>
      <c r="IT2" t="e">
        <f>AND(#REF!,"AAAAAF6r6f0=")</f>
        <v>#REF!</v>
      </c>
      <c r="IU2" t="e">
        <f>AND(#REF!,"AAAAAF6r6f4=")</f>
        <v>#REF!</v>
      </c>
      <c r="IV2" t="e">
        <f>AND(#REF!,"AAAAAF6r6f8=")</f>
        <v>#REF!</v>
      </c>
    </row>
    <row r="3" spans="1:256" x14ac:dyDescent="0.2">
      <c r="A3" t="e">
        <f>AND(#REF!,"AAAAAHzt/wA=")</f>
        <v>#REF!</v>
      </c>
      <c r="B3" t="e">
        <f>AND(#REF!,"AAAAAHzt/wE=")</f>
        <v>#REF!</v>
      </c>
      <c r="C3" t="e">
        <f>AND(#REF!,"AAAAAHzt/wI=")</f>
        <v>#REF!</v>
      </c>
      <c r="D3" t="e">
        <f>AND(#REF!,"AAAAAHzt/wM=")</f>
        <v>#REF!</v>
      </c>
      <c r="E3" t="e">
        <f>AND(#REF!,"AAAAAHzt/wQ=")</f>
        <v>#REF!</v>
      </c>
      <c r="F3" t="e">
        <f>AND(#REF!,"AAAAAHzt/wU=")</f>
        <v>#REF!</v>
      </c>
      <c r="G3" t="e">
        <f>AND(#REF!,"AAAAAHzt/wY=")</f>
        <v>#REF!</v>
      </c>
      <c r="H3" t="e">
        <f>AND(#REF!,"AAAAAHzt/wc=")</f>
        <v>#REF!</v>
      </c>
      <c r="I3" t="e">
        <f>AND(#REF!,"AAAAAHzt/wg=")</f>
        <v>#REF!</v>
      </c>
      <c r="J3" t="e">
        <f>AND(#REF!,"AAAAAHzt/wk=")</f>
        <v>#REF!</v>
      </c>
      <c r="K3" t="e">
        <f>AND(#REF!,"AAAAAHzt/wo=")</f>
        <v>#REF!</v>
      </c>
      <c r="L3" t="e">
        <f>AND(#REF!,"AAAAAHzt/ws=")</f>
        <v>#REF!</v>
      </c>
      <c r="M3" t="e">
        <f>AND(#REF!,"AAAAAHzt/ww=")</f>
        <v>#REF!</v>
      </c>
      <c r="N3" t="e">
        <f>AND(#REF!,"AAAAAHzt/w0=")</f>
        <v>#REF!</v>
      </c>
      <c r="O3" t="e">
        <f>AND(#REF!,"AAAAAHzt/w4=")</f>
        <v>#REF!</v>
      </c>
      <c r="P3" t="e">
        <f>AND(#REF!,"AAAAAHzt/w8=")</f>
        <v>#REF!</v>
      </c>
      <c r="Q3" t="e">
        <f>AND(#REF!,"AAAAAHzt/xA=")</f>
        <v>#REF!</v>
      </c>
      <c r="R3" t="e">
        <f>IF(#REF!,"AAAAAHzt/xE=",0)</f>
        <v>#REF!</v>
      </c>
      <c r="S3" t="e">
        <f>AND(#REF!,"AAAAAHzt/xI=")</f>
        <v>#REF!</v>
      </c>
      <c r="T3" t="e">
        <f>AND(#REF!,"AAAAAHzt/xM=")</f>
        <v>#REF!</v>
      </c>
      <c r="U3" t="e">
        <f>AND(#REF!,"AAAAAHzt/xQ=")</f>
        <v>#REF!</v>
      </c>
      <c r="V3" t="e">
        <f>AND(#REF!,"AAAAAHzt/xU=")</f>
        <v>#REF!</v>
      </c>
      <c r="W3" t="e">
        <f>AND(#REF!,"AAAAAHzt/xY=")</f>
        <v>#REF!</v>
      </c>
      <c r="X3" t="e">
        <f>AND(#REF!,"AAAAAHzt/xc=")</f>
        <v>#REF!</v>
      </c>
      <c r="Y3" t="e">
        <f>AND(#REF!,"AAAAAHzt/xg=")</f>
        <v>#REF!</v>
      </c>
      <c r="Z3" t="e">
        <f>AND(#REF!,"AAAAAHzt/xk=")</f>
        <v>#REF!</v>
      </c>
      <c r="AA3" t="e">
        <f>AND(#REF!,"AAAAAHzt/xo=")</f>
        <v>#REF!</v>
      </c>
      <c r="AB3" t="e">
        <f>AND(#REF!,"AAAAAHzt/xs=")</f>
        <v>#REF!</v>
      </c>
      <c r="AC3" t="e">
        <f>AND(#REF!,"AAAAAHzt/xw=")</f>
        <v>#REF!</v>
      </c>
      <c r="AD3" t="e">
        <f>AND(#REF!,"AAAAAHzt/x0=")</f>
        <v>#REF!</v>
      </c>
      <c r="AE3" t="e">
        <f>AND(#REF!,"AAAAAHzt/x4=")</f>
        <v>#REF!</v>
      </c>
      <c r="AF3" t="e">
        <f>AND(#REF!,"AAAAAHzt/x8=")</f>
        <v>#REF!</v>
      </c>
      <c r="AG3" t="e">
        <f>AND(#REF!,"AAAAAHzt/yA=")</f>
        <v>#REF!</v>
      </c>
      <c r="AH3" t="e">
        <f>AND(#REF!,"AAAAAHzt/yE=")</f>
        <v>#REF!</v>
      </c>
      <c r="AI3" t="e">
        <f>AND(#REF!,"AAAAAHzt/yI=")</f>
        <v>#REF!</v>
      </c>
      <c r="AJ3" t="e">
        <f>AND(#REF!,"AAAAAHzt/yM=")</f>
        <v>#REF!</v>
      </c>
      <c r="AK3" t="e">
        <f>AND(#REF!,"AAAAAHzt/yQ=")</f>
        <v>#REF!</v>
      </c>
      <c r="AL3" t="e">
        <f>AND(#REF!,"AAAAAHzt/yU=")</f>
        <v>#REF!</v>
      </c>
      <c r="AM3" t="e">
        <f>AND(#REF!,"AAAAAHzt/yY=")</f>
        <v>#REF!</v>
      </c>
      <c r="AN3" t="e">
        <f>AND(#REF!,"AAAAAHzt/yc=")</f>
        <v>#REF!</v>
      </c>
      <c r="AO3" t="e">
        <f>IF(#REF!,"AAAAAHzt/yg=",0)</f>
        <v>#REF!</v>
      </c>
      <c r="AP3" t="e">
        <f>AND(#REF!,"AAAAAHzt/yk=")</f>
        <v>#REF!</v>
      </c>
      <c r="AQ3" t="e">
        <f>AND(#REF!,"AAAAAHzt/yo=")</f>
        <v>#REF!</v>
      </c>
      <c r="AR3" t="e">
        <f>AND(#REF!,"AAAAAHzt/ys=")</f>
        <v>#REF!</v>
      </c>
      <c r="AS3" t="e">
        <f>AND(#REF!,"AAAAAHzt/yw=")</f>
        <v>#REF!</v>
      </c>
      <c r="AT3" t="e">
        <f>AND(#REF!,"AAAAAHzt/y0=")</f>
        <v>#REF!</v>
      </c>
      <c r="AU3" t="e">
        <f>AND(#REF!,"AAAAAHzt/y4=")</f>
        <v>#REF!</v>
      </c>
      <c r="AV3" t="e">
        <f>AND(#REF!,"AAAAAHzt/y8=")</f>
        <v>#REF!</v>
      </c>
      <c r="AW3" t="e">
        <f>AND(#REF!,"AAAAAHzt/zA=")</f>
        <v>#REF!</v>
      </c>
      <c r="AX3" t="e">
        <f>AND(#REF!,"AAAAAHzt/zE=")</f>
        <v>#REF!</v>
      </c>
      <c r="AY3" t="e">
        <f>AND(#REF!,"AAAAAHzt/zI=")</f>
        <v>#REF!</v>
      </c>
      <c r="AZ3" t="e">
        <f>AND(#REF!,"AAAAAHzt/zM=")</f>
        <v>#REF!</v>
      </c>
      <c r="BA3" t="e">
        <f>AND(#REF!,"AAAAAHzt/zQ=")</f>
        <v>#REF!</v>
      </c>
      <c r="BB3" t="e">
        <f>AND(#REF!,"AAAAAHzt/zU=")</f>
        <v>#REF!</v>
      </c>
      <c r="BC3" t="e">
        <f>AND(#REF!,"AAAAAHzt/zY=")</f>
        <v>#REF!</v>
      </c>
      <c r="BD3" t="e">
        <f>AND(#REF!,"AAAAAHzt/zc=")</f>
        <v>#REF!</v>
      </c>
      <c r="BE3" t="e">
        <f>AND(#REF!,"AAAAAHzt/zg=")</f>
        <v>#REF!</v>
      </c>
      <c r="BF3" t="e">
        <f>AND(#REF!,"AAAAAHzt/zk=")</f>
        <v>#REF!</v>
      </c>
      <c r="BG3" t="e">
        <f>AND(#REF!,"AAAAAHzt/zo=")</f>
        <v>#REF!</v>
      </c>
      <c r="BH3" t="e">
        <f>AND(#REF!,"AAAAAHzt/zs=")</f>
        <v>#REF!</v>
      </c>
      <c r="BI3" t="e">
        <f>AND(#REF!,"AAAAAHzt/zw=")</f>
        <v>#REF!</v>
      </c>
      <c r="BJ3" t="e">
        <f>AND(#REF!,"AAAAAHzt/z0=")</f>
        <v>#REF!</v>
      </c>
      <c r="BK3" t="e">
        <f>AND(#REF!,"AAAAAHzt/z4=")</f>
        <v>#REF!</v>
      </c>
      <c r="BL3" t="e">
        <f>IF(#REF!,"AAAAAHzt/z8=",0)</f>
        <v>#REF!</v>
      </c>
      <c r="BM3" t="e">
        <f>AND(#REF!,"AAAAAHzt/0A=")</f>
        <v>#REF!</v>
      </c>
      <c r="BN3" t="e">
        <f>AND(#REF!,"AAAAAHzt/0E=")</f>
        <v>#REF!</v>
      </c>
      <c r="BO3" t="e">
        <f>AND(#REF!,"AAAAAHzt/0I=")</f>
        <v>#REF!</v>
      </c>
      <c r="BP3" t="e">
        <f>AND(#REF!,"AAAAAHzt/0M=")</f>
        <v>#REF!</v>
      </c>
      <c r="BQ3" t="e">
        <f>AND(#REF!,"AAAAAHzt/0Q=")</f>
        <v>#REF!</v>
      </c>
      <c r="BR3" t="e">
        <f>AND(#REF!,"AAAAAHzt/0U=")</f>
        <v>#REF!</v>
      </c>
      <c r="BS3" t="e">
        <f>AND(#REF!,"AAAAAHzt/0Y=")</f>
        <v>#REF!</v>
      </c>
      <c r="BT3" t="e">
        <f>AND(#REF!,"AAAAAHzt/0c=")</f>
        <v>#REF!</v>
      </c>
      <c r="BU3" t="e">
        <f>AND(#REF!,"AAAAAHzt/0g=")</f>
        <v>#REF!</v>
      </c>
      <c r="BV3" t="e">
        <f>AND(#REF!,"AAAAAHzt/0k=")</f>
        <v>#REF!</v>
      </c>
      <c r="BW3" t="e">
        <f>AND(#REF!,"AAAAAHzt/0o=")</f>
        <v>#REF!</v>
      </c>
      <c r="BX3" t="e">
        <f>AND(#REF!,"AAAAAHzt/0s=")</f>
        <v>#REF!</v>
      </c>
      <c r="BY3" t="e">
        <f>AND(#REF!,"AAAAAHzt/0w=")</f>
        <v>#REF!</v>
      </c>
      <c r="BZ3" t="e">
        <f>AND(#REF!,"AAAAAHzt/00=")</f>
        <v>#REF!</v>
      </c>
      <c r="CA3" t="e">
        <f>AND(#REF!,"AAAAAHzt/04=")</f>
        <v>#REF!</v>
      </c>
      <c r="CB3" t="e">
        <f>AND(#REF!,"AAAAAHzt/08=")</f>
        <v>#REF!</v>
      </c>
      <c r="CC3" t="e">
        <f>AND(#REF!,"AAAAAHzt/1A=")</f>
        <v>#REF!</v>
      </c>
      <c r="CD3" t="e">
        <f>AND(#REF!,"AAAAAHzt/1E=")</f>
        <v>#REF!</v>
      </c>
      <c r="CE3" t="e">
        <f>AND(#REF!,"AAAAAHzt/1I=")</f>
        <v>#REF!</v>
      </c>
      <c r="CF3" t="e">
        <f>AND(#REF!,"AAAAAHzt/1M=")</f>
        <v>#REF!</v>
      </c>
      <c r="CG3" t="e">
        <f>AND(#REF!,"AAAAAHzt/1Q=")</f>
        <v>#REF!</v>
      </c>
      <c r="CH3" t="e">
        <f>AND(#REF!,"AAAAAHzt/1U=")</f>
        <v>#REF!</v>
      </c>
      <c r="CI3" t="e">
        <f>IF(#REF!,"AAAAAHzt/1Y=",0)</f>
        <v>#REF!</v>
      </c>
      <c r="CJ3" t="e">
        <f>AND(#REF!,"AAAAAHzt/1c=")</f>
        <v>#REF!</v>
      </c>
      <c r="CK3" t="e">
        <f>AND(#REF!,"AAAAAHzt/1g=")</f>
        <v>#REF!</v>
      </c>
      <c r="CL3" t="e">
        <f>AND(#REF!,"AAAAAHzt/1k=")</f>
        <v>#REF!</v>
      </c>
      <c r="CM3" t="e">
        <f>AND(#REF!,"AAAAAHzt/1o=")</f>
        <v>#REF!</v>
      </c>
      <c r="CN3" t="e">
        <f>AND(#REF!,"AAAAAHzt/1s=")</f>
        <v>#REF!</v>
      </c>
      <c r="CO3" t="e">
        <f>AND(#REF!,"AAAAAHzt/1w=")</f>
        <v>#REF!</v>
      </c>
      <c r="CP3" t="e">
        <f>AND(#REF!,"AAAAAHzt/10=")</f>
        <v>#REF!</v>
      </c>
      <c r="CQ3" t="e">
        <f>AND(#REF!,"AAAAAHzt/14=")</f>
        <v>#REF!</v>
      </c>
      <c r="CR3" t="e">
        <f>AND(#REF!,"AAAAAHzt/18=")</f>
        <v>#REF!</v>
      </c>
      <c r="CS3" t="e">
        <f>AND(#REF!,"AAAAAHzt/2A=")</f>
        <v>#REF!</v>
      </c>
      <c r="CT3" t="e">
        <f>AND(#REF!,"AAAAAHzt/2E=")</f>
        <v>#REF!</v>
      </c>
      <c r="CU3" t="e">
        <f>AND(#REF!,"AAAAAHzt/2I=")</f>
        <v>#REF!</v>
      </c>
      <c r="CV3" t="e">
        <f>AND(#REF!,"AAAAAHzt/2M=")</f>
        <v>#REF!</v>
      </c>
      <c r="CW3" t="e">
        <f>AND(#REF!,"AAAAAHzt/2Q=")</f>
        <v>#REF!</v>
      </c>
      <c r="CX3" t="e">
        <f>AND(#REF!,"AAAAAHzt/2U=")</f>
        <v>#REF!</v>
      </c>
      <c r="CY3" t="e">
        <f>AND(#REF!,"AAAAAHzt/2Y=")</f>
        <v>#REF!</v>
      </c>
      <c r="CZ3" t="e">
        <f>AND(#REF!,"AAAAAHzt/2c=")</f>
        <v>#REF!</v>
      </c>
      <c r="DA3" t="e">
        <f>AND(#REF!,"AAAAAHzt/2g=")</f>
        <v>#REF!</v>
      </c>
      <c r="DB3" t="e">
        <f>AND(#REF!,"AAAAAHzt/2k=")</f>
        <v>#REF!</v>
      </c>
      <c r="DC3" t="e">
        <f>AND(#REF!,"AAAAAHzt/2o=")</f>
        <v>#REF!</v>
      </c>
      <c r="DD3" t="e">
        <f>AND(#REF!,"AAAAAHzt/2s=")</f>
        <v>#REF!</v>
      </c>
      <c r="DE3" t="e">
        <f>AND(#REF!,"AAAAAHzt/2w=")</f>
        <v>#REF!</v>
      </c>
      <c r="DF3" t="e">
        <f>IF(#REF!,"AAAAAHzt/20=",0)</f>
        <v>#REF!</v>
      </c>
      <c r="DG3" t="e">
        <f>AND(#REF!,"AAAAAHzt/24=")</f>
        <v>#REF!</v>
      </c>
      <c r="DH3" t="e">
        <f>AND(#REF!,"AAAAAHzt/28=")</f>
        <v>#REF!</v>
      </c>
      <c r="DI3" t="e">
        <f>AND(#REF!,"AAAAAHzt/3A=")</f>
        <v>#REF!</v>
      </c>
      <c r="DJ3" t="e">
        <f>AND(#REF!,"AAAAAHzt/3E=")</f>
        <v>#REF!</v>
      </c>
      <c r="DK3" t="e">
        <f>AND(#REF!,"AAAAAHzt/3I=")</f>
        <v>#REF!</v>
      </c>
      <c r="DL3" t="e">
        <f>AND(#REF!,"AAAAAHzt/3M=")</f>
        <v>#REF!</v>
      </c>
      <c r="DM3" t="e">
        <f>AND(#REF!,"AAAAAHzt/3Q=")</f>
        <v>#REF!</v>
      </c>
      <c r="DN3" t="e">
        <f>AND(#REF!,"AAAAAHzt/3U=")</f>
        <v>#REF!</v>
      </c>
      <c r="DO3" t="e">
        <f>AND(#REF!,"AAAAAHzt/3Y=")</f>
        <v>#REF!</v>
      </c>
      <c r="DP3" t="e">
        <f>AND(#REF!,"AAAAAHzt/3c=")</f>
        <v>#REF!</v>
      </c>
      <c r="DQ3" t="e">
        <f>AND(#REF!,"AAAAAHzt/3g=")</f>
        <v>#REF!</v>
      </c>
      <c r="DR3" t="e">
        <f>AND(#REF!,"AAAAAHzt/3k=")</f>
        <v>#REF!</v>
      </c>
      <c r="DS3" t="e">
        <f>AND(#REF!,"AAAAAHzt/3o=")</f>
        <v>#REF!</v>
      </c>
      <c r="DT3" t="e">
        <f>AND(#REF!,"AAAAAHzt/3s=")</f>
        <v>#REF!</v>
      </c>
      <c r="DU3" t="e">
        <f>AND(#REF!,"AAAAAHzt/3w=")</f>
        <v>#REF!</v>
      </c>
      <c r="DV3" t="e">
        <f>AND(#REF!,"AAAAAHzt/30=")</f>
        <v>#REF!</v>
      </c>
      <c r="DW3" t="e">
        <f>AND(#REF!,"AAAAAHzt/34=")</f>
        <v>#REF!</v>
      </c>
      <c r="DX3" t="e">
        <f>AND(#REF!,"AAAAAHzt/38=")</f>
        <v>#REF!</v>
      </c>
      <c r="DY3" t="e">
        <f>AND(#REF!,"AAAAAHzt/4A=")</f>
        <v>#REF!</v>
      </c>
      <c r="DZ3" t="e">
        <f>AND(#REF!,"AAAAAHzt/4E=")</f>
        <v>#REF!</v>
      </c>
      <c r="EA3" t="e">
        <f>AND(#REF!,"AAAAAHzt/4I=")</f>
        <v>#REF!</v>
      </c>
      <c r="EB3" t="e">
        <f>AND(#REF!,"AAAAAHzt/4M=")</f>
        <v>#REF!</v>
      </c>
      <c r="EC3" t="e">
        <f>IF(#REF!,"AAAAAHzt/4Q=",0)</f>
        <v>#REF!</v>
      </c>
      <c r="ED3" t="e">
        <f>AND(#REF!,"AAAAAHzt/4U=")</f>
        <v>#REF!</v>
      </c>
      <c r="EE3" t="e">
        <f>AND(#REF!,"AAAAAHzt/4Y=")</f>
        <v>#REF!</v>
      </c>
      <c r="EF3" t="e">
        <f>AND(#REF!,"AAAAAHzt/4c=")</f>
        <v>#REF!</v>
      </c>
      <c r="EG3" t="e">
        <f>AND(#REF!,"AAAAAHzt/4g=")</f>
        <v>#REF!</v>
      </c>
      <c r="EH3" t="e">
        <f>AND(#REF!,"AAAAAHzt/4k=")</f>
        <v>#REF!</v>
      </c>
      <c r="EI3" t="e">
        <f>AND(#REF!,"AAAAAHzt/4o=")</f>
        <v>#REF!</v>
      </c>
      <c r="EJ3" t="e">
        <f>AND(#REF!,"AAAAAHzt/4s=")</f>
        <v>#REF!</v>
      </c>
      <c r="EK3" t="e">
        <f>AND(#REF!,"AAAAAHzt/4w=")</f>
        <v>#REF!</v>
      </c>
      <c r="EL3" t="e">
        <f>AND(#REF!,"AAAAAHzt/40=")</f>
        <v>#REF!</v>
      </c>
      <c r="EM3" t="e">
        <f>AND(#REF!,"AAAAAHzt/44=")</f>
        <v>#REF!</v>
      </c>
      <c r="EN3" t="e">
        <f>AND(#REF!,"AAAAAHzt/48=")</f>
        <v>#REF!</v>
      </c>
      <c r="EO3" t="e">
        <f>AND(#REF!,"AAAAAHzt/5A=")</f>
        <v>#REF!</v>
      </c>
      <c r="EP3" t="e">
        <f>AND(#REF!,"AAAAAHzt/5E=")</f>
        <v>#REF!</v>
      </c>
      <c r="EQ3" t="e">
        <f>AND(#REF!,"AAAAAHzt/5I=")</f>
        <v>#REF!</v>
      </c>
      <c r="ER3" t="e">
        <f>AND(#REF!,"AAAAAHzt/5M=")</f>
        <v>#REF!</v>
      </c>
      <c r="ES3" t="e">
        <f>AND(#REF!,"AAAAAHzt/5Q=")</f>
        <v>#REF!</v>
      </c>
      <c r="ET3" t="e">
        <f>AND(#REF!,"AAAAAHzt/5U=")</f>
        <v>#REF!</v>
      </c>
      <c r="EU3" t="e">
        <f>AND(#REF!,"AAAAAHzt/5Y=")</f>
        <v>#REF!</v>
      </c>
      <c r="EV3" t="e">
        <f>AND(#REF!,"AAAAAHzt/5c=")</f>
        <v>#REF!</v>
      </c>
      <c r="EW3" t="e">
        <f>AND(#REF!,"AAAAAHzt/5g=")</f>
        <v>#REF!</v>
      </c>
      <c r="EX3" t="e">
        <f>AND(#REF!,"AAAAAHzt/5k=")</f>
        <v>#REF!</v>
      </c>
      <c r="EY3" t="e">
        <f>AND(#REF!,"AAAAAHzt/5o=")</f>
        <v>#REF!</v>
      </c>
      <c r="EZ3" t="e">
        <f>IF(#REF!,"AAAAAHzt/5s=",0)</f>
        <v>#REF!</v>
      </c>
      <c r="FA3" t="e">
        <f>AND(#REF!,"AAAAAHzt/5w=")</f>
        <v>#REF!</v>
      </c>
      <c r="FB3" t="e">
        <f>AND(#REF!,"AAAAAHzt/50=")</f>
        <v>#REF!</v>
      </c>
      <c r="FC3" t="e">
        <f>AND(#REF!,"AAAAAHzt/54=")</f>
        <v>#REF!</v>
      </c>
      <c r="FD3" t="e">
        <f>AND(#REF!,"AAAAAHzt/58=")</f>
        <v>#REF!</v>
      </c>
      <c r="FE3" t="e">
        <f>AND(#REF!,"AAAAAHzt/6A=")</f>
        <v>#REF!</v>
      </c>
      <c r="FF3" t="e">
        <f>AND(#REF!,"AAAAAHzt/6E=")</f>
        <v>#REF!</v>
      </c>
      <c r="FG3" t="e">
        <f>AND(#REF!,"AAAAAHzt/6I=")</f>
        <v>#REF!</v>
      </c>
      <c r="FH3" t="e">
        <f>AND(#REF!,"AAAAAHzt/6M=")</f>
        <v>#REF!</v>
      </c>
      <c r="FI3" t="e">
        <f>AND(#REF!,"AAAAAHzt/6Q=")</f>
        <v>#REF!</v>
      </c>
      <c r="FJ3" t="e">
        <f>AND(#REF!,"AAAAAHzt/6U=")</f>
        <v>#REF!</v>
      </c>
      <c r="FK3" t="e">
        <f>AND(#REF!,"AAAAAHzt/6Y=")</f>
        <v>#REF!</v>
      </c>
      <c r="FL3" t="e">
        <f>AND(#REF!,"AAAAAHzt/6c=")</f>
        <v>#REF!</v>
      </c>
      <c r="FM3" t="e">
        <f>AND(#REF!,"AAAAAHzt/6g=")</f>
        <v>#REF!</v>
      </c>
      <c r="FN3" t="e">
        <f>AND(#REF!,"AAAAAHzt/6k=")</f>
        <v>#REF!</v>
      </c>
      <c r="FO3" t="e">
        <f>AND(#REF!,"AAAAAHzt/6o=")</f>
        <v>#REF!</v>
      </c>
      <c r="FP3" t="e">
        <f>AND(#REF!,"AAAAAHzt/6s=")</f>
        <v>#REF!</v>
      </c>
      <c r="FQ3" t="e">
        <f>AND(#REF!,"AAAAAHzt/6w=")</f>
        <v>#REF!</v>
      </c>
      <c r="FR3" t="e">
        <f>AND(#REF!,"AAAAAHzt/60=")</f>
        <v>#REF!</v>
      </c>
      <c r="FS3" t="e">
        <f>AND(#REF!,"AAAAAHzt/64=")</f>
        <v>#REF!</v>
      </c>
      <c r="FT3" t="e">
        <f>AND(#REF!,"AAAAAHzt/68=")</f>
        <v>#REF!</v>
      </c>
      <c r="FU3" t="e">
        <f>AND(#REF!,"AAAAAHzt/7A=")</f>
        <v>#REF!</v>
      </c>
      <c r="FV3" t="e">
        <f>AND(#REF!,"AAAAAHzt/7E=")</f>
        <v>#REF!</v>
      </c>
      <c r="FW3" t="e">
        <f>IF(#REF!,"AAAAAHzt/7I=",0)</f>
        <v>#REF!</v>
      </c>
      <c r="FX3" t="e">
        <f>AND(#REF!,"AAAAAHzt/7M=")</f>
        <v>#REF!</v>
      </c>
      <c r="FY3" t="e">
        <f>AND(#REF!,"AAAAAHzt/7Q=")</f>
        <v>#REF!</v>
      </c>
      <c r="FZ3" t="e">
        <f>AND(#REF!,"AAAAAHzt/7U=")</f>
        <v>#REF!</v>
      </c>
      <c r="GA3" t="e">
        <f>AND(#REF!,"AAAAAHzt/7Y=")</f>
        <v>#REF!</v>
      </c>
      <c r="GB3" t="e">
        <f>AND(#REF!,"AAAAAHzt/7c=")</f>
        <v>#REF!</v>
      </c>
      <c r="GC3" t="e">
        <f>AND(#REF!,"AAAAAHzt/7g=")</f>
        <v>#REF!</v>
      </c>
      <c r="GD3" t="e">
        <f>AND(#REF!,"AAAAAHzt/7k=")</f>
        <v>#REF!</v>
      </c>
      <c r="GE3" t="e">
        <f>AND(#REF!,"AAAAAHzt/7o=")</f>
        <v>#REF!</v>
      </c>
      <c r="GF3" t="e">
        <f>AND(#REF!,"AAAAAHzt/7s=")</f>
        <v>#REF!</v>
      </c>
      <c r="GG3" t="e">
        <f>AND(#REF!,"AAAAAHzt/7w=")</f>
        <v>#REF!</v>
      </c>
      <c r="GH3" t="e">
        <f>AND(#REF!,"AAAAAHzt/70=")</f>
        <v>#REF!</v>
      </c>
      <c r="GI3" t="e">
        <f>AND(#REF!,"AAAAAHzt/74=")</f>
        <v>#REF!</v>
      </c>
      <c r="GJ3" t="e">
        <f>AND(#REF!,"AAAAAHzt/78=")</f>
        <v>#REF!</v>
      </c>
      <c r="GK3" t="e">
        <f>AND(#REF!,"AAAAAHzt/8A=")</f>
        <v>#REF!</v>
      </c>
      <c r="GL3" t="e">
        <f>AND(#REF!,"AAAAAHzt/8E=")</f>
        <v>#REF!</v>
      </c>
      <c r="GM3" t="e">
        <f>AND(#REF!,"AAAAAHzt/8I=")</f>
        <v>#REF!</v>
      </c>
      <c r="GN3" t="e">
        <f>AND(#REF!,"AAAAAHzt/8M=")</f>
        <v>#REF!</v>
      </c>
      <c r="GO3" t="e">
        <f>AND(#REF!,"AAAAAHzt/8Q=")</f>
        <v>#REF!</v>
      </c>
      <c r="GP3" t="e">
        <f>AND(#REF!,"AAAAAHzt/8U=")</f>
        <v>#REF!</v>
      </c>
      <c r="GQ3" t="e">
        <f>AND(#REF!,"AAAAAHzt/8Y=")</f>
        <v>#REF!</v>
      </c>
      <c r="GR3" t="e">
        <f>AND(#REF!,"AAAAAHzt/8c=")</f>
        <v>#REF!</v>
      </c>
      <c r="GS3" t="e">
        <f>AND(#REF!,"AAAAAHzt/8g=")</f>
        <v>#REF!</v>
      </c>
      <c r="GT3" t="e">
        <f>IF(#REF!,"AAAAAHzt/8k=",0)</f>
        <v>#REF!</v>
      </c>
      <c r="GU3" t="e">
        <f>AND(#REF!,"AAAAAHzt/8o=")</f>
        <v>#REF!</v>
      </c>
      <c r="GV3" t="e">
        <f>AND(#REF!,"AAAAAHzt/8s=")</f>
        <v>#REF!</v>
      </c>
      <c r="GW3" t="e">
        <f>AND(#REF!,"AAAAAHzt/8w=")</f>
        <v>#REF!</v>
      </c>
      <c r="GX3" t="e">
        <f>AND(#REF!,"AAAAAHzt/80=")</f>
        <v>#REF!</v>
      </c>
      <c r="GY3" t="e">
        <f>AND(#REF!,"AAAAAHzt/84=")</f>
        <v>#REF!</v>
      </c>
      <c r="GZ3" t="e">
        <f>AND(#REF!,"AAAAAHzt/88=")</f>
        <v>#REF!</v>
      </c>
      <c r="HA3" t="e">
        <f>AND(#REF!,"AAAAAHzt/9A=")</f>
        <v>#REF!</v>
      </c>
      <c r="HB3" t="e">
        <f>AND(#REF!,"AAAAAHzt/9E=")</f>
        <v>#REF!</v>
      </c>
      <c r="HC3" t="e">
        <f>AND(#REF!,"AAAAAHzt/9I=")</f>
        <v>#REF!</v>
      </c>
      <c r="HD3" t="e">
        <f>AND(#REF!,"AAAAAHzt/9M=")</f>
        <v>#REF!</v>
      </c>
      <c r="HE3" t="e">
        <f>AND(#REF!,"AAAAAHzt/9Q=")</f>
        <v>#REF!</v>
      </c>
      <c r="HF3" t="e">
        <f>AND(#REF!,"AAAAAHzt/9U=")</f>
        <v>#REF!</v>
      </c>
      <c r="HG3" t="e">
        <f>AND(#REF!,"AAAAAHzt/9Y=")</f>
        <v>#REF!</v>
      </c>
      <c r="HH3" t="e">
        <f>AND(#REF!,"AAAAAHzt/9c=")</f>
        <v>#REF!</v>
      </c>
      <c r="HI3" t="e">
        <f>AND(#REF!,"AAAAAHzt/9g=")</f>
        <v>#REF!</v>
      </c>
      <c r="HJ3" t="e">
        <f>AND(#REF!,"AAAAAHzt/9k=")</f>
        <v>#REF!</v>
      </c>
      <c r="HK3" t="e">
        <f>AND(#REF!,"AAAAAHzt/9o=")</f>
        <v>#REF!</v>
      </c>
      <c r="HL3" t="e">
        <f>AND(#REF!,"AAAAAHzt/9s=")</f>
        <v>#REF!</v>
      </c>
      <c r="HM3" t="e">
        <f>AND(#REF!,"AAAAAHzt/9w=")</f>
        <v>#REF!</v>
      </c>
      <c r="HN3" t="e">
        <f>AND(#REF!,"AAAAAHzt/90=")</f>
        <v>#REF!</v>
      </c>
      <c r="HO3" t="e">
        <f>AND(#REF!,"AAAAAHzt/94=")</f>
        <v>#REF!</v>
      </c>
      <c r="HP3" t="e">
        <f>AND(#REF!,"AAAAAHzt/98=")</f>
        <v>#REF!</v>
      </c>
      <c r="HQ3" t="e">
        <f>IF(#REF!,"AAAAAHzt/+A=",0)</f>
        <v>#REF!</v>
      </c>
      <c r="HR3" t="e">
        <f>AND(#REF!,"AAAAAHzt/+E=")</f>
        <v>#REF!</v>
      </c>
      <c r="HS3" t="e">
        <f>AND(#REF!,"AAAAAHzt/+I=")</f>
        <v>#REF!</v>
      </c>
      <c r="HT3" t="e">
        <f>AND(#REF!,"AAAAAHzt/+M=")</f>
        <v>#REF!</v>
      </c>
      <c r="HU3" t="e">
        <f>AND(#REF!,"AAAAAHzt/+Q=")</f>
        <v>#REF!</v>
      </c>
      <c r="HV3" t="e">
        <f>AND(#REF!,"AAAAAHzt/+U=")</f>
        <v>#REF!</v>
      </c>
      <c r="HW3" t="e">
        <f>AND(#REF!,"AAAAAHzt/+Y=")</f>
        <v>#REF!</v>
      </c>
      <c r="HX3" t="e">
        <f>AND(#REF!,"AAAAAHzt/+c=")</f>
        <v>#REF!</v>
      </c>
      <c r="HY3" t="e">
        <f>AND(#REF!,"AAAAAHzt/+g=")</f>
        <v>#REF!</v>
      </c>
      <c r="HZ3" t="e">
        <f>AND(#REF!,"AAAAAHzt/+k=")</f>
        <v>#REF!</v>
      </c>
      <c r="IA3" t="e">
        <f>AND(#REF!,"AAAAAHzt/+o=")</f>
        <v>#REF!</v>
      </c>
      <c r="IB3" t="e">
        <f>AND(#REF!,"AAAAAHzt/+s=")</f>
        <v>#REF!</v>
      </c>
      <c r="IC3" t="e">
        <f>AND(#REF!,"AAAAAHzt/+w=")</f>
        <v>#REF!</v>
      </c>
      <c r="ID3" t="e">
        <f>AND(#REF!,"AAAAAHzt/+0=")</f>
        <v>#REF!</v>
      </c>
      <c r="IE3" t="e">
        <f>AND(#REF!,"AAAAAHzt/+4=")</f>
        <v>#REF!</v>
      </c>
      <c r="IF3" t="e">
        <f>AND(#REF!,"AAAAAHzt/+8=")</f>
        <v>#REF!</v>
      </c>
      <c r="IG3" t="e">
        <f>AND(#REF!,"AAAAAHzt//A=")</f>
        <v>#REF!</v>
      </c>
      <c r="IH3" t="e">
        <f>AND(#REF!,"AAAAAHzt//E=")</f>
        <v>#REF!</v>
      </c>
      <c r="II3" t="e">
        <f>AND(#REF!,"AAAAAHzt//I=")</f>
        <v>#REF!</v>
      </c>
      <c r="IJ3" t="e">
        <f>AND(#REF!,"AAAAAHzt//M=")</f>
        <v>#REF!</v>
      </c>
      <c r="IK3" t="e">
        <f>AND(#REF!,"AAAAAHzt//Q=")</f>
        <v>#REF!</v>
      </c>
      <c r="IL3" t="e">
        <f>AND(#REF!,"AAAAAHzt//U=")</f>
        <v>#REF!</v>
      </c>
      <c r="IM3" t="e">
        <f>AND(#REF!,"AAAAAHzt//Y=")</f>
        <v>#REF!</v>
      </c>
      <c r="IN3" t="e">
        <f>IF(#REF!,"AAAAAHzt//c=",0)</f>
        <v>#REF!</v>
      </c>
      <c r="IO3" t="e">
        <f>AND(#REF!,"AAAAAHzt//g=")</f>
        <v>#REF!</v>
      </c>
      <c r="IP3" t="e">
        <f>AND(#REF!,"AAAAAHzt//k=")</f>
        <v>#REF!</v>
      </c>
      <c r="IQ3" t="e">
        <f>AND(#REF!,"AAAAAHzt//o=")</f>
        <v>#REF!</v>
      </c>
      <c r="IR3" t="e">
        <f>AND(#REF!,"AAAAAHzt//s=")</f>
        <v>#REF!</v>
      </c>
      <c r="IS3" t="e">
        <f>AND(#REF!,"AAAAAHzt//w=")</f>
        <v>#REF!</v>
      </c>
      <c r="IT3" t="e">
        <f>AND(#REF!,"AAAAAHzt//0=")</f>
        <v>#REF!</v>
      </c>
      <c r="IU3" t="e">
        <f>AND(#REF!,"AAAAAHzt//4=")</f>
        <v>#REF!</v>
      </c>
      <c r="IV3" t="e">
        <f>AND(#REF!,"AAAAAHzt//8=")</f>
        <v>#REF!</v>
      </c>
    </row>
    <row r="4" spans="1:256" x14ac:dyDescent="0.2">
      <c r="A4" t="e">
        <f>AND(#REF!,"AAAAAC8r3wA=")</f>
        <v>#REF!</v>
      </c>
      <c r="B4" t="e">
        <f>AND(#REF!,"AAAAAC8r3wE=")</f>
        <v>#REF!</v>
      </c>
      <c r="C4" t="e">
        <f>AND(#REF!,"AAAAAC8r3wI=")</f>
        <v>#REF!</v>
      </c>
      <c r="D4" t="e">
        <f>AND(#REF!,"AAAAAC8r3wM=")</f>
        <v>#REF!</v>
      </c>
      <c r="E4" t="e">
        <f>AND(#REF!,"AAAAAC8r3wQ=")</f>
        <v>#REF!</v>
      </c>
      <c r="F4" t="e">
        <f>AND(#REF!,"AAAAAC8r3wU=")</f>
        <v>#REF!</v>
      </c>
      <c r="G4" t="e">
        <f>AND(#REF!,"AAAAAC8r3wY=")</f>
        <v>#REF!</v>
      </c>
      <c r="H4" t="e">
        <f>AND(#REF!,"AAAAAC8r3wc=")</f>
        <v>#REF!</v>
      </c>
      <c r="I4" t="e">
        <f>AND(#REF!,"AAAAAC8r3wg=")</f>
        <v>#REF!</v>
      </c>
      <c r="J4" t="e">
        <f>AND(#REF!,"AAAAAC8r3wk=")</f>
        <v>#REF!</v>
      </c>
      <c r="K4" t="e">
        <f>AND(#REF!,"AAAAAC8r3wo=")</f>
        <v>#REF!</v>
      </c>
      <c r="L4" t="e">
        <f>AND(#REF!,"AAAAAC8r3ws=")</f>
        <v>#REF!</v>
      </c>
      <c r="M4" t="e">
        <f>AND(#REF!,"AAAAAC8r3ww=")</f>
        <v>#REF!</v>
      </c>
      <c r="N4" t="e">
        <f>AND(#REF!,"AAAAAC8r3w0=")</f>
        <v>#REF!</v>
      </c>
      <c r="O4" t="e">
        <f>IF(#REF!,"AAAAAC8r3w4=",0)</f>
        <v>#REF!</v>
      </c>
      <c r="P4" t="e">
        <f>AND(#REF!,"AAAAAC8r3w8=")</f>
        <v>#REF!</v>
      </c>
      <c r="Q4" t="e">
        <f>AND(#REF!,"AAAAAC8r3xA=")</f>
        <v>#REF!</v>
      </c>
      <c r="R4" t="e">
        <f>AND(#REF!,"AAAAAC8r3xE=")</f>
        <v>#REF!</v>
      </c>
      <c r="S4" t="e">
        <f>AND(#REF!,"AAAAAC8r3xI=")</f>
        <v>#REF!</v>
      </c>
      <c r="T4" t="e">
        <f>AND(#REF!,"AAAAAC8r3xM=")</f>
        <v>#REF!</v>
      </c>
      <c r="U4" t="e">
        <f>AND(#REF!,"AAAAAC8r3xQ=")</f>
        <v>#REF!</v>
      </c>
      <c r="V4" t="e">
        <f>AND(#REF!,"AAAAAC8r3xU=")</f>
        <v>#REF!</v>
      </c>
      <c r="W4" t="e">
        <f>AND(#REF!,"AAAAAC8r3xY=")</f>
        <v>#REF!</v>
      </c>
      <c r="X4" t="e">
        <f>AND(#REF!,"AAAAAC8r3xc=")</f>
        <v>#REF!</v>
      </c>
      <c r="Y4" t="e">
        <f>AND(#REF!,"AAAAAC8r3xg=")</f>
        <v>#REF!</v>
      </c>
      <c r="Z4" t="e">
        <f>AND(#REF!,"AAAAAC8r3xk=")</f>
        <v>#REF!</v>
      </c>
      <c r="AA4" t="e">
        <f>AND(#REF!,"AAAAAC8r3xo=")</f>
        <v>#REF!</v>
      </c>
      <c r="AB4" t="e">
        <f>AND(#REF!,"AAAAAC8r3xs=")</f>
        <v>#REF!</v>
      </c>
      <c r="AC4" t="e">
        <f>AND(#REF!,"AAAAAC8r3xw=")</f>
        <v>#REF!</v>
      </c>
      <c r="AD4" t="e">
        <f>AND(#REF!,"AAAAAC8r3x0=")</f>
        <v>#REF!</v>
      </c>
      <c r="AE4" t="e">
        <f>AND(#REF!,"AAAAAC8r3x4=")</f>
        <v>#REF!</v>
      </c>
      <c r="AF4" t="e">
        <f>AND(#REF!,"AAAAAC8r3x8=")</f>
        <v>#REF!</v>
      </c>
      <c r="AG4" t="e">
        <f>AND(#REF!,"AAAAAC8r3yA=")</f>
        <v>#REF!</v>
      </c>
      <c r="AH4" t="e">
        <f>AND(#REF!,"AAAAAC8r3yE=")</f>
        <v>#REF!</v>
      </c>
      <c r="AI4" t="e">
        <f>AND(#REF!,"AAAAAC8r3yI=")</f>
        <v>#REF!</v>
      </c>
      <c r="AJ4" t="e">
        <f>AND(#REF!,"AAAAAC8r3yM=")</f>
        <v>#REF!</v>
      </c>
      <c r="AK4" t="e">
        <f>AND(#REF!,"AAAAAC8r3yQ=")</f>
        <v>#REF!</v>
      </c>
      <c r="AL4" t="e">
        <f>IF(#REF!,"AAAAAC8r3yU=",0)</f>
        <v>#REF!</v>
      </c>
      <c r="AM4" t="e">
        <f>AND(#REF!,"AAAAAC8r3yY=")</f>
        <v>#REF!</v>
      </c>
      <c r="AN4" t="e">
        <f>AND(#REF!,"AAAAAC8r3yc=")</f>
        <v>#REF!</v>
      </c>
      <c r="AO4" t="e">
        <f>AND(#REF!,"AAAAAC8r3yg=")</f>
        <v>#REF!</v>
      </c>
      <c r="AP4" t="e">
        <f>AND(#REF!,"AAAAAC8r3yk=")</f>
        <v>#REF!</v>
      </c>
      <c r="AQ4" t="e">
        <f>AND(#REF!,"AAAAAC8r3yo=")</f>
        <v>#REF!</v>
      </c>
      <c r="AR4" t="e">
        <f>AND(#REF!,"AAAAAC8r3ys=")</f>
        <v>#REF!</v>
      </c>
      <c r="AS4" t="e">
        <f>AND(#REF!,"AAAAAC8r3yw=")</f>
        <v>#REF!</v>
      </c>
      <c r="AT4" t="e">
        <f>AND(#REF!,"AAAAAC8r3y0=")</f>
        <v>#REF!</v>
      </c>
      <c r="AU4" t="e">
        <f>AND(#REF!,"AAAAAC8r3y4=")</f>
        <v>#REF!</v>
      </c>
      <c r="AV4" t="e">
        <f>AND(#REF!,"AAAAAC8r3y8=")</f>
        <v>#REF!</v>
      </c>
      <c r="AW4" t="e">
        <f>AND(#REF!,"AAAAAC8r3zA=")</f>
        <v>#REF!</v>
      </c>
      <c r="AX4" t="e">
        <f>AND(#REF!,"AAAAAC8r3zE=")</f>
        <v>#REF!</v>
      </c>
      <c r="AY4" t="e">
        <f>AND(#REF!,"AAAAAC8r3zI=")</f>
        <v>#REF!</v>
      </c>
      <c r="AZ4" t="e">
        <f>AND(#REF!,"AAAAAC8r3zM=")</f>
        <v>#REF!</v>
      </c>
      <c r="BA4" t="e">
        <f>AND(#REF!,"AAAAAC8r3zQ=")</f>
        <v>#REF!</v>
      </c>
      <c r="BB4" t="e">
        <f>AND(#REF!,"AAAAAC8r3zU=")</f>
        <v>#REF!</v>
      </c>
      <c r="BC4" t="e">
        <f>AND(#REF!,"AAAAAC8r3zY=")</f>
        <v>#REF!</v>
      </c>
      <c r="BD4" t="e">
        <f>AND(#REF!,"AAAAAC8r3zc=")</f>
        <v>#REF!</v>
      </c>
      <c r="BE4" t="e">
        <f>AND(#REF!,"AAAAAC8r3zg=")</f>
        <v>#REF!</v>
      </c>
      <c r="BF4" t="e">
        <f>AND(#REF!,"AAAAAC8r3zk=")</f>
        <v>#REF!</v>
      </c>
      <c r="BG4" t="e">
        <f>AND(#REF!,"AAAAAC8r3zo=")</f>
        <v>#REF!</v>
      </c>
      <c r="BH4" t="e">
        <f>AND(#REF!,"AAAAAC8r3zs=")</f>
        <v>#REF!</v>
      </c>
      <c r="BI4" t="e">
        <f>IF(#REF!,"AAAAAC8r3zw=",0)</f>
        <v>#REF!</v>
      </c>
      <c r="BJ4" t="e">
        <f>AND(#REF!,"AAAAAC8r3z0=")</f>
        <v>#REF!</v>
      </c>
      <c r="BK4" t="e">
        <f>AND(#REF!,"AAAAAC8r3z4=")</f>
        <v>#REF!</v>
      </c>
      <c r="BL4" t="e">
        <f>AND(#REF!,"AAAAAC8r3z8=")</f>
        <v>#REF!</v>
      </c>
      <c r="BM4" t="e">
        <f>AND(#REF!,"AAAAAC8r30A=")</f>
        <v>#REF!</v>
      </c>
      <c r="BN4" t="e">
        <f>AND(#REF!,"AAAAAC8r30E=")</f>
        <v>#REF!</v>
      </c>
      <c r="BO4" t="e">
        <f>AND(#REF!,"AAAAAC8r30I=")</f>
        <v>#REF!</v>
      </c>
      <c r="BP4" t="e">
        <f>AND(#REF!,"AAAAAC8r30M=")</f>
        <v>#REF!</v>
      </c>
      <c r="BQ4" t="e">
        <f>AND(#REF!,"AAAAAC8r30Q=")</f>
        <v>#REF!</v>
      </c>
      <c r="BR4" t="e">
        <f>AND(#REF!,"AAAAAC8r30U=")</f>
        <v>#REF!</v>
      </c>
      <c r="BS4" t="e">
        <f>AND(#REF!,"AAAAAC8r30Y=")</f>
        <v>#REF!</v>
      </c>
      <c r="BT4" t="e">
        <f>AND(#REF!,"AAAAAC8r30c=")</f>
        <v>#REF!</v>
      </c>
      <c r="BU4" t="e">
        <f>AND(#REF!,"AAAAAC8r30g=")</f>
        <v>#REF!</v>
      </c>
      <c r="BV4" t="e">
        <f>AND(#REF!,"AAAAAC8r30k=")</f>
        <v>#REF!</v>
      </c>
      <c r="BW4" t="e">
        <f>AND(#REF!,"AAAAAC8r30o=")</f>
        <v>#REF!</v>
      </c>
      <c r="BX4" t="e">
        <f>AND(#REF!,"AAAAAC8r30s=")</f>
        <v>#REF!</v>
      </c>
      <c r="BY4" t="e">
        <f>AND(#REF!,"AAAAAC8r30w=")</f>
        <v>#REF!</v>
      </c>
      <c r="BZ4" t="e">
        <f>AND(#REF!,"AAAAAC8r300=")</f>
        <v>#REF!</v>
      </c>
      <c r="CA4" t="e">
        <f>AND(#REF!,"AAAAAC8r304=")</f>
        <v>#REF!</v>
      </c>
      <c r="CB4" t="e">
        <f>AND(#REF!,"AAAAAC8r308=")</f>
        <v>#REF!</v>
      </c>
      <c r="CC4" t="e">
        <f>AND(#REF!,"AAAAAC8r31A=")</f>
        <v>#REF!</v>
      </c>
      <c r="CD4" t="e">
        <f>AND(#REF!,"AAAAAC8r31E=")</f>
        <v>#REF!</v>
      </c>
      <c r="CE4" t="e">
        <f>AND(#REF!,"AAAAAC8r31I=")</f>
        <v>#REF!</v>
      </c>
      <c r="CF4" t="e">
        <f>IF(#REF!,"AAAAAC8r31M=",0)</f>
        <v>#REF!</v>
      </c>
      <c r="CG4" t="e">
        <f>AND(#REF!,"AAAAAC8r31Q=")</f>
        <v>#REF!</v>
      </c>
      <c r="CH4" t="e">
        <f>AND(#REF!,"AAAAAC8r31U=")</f>
        <v>#REF!</v>
      </c>
      <c r="CI4" t="e">
        <f>AND(#REF!,"AAAAAC8r31Y=")</f>
        <v>#REF!</v>
      </c>
      <c r="CJ4" t="e">
        <f>AND(#REF!,"AAAAAC8r31c=")</f>
        <v>#REF!</v>
      </c>
      <c r="CK4" t="e">
        <f>AND(#REF!,"AAAAAC8r31g=")</f>
        <v>#REF!</v>
      </c>
      <c r="CL4" t="e">
        <f>AND(#REF!,"AAAAAC8r31k=")</f>
        <v>#REF!</v>
      </c>
      <c r="CM4" t="e">
        <f>AND(#REF!,"AAAAAC8r31o=")</f>
        <v>#REF!</v>
      </c>
      <c r="CN4" t="e">
        <f>AND(#REF!,"AAAAAC8r31s=")</f>
        <v>#REF!</v>
      </c>
      <c r="CO4" t="e">
        <f>AND(#REF!,"AAAAAC8r31w=")</f>
        <v>#REF!</v>
      </c>
      <c r="CP4" t="e">
        <f>AND(#REF!,"AAAAAC8r310=")</f>
        <v>#REF!</v>
      </c>
      <c r="CQ4" t="e">
        <f>AND(#REF!,"AAAAAC8r314=")</f>
        <v>#REF!</v>
      </c>
      <c r="CR4" t="e">
        <f>AND(#REF!,"AAAAAC8r318=")</f>
        <v>#REF!</v>
      </c>
      <c r="CS4" t="e">
        <f>AND(#REF!,"AAAAAC8r32A=")</f>
        <v>#REF!</v>
      </c>
      <c r="CT4" t="e">
        <f>AND(#REF!,"AAAAAC8r32E=")</f>
        <v>#REF!</v>
      </c>
      <c r="CU4" t="e">
        <f>AND(#REF!,"AAAAAC8r32I=")</f>
        <v>#REF!</v>
      </c>
      <c r="CV4" t="e">
        <f>AND(#REF!,"AAAAAC8r32M=")</f>
        <v>#REF!</v>
      </c>
      <c r="CW4" t="e">
        <f>AND(#REF!,"AAAAAC8r32Q=")</f>
        <v>#REF!</v>
      </c>
      <c r="CX4" t="e">
        <f>AND(#REF!,"AAAAAC8r32U=")</f>
        <v>#REF!</v>
      </c>
      <c r="CY4" t="e">
        <f>AND(#REF!,"AAAAAC8r32Y=")</f>
        <v>#REF!</v>
      </c>
      <c r="CZ4" t="e">
        <f>AND(#REF!,"AAAAAC8r32c=")</f>
        <v>#REF!</v>
      </c>
      <c r="DA4" t="e">
        <f>AND(#REF!,"AAAAAC8r32g=")</f>
        <v>#REF!</v>
      </c>
      <c r="DB4" t="e">
        <f>AND(#REF!,"AAAAAC8r32k=")</f>
        <v>#REF!</v>
      </c>
      <c r="DC4" t="e">
        <f>IF(#REF!,"AAAAAC8r32o=",0)</f>
        <v>#REF!</v>
      </c>
      <c r="DD4" t="e">
        <f>AND(#REF!,"AAAAAC8r32s=")</f>
        <v>#REF!</v>
      </c>
      <c r="DE4" t="e">
        <f>AND(#REF!,"AAAAAC8r32w=")</f>
        <v>#REF!</v>
      </c>
      <c r="DF4" t="e">
        <f>AND(#REF!,"AAAAAC8r320=")</f>
        <v>#REF!</v>
      </c>
      <c r="DG4" t="e">
        <f>AND(#REF!,"AAAAAC8r324=")</f>
        <v>#REF!</v>
      </c>
      <c r="DH4" t="e">
        <f>AND(#REF!,"AAAAAC8r328=")</f>
        <v>#REF!</v>
      </c>
      <c r="DI4" t="e">
        <f>AND(#REF!,"AAAAAC8r33A=")</f>
        <v>#REF!</v>
      </c>
      <c r="DJ4" t="e">
        <f>AND(#REF!,"AAAAAC8r33E=")</f>
        <v>#REF!</v>
      </c>
      <c r="DK4" t="e">
        <f>AND(#REF!,"AAAAAC8r33I=")</f>
        <v>#REF!</v>
      </c>
      <c r="DL4" t="e">
        <f>AND(#REF!,"AAAAAC8r33M=")</f>
        <v>#REF!</v>
      </c>
      <c r="DM4" t="e">
        <f>AND(#REF!,"AAAAAC8r33Q=")</f>
        <v>#REF!</v>
      </c>
      <c r="DN4" t="e">
        <f>AND(#REF!,"AAAAAC8r33U=")</f>
        <v>#REF!</v>
      </c>
      <c r="DO4" t="e">
        <f>AND(#REF!,"AAAAAC8r33Y=")</f>
        <v>#REF!</v>
      </c>
      <c r="DP4" t="e">
        <f>AND(#REF!,"AAAAAC8r33c=")</f>
        <v>#REF!</v>
      </c>
      <c r="DQ4" t="e">
        <f>AND(#REF!,"AAAAAC8r33g=")</f>
        <v>#REF!</v>
      </c>
      <c r="DR4" t="e">
        <f>AND(#REF!,"AAAAAC8r33k=")</f>
        <v>#REF!</v>
      </c>
      <c r="DS4" t="e">
        <f>AND(#REF!,"AAAAAC8r33o=")</f>
        <v>#REF!</v>
      </c>
      <c r="DT4" t="e">
        <f>AND(#REF!,"AAAAAC8r33s=")</f>
        <v>#REF!</v>
      </c>
      <c r="DU4" t="e">
        <f>AND(#REF!,"AAAAAC8r33w=")</f>
        <v>#REF!</v>
      </c>
      <c r="DV4" t="e">
        <f>AND(#REF!,"AAAAAC8r330=")</f>
        <v>#REF!</v>
      </c>
      <c r="DW4" t="e">
        <f>AND(#REF!,"AAAAAC8r334=")</f>
        <v>#REF!</v>
      </c>
      <c r="DX4" t="e">
        <f>AND(#REF!,"AAAAAC8r338=")</f>
        <v>#REF!</v>
      </c>
      <c r="DY4" t="e">
        <f>AND(#REF!,"AAAAAC8r34A=")</f>
        <v>#REF!</v>
      </c>
      <c r="DZ4" t="e">
        <f>IF(#REF!,"AAAAAC8r34E=",0)</f>
        <v>#REF!</v>
      </c>
      <c r="EA4" t="e">
        <f>AND(#REF!,"AAAAAC8r34I=")</f>
        <v>#REF!</v>
      </c>
      <c r="EB4" t="e">
        <f>AND(#REF!,"AAAAAC8r34M=")</f>
        <v>#REF!</v>
      </c>
      <c r="EC4" t="e">
        <f>AND(#REF!,"AAAAAC8r34Q=")</f>
        <v>#REF!</v>
      </c>
      <c r="ED4" t="e">
        <f>AND(#REF!,"AAAAAC8r34U=")</f>
        <v>#REF!</v>
      </c>
      <c r="EE4" t="e">
        <f>AND(#REF!,"AAAAAC8r34Y=")</f>
        <v>#REF!</v>
      </c>
      <c r="EF4" t="e">
        <f>AND(#REF!,"AAAAAC8r34c=")</f>
        <v>#REF!</v>
      </c>
      <c r="EG4" t="e">
        <f>AND(#REF!,"AAAAAC8r34g=")</f>
        <v>#REF!</v>
      </c>
      <c r="EH4" t="e">
        <f>AND(#REF!,"AAAAAC8r34k=")</f>
        <v>#REF!</v>
      </c>
      <c r="EI4" t="e">
        <f>AND(#REF!,"AAAAAC8r34o=")</f>
        <v>#REF!</v>
      </c>
      <c r="EJ4" t="e">
        <f>AND(#REF!,"AAAAAC8r34s=")</f>
        <v>#REF!</v>
      </c>
      <c r="EK4" t="e">
        <f>AND(#REF!,"AAAAAC8r34w=")</f>
        <v>#REF!</v>
      </c>
      <c r="EL4" t="e">
        <f>AND(#REF!,"AAAAAC8r340=")</f>
        <v>#REF!</v>
      </c>
      <c r="EM4" t="e">
        <f>AND(#REF!,"AAAAAC8r344=")</f>
        <v>#REF!</v>
      </c>
      <c r="EN4" t="e">
        <f>AND(#REF!,"AAAAAC8r348=")</f>
        <v>#REF!</v>
      </c>
      <c r="EO4" t="e">
        <f>AND(#REF!,"AAAAAC8r35A=")</f>
        <v>#REF!</v>
      </c>
      <c r="EP4" t="e">
        <f>AND(#REF!,"AAAAAC8r35E=")</f>
        <v>#REF!</v>
      </c>
      <c r="EQ4" t="e">
        <f>AND(#REF!,"AAAAAC8r35I=")</f>
        <v>#REF!</v>
      </c>
      <c r="ER4" t="e">
        <f>AND(#REF!,"AAAAAC8r35M=")</f>
        <v>#REF!</v>
      </c>
      <c r="ES4" t="e">
        <f>AND(#REF!,"AAAAAC8r35Q=")</f>
        <v>#REF!</v>
      </c>
      <c r="ET4" t="e">
        <f>AND(#REF!,"AAAAAC8r35U=")</f>
        <v>#REF!</v>
      </c>
      <c r="EU4" t="e">
        <f>AND(#REF!,"AAAAAC8r35Y=")</f>
        <v>#REF!</v>
      </c>
      <c r="EV4" t="e">
        <f>AND(#REF!,"AAAAAC8r35c=")</f>
        <v>#REF!</v>
      </c>
      <c r="EW4" t="e">
        <f>IF(#REF!,"AAAAAC8r35g=",0)</f>
        <v>#REF!</v>
      </c>
      <c r="EX4" t="e">
        <f>AND(#REF!,"AAAAAC8r35k=")</f>
        <v>#REF!</v>
      </c>
      <c r="EY4" t="e">
        <f>AND(#REF!,"AAAAAC8r35o=")</f>
        <v>#REF!</v>
      </c>
      <c r="EZ4" t="e">
        <f>AND(#REF!,"AAAAAC8r35s=")</f>
        <v>#REF!</v>
      </c>
      <c r="FA4" t="e">
        <f>AND(#REF!,"AAAAAC8r35w=")</f>
        <v>#REF!</v>
      </c>
      <c r="FB4" t="e">
        <f>AND(#REF!,"AAAAAC8r350=")</f>
        <v>#REF!</v>
      </c>
      <c r="FC4" t="e">
        <f>AND(#REF!,"AAAAAC8r354=")</f>
        <v>#REF!</v>
      </c>
      <c r="FD4" t="e">
        <f>AND(#REF!,"AAAAAC8r358=")</f>
        <v>#REF!</v>
      </c>
      <c r="FE4" t="e">
        <f>AND(#REF!,"AAAAAC8r36A=")</f>
        <v>#REF!</v>
      </c>
      <c r="FF4" t="e">
        <f>AND(#REF!,"AAAAAC8r36E=")</f>
        <v>#REF!</v>
      </c>
      <c r="FG4" t="e">
        <f>AND(#REF!,"AAAAAC8r36I=")</f>
        <v>#REF!</v>
      </c>
      <c r="FH4" t="e">
        <f>AND(#REF!,"AAAAAC8r36M=")</f>
        <v>#REF!</v>
      </c>
      <c r="FI4" t="e">
        <f>AND(#REF!,"AAAAAC8r36Q=")</f>
        <v>#REF!</v>
      </c>
      <c r="FJ4" t="e">
        <f>AND(#REF!,"AAAAAC8r36U=")</f>
        <v>#REF!</v>
      </c>
      <c r="FK4" t="e">
        <f>AND(#REF!,"AAAAAC8r36Y=")</f>
        <v>#REF!</v>
      </c>
      <c r="FL4" t="e">
        <f>AND(#REF!,"AAAAAC8r36c=")</f>
        <v>#REF!</v>
      </c>
      <c r="FM4" t="e">
        <f>AND(#REF!,"AAAAAC8r36g=")</f>
        <v>#REF!</v>
      </c>
      <c r="FN4" t="e">
        <f>AND(#REF!,"AAAAAC8r36k=")</f>
        <v>#REF!</v>
      </c>
      <c r="FO4" t="e">
        <f>AND(#REF!,"AAAAAC8r36o=")</f>
        <v>#REF!</v>
      </c>
      <c r="FP4" t="e">
        <f>AND(#REF!,"AAAAAC8r36s=")</f>
        <v>#REF!</v>
      </c>
      <c r="FQ4" t="e">
        <f>AND(#REF!,"AAAAAC8r36w=")</f>
        <v>#REF!</v>
      </c>
      <c r="FR4" t="e">
        <f>AND(#REF!,"AAAAAC8r360=")</f>
        <v>#REF!</v>
      </c>
      <c r="FS4" t="e">
        <f>AND(#REF!,"AAAAAC8r364=")</f>
        <v>#REF!</v>
      </c>
      <c r="FT4" t="e">
        <f>IF(#REF!,"AAAAAC8r368=",0)</f>
        <v>#REF!</v>
      </c>
      <c r="FU4" t="e">
        <f>AND(#REF!,"AAAAAC8r37A=")</f>
        <v>#REF!</v>
      </c>
      <c r="FV4" t="e">
        <f>AND(#REF!,"AAAAAC8r37E=")</f>
        <v>#REF!</v>
      </c>
      <c r="FW4" t="e">
        <f>AND(#REF!,"AAAAAC8r37I=")</f>
        <v>#REF!</v>
      </c>
      <c r="FX4" t="e">
        <f>AND(#REF!,"AAAAAC8r37M=")</f>
        <v>#REF!</v>
      </c>
      <c r="FY4" t="e">
        <f>AND(#REF!,"AAAAAC8r37Q=")</f>
        <v>#REF!</v>
      </c>
      <c r="FZ4" t="e">
        <f>AND(#REF!,"AAAAAC8r37U=")</f>
        <v>#REF!</v>
      </c>
      <c r="GA4" t="e">
        <f>AND(#REF!,"AAAAAC8r37Y=")</f>
        <v>#REF!</v>
      </c>
      <c r="GB4" t="e">
        <f>AND(#REF!,"AAAAAC8r37c=")</f>
        <v>#REF!</v>
      </c>
      <c r="GC4" t="e">
        <f>AND(#REF!,"AAAAAC8r37g=")</f>
        <v>#REF!</v>
      </c>
      <c r="GD4" t="e">
        <f>AND(#REF!,"AAAAAC8r37k=")</f>
        <v>#REF!</v>
      </c>
      <c r="GE4" t="e">
        <f>AND(#REF!,"AAAAAC8r37o=")</f>
        <v>#REF!</v>
      </c>
      <c r="GF4" t="e">
        <f>AND(#REF!,"AAAAAC8r37s=")</f>
        <v>#REF!</v>
      </c>
      <c r="GG4" t="e">
        <f>AND(#REF!,"AAAAAC8r37w=")</f>
        <v>#REF!</v>
      </c>
      <c r="GH4" t="e">
        <f>AND(#REF!,"AAAAAC8r370=")</f>
        <v>#REF!</v>
      </c>
      <c r="GI4" t="e">
        <f>AND(#REF!,"AAAAAC8r374=")</f>
        <v>#REF!</v>
      </c>
      <c r="GJ4" t="e">
        <f>AND(#REF!,"AAAAAC8r378=")</f>
        <v>#REF!</v>
      </c>
      <c r="GK4" t="e">
        <f>AND(#REF!,"AAAAAC8r38A=")</f>
        <v>#REF!</v>
      </c>
      <c r="GL4" t="e">
        <f>AND(#REF!,"AAAAAC8r38E=")</f>
        <v>#REF!</v>
      </c>
      <c r="GM4" t="e">
        <f>AND(#REF!,"AAAAAC8r38I=")</f>
        <v>#REF!</v>
      </c>
      <c r="GN4" t="e">
        <f>AND(#REF!,"AAAAAC8r38M=")</f>
        <v>#REF!</v>
      </c>
      <c r="GO4" t="e">
        <f>AND(#REF!,"AAAAAC8r38Q=")</f>
        <v>#REF!</v>
      </c>
      <c r="GP4" t="e">
        <f>AND(#REF!,"AAAAAC8r38U=")</f>
        <v>#REF!</v>
      </c>
      <c r="GQ4" t="e">
        <f>IF(#REF!,"AAAAAC8r38Y=",0)</f>
        <v>#REF!</v>
      </c>
      <c r="GR4" t="e">
        <f>AND(#REF!,"AAAAAC8r38c=")</f>
        <v>#REF!</v>
      </c>
      <c r="GS4" t="e">
        <f>AND(#REF!,"AAAAAC8r38g=")</f>
        <v>#REF!</v>
      </c>
      <c r="GT4" t="e">
        <f>AND(#REF!,"AAAAAC8r38k=")</f>
        <v>#REF!</v>
      </c>
      <c r="GU4" t="e">
        <f>AND(#REF!,"AAAAAC8r38o=")</f>
        <v>#REF!</v>
      </c>
      <c r="GV4" t="e">
        <f>AND(#REF!,"AAAAAC8r38s=")</f>
        <v>#REF!</v>
      </c>
      <c r="GW4" t="e">
        <f>AND(#REF!,"AAAAAC8r38w=")</f>
        <v>#REF!</v>
      </c>
      <c r="GX4" t="e">
        <f>AND(#REF!,"AAAAAC8r380=")</f>
        <v>#REF!</v>
      </c>
      <c r="GY4" t="e">
        <f>AND(#REF!,"AAAAAC8r384=")</f>
        <v>#REF!</v>
      </c>
      <c r="GZ4" t="e">
        <f>AND(#REF!,"AAAAAC8r388=")</f>
        <v>#REF!</v>
      </c>
      <c r="HA4" t="e">
        <f>AND(#REF!,"AAAAAC8r39A=")</f>
        <v>#REF!</v>
      </c>
      <c r="HB4" t="e">
        <f>AND(#REF!,"AAAAAC8r39E=")</f>
        <v>#REF!</v>
      </c>
      <c r="HC4" t="e">
        <f>AND(#REF!,"AAAAAC8r39I=")</f>
        <v>#REF!</v>
      </c>
      <c r="HD4" t="e">
        <f>AND(#REF!,"AAAAAC8r39M=")</f>
        <v>#REF!</v>
      </c>
      <c r="HE4" t="e">
        <f>AND(#REF!,"AAAAAC8r39Q=")</f>
        <v>#REF!</v>
      </c>
      <c r="HF4" t="e">
        <f>AND(#REF!,"AAAAAC8r39U=")</f>
        <v>#REF!</v>
      </c>
      <c r="HG4" t="e">
        <f>AND(#REF!,"AAAAAC8r39Y=")</f>
        <v>#REF!</v>
      </c>
      <c r="HH4" t="e">
        <f>AND(#REF!,"AAAAAC8r39c=")</f>
        <v>#REF!</v>
      </c>
      <c r="HI4" t="e">
        <f>AND(#REF!,"AAAAAC8r39g=")</f>
        <v>#REF!</v>
      </c>
      <c r="HJ4" t="e">
        <f>AND(#REF!,"AAAAAC8r39k=")</f>
        <v>#REF!</v>
      </c>
      <c r="HK4" t="e">
        <f>AND(#REF!,"AAAAAC8r39o=")</f>
        <v>#REF!</v>
      </c>
      <c r="HL4" t="e">
        <f>AND(#REF!,"AAAAAC8r39s=")</f>
        <v>#REF!</v>
      </c>
      <c r="HM4" t="e">
        <f>AND(#REF!,"AAAAAC8r39w=")</f>
        <v>#REF!</v>
      </c>
      <c r="HN4" t="e">
        <f>IF(#REF!,"AAAAAC8r390=",0)</f>
        <v>#REF!</v>
      </c>
      <c r="HO4" t="e">
        <f>AND(#REF!,"AAAAAC8r394=")</f>
        <v>#REF!</v>
      </c>
      <c r="HP4" t="e">
        <f>AND(#REF!,"AAAAAC8r398=")</f>
        <v>#REF!</v>
      </c>
      <c r="HQ4" t="e">
        <f>AND(#REF!,"AAAAAC8r3+A=")</f>
        <v>#REF!</v>
      </c>
      <c r="HR4" t="e">
        <f>AND(#REF!,"AAAAAC8r3+E=")</f>
        <v>#REF!</v>
      </c>
      <c r="HS4" t="e">
        <f>AND(#REF!,"AAAAAC8r3+I=")</f>
        <v>#REF!</v>
      </c>
      <c r="HT4" t="e">
        <f>AND(#REF!,"AAAAAC8r3+M=")</f>
        <v>#REF!</v>
      </c>
      <c r="HU4" t="e">
        <f>AND(#REF!,"AAAAAC8r3+Q=")</f>
        <v>#REF!</v>
      </c>
      <c r="HV4" t="e">
        <f>AND(#REF!,"AAAAAC8r3+U=")</f>
        <v>#REF!</v>
      </c>
      <c r="HW4" t="e">
        <f>AND(#REF!,"AAAAAC8r3+Y=")</f>
        <v>#REF!</v>
      </c>
      <c r="HX4" t="e">
        <f>AND(#REF!,"AAAAAC8r3+c=")</f>
        <v>#REF!</v>
      </c>
      <c r="HY4" t="e">
        <f>AND(#REF!,"AAAAAC8r3+g=")</f>
        <v>#REF!</v>
      </c>
      <c r="HZ4" t="e">
        <f>AND(#REF!,"AAAAAC8r3+k=")</f>
        <v>#REF!</v>
      </c>
      <c r="IA4" t="e">
        <f>AND(#REF!,"AAAAAC8r3+o=")</f>
        <v>#REF!</v>
      </c>
      <c r="IB4" t="e">
        <f>AND(#REF!,"AAAAAC8r3+s=")</f>
        <v>#REF!</v>
      </c>
      <c r="IC4" t="e">
        <f>AND(#REF!,"AAAAAC8r3+w=")</f>
        <v>#REF!</v>
      </c>
      <c r="ID4" t="e">
        <f>AND(#REF!,"AAAAAC8r3+0=")</f>
        <v>#REF!</v>
      </c>
      <c r="IE4" t="e">
        <f>AND(#REF!,"AAAAAC8r3+4=")</f>
        <v>#REF!</v>
      </c>
      <c r="IF4" t="e">
        <f>AND(#REF!,"AAAAAC8r3+8=")</f>
        <v>#REF!</v>
      </c>
      <c r="IG4" t="e">
        <f>AND(#REF!,"AAAAAC8r3/A=")</f>
        <v>#REF!</v>
      </c>
      <c r="IH4" t="e">
        <f>AND(#REF!,"AAAAAC8r3/E=")</f>
        <v>#REF!</v>
      </c>
      <c r="II4" t="e">
        <f>AND(#REF!,"AAAAAC8r3/I=")</f>
        <v>#REF!</v>
      </c>
      <c r="IJ4" t="e">
        <f>AND(#REF!,"AAAAAC8r3/M=")</f>
        <v>#REF!</v>
      </c>
      <c r="IK4" t="e">
        <f>IF(#REF!,"AAAAAC8r3/Q=",0)</f>
        <v>#REF!</v>
      </c>
      <c r="IL4" t="e">
        <f>AND(#REF!,"AAAAAC8r3/U=")</f>
        <v>#REF!</v>
      </c>
      <c r="IM4" t="e">
        <f>AND(#REF!,"AAAAAC8r3/Y=")</f>
        <v>#REF!</v>
      </c>
      <c r="IN4" t="e">
        <f>AND(#REF!,"AAAAAC8r3/c=")</f>
        <v>#REF!</v>
      </c>
      <c r="IO4" t="e">
        <f>AND(#REF!,"AAAAAC8r3/g=")</f>
        <v>#REF!</v>
      </c>
      <c r="IP4" t="e">
        <f>AND(#REF!,"AAAAAC8r3/k=")</f>
        <v>#REF!</v>
      </c>
      <c r="IQ4" t="e">
        <f>AND(#REF!,"AAAAAC8r3/o=")</f>
        <v>#REF!</v>
      </c>
      <c r="IR4" t="e">
        <f>AND(#REF!,"AAAAAC8r3/s=")</f>
        <v>#REF!</v>
      </c>
      <c r="IS4" t="e">
        <f>AND(#REF!,"AAAAAC8r3/w=")</f>
        <v>#REF!</v>
      </c>
      <c r="IT4" t="e">
        <f>AND(#REF!,"AAAAAC8r3/0=")</f>
        <v>#REF!</v>
      </c>
      <c r="IU4" t="e">
        <f>AND(#REF!,"AAAAAC8r3/4=")</f>
        <v>#REF!</v>
      </c>
      <c r="IV4" t="e">
        <f>AND(#REF!,"AAAAAC8r3/8=")</f>
        <v>#REF!</v>
      </c>
    </row>
    <row r="5" spans="1:256" x14ac:dyDescent="0.2">
      <c r="A5" t="e">
        <f>AND(#REF!,"AAAAADV7egA=")</f>
        <v>#REF!</v>
      </c>
      <c r="B5" t="e">
        <f>AND(#REF!,"AAAAADV7egE=")</f>
        <v>#REF!</v>
      </c>
      <c r="C5" t="e">
        <f>AND(#REF!,"AAAAADV7egI=")</f>
        <v>#REF!</v>
      </c>
      <c r="D5" t="e">
        <f>AND(#REF!,"AAAAADV7egM=")</f>
        <v>#REF!</v>
      </c>
      <c r="E5" t="e">
        <f>AND(#REF!,"AAAAADV7egQ=")</f>
        <v>#REF!</v>
      </c>
      <c r="F5" t="e">
        <f>AND(#REF!,"AAAAADV7egU=")</f>
        <v>#REF!</v>
      </c>
      <c r="G5" t="e">
        <f>AND(#REF!,"AAAAADV7egY=")</f>
        <v>#REF!</v>
      </c>
      <c r="H5" t="e">
        <f>AND(#REF!,"AAAAADV7egc=")</f>
        <v>#REF!</v>
      </c>
      <c r="I5" t="e">
        <f>AND(#REF!,"AAAAADV7egg=")</f>
        <v>#REF!</v>
      </c>
      <c r="J5" t="e">
        <f>AND(#REF!,"AAAAADV7egk=")</f>
        <v>#REF!</v>
      </c>
      <c r="K5" t="e">
        <f>AND(#REF!,"AAAAADV7ego=")</f>
        <v>#REF!</v>
      </c>
      <c r="L5" t="e">
        <f>IF(#REF!,"AAAAADV7egs=",0)</f>
        <v>#REF!</v>
      </c>
      <c r="M5" t="e">
        <f>AND(#REF!,"AAAAADV7egw=")</f>
        <v>#REF!</v>
      </c>
      <c r="N5" t="e">
        <f>AND(#REF!,"AAAAADV7eg0=")</f>
        <v>#REF!</v>
      </c>
      <c r="O5" t="e">
        <f>AND(#REF!,"AAAAADV7eg4=")</f>
        <v>#REF!</v>
      </c>
      <c r="P5" t="e">
        <f>AND(#REF!,"AAAAADV7eg8=")</f>
        <v>#REF!</v>
      </c>
      <c r="Q5" t="e">
        <f>AND(#REF!,"AAAAADV7ehA=")</f>
        <v>#REF!</v>
      </c>
      <c r="R5" t="e">
        <f>AND(#REF!,"AAAAADV7ehE=")</f>
        <v>#REF!</v>
      </c>
      <c r="S5" t="e">
        <f>AND(#REF!,"AAAAADV7ehI=")</f>
        <v>#REF!</v>
      </c>
      <c r="T5" t="e">
        <f>AND(#REF!,"AAAAADV7ehM=")</f>
        <v>#REF!</v>
      </c>
      <c r="U5" t="e">
        <f>AND(#REF!,"AAAAADV7ehQ=")</f>
        <v>#REF!</v>
      </c>
      <c r="V5" t="e">
        <f>AND(#REF!,"AAAAADV7ehU=")</f>
        <v>#REF!</v>
      </c>
      <c r="W5" t="e">
        <f>AND(#REF!,"AAAAADV7ehY=")</f>
        <v>#REF!</v>
      </c>
      <c r="X5" t="e">
        <f>AND(#REF!,"AAAAADV7ehc=")</f>
        <v>#REF!</v>
      </c>
      <c r="Y5" t="e">
        <f>AND(#REF!,"AAAAADV7ehg=")</f>
        <v>#REF!</v>
      </c>
      <c r="Z5" t="e">
        <f>AND(#REF!,"AAAAADV7ehk=")</f>
        <v>#REF!</v>
      </c>
      <c r="AA5" t="e">
        <f>AND(#REF!,"AAAAADV7eho=")</f>
        <v>#REF!</v>
      </c>
      <c r="AB5" t="e">
        <f>AND(#REF!,"AAAAADV7ehs=")</f>
        <v>#REF!</v>
      </c>
      <c r="AC5" t="e">
        <f>AND(#REF!,"AAAAADV7ehw=")</f>
        <v>#REF!</v>
      </c>
      <c r="AD5" t="e">
        <f>AND(#REF!,"AAAAADV7eh0=")</f>
        <v>#REF!</v>
      </c>
      <c r="AE5" t="e">
        <f>AND(#REF!,"AAAAADV7eh4=")</f>
        <v>#REF!</v>
      </c>
      <c r="AF5" t="e">
        <f>AND(#REF!,"AAAAADV7eh8=")</f>
        <v>#REF!</v>
      </c>
      <c r="AG5" t="e">
        <f>AND(#REF!,"AAAAADV7eiA=")</f>
        <v>#REF!</v>
      </c>
      <c r="AH5" t="e">
        <f>AND(#REF!,"AAAAADV7eiE=")</f>
        <v>#REF!</v>
      </c>
      <c r="AI5" t="e">
        <f>IF(#REF!,"AAAAADV7eiI=",0)</f>
        <v>#REF!</v>
      </c>
      <c r="AJ5" t="e">
        <f>AND(#REF!,"AAAAADV7eiM=")</f>
        <v>#REF!</v>
      </c>
      <c r="AK5" t="e">
        <f>AND(#REF!,"AAAAADV7eiQ=")</f>
        <v>#REF!</v>
      </c>
      <c r="AL5" t="e">
        <f>AND(#REF!,"AAAAADV7eiU=")</f>
        <v>#REF!</v>
      </c>
      <c r="AM5" t="e">
        <f>AND(#REF!,"AAAAADV7eiY=")</f>
        <v>#REF!</v>
      </c>
      <c r="AN5" t="e">
        <f>AND(#REF!,"AAAAADV7eic=")</f>
        <v>#REF!</v>
      </c>
      <c r="AO5" t="e">
        <f>AND(#REF!,"AAAAADV7eig=")</f>
        <v>#REF!</v>
      </c>
      <c r="AP5" t="e">
        <f>AND(#REF!,"AAAAADV7eik=")</f>
        <v>#REF!</v>
      </c>
      <c r="AQ5" t="e">
        <f>AND(#REF!,"AAAAADV7eio=")</f>
        <v>#REF!</v>
      </c>
      <c r="AR5" t="e">
        <f>AND(#REF!,"AAAAADV7eis=")</f>
        <v>#REF!</v>
      </c>
      <c r="AS5" t="e">
        <f>AND(#REF!,"AAAAADV7eiw=")</f>
        <v>#REF!</v>
      </c>
      <c r="AT5" t="e">
        <f>AND(#REF!,"AAAAADV7ei0=")</f>
        <v>#REF!</v>
      </c>
      <c r="AU5" t="e">
        <f>AND(#REF!,"AAAAADV7ei4=")</f>
        <v>#REF!</v>
      </c>
      <c r="AV5" t="e">
        <f>AND(#REF!,"AAAAADV7ei8=")</f>
        <v>#REF!</v>
      </c>
      <c r="AW5" t="e">
        <f>AND(#REF!,"AAAAADV7ejA=")</f>
        <v>#REF!</v>
      </c>
      <c r="AX5" t="e">
        <f>AND(#REF!,"AAAAADV7ejE=")</f>
        <v>#REF!</v>
      </c>
      <c r="AY5" t="e">
        <f>AND(#REF!,"AAAAADV7ejI=")</f>
        <v>#REF!</v>
      </c>
      <c r="AZ5" t="e">
        <f>AND(#REF!,"AAAAADV7ejM=")</f>
        <v>#REF!</v>
      </c>
      <c r="BA5" t="e">
        <f>AND(#REF!,"AAAAADV7ejQ=")</f>
        <v>#REF!</v>
      </c>
      <c r="BB5" t="e">
        <f>AND(#REF!,"AAAAADV7ejU=")</f>
        <v>#REF!</v>
      </c>
      <c r="BC5" t="e">
        <f>AND(#REF!,"AAAAADV7ejY=")</f>
        <v>#REF!</v>
      </c>
      <c r="BD5" t="e">
        <f>AND(#REF!,"AAAAADV7ejc=")</f>
        <v>#REF!</v>
      </c>
      <c r="BE5" t="e">
        <f>AND(#REF!,"AAAAADV7ejg=")</f>
        <v>#REF!</v>
      </c>
      <c r="BF5" t="e">
        <f>IF(#REF!,"AAAAADV7ejk=",0)</f>
        <v>#REF!</v>
      </c>
      <c r="BG5" t="e">
        <f>IF(#REF!,"AAAAADV7ejo=",0)</f>
        <v>#REF!</v>
      </c>
      <c r="BH5" t="e">
        <f>IF(#REF!,"AAAAADV7ejs=",0)</f>
        <v>#REF!</v>
      </c>
      <c r="BI5" t="e">
        <f>IF(#REF!,"AAAAADV7ejw=",0)</f>
        <v>#REF!</v>
      </c>
      <c r="BJ5" t="e">
        <f>IF(#REF!,"AAAAADV7ej0=",0)</f>
        <v>#REF!</v>
      </c>
      <c r="BK5" t="e">
        <f>IF(#REF!,"AAAAADV7ej4=",0)</f>
        <v>#REF!</v>
      </c>
      <c r="BL5" t="e">
        <f>IF(#REF!,"AAAAADV7ej8=",0)</f>
        <v>#REF!</v>
      </c>
      <c r="BM5" t="e">
        <f>IF(#REF!,"AAAAADV7ekA=",0)</f>
        <v>#REF!</v>
      </c>
      <c r="BN5" t="e">
        <f>IF(#REF!,"AAAAADV7ekE=",0)</f>
        <v>#REF!</v>
      </c>
      <c r="BO5" t="e">
        <f>IF(#REF!,"AAAAADV7ekI=",0)</f>
        <v>#REF!</v>
      </c>
      <c r="BP5" t="e">
        <f>IF(#REF!,"AAAAADV7ekM=",0)</f>
        <v>#REF!</v>
      </c>
      <c r="BQ5" t="e">
        <f>IF(#REF!,"AAAAADV7ekQ=",0)</f>
        <v>#REF!</v>
      </c>
      <c r="BR5" t="e">
        <f>IF(#REF!,"AAAAADV7ekU=",0)</f>
        <v>#REF!</v>
      </c>
      <c r="BS5" t="e">
        <f>IF(#REF!,"AAAAADV7ekY=",0)</f>
        <v>#REF!</v>
      </c>
      <c r="BT5" t="e">
        <f>IF(#REF!,"AAAAADV7ekc=",0)</f>
        <v>#REF!</v>
      </c>
      <c r="BU5" t="e">
        <f>IF(#REF!,"AAAAADV7ekg=",0)</f>
        <v>#REF!</v>
      </c>
      <c r="BV5" t="e">
        <f>IF(#REF!,"AAAAADV7ekk=",0)</f>
        <v>#REF!</v>
      </c>
      <c r="BW5" t="e">
        <f>IF(#REF!,"AAAAADV7eko=",0)</f>
        <v>#REF!</v>
      </c>
      <c r="BX5" t="e">
        <f>IF(#REF!,"AAAAADV7eks=",0)</f>
        <v>#REF!</v>
      </c>
      <c r="BY5" t="e">
        <f>IF(#REF!,"AAAAADV7ekw=",0)</f>
        <v>#REF!</v>
      </c>
      <c r="BZ5" t="e">
        <f>IF(#REF!,"AAAAADV7ek0=",0)</f>
        <v>#REF!</v>
      </c>
      <c r="CA5" t="e">
        <f>IF(#REF!,"AAAAADV7ek4=",0)</f>
        <v>#REF!</v>
      </c>
      <c r="CB5" t="e">
        <f>IF(#REF!,"AAAAADV7ek8=",0)</f>
        <v>#REF!</v>
      </c>
      <c r="CC5" t="e">
        <f>AND(#REF!,"AAAAADV7elA=")</f>
        <v>#REF!</v>
      </c>
      <c r="CD5" t="e">
        <f>AND(#REF!,"AAAAADV7elE=")</f>
        <v>#REF!</v>
      </c>
      <c r="CE5" t="e">
        <f>AND(#REF!,"AAAAADV7elI=")</f>
        <v>#REF!</v>
      </c>
      <c r="CF5" t="e">
        <f>AND(#REF!,"AAAAADV7elM=")</f>
        <v>#REF!</v>
      </c>
      <c r="CG5" t="e">
        <f>AND(#REF!,"AAAAADV7elQ=")</f>
        <v>#REF!</v>
      </c>
      <c r="CH5" t="e">
        <f>AND(#REF!,"AAAAADV7elU=")</f>
        <v>#REF!</v>
      </c>
      <c r="CI5" t="e">
        <f>AND(#REF!,"AAAAADV7elY=")</f>
        <v>#REF!</v>
      </c>
      <c r="CJ5" t="e">
        <f>AND(#REF!,"AAAAADV7elc=")</f>
        <v>#REF!</v>
      </c>
      <c r="CK5" t="e">
        <f>AND(#REF!,"AAAAADV7elg=")</f>
        <v>#REF!</v>
      </c>
      <c r="CL5" t="e">
        <f>AND(#REF!,"AAAAADV7elk=")</f>
        <v>#REF!</v>
      </c>
      <c r="CM5" t="e">
        <f>AND(#REF!,"AAAAADV7elo=")</f>
        <v>#REF!</v>
      </c>
      <c r="CN5" t="e">
        <f>AND(#REF!,"AAAAADV7els=")</f>
        <v>#REF!</v>
      </c>
      <c r="CO5" t="e">
        <f>AND(#REF!,"AAAAADV7elw=")</f>
        <v>#REF!</v>
      </c>
      <c r="CP5" t="e">
        <f>AND(#REF!,"AAAAADV7el0=")</f>
        <v>#REF!</v>
      </c>
      <c r="CQ5" t="e">
        <f>AND(#REF!,"AAAAADV7el4=")</f>
        <v>#REF!</v>
      </c>
      <c r="CR5" t="e">
        <f>AND(#REF!,"AAAAADV7el8=")</f>
        <v>#REF!</v>
      </c>
      <c r="CS5" t="e">
        <f>AND(#REF!,"AAAAADV7emA=")</f>
        <v>#REF!</v>
      </c>
      <c r="CT5" t="e">
        <f>AND(#REF!,"AAAAADV7emE=")</f>
        <v>#REF!</v>
      </c>
      <c r="CU5" t="e">
        <f>AND(#REF!,"AAAAADV7emI=")</f>
        <v>#REF!</v>
      </c>
      <c r="CV5" t="e">
        <f>AND(#REF!,"AAAAADV7emM=")</f>
        <v>#REF!</v>
      </c>
      <c r="CW5" t="e">
        <f>AND(#REF!,"AAAAADV7emQ=")</f>
        <v>#REF!</v>
      </c>
      <c r="CX5" t="e">
        <f>AND(#REF!,"AAAAADV7emU=")</f>
        <v>#REF!</v>
      </c>
      <c r="CY5" t="e">
        <f>AND(#REF!,"AAAAADV7emY=")</f>
        <v>#REF!</v>
      </c>
      <c r="CZ5" t="e">
        <f>AND(#REF!,"AAAAADV7emc=")</f>
        <v>#REF!</v>
      </c>
      <c r="DA5" t="e">
        <f>AND(#REF!,"AAAAADV7emg=")</f>
        <v>#REF!</v>
      </c>
      <c r="DB5" t="e">
        <f>AND(#REF!,"AAAAADV7emk=")</f>
        <v>#REF!</v>
      </c>
      <c r="DC5" t="e">
        <f>AND(#REF!,"AAAAADV7emo=")</f>
        <v>#REF!</v>
      </c>
      <c r="DD5" t="e">
        <f>AND(#REF!,"AAAAADV7ems=")</f>
        <v>#REF!</v>
      </c>
      <c r="DE5" t="e">
        <f>AND(#REF!,"AAAAADV7emw=")</f>
        <v>#REF!</v>
      </c>
      <c r="DF5" t="e">
        <f>AND(#REF!,"AAAAADV7em0=")</f>
        <v>#REF!</v>
      </c>
      <c r="DG5" t="e">
        <f>AND(#REF!,"AAAAADV7em4=")</f>
        <v>#REF!</v>
      </c>
      <c r="DH5" t="e">
        <f>AND(#REF!,"AAAAADV7em8=")</f>
        <v>#REF!</v>
      </c>
      <c r="DI5" t="e">
        <f>AND(#REF!,"AAAAADV7enA=")</f>
        <v>#REF!</v>
      </c>
      <c r="DJ5" t="e">
        <f>AND(#REF!,"AAAAADV7enE=")</f>
        <v>#REF!</v>
      </c>
      <c r="DK5" t="e">
        <f>AND(#REF!,"AAAAADV7enI=")</f>
        <v>#REF!</v>
      </c>
      <c r="DL5" t="e">
        <f>AND(#REF!,"AAAAADV7enM=")</f>
        <v>#REF!</v>
      </c>
      <c r="DM5" t="e">
        <f>AND(#REF!,"AAAAADV7enQ=")</f>
        <v>#REF!</v>
      </c>
      <c r="DN5" t="e">
        <f>AND(#REF!,"AAAAADV7enU=")</f>
        <v>#REF!</v>
      </c>
      <c r="DO5" t="e">
        <f>AND(#REF!,"AAAAADV7enY=")</f>
        <v>#REF!</v>
      </c>
      <c r="DP5" t="e">
        <f>AND(#REF!,"AAAAADV7enc=")</f>
        <v>#REF!</v>
      </c>
      <c r="DQ5" t="e">
        <f>AND(#REF!,"AAAAADV7eng=")</f>
        <v>#REF!</v>
      </c>
      <c r="DR5" t="e">
        <f>AND(#REF!,"AAAAADV7enk=")</f>
        <v>#REF!</v>
      </c>
      <c r="DS5" t="e">
        <f>AND(#REF!,"AAAAADV7eno=")</f>
        <v>#REF!</v>
      </c>
      <c r="DT5" t="e">
        <f>AND(#REF!,"AAAAADV7ens=")</f>
        <v>#REF!</v>
      </c>
      <c r="DU5" t="e">
        <f>AND(#REF!,"AAAAADV7enw=")</f>
        <v>#REF!</v>
      </c>
      <c r="DV5" t="e">
        <f>AND(#REF!,"AAAAADV7en0=")</f>
        <v>#REF!</v>
      </c>
      <c r="DW5" t="e">
        <f>AND(#REF!,"AAAAADV7en4=")</f>
        <v>#REF!</v>
      </c>
      <c r="DX5" t="e">
        <f>AND(#REF!,"AAAAADV7en8=")</f>
        <v>#REF!</v>
      </c>
      <c r="DY5" t="e">
        <f>AND(#REF!,"AAAAADV7eoA=")</f>
        <v>#REF!</v>
      </c>
      <c r="DZ5" t="e">
        <f>AND(#REF!,"AAAAADV7eoE=")</f>
        <v>#REF!</v>
      </c>
      <c r="EA5" t="e">
        <f>AND(#REF!,"AAAAADV7eoI=")</f>
        <v>#REF!</v>
      </c>
      <c r="EB5" t="e">
        <f>AND(#REF!,"AAAAADV7eoM=")</f>
        <v>#REF!</v>
      </c>
      <c r="EC5" t="e">
        <f>AND(#REF!,"AAAAADV7eoQ=")</f>
        <v>#REF!</v>
      </c>
      <c r="ED5" t="e">
        <f>AND(#REF!,"AAAAADV7eoU=")</f>
        <v>#REF!</v>
      </c>
      <c r="EE5" t="e">
        <f>AND(#REF!,"AAAAADV7eoY=")</f>
        <v>#REF!</v>
      </c>
      <c r="EF5" t="e">
        <f>AND(#REF!,"AAAAADV7eoc=")</f>
        <v>#REF!</v>
      </c>
      <c r="EG5" t="e">
        <f>AND(#REF!,"AAAAADV7eog=")</f>
        <v>#REF!</v>
      </c>
      <c r="EH5" t="e">
        <f>AND(#REF!,"AAAAADV7eok=")</f>
        <v>#REF!</v>
      </c>
      <c r="EI5" t="e">
        <f>AND(#REF!,"AAAAADV7eoo=")</f>
        <v>#REF!</v>
      </c>
      <c r="EJ5" t="e">
        <f>AND(#REF!,"AAAAADV7eos=")</f>
        <v>#REF!</v>
      </c>
      <c r="EK5" t="e">
        <f>AND(#REF!,"AAAAADV7eow=")</f>
        <v>#REF!</v>
      </c>
      <c r="EL5" t="e">
        <f>AND(#REF!,"AAAAADV7eo0=")</f>
        <v>#REF!</v>
      </c>
      <c r="EM5" t="e">
        <f>AND(#REF!,"AAAAADV7eo4=")</f>
        <v>#REF!</v>
      </c>
      <c r="EN5" t="e">
        <f>AND(#REF!,"AAAAADV7eo8=")</f>
        <v>#REF!</v>
      </c>
      <c r="EO5" t="e">
        <f>AND(#REF!,"AAAAADV7epA=")</f>
        <v>#REF!</v>
      </c>
      <c r="EP5" t="e">
        <f>AND(#REF!,"AAAAADV7epE=")</f>
        <v>#REF!</v>
      </c>
      <c r="EQ5" t="e">
        <f>AND(#REF!,"AAAAADV7epI=")</f>
        <v>#REF!</v>
      </c>
      <c r="ER5" t="e">
        <f>AND(#REF!,"AAAAADV7epM=")</f>
        <v>#REF!</v>
      </c>
      <c r="ES5" t="e">
        <f>AND(#REF!,"AAAAADV7epQ=")</f>
        <v>#REF!</v>
      </c>
      <c r="ET5" t="e">
        <f>AND(#REF!,"AAAAADV7epU=")</f>
        <v>#REF!</v>
      </c>
      <c r="EU5" t="e">
        <f>AND(#REF!,"AAAAADV7epY=")</f>
        <v>#REF!</v>
      </c>
      <c r="EV5" t="e">
        <f>AND(#REF!,"AAAAADV7epc=")</f>
        <v>#REF!</v>
      </c>
      <c r="EW5" t="e">
        <f>AND(#REF!,"AAAAADV7epg=")</f>
        <v>#REF!</v>
      </c>
      <c r="EX5" t="e">
        <f>AND(#REF!,"AAAAADV7epk=")</f>
        <v>#REF!</v>
      </c>
      <c r="EY5" t="e">
        <f>AND(#REF!,"AAAAADV7epo=")</f>
        <v>#REF!</v>
      </c>
      <c r="EZ5" t="e">
        <f>AND(#REF!,"AAAAADV7eps=")</f>
        <v>#REF!</v>
      </c>
      <c r="FA5" t="e">
        <f>AND(#REF!,"AAAAADV7epw=")</f>
        <v>#REF!</v>
      </c>
      <c r="FB5" t="e">
        <f>AND(#REF!,"AAAAADV7ep0=")</f>
        <v>#REF!</v>
      </c>
      <c r="FC5" t="e">
        <f>AND(#REF!,"AAAAADV7ep4=")</f>
        <v>#REF!</v>
      </c>
      <c r="FD5" t="e">
        <f>AND(#REF!,"AAAAADV7ep8=")</f>
        <v>#REF!</v>
      </c>
      <c r="FE5" t="e">
        <f>AND(#REF!,"AAAAADV7eqA=")</f>
        <v>#REF!</v>
      </c>
      <c r="FF5" t="e">
        <f>AND(#REF!,"AAAAADV7eqE=")</f>
        <v>#REF!</v>
      </c>
      <c r="FG5" t="e">
        <f>AND(#REF!,"AAAAADV7eqI=")</f>
        <v>#REF!</v>
      </c>
      <c r="FH5" t="e">
        <f>AND(#REF!,"AAAAADV7eqM=")</f>
        <v>#REF!</v>
      </c>
      <c r="FI5" t="e">
        <f>AND(#REF!,"AAAAADV7eqQ=")</f>
        <v>#REF!</v>
      </c>
      <c r="FJ5" t="e">
        <f>AND(#REF!,"AAAAADV7eqU=")</f>
        <v>#REF!</v>
      </c>
      <c r="FK5" t="e">
        <f>AND(#REF!,"AAAAADV7eqY=")</f>
        <v>#REF!</v>
      </c>
      <c r="FL5" t="e">
        <f>AND(#REF!,"AAAAADV7eqc=")</f>
        <v>#REF!</v>
      </c>
      <c r="FM5" t="e">
        <f>AND(#REF!,"AAAAADV7eqg=")</f>
        <v>#REF!</v>
      </c>
      <c r="FN5" t="e">
        <f>AND(#REF!,"AAAAADV7eqk=")</f>
        <v>#REF!</v>
      </c>
      <c r="FO5" t="e">
        <f>AND(#REF!,"AAAAADV7eqo=")</f>
        <v>#REF!</v>
      </c>
      <c r="FP5" t="e">
        <f>AND(#REF!,"AAAAADV7eqs=")</f>
        <v>#REF!</v>
      </c>
      <c r="FQ5" t="e">
        <f>AND(#REF!,"AAAAADV7eqw=")</f>
        <v>#REF!</v>
      </c>
      <c r="FR5" t="e">
        <f>AND(#REF!,"AAAAADV7eq0=")</f>
        <v>#REF!</v>
      </c>
      <c r="FS5" t="e">
        <f>AND(#REF!,"AAAAADV7eq4=")</f>
        <v>#REF!</v>
      </c>
      <c r="FT5" t="e">
        <f>AND(#REF!,"AAAAADV7eq8=")</f>
        <v>#REF!</v>
      </c>
      <c r="FU5" t="e">
        <f>AND(#REF!,"AAAAADV7erA=")</f>
        <v>#REF!</v>
      </c>
      <c r="FV5" t="e">
        <f>AND(#REF!,"AAAAADV7erE=")</f>
        <v>#REF!</v>
      </c>
      <c r="FW5" t="e">
        <f>AND(#REF!,"AAAAADV7erI=")</f>
        <v>#REF!</v>
      </c>
      <c r="FX5" t="e">
        <f>AND(#REF!,"AAAAADV7erM=")</f>
        <v>#REF!</v>
      </c>
      <c r="FY5" t="e">
        <f>AND(#REF!,"AAAAADV7erQ=")</f>
        <v>#REF!</v>
      </c>
      <c r="FZ5" t="e">
        <f>AND(#REF!,"AAAAADV7erU=")</f>
        <v>#REF!</v>
      </c>
      <c r="GA5" t="e">
        <f>AND(#REF!,"AAAAADV7erY=")</f>
        <v>#REF!</v>
      </c>
      <c r="GB5" t="e">
        <f>AND(#REF!,"AAAAADV7erc=")</f>
        <v>#REF!</v>
      </c>
      <c r="GC5" t="e">
        <f>AND(#REF!,"AAAAADV7erg=")</f>
        <v>#REF!</v>
      </c>
      <c r="GD5" t="e">
        <f>AND(#REF!,"AAAAADV7erk=")</f>
        <v>#REF!</v>
      </c>
      <c r="GE5" t="e">
        <f>AND(#REF!,"AAAAADV7ero=")</f>
        <v>#REF!</v>
      </c>
      <c r="GF5" t="e">
        <f>AND(#REF!,"AAAAADV7ers=")</f>
        <v>#REF!</v>
      </c>
      <c r="GG5" t="e">
        <f>AND(#REF!,"AAAAADV7erw=")</f>
        <v>#REF!</v>
      </c>
      <c r="GH5" t="e">
        <f>AND(#REF!,"AAAAADV7er0=")</f>
        <v>#REF!</v>
      </c>
      <c r="GI5" t="e">
        <f>AND(#REF!,"AAAAADV7er4=")</f>
        <v>#REF!</v>
      </c>
      <c r="GJ5" t="e">
        <f>AND(#REF!,"AAAAADV7er8=")</f>
        <v>#REF!</v>
      </c>
      <c r="GK5" t="e">
        <f>AND(#REF!,"AAAAADV7esA=")</f>
        <v>#REF!</v>
      </c>
      <c r="GL5" t="e">
        <f>AND(#REF!,"AAAAADV7esE=")</f>
        <v>#REF!</v>
      </c>
      <c r="GM5" t="e">
        <f>AND(#REF!,"AAAAADV7esI=")</f>
        <v>#REF!</v>
      </c>
      <c r="GN5" t="e">
        <f>AND(#REF!,"AAAAADV7esM=")</f>
        <v>#REF!</v>
      </c>
      <c r="GO5" t="e">
        <f>AND(#REF!,"AAAAADV7esQ=")</f>
        <v>#REF!</v>
      </c>
      <c r="GP5" t="e">
        <f>AND(#REF!,"AAAAADV7esU=")</f>
        <v>#REF!</v>
      </c>
      <c r="GQ5" t="e">
        <f>AND(#REF!,"AAAAADV7esY=")</f>
        <v>#REF!</v>
      </c>
      <c r="GR5" t="e">
        <f>AND(#REF!,"AAAAADV7esc=")</f>
        <v>#REF!</v>
      </c>
      <c r="GS5" t="e">
        <f>AND(#REF!,"AAAAADV7esg=")</f>
        <v>#REF!</v>
      </c>
      <c r="GT5" t="e">
        <f>AND(#REF!,"AAAAADV7esk=")</f>
        <v>#REF!</v>
      </c>
      <c r="GU5" t="e">
        <f>AND(#REF!,"AAAAADV7eso=")</f>
        <v>#REF!</v>
      </c>
      <c r="GV5" t="e">
        <f>AND(#REF!,"AAAAADV7ess=")</f>
        <v>#REF!</v>
      </c>
      <c r="GW5" t="e">
        <f>AND(#REF!,"AAAAADV7esw=")</f>
        <v>#REF!</v>
      </c>
      <c r="GX5" t="e">
        <f>AND(#REF!,"AAAAADV7es0=")</f>
        <v>#REF!</v>
      </c>
      <c r="GY5" t="e">
        <f>AND(#REF!,"AAAAADV7es4=")</f>
        <v>#REF!</v>
      </c>
      <c r="GZ5" t="e">
        <f>AND(#REF!,"AAAAADV7es8=")</f>
        <v>#REF!</v>
      </c>
      <c r="HA5" t="e">
        <f>AND(#REF!,"AAAAADV7etA=")</f>
        <v>#REF!</v>
      </c>
      <c r="HB5" t="e">
        <f>AND(#REF!,"AAAAADV7etE=")</f>
        <v>#REF!</v>
      </c>
      <c r="HC5" t="e">
        <f>AND(#REF!,"AAAAADV7etI=")</f>
        <v>#REF!</v>
      </c>
      <c r="HD5" t="e">
        <f>AND(#REF!,"AAAAADV7etM=")</f>
        <v>#REF!</v>
      </c>
      <c r="HE5" t="e">
        <f>AND(#REF!,"AAAAADV7etQ=")</f>
        <v>#REF!</v>
      </c>
      <c r="HF5" t="e">
        <f>AND(#REF!,"AAAAADV7etU=")</f>
        <v>#REF!</v>
      </c>
      <c r="HG5" t="e">
        <f>AND(#REF!,"AAAAADV7etY=")</f>
        <v>#REF!</v>
      </c>
      <c r="HH5" t="e">
        <f>AND(#REF!,"AAAAADV7etc=")</f>
        <v>#REF!</v>
      </c>
      <c r="HI5" t="e">
        <f>AND(#REF!,"AAAAADV7etg=")</f>
        <v>#REF!</v>
      </c>
      <c r="HJ5" t="e">
        <f>AND(#REF!,"AAAAADV7etk=")</f>
        <v>#REF!</v>
      </c>
      <c r="HK5" t="e">
        <f>AND(#REF!,"AAAAADV7eto=")</f>
        <v>#REF!</v>
      </c>
      <c r="HL5" t="e">
        <f>AND(#REF!,"AAAAADV7ets=")</f>
        <v>#REF!</v>
      </c>
      <c r="HM5" t="e">
        <f>AND(#REF!,"AAAAADV7etw=")</f>
        <v>#REF!</v>
      </c>
      <c r="HN5" t="e">
        <f>AND(#REF!,"AAAAADV7et0=")</f>
        <v>#REF!</v>
      </c>
      <c r="HO5" t="e">
        <f>AND(#REF!,"AAAAADV7et4=")</f>
        <v>#REF!</v>
      </c>
      <c r="HP5" t="e">
        <f>AND(#REF!,"AAAAADV7et8=")</f>
        <v>#REF!</v>
      </c>
      <c r="HQ5" t="e">
        <f>AND(#REF!,"AAAAADV7euA=")</f>
        <v>#REF!</v>
      </c>
      <c r="HR5" t="e">
        <f>AND(#REF!,"AAAAADV7euE=")</f>
        <v>#REF!</v>
      </c>
      <c r="HS5" t="e">
        <f>AND(#REF!,"AAAAADV7euI=")</f>
        <v>#REF!</v>
      </c>
      <c r="HT5" t="e">
        <f>AND(#REF!,"AAAAADV7euM=")</f>
        <v>#REF!</v>
      </c>
      <c r="HU5" t="e">
        <f>AND(#REF!,"AAAAADV7euQ=")</f>
        <v>#REF!</v>
      </c>
      <c r="HV5" t="e">
        <f>AND(#REF!,"AAAAADV7euU=")</f>
        <v>#REF!</v>
      </c>
      <c r="HW5" t="e">
        <f>AND(#REF!,"AAAAADV7euY=")</f>
        <v>#REF!</v>
      </c>
      <c r="HX5" t="e">
        <f>AND(#REF!,"AAAAADV7euc=")</f>
        <v>#REF!</v>
      </c>
      <c r="HY5" t="e">
        <f>AND(#REF!,"AAAAADV7eug=")</f>
        <v>#REF!</v>
      </c>
      <c r="HZ5" t="e">
        <f>AND(#REF!,"AAAAADV7euk=")</f>
        <v>#REF!</v>
      </c>
      <c r="IA5" t="e">
        <f>AND(#REF!,"AAAAADV7euo=")</f>
        <v>#REF!</v>
      </c>
      <c r="IB5" t="e">
        <f>AND(#REF!,"AAAAADV7eus=")</f>
        <v>#REF!</v>
      </c>
      <c r="IC5" t="e">
        <f>AND(#REF!,"AAAAADV7euw=")</f>
        <v>#REF!</v>
      </c>
      <c r="ID5" t="e">
        <f>AND(#REF!,"AAAAADV7eu0=")</f>
        <v>#REF!</v>
      </c>
      <c r="IE5" t="e">
        <f>AND(#REF!,"AAAAADV7eu4=")</f>
        <v>#REF!</v>
      </c>
      <c r="IF5" t="e">
        <f>AND(#REF!,"AAAAADV7eu8=")</f>
        <v>#REF!</v>
      </c>
      <c r="IG5" t="e">
        <f>AND(#REF!,"AAAAADV7evA=")</f>
        <v>#REF!</v>
      </c>
      <c r="IH5" t="e">
        <f>AND(#REF!,"AAAAADV7evE=")</f>
        <v>#REF!</v>
      </c>
      <c r="II5" t="e">
        <f>AND(#REF!,"AAAAADV7evI=")</f>
        <v>#REF!</v>
      </c>
      <c r="IJ5" t="e">
        <f>AND(#REF!,"AAAAADV7evM=")</f>
        <v>#REF!</v>
      </c>
      <c r="IK5" t="e">
        <f>AND(#REF!,"AAAAADV7evQ=")</f>
        <v>#REF!</v>
      </c>
      <c r="IL5" t="e">
        <f>AND(#REF!,"AAAAADV7evU=")</f>
        <v>#REF!</v>
      </c>
      <c r="IM5" t="e">
        <f>AND(#REF!,"AAAAADV7evY=")</f>
        <v>#REF!</v>
      </c>
      <c r="IN5" t="e">
        <f>AND(#REF!,"AAAAADV7evc=")</f>
        <v>#REF!</v>
      </c>
      <c r="IO5" t="e">
        <f>AND(#REF!,"AAAAADV7evg=")</f>
        <v>#REF!</v>
      </c>
      <c r="IP5" t="e">
        <f>AND(#REF!,"AAAAADV7evk=")</f>
        <v>#REF!</v>
      </c>
      <c r="IQ5" t="e">
        <f>AND(#REF!,"AAAAADV7evo=")</f>
        <v>#REF!</v>
      </c>
      <c r="IR5" t="e">
        <f>AND(#REF!,"AAAAADV7evs=")</f>
        <v>#REF!</v>
      </c>
      <c r="IS5" t="e">
        <f>AND(#REF!,"AAAAADV7evw=")</f>
        <v>#REF!</v>
      </c>
      <c r="IT5" t="e">
        <f>AND(#REF!,"AAAAADV7ev0=")</f>
        <v>#REF!</v>
      </c>
      <c r="IU5" t="e">
        <f>AND(#REF!,"AAAAADV7ev4=")</f>
        <v>#REF!</v>
      </c>
      <c r="IV5" t="e">
        <f>AND(#REF!,"AAAAADV7ev8=")</f>
        <v>#REF!</v>
      </c>
    </row>
    <row r="6" spans="1:256" x14ac:dyDescent="0.2">
      <c r="A6" t="e">
        <f>AND(#REF!,"AAAAAC7P2wA=")</f>
        <v>#REF!</v>
      </c>
      <c r="B6" t="e">
        <f>AND(#REF!,"AAAAAC7P2wE=")</f>
        <v>#REF!</v>
      </c>
      <c r="C6" t="e">
        <f>AND(#REF!,"AAAAAC7P2wI=")</f>
        <v>#REF!</v>
      </c>
      <c r="D6" t="e">
        <f>AND(#REF!,"AAAAAC7P2wM=")</f>
        <v>#REF!</v>
      </c>
      <c r="E6" t="e">
        <f>IF(#REF!,"AAAAAC7P2wQ=",0)</f>
        <v>#REF!</v>
      </c>
      <c r="F6" t="e">
        <f>AND(#REF!,"AAAAAC7P2wU=")</f>
        <v>#REF!</v>
      </c>
      <c r="G6" t="e">
        <f>AND(#REF!,"AAAAAC7P2wY=")</f>
        <v>#REF!</v>
      </c>
      <c r="H6" t="e">
        <f>AND(#REF!,"AAAAAC7P2wc=")</f>
        <v>#REF!</v>
      </c>
      <c r="I6" t="e">
        <f>AND(#REF!,"AAAAAC7P2wg=")</f>
        <v>#REF!</v>
      </c>
      <c r="J6" t="e">
        <f>AND(#REF!,"AAAAAC7P2wk=")</f>
        <v>#REF!</v>
      </c>
      <c r="K6" t="e">
        <f>AND(#REF!,"AAAAAC7P2wo=")</f>
        <v>#REF!</v>
      </c>
      <c r="L6" t="e">
        <f>AND(#REF!,"AAAAAC7P2ws=")</f>
        <v>#REF!</v>
      </c>
      <c r="M6" t="e">
        <f>AND(#REF!,"AAAAAC7P2ww=")</f>
        <v>#REF!</v>
      </c>
      <c r="N6" t="e">
        <f>AND(#REF!,"AAAAAC7P2w0=")</f>
        <v>#REF!</v>
      </c>
      <c r="O6" t="e">
        <f>AND(#REF!,"AAAAAC7P2w4=")</f>
        <v>#REF!</v>
      </c>
      <c r="P6" t="e">
        <f>AND(#REF!,"AAAAAC7P2w8=")</f>
        <v>#REF!</v>
      </c>
      <c r="Q6" t="e">
        <f>AND(#REF!,"AAAAAC7P2xA=")</f>
        <v>#REF!</v>
      </c>
      <c r="R6" t="e">
        <f>AND(#REF!,"AAAAAC7P2xE=")</f>
        <v>#REF!</v>
      </c>
      <c r="S6" t="e">
        <f>AND(#REF!,"AAAAAC7P2xI=")</f>
        <v>#REF!</v>
      </c>
      <c r="T6" t="e">
        <f>AND(#REF!,"AAAAAC7P2xM=")</f>
        <v>#REF!</v>
      </c>
      <c r="U6" t="e">
        <f>AND(#REF!,"AAAAAC7P2xQ=")</f>
        <v>#REF!</v>
      </c>
      <c r="V6" t="e">
        <f>AND(#REF!,"AAAAAC7P2xU=")</f>
        <v>#REF!</v>
      </c>
      <c r="W6" t="e">
        <f>AND(#REF!,"AAAAAC7P2xY=")</f>
        <v>#REF!</v>
      </c>
      <c r="X6" t="e">
        <f>AND(#REF!,"AAAAAC7P2xc=")</f>
        <v>#REF!</v>
      </c>
      <c r="Y6" t="e">
        <f>AND(#REF!,"AAAAAC7P2xg=")</f>
        <v>#REF!</v>
      </c>
      <c r="Z6" t="e">
        <f>AND(#REF!,"AAAAAC7P2xk=")</f>
        <v>#REF!</v>
      </c>
      <c r="AA6" t="e">
        <f>AND(#REF!,"AAAAAC7P2xo=")</f>
        <v>#REF!</v>
      </c>
      <c r="AB6" t="e">
        <f>AND(#REF!,"AAAAAC7P2xs=")</f>
        <v>#REF!</v>
      </c>
      <c r="AC6" t="e">
        <f>AND(#REF!,"AAAAAC7P2xw=")</f>
        <v>#REF!</v>
      </c>
      <c r="AD6" t="e">
        <f>AND(#REF!,"AAAAAC7P2x0=")</f>
        <v>#REF!</v>
      </c>
      <c r="AE6" t="e">
        <f>AND(#REF!,"AAAAAC7P2x4=")</f>
        <v>#REF!</v>
      </c>
      <c r="AF6" t="e">
        <f>AND(#REF!,"AAAAAC7P2x8=")</f>
        <v>#REF!</v>
      </c>
      <c r="AG6" t="e">
        <f>AND(#REF!,"AAAAAC7P2yA=")</f>
        <v>#REF!</v>
      </c>
      <c r="AH6" t="e">
        <f>AND(#REF!,"AAAAAC7P2yE=")</f>
        <v>#REF!</v>
      </c>
      <c r="AI6" t="e">
        <f>AND(#REF!,"AAAAAC7P2yI=")</f>
        <v>#REF!</v>
      </c>
      <c r="AJ6" t="e">
        <f>AND(#REF!,"AAAAAC7P2yM=")</f>
        <v>#REF!</v>
      </c>
      <c r="AK6" t="e">
        <f>AND(#REF!,"AAAAAC7P2yQ=")</f>
        <v>#REF!</v>
      </c>
      <c r="AL6" t="e">
        <f>AND(#REF!,"AAAAAC7P2yU=")</f>
        <v>#REF!</v>
      </c>
      <c r="AM6" t="e">
        <f>AND(#REF!,"AAAAAC7P2yY=")</f>
        <v>#REF!</v>
      </c>
      <c r="AN6" t="e">
        <f>AND(#REF!,"AAAAAC7P2yc=")</f>
        <v>#REF!</v>
      </c>
      <c r="AO6" t="e">
        <f>AND(#REF!,"AAAAAC7P2yg=")</f>
        <v>#REF!</v>
      </c>
      <c r="AP6" t="e">
        <f>AND(#REF!,"AAAAAC7P2yk=")</f>
        <v>#REF!</v>
      </c>
      <c r="AQ6" t="e">
        <f>AND(#REF!,"AAAAAC7P2yo=")</f>
        <v>#REF!</v>
      </c>
      <c r="AR6" t="e">
        <f>AND(#REF!,"AAAAAC7P2ys=")</f>
        <v>#REF!</v>
      </c>
      <c r="AS6" t="e">
        <f>AND(#REF!,"AAAAAC7P2yw=")</f>
        <v>#REF!</v>
      </c>
      <c r="AT6" t="e">
        <f>AND(#REF!,"AAAAAC7P2y0=")</f>
        <v>#REF!</v>
      </c>
      <c r="AU6" t="e">
        <f>AND(#REF!,"AAAAAC7P2y4=")</f>
        <v>#REF!</v>
      </c>
      <c r="AV6" t="e">
        <f>AND(#REF!,"AAAAAC7P2y8=")</f>
        <v>#REF!</v>
      </c>
      <c r="AW6" t="e">
        <f>AND(#REF!,"AAAAAC7P2zA=")</f>
        <v>#REF!</v>
      </c>
      <c r="AX6" t="e">
        <f>AND(#REF!,"AAAAAC7P2zE=")</f>
        <v>#REF!</v>
      </c>
      <c r="AY6" t="e">
        <f>AND(#REF!,"AAAAAC7P2zI=")</f>
        <v>#REF!</v>
      </c>
      <c r="AZ6" t="e">
        <f>AND(#REF!,"AAAAAC7P2zM=")</f>
        <v>#REF!</v>
      </c>
      <c r="BA6" t="e">
        <f>AND(#REF!,"AAAAAC7P2zQ=")</f>
        <v>#REF!</v>
      </c>
      <c r="BB6" t="e">
        <f>AND(#REF!,"AAAAAC7P2zU=")</f>
        <v>#REF!</v>
      </c>
      <c r="BC6" t="e">
        <f>AND(#REF!,"AAAAAC7P2zY=")</f>
        <v>#REF!</v>
      </c>
      <c r="BD6" t="e">
        <f>AND(#REF!,"AAAAAC7P2zc=")</f>
        <v>#REF!</v>
      </c>
      <c r="BE6" t="e">
        <f>AND(#REF!,"AAAAAC7P2zg=")</f>
        <v>#REF!</v>
      </c>
      <c r="BF6" t="e">
        <f>AND(#REF!,"AAAAAC7P2zk=")</f>
        <v>#REF!</v>
      </c>
      <c r="BG6" t="e">
        <f>AND(#REF!,"AAAAAC7P2zo=")</f>
        <v>#REF!</v>
      </c>
      <c r="BH6" t="e">
        <f>AND(#REF!,"AAAAAC7P2zs=")</f>
        <v>#REF!</v>
      </c>
      <c r="BI6" t="e">
        <f>AND(#REF!,"AAAAAC7P2zw=")</f>
        <v>#REF!</v>
      </c>
      <c r="BJ6" t="e">
        <f>AND(#REF!,"AAAAAC7P2z0=")</f>
        <v>#REF!</v>
      </c>
      <c r="BK6" t="e">
        <f>AND(#REF!,"AAAAAC7P2z4=")</f>
        <v>#REF!</v>
      </c>
      <c r="BL6" t="e">
        <f>AND(#REF!,"AAAAAC7P2z8=")</f>
        <v>#REF!</v>
      </c>
      <c r="BM6" t="e">
        <f>AND(#REF!,"AAAAAC7P20A=")</f>
        <v>#REF!</v>
      </c>
      <c r="BN6" t="e">
        <f>AND(#REF!,"AAAAAC7P20E=")</f>
        <v>#REF!</v>
      </c>
      <c r="BO6" t="e">
        <f>AND(#REF!,"AAAAAC7P20I=")</f>
        <v>#REF!</v>
      </c>
      <c r="BP6" t="e">
        <f>AND(#REF!,"AAAAAC7P20M=")</f>
        <v>#REF!</v>
      </c>
      <c r="BQ6" t="e">
        <f>AND(#REF!,"AAAAAC7P20Q=")</f>
        <v>#REF!</v>
      </c>
      <c r="BR6" t="e">
        <f>AND(#REF!,"AAAAAC7P20U=")</f>
        <v>#REF!</v>
      </c>
      <c r="BS6" t="e">
        <f>AND(#REF!,"AAAAAC7P20Y=")</f>
        <v>#REF!</v>
      </c>
      <c r="BT6" t="e">
        <f>AND(#REF!,"AAAAAC7P20c=")</f>
        <v>#REF!</v>
      </c>
      <c r="BU6" t="e">
        <f>AND(#REF!,"AAAAAC7P20g=")</f>
        <v>#REF!</v>
      </c>
      <c r="BV6" t="e">
        <f>AND(#REF!,"AAAAAC7P20k=")</f>
        <v>#REF!</v>
      </c>
      <c r="BW6" t="e">
        <f>AND(#REF!,"AAAAAC7P20o=")</f>
        <v>#REF!</v>
      </c>
      <c r="BX6" t="e">
        <f>AND(#REF!,"AAAAAC7P20s=")</f>
        <v>#REF!</v>
      </c>
      <c r="BY6" t="e">
        <f>AND(#REF!,"AAAAAC7P20w=")</f>
        <v>#REF!</v>
      </c>
      <c r="BZ6" t="e">
        <f>AND(#REF!,"AAAAAC7P200=")</f>
        <v>#REF!</v>
      </c>
      <c r="CA6" t="e">
        <f>AND(#REF!,"AAAAAC7P204=")</f>
        <v>#REF!</v>
      </c>
      <c r="CB6" t="e">
        <f>AND(#REF!,"AAAAAC7P208=")</f>
        <v>#REF!</v>
      </c>
      <c r="CC6" t="e">
        <f>AND(#REF!,"AAAAAC7P21A=")</f>
        <v>#REF!</v>
      </c>
      <c r="CD6" t="e">
        <f>AND(#REF!,"AAAAAC7P21E=")</f>
        <v>#REF!</v>
      </c>
      <c r="CE6" t="e">
        <f>AND(#REF!,"AAAAAC7P21I=")</f>
        <v>#REF!</v>
      </c>
      <c r="CF6" t="e">
        <f>AND(#REF!,"AAAAAC7P21M=")</f>
        <v>#REF!</v>
      </c>
      <c r="CG6" t="e">
        <f>AND(#REF!,"AAAAAC7P21Q=")</f>
        <v>#REF!</v>
      </c>
      <c r="CH6" t="e">
        <f>AND(#REF!,"AAAAAC7P21U=")</f>
        <v>#REF!</v>
      </c>
      <c r="CI6" t="e">
        <f>AND(#REF!,"AAAAAC7P21Y=")</f>
        <v>#REF!</v>
      </c>
      <c r="CJ6" t="e">
        <f>AND(#REF!,"AAAAAC7P21c=")</f>
        <v>#REF!</v>
      </c>
      <c r="CK6" t="e">
        <f>AND(#REF!,"AAAAAC7P21g=")</f>
        <v>#REF!</v>
      </c>
      <c r="CL6" t="e">
        <f>AND(#REF!,"AAAAAC7P21k=")</f>
        <v>#REF!</v>
      </c>
      <c r="CM6" t="e">
        <f>AND(#REF!,"AAAAAC7P21o=")</f>
        <v>#REF!</v>
      </c>
      <c r="CN6" t="e">
        <f>AND(#REF!,"AAAAAC7P21s=")</f>
        <v>#REF!</v>
      </c>
      <c r="CO6" t="e">
        <f>AND(#REF!,"AAAAAC7P21w=")</f>
        <v>#REF!</v>
      </c>
      <c r="CP6" t="e">
        <f>AND(#REF!,"AAAAAC7P210=")</f>
        <v>#REF!</v>
      </c>
      <c r="CQ6" t="e">
        <f>AND(#REF!,"AAAAAC7P214=")</f>
        <v>#REF!</v>
      </c>
      <c r="CR6" t="e">
        <f>AND(#REF!,"AAAAAC7P218=")</f>
        <v>#REF!</v>
      </c>
      <c r="CS6" t="e">
        <f>AND(#REF!,"AAAAAC7P22A=")</f>
        <v>#REF!</v>
      </c>
      <c r="CT6" t="e">
        <f>AND(#REF!,"AAAAAC7P22E=")</f>
        <v>#REF!</v>
      </c>
      <c r="CU6" t="e">
        <f>AND(#REF!,"AAAAAC7P22I=")</f>
        <v>#REF!</v>
      </c>
      <c r="CV6" t="e">
        <f>AND(#REF!,"AAAAAC7P22M=")</f>
        <v>#REF!</v>
      </c>
      <c r="CW6" t="e">
        <f>AND(#REF!,"AAAAAC7P22Q=")</f>
        <v>#REF!</v>
      </c>
      <c r="CX6" t="e">
        <f>AND(#REF!,"AAAAAC7P22U=")</f>
        <v>#REF!</v>
      </c>
      <c r="CY6" t="e">
        <f>AND(#REF!,"AAAAAC7P22Y=")</f>
        <v>#REF!</v>
      </c>
      <c r="CZ6" t="e">
        <f>AND(#REF!,"AAAAAC7P22c=")</f>
        <v>#REF!</v>
      </c>
      <c r="DA6" t="e">
        <f>AND(#REF!,"AAAAAC7P22g=")</f>
        <v>#REF!</v>
      </c>
      <c r="DB6" t="e">
        <f>AND(#REF!,"AAAAAC7P22k=")</f>
        <v>#REF!</v>
      </c>
      <c r="DC6" t="e">
        <f>AND(#REF!,"AAAAAC7P22o=")</f>
        <v>#REF!</v>
      </c>
      <c r="DD6" t="e">
        <f>AND(#REF!,"AAAAAC7P22s=")</f>
        <v>#REF!</v>
      </c>
      <c r="DE6" t="e">
        <f>AND(#REF!,"AAAAAC7P22w=")</f>
        <v>#REF!</v>
      </c>
      <c r="DF6" t="e">
        <f>AND(#REF!,"AAAAAC7P220=")</f>
        <v>#REF!</v>
      </c>
      <c r="DG6" t="e">
        <f>AND(#REF!,"AAAAAC7P224=")</f>
        <v>#REF!</v>
      </c>
      <c r="DH6" t="e">
        <f>AND(#REF!,"AAAAAC7P228=")</f>
        <v>#REF!</v>
      </c>
      <c r="DI6" t="e">
        <f>AND(#REF!,"AAAAAC7P23A=")</f>
        <v>#REF!</v>
      </c>
      <c r="DJ6" t="e">
        <f>AND(#REF!,"AAAAAC7P23E=")</f>
        <v>#REF!</v>
      </c>
      <c r="DK6" t="e">
        <f>AND(#REF!,"AAAAAC7P23I=")</f>
        <v>#REF!</v>
      </c>
      <c r="DL6" t="e">
        <f>AND(#REF!,"AAAAAC7P23M=")</f>
        <v>#REF!</v>
      </c>
      <c r="DM6" t="e">
        <f>AND(#REF!,"AAAAAC7P23Q=")</f>
        <v>#REF!</v>
      </c>
      <c r="DN6" t="e">
        <f>AND(#REF!,"AAAAAC7P23U=")</f>
        <v>#REF!</v>
      </c>
      <c r="DO6" t="e">
        <f>AND(#REF!,"AAAAAC7P23Y=")</f>
        <v>#REF!</v>
      </c>
      <c r="DP6" t="e">
        <f>AND(#REF!,"AAAAAC7P23c=")</f>
        <v>#REF!</v>
      </c>
      <c r="DQ6" t="e">
        <f>AND(#REF!,"AAAAAC7P23g=")</f>
        <v>#REF!</v>
      </c>
      <c r="DR6" t="e">
        <f>AND(#REF!,"AAAAAC7P23k=")</f>
        <v>#REF!</v>
      </c>
      <c r="DS6" t="e">
        <f>AND(#REF!,"AAAAAC7P23o=")</f>
        <v>#REF!</v>
      </c>
      <c r="DT6" t="e">
        <f>AND(#REF!,"AAAAAC7P23s=")</f>
        <v>#REF!</v>
      </c>
      <c r="DU6" t="e">
        <f>AND(#REF!,"AAAAAC7P23w=")</f>
        <v>#REF!</v>
      </c>
      <c r="DV6" t="e">
        <f>AND(#REF!,"AAAAAC7P230=")</f>
        <v>#REF!</v>
      </c>
      <c r="DW6" t="e">
        <f>AND(#REF!,"AAAAAC7P234=")</f>
        <v>#REF!</v>
      </c>
      <c r="DX6" t="e">
        <f>AND(#REF!,"AAAAAC7P238=")</f>
        <v>#REF!</v>
      </c>
      <c r="DY6" t="e">
        <f>AND(#REF!,"AAAAAC7P24A=")</f>
        <v>#REF!</v>
      </c>
      <c r="DZ6" t="e">
        <f>AND(#REF!,"AAAAAC7P24E=")</f>
        <v>#REF!</v>
      </c>
      <c r="EA6" t="e">
        <f>AND(#REF!,"AAAAAC7P24I=")</f>
        <v>#REF!</v>
      </c>
      <c r="EB6" t="e">
        <f>AND(#REF!,"AAAAAC7P24M=")</f>
        <v>#REF!</v>
      </c>
      <c r="EC6" t="e">
        <f>AND(#REF!,"AAAAAC7P24Q=")</f>
        <v>#REF!</v>
      </c>
      <c r="ED6" t="e">
        <f>AND(#REF!,"AAAAAC7P24U=")</f>
        <v>#REF!</v>
      </c>
      <c r="EE6" t="e">
        <f>AND(#REF!,"AAAAAC7P24Y=")</f>
        <v>#REF!</v>
      </c>
      <c r="EF6" t="e">
        <f>AND(#REF!,"AAAAAC7P24c=")</f>
        <v>#REF!</v>
      </c>
      <c r="EG6" t="e">
        <f>AND(#REF!,"AAAAAC7P24g=")</f>
        <v>#REF!</v>
      </c>
      <c r="EH6" t="e">
        <f>AND(#REF!,"AAAAAC7P24k=")</f>
        <v>#REF!</v>
      </c>
      <c r="EI6" t="e">
        <f>AND(#REF!,"AAAAAC7P24o=")</f>
        <v>#REF!</v>
      </c>
      <c r="EJ6" t="e">
        <f>AND(#REF!,"AAAAAC7P24s=")</f>
        <v>#REF!</v>
      </c>
      <c r="EK6" t="e">
        <f>AND(#REF!,"AAAAAC7P24w=")</f>
        <v>#REF!</v>
      </c>
      <c r="EL6" t="e">
        <f>AND(#REF!,"AAAAAC7P240=")</f>
        <v>#REF!</v>
      </c>
      <c r="EM6" t="e">
        <f>AND(#REF!,"AAAAAC7P244=")</f>
        <v>#REF!</v>
      </c>
      <c r="EN6" t="e">
        <f>AND(#REF!,"AAAAAC7P248=")</f>
        <v>#REF!</v>
      </c>
      <c r="EO6" t="e">
        <f>AND(#REF!,"AAAAAC7P25A=")</f>
        <v>#REF!</v>
      </c>
      <c r="EP6" t="e">
        <f>AND(#REF!,"AAAAAC7P25E=")</f>
        <v>#REF!</v>
      </c>
      <c r="EQ6" t="e">
        <f>AND(#REF!,"AAAAAC7P25I=")</f>
        <v>#REF!</v>
      </c>
      <c r="ER6" t="e">
        <f>AND(#REF!,"AAAAAC7P25M=")</f>
        <v>#REF!</v>
      </c>
      <c r="ES6" t="e">
        <f>AND(#REF!,"AAAAAC7P25Q=")</f>
        <v>#REF!</v>
      </c>
      <c r="ET6" t="e">
        <f>AND(#REF!,"AAAAAC7P25U=")</f>
        <v>#REF!</v>
      </c>
      <c r="EU6" t="e">
        <f>AND(#REF!,"AAAAAC7P25Y=")</f>
        <v>#REF!</v>
      </c>
      <c r="EV6" t="e">
        <f>AND(#REF!,"AAAAAC7P25c=")</f>
        <v>#REF!</v>
      </c>
      <c r="EW6" t="e">
        <f>AND(#REF!,"AAAAAC7P25g=")</f>
        <v>#REF!</v>
      </c>
      <c r="EX6" t="e">
        <f>AND(#REF!,"AAAAAC7P25k=")</f>
        <v>#REF!</v>
      </c>
      <c r="EY6" t="e">
        <f>AND(#REF!,"AAAAAC7P25o=")</f>
        <v>#REF!</v>
      </c>
      <c r="EZ6" t="e">
        <f>AND(#REF!,"AAAAAC7P25s=")</f>
        <v>#REF!</v>
      </c>
      <c r="FA6" t="e">
        <f>AND(#REF!,"AAAAAC7P25w=")</f>
        <v>#REF!</v>
      </c>
      <c r="FB6" t="e">
        <f>AND(#REF!,"AAAAAC7P250=")</f>
        <v>#REF!</v>
      </c>
      <c r="FC6" t="e">
        <f>AND(#REF!,"AAAAAC7P254=")</f>
        <v>#REF!</v>
      </c>
      <c r="FD6" t="e">
        <f>AND(#REF!,"AAAAAC7P258=")</f>
        <v>#REF!</v>
      </c>
      <c r="FE6" t="e">
        <f>AND(#REF!,"AAAAAC7P26A=")</f>
        <v>#REF!</v>
      </c>
      <c r="FF6" t="e">
        <f>AND(#REF!,"AAAAAC7P26E=")</f>
        <v>#REF!</v>
      </c>
      <c r="FG6" t="e">
        <f>AND(#REF!,"AAAAAC7P26I=")</f>
        <v>#REF!</v>
      </c>
      <c r="FH6" t="e">
        <f>AND(#REF!,"AAAAAC7P26M=")</f>
        <v>#REF!</v>
      </c>
      <c r="FI6" t="e">
        <f>AND(#REF!,"AAAAAC7P26Q=")</f>
        <v>#REF!</v>
      </c>
      <c r="FJ6" t="e">
        <f>AND(#REF!,"AAAAAC7P26U=")</f>
        <v>#REF!</v>
      </c>
      <c r="FK6" t="e">
        <f>AND(#REF!,"AAAAAC7P26Y=")</f>
        <v>#REF!</v>
      </c>
      <c r="FL6" t="e">
        <f>AND(#REF!,"AAAAAC7P26c=")</f>
        <v>#REF!</v>
      </c>
      <c r="FM6" t="e">
        <f>AND(#REF!,"AAAAAC7P26g=")</f>
        <v>#REF!</v>
      </c>
      <c r="FN6" t="e">
        <f>AND(#REF!,"AAAAAC7P26k=")</f>
        <v>#REF!</v>
      </c>
      <c r="FO6" t="e">
        <f>AND(#REF!,"AAAAAC7P26o=")</f>
        <v>#REF!</v>
      </c>
      <c r="FP6" t="e">
        <f>AND(#REF!,"AAAAAC7P26s=")</f>
        <v>#REF!</v>
      </c>
      <c r="FQ6" t="e">
        <f>AND(#REF!,"AAAAAC7P26w=")</f>
        <v>#REF!</v>
      </c>
      <c r="FR6" t="e">
        <f>AND(#REF!,"AAAAAC7P260=")</f>
        <v>#REF!</v>
      </c>
      <c r="FS6" t="e">
        <f>AND(#REF!,"AAAAAC7P264=")</f>
        <v>#REF!</v>
      </c>
      <c r="FT6" t="e">
        <f>AND(#REF!,"AAAAAC7P268=")</f>
        <v>#REF!</v>
      </c>
      <c r="FU6" t="e">
        <f>AND(#REF!,"AAAAAC7P27A=")</f>
        <v>#REF!</v>
      </c>
      <c r="FV6" t="e">
        <f>AND(#REF!,"AAAAAC7P27E=")</f>
        <v>#REF!</v>
      </c>
      <c r="FW6" t="e">
        <f>AND(#REF!,"AAAAAC7P27I=")</f>
        <v>#REF!</v>
      </c>
      <c r="FX6" t="e">
        <f>AND(#REF!,"AAAAAC7P27M=")</f>
        <v>#REF!</v>
      </c>
      <c r="FY6" t="e">
        <f>AND(#REF!,"AAAAAC7P27Q=")</f>
        <v>#REF!</v>
      </c>
      <c r="FZ6" t="e">
        <f>AND(#REF!,"AAAAAC7P27U=")</f>
        <v>#REF!</v>
      </c>
      <c r="GA6" t="e">
        <f>AND(#REF!,"AAAAAC7P27Y=")</f>
        <v>#REF!</v>
      </c>
      <c r="GB6" t="e">
        <f>AND(#REF!,"AAAAAC7P27c=")</f>
        <v>#REF!</v>
      </c>
      <c r="GC6" t="e">
        <f>AND(#REF!,"AAAAAC7P27g=")</f>
        <v>#REF!</v>
      </c>
      <c r="GD6" t="e">
        <f>IF(#REF!,"AAAAAC7P27k=",0)</f>
        <v>#REF!</v>
      </c>
      <c r="GE6" t="e">
        <f>AND(#REF!,"AAAAAC7P27o=")</f>
        <v>#REF!</v>
      </c>
      <c r="GF6" t="e">
        <f>AND(#REF!,"AAAAAC7P27s=")</f>
        <v>#REF!</v>
      </c>
      <c r="GG6" t="e">
        <f>AND(#REF!,"AAAAAC7P27w=")</f>
        <v>#REF!</v>
      </c>
      <c r="GH6" t="e">
        <f>AND(#REF!,"AAAAAC7P270=")</f>
        <v>#REF!</v>
      </c>
      <c r="GI6" t="e">
        <f>AND(#REF!,"AAAAAC7P274=")</f>
        <v>#REF!</v>
      </c>
      <c r="GJ6" t="e">
        <f>AND(#REF!,"AAAAAC7P278=")</f>
        <v>#REF!</v>
      </c>
      <c r="GK6" t="e">
        <f>AND(#REF!,"AAAAAC7P28A=")</f>
        <v>#REF!</v>
      </c>
      <c r="GL6" t="e">
        <f>AND(#REF!,"AAAAAC7P28E=")</f>
        <v>#REF!</v>
      </c>
      <c r="GM6" t="e">
        <f>AND(#REF!,"AAAAAC7P28I=")</f>
        <v>#REF!</v>
      </c>
      <c r="GN6" t="e">
        <f>AND(#REF!,"AAAAAC7P28M=")</f>
        <v>#REF!</v>
      </c>
      <c r="GO6" t="e">
        <f>AND(#REF!,"AAAAAC7P28Q=")</f>
        <v>#REF!</v>
      </c>
      <c r="GP6" t="e">
        <f>AND(#REF!,"AAAAAC7P28U=")</f>
        <v>#REF!</v>
      </c>
      <c r="GQ6" t="e">
        <f>AND(#REF!,"AAAAAC7P28Y=")</f>
        <v>#REF!</v>
      </c>
      <c r="GR6" t="e">
        <f>AND(#REF!,"AAAAAC7P28c=")</f>
        <v>#REF!</v>
      </c>
      <c r="GS6" t="e">
        <f>AND(#REF!,"AAAAAC7P28g=")</f>
        <v>#REF!</v>
      </c>
      <c r="GT6" t="e">
        <f>AND(#REF!,"AAAAAC7P28k=")</f>
        <v>#REF!</v>
      </c>
      <c r="GU6" t="e">
        <f>AND(#REF!,"AAAAAC7P28o=")</f>
        <v>#REF!</v>
      </c>
      <c r="GV6" t="e">
        <f>AND(#REF!,"AAAAAC7P28s=")</f>
        <v>#REF!</v>
      </c>
      <c r="GW6" t="e">
        <f>AND(#REF!,"AAAAAC7P28w=")</f>
        <v>#REF!</v>
      </c>
      <c r="GX6" t="e">
        <f>AND(#REF!,"AAAAAC7P280=")</f>
        <v>#REF!</v>
      </c>
      <c r="GY6" t="e">
        <f>AND(#REF!,"AAAAAC7P284=")</f>
        <v>#REF!</v>
      </c>
      <c r="GZ6" t="e">
        <f>AND(#REF!,"AAAAAC7P288=")</f>
        <v>#REF!</v>
      </c>
      <c r="HA6" t="e">
        <f>AND(#REF!,"AAAAAC7P29A=")</f>
        <v>#REF!</v>
      </c>
      <c r="HB6" t="e">
        <f>AND(#REF!,"AAAAAC7P29E=")</f>
        <v>#REF!</v>
      </c>
      <c r="HC6" t="e">
        <f>AND(#REF!,"AAAAAC7P29I=")</f>
        <v>#REF!</v>
      </c>
      <c r="HD6" t="e">
        <f>AND(#REF!,"AAAAAC7P29M=")</f>
        <v>#REF!</v>
      </c>
      <c r="HE6" t="e">
        <f>AND(#REF!,"AAAAAC7P29Q=")</f>
        <v>#REF!</v>
      </c>
      <c r="HF6" t="e">
        <f>AND(#REF!,"AAAAAC7P29U=")</f>
        <v>#REF!</v>
      </c>
      <c r="HG6" t="e">
        <f>AND(#REF!,"AAAAAC7P29Y=")</f>
        <v>#REF!</v>
      </c>
      <c r="HH6" t="e">
        <f>AND(#REF!,"AAAAAC7P29c=")</f>
        <v>#REF!</v>
      </c>
      <c r="HI6" t="e">
        <f>AND(#REF!,"AAAAAC7P29g=")</f>
        <v>#REF!</v>
      </c>
      <c r="HJ6" t="e">
        <f>AND(#REF!,"AAAAAC7P29k=")</f>
        <v>#REF!</v>
      </c>
      <c r="HK6" t="e">
        <f>AND(#REF!,"AAAAAC7P29o=")</f>
        <v>#REF!</v>
      </c>
      <c r="HL6" t="e">
        <f>AND(#REF!,"AAAAAC7P29s=")</f>
        <v>#REF!</v>
      </c>
      <c r="HM6" t="e">
        <f>AND(#REF!,"AAAAAC7P29w=")</f>
        <v>#REF!</v>
      </c>
      <c r="HN6" t="e">
        <f>AND(#REF!,"AAAAAC7P290=")</f>
        <v>#REF!</v>
      </c>
      <c r="HO6" t="e">
        <f>AND(#REF!,"AAAAAC7P294=")</f>
        <v>#REF!</v>
      </c>
      <c r="HP6" t="e">
        <f>AND(#REF!,"AAAAAC7P298=")</f>
        <v>#REF!</v>
      </c>
      <c r="HQ6" t="e">
        <f>AND(#REF!,"AAAAAC7P2+A=")</f>
        <v>#REF!</v>
      </c>
      <c r="HR6" t="e">
        <f>AND(#REF!,"AAAAAC7P2+E=")</f>
        <v>#REF!</v>
      </c>
      <c r="HS6" t="e">
        <f>AND(#REF!,"AAAAAC7P2+I=")</f>
        <v>#REF!</v>
      </c>
      <c r="HT6" t="e">
        <f>AND(#REF!,"AAAAAC7P2+M=")</f>
        <v>#REF!</v>
      </c>
      <c r="HU6" t="e">
        <f>AND(#REF!,"AAAAAC7P2+Q=")</f>
        <v>#REF!</v>
      </c>
      <c r="HV6" t="e">
        <f>AND(#REF!,"AAAAAC7P2+U=")</f>
        <v>#REF!</v>
      </c>
      <c r="HW6" t="e">
        <f>AND(#REF!,"AAAAAC7P2+Y=")</f>
        <v>#REF!</v>
      </c>
      <c r="HX6" t="e">
        <f>AND(#REF!,"AAAAAC7P2+c=")</f>
        <v>#REF!</v>
      </c>
      <c r="HY6" t="e">
        <f>AND(#REF!,"AAAAAC7P2+g=")</f>
        <v>#REF!</v>
      </c>
      <c r="HZ6" t="e">
        <f>AND(#REF!,"AAAAAC7P2+k=")</f>
        <v>#REF!</v>
      </c>
      <c r="IA6" t="e">
        <f>AND(#REF!,"AAAAAC7P2+o=")</f>
        <v>#REF!</v>
      </c>
      <c r="IB6" t="e">
        <f>AND(#REF!,"AAAAAC7P2+s=")</f>
        <v>#REF!</v>
      </c>
      <c r="IC6" t="e">
        <f>AND(#REF!,"AAAAAC7P2+w=")</f>
        <v>#REF!</v>
      </c>
      <c r="ID6" t="e">
        <f>AND(#REF!,"AAAAAC7P2+0=")</f>
        <v>#REF!</v>
      </c>
      <c r="IE6" t="e">
        <f>AND(#REF!,"AAAAAC7P2+4=")</f>
        <v>#REF!</v>
      </c>
      <c r="IF6" t="e">
        <f>AND(#REF!,"AAAAAC7P2+8=")</f>
        <v>#REF!</v>
      </c>
      <c r="IG6" t="e">
        <f>AND(#REF!,"AAAAAC7P2/A=")</f>
        <v>#REF!</v>
      </c>
      <c r="IH6" t="e">
        <f>AND(#REF!,"AAAAAC7P2/E=")</f>
        <v>#REF!</v>
      </c>
      <c r="II6" t="e">
        <f>AND(#REF!,"AAAAAC7P2/I=")</f>
        <v>#REF!</v>
      </c>
      <c r="IJ6" t="e">
        <f>AND(#REF!,"AAAAAC7P2/M=")</f>
        <v>#REF!</v>
      </c>
      <c r="IK6" t="e">
        <f>AND(#REF!,"AAAAAC7P2/Q=")</f>
        <v>#REF!</v>
      </c>
      <c r="IL6" t="e">
        <f>AND(#REF!,"AAAAAC7P2/U=")</f>
        <v>#REF!</v>
      </c>
      <c r="IM6" t="e">
        <f>AND(#REF!,"AAAAAC7P2/Y=")</f>
        <v>#REF!</v>
      </c>
      <c r="IN6" t="e">
        <f>AND(#REF!,"AAAAAC7P2/c=")</f>
        <v>#REF!</v>
      </c>
      <c r="IO6" t="e">
        <f>AND(#REF!,"AAAAAC7P2/g=")</f>
        <v>#REF!</v>
      </c>
      <c r="IP6" t="e">
        <f>AND(#REF!,"AAAAAC7P2/k=")</f>
        <v>#REF!</v>
      </c>
      <c r="IQ6" t="e">
        <f>AND(#REF!,"AAAAAC7P2/o=")</f>
        <v>#REF!</v>
      </c>
      <c r="IR6" t="e">
        <f>AND(#REF!,"AAAAAC7P2/s=")</f>
        <v>#REF!</v>
      </c>
      <c r="IS6" t="e">
        <f>AND(#REF!,"AAAAAC7P2/w=")</f>
        <v>#REF!</v>
      </c>
      <c r="IT6" t="e">
        <f>AND(#REF!,"AAAAAC7P2/0=")</f>
        <v>#REF!</v>
      </c>
      <c r="IU6" t="e">
        <f>AND(#REF!,"AAAAAC7P2/4=")</f>
        <v>#REF!</v>
      </c>
      <c r="IV6" t="e">
        <f>AND(#REF!,"AAAAAC7P2/8=")</f>
        <v>#REF!</v>
      </c>
    </row>
    <row r="7" spans="1:256" x14ac:dyDescent="0.2">
      <c r="A7" t="e">
        <f>AND(#REF!,"AAAAAGzz/wA=")</f>
        <v>#REF!</v>
      </c>
      <c r="B7" t="e">
        <f>AND(#REF!,"AAAAAGzz/wE=")</f>
        <v>#REF!</v>
      </c>
      <c r="C7" t="e">
        <f>AND(#REF!,"AAAAAGzz/wI=")</f>
        <v>#REF!</v>
      </c>
      <c r="D7" t="e">
        <f>AND(#REF!,"AAAAAGzz/wM=")</f>
        <v>#REF!</v>
      </c>
      <c r="E7" t="e">
        <f>AND(#REF!,"AAAAAGzz/wQ=")</f>
        <v>#REF!</v>
      </c>
      <c r="F7" t="e">
        <f>AND(#REF!,"AAAAAGzz/wU=")</f>
        <v>#REF!</v>
      </c>
      <c r="G7" t="e">
        <f>AND(#REF!,"AAAAAGzz/wY=")</f>
        <v>#REF!</v>
      </c>
      <c r="H7" t="e">
        <f>AND(#REF!,"AAAAAGzz/wc=")</f>
        <v>#REF!</v>
      </c>
      <c r="I7" t="e">
        <f>AND(#REF!,"AAAAAGzz/wg=")</f>
        <v>#REF!</v>
      </c>
      <c r="J7" t="e">
        <f>AND(#REF!,"AAAAAGzz/wk=")</f>
        <v>#REF!</v>
      </c>
      <c r="K7" t="e">
        <f>AND(#REF!,"AAAAAGzz/wo=")</f>
        <v>#REF!</v>
      </c>
      <c r="L7" t="e">
        <f>AND(#REF!,"AAAAAGzz/ws=")</f>
        <v>#REF!</v>
      </c>
      <c r="M7" t="e">
        <f>AND(#REF!,"AAAAAGzz/ww=")</f>
        <v>#REF!</v>
      </c>
      <c r="N7" t="e">
        <f>AND(#REF!,"AAAAAGzz/w0=")</f>
        <v>#REF!</v>
      </c>
      <c r="O7" t="e">
        <f>AND(#REF!,"AAAAAGzz/w4=")</f>
        <v>#REF!</v>
      </c>
      <c r="P7" t="e">
        <f>AND(#REF!,"AAAAAGzz/w8=")</f>
        <v>#REF!</v>
      </c>
      <c r="Q7" t="e">
        <f>AND(#REF!,"AAAAAGzz/xA=")</f>
        <v>#REF!</v>
      </c>
      <c r="R7" t="e">
        <f>AND(#REF!,"AAAAAGzz/xE=")</f>
        <v>#REF!</v>
      </c>
      <c r="S7" t="e">
        <f>AND(#REF!,"AAAAAGzz/xI=")</f>
        <v>#REF!</v>
      </c>
      <c r="T7" t="e">
        <f>AND(#REF!,"AAAAAGzz/xM=")</f>
        <v>#REF!</v>
      </c>
      <c r="U7" t="e">
        <f>AND(#REF!,"AAAAAGzz/xQ=")</f>
        <v>#REF!</v>
      </c>
      <c r="V7" t="e">
        <f>AND(#REF!,"AAAAAGzz/xU=")</f>
        <v>#REF!</v>
      </c>
      <c r="W7" t="e">
        <f>AND(#REF!,"AAAAAGzz/xY=")</f>
        <v>#REF!</v>
      </c>
      <c r="X7" t="e">
        <f>AND(#REF!,"AAAAAGzz/xc=")</f>
        <v>#REF!</v>
      </c>
      <c r="Y7" t="e">
        <f>AND(#REF!,"AAAAAGzz/xg=")</f>
        <v>#REF!</v>
      </c>
      <c r="Z7" t="e">
        <f>AND(#REF!,"AAAAAGzz/xk=")</f>
        <v>#REF!</v>
      </c>
      <c r="AA7" t="e">
        <f>AND(#REF!,"AAAAAGzz/xo=")</f>
        <v>#REF!</v>
      </c>
      <c r="AB7" t="e">
        <f>AND(#REF!,"AAAAAGzz/xs=")</f>
        <v>#REF!</v>
      </c>
      <c r="AC7" t="e">
        <f>AND(#REF!,"AAAAAGzz/xw=")</f>
        <v>#REF!</v>
      </c>
      <c r="AD7" t="e">
        <f>AND(#REF!,"AAAAAGzz/x0=")</f>
        <v>#REF!</v>
      </c>
      <c r="AE7" t="e">
        <f>AND(#REF!,"AAAAAGzz/x4=")</f>
        <v>#REF!</v>
      </c>
      <c r="AF7" t="e">
        <f>AND(#REF!,"AAAAAGzz/x8=")</f>
        <v>#REF!</v>
      </c>
      <c r="AG7" t="e">
        <f>AND(#REF!,"AAAAAGzz/yA=")</f>
        <v>#REF!</v>
      </c>
      <c r="AH7" t="e">
        <f>AND(#REF!,"AAAAAGzz/yE=")</f>
        <v>#REF!</v>
      </c>
      <c r="AI7" t="e">
        <f>AND(#REF!,"AAAAAGzz/yI=")</f>
        <v>#REF!</v>
      </c>
      <c r="AJ7" t="e">
        <f>AND(#REF!,"AAAAAGzz/yM=")</f>
        <v>#REF!</v>
      </c>
      <c r="AK7" t="e">
        <f>AND(#REF!,"AAAAAGzz/yQ=")</f>
        <v>#REF!</v>
      </c>
      <c r="AL7" t="e">
        <f>AND(#REF!,"AAAAAGzz/yU=")</f>
        <v>#REF!</v>
      </c>
      <c r="AM7" t="e">
        <f>AND(#REF!,"AAAAAGzz/yY=")</f>
        <v>#REF!</v>
      </c>
      <c r="AN7" t="e">
        <f>AND(#REF!,"AAAAAGzz/yc=")</f>
        <v>#REF!</v>
      </c>
      <c r="AO7" t="e">
        <f>AND(#REF!,"AAAAAGzz/yg=")</f>
        <v>#REF!</v>
      </c>
      <c r="AP7" t="e">
        <f>AND(#REF!,"AAAAAGzz/yk=")</f>
        <v>#REF!</v>
      </c>
      <c r="AQ7" t="e">
        <f>AND(#REF!,"AAAAAGzz/yo=")</f>
        <v>#REF!</v>
      </c>
      <c r="AR7" t="e">
        <f>AND(#REF!,"AAAAAGzz/ys=")</f>
        <v>#REF!</v>
      </c>
      <c r="AS7" t="e">
        <f>AND(#REF!,"AAAAAGzz/yw=")</f>
        <v>#REF!</v>
      </c>
      <c r="AT7" t="e">
        <f>AND(#REF!,"AAAAAGzz/y0=")</f>
        <v>#REF!</v>
      </c>
      <c r="AU7" t="e">
        <f>AND(#REF!,"AAAAAGzz/y4=")</f>
        <v>#REF!</v>
      </c>
      <c r="AV7" t="e">
        <f>AND(#REF!,"AAAAAGzz/y8=")</f>
        <v>#REF!</v>
      </c>
      <c r="AW7" t="e">
        <f>AND(#REF!,"AAAAAGzz/zA=")</f>
        <v>#REF!</v>
      </c>
      <c r="AX7" t="e">
        <f>AND(#REF!,"AAAAAGzz/zE=")</f>
        <v>#REF!</v>
      </c>
      <c r="AY7" t="e">
        <f>AND(#REF!,"AAAAAGzz/zI=")</f>
        <v>#REF!</v>
      </c>
      <c r="AZ7" t="e">
        <f>AND(#REF!,"AAAAAGzz/zM=")</f>
        <v>#REF!</v>
      </c>
      <c r="BA7" t="e">
        <f>AND(#REF!,"AAAAAGzz/zQ=")</f>
        <v>#REF!</v>
      </c>
      <c r="BB7" t="e">
        <f>AND(#REF!,"AAAAAGzz/zU=")</f>
        <v>#REF!</v>
      </c>
      <c r="BC7" t="e">
        <f>AND(#REF!,"AAAAAGzz/zY=")</f>
        <v>#REF!</v>
      </c>
      <c r="BD7" t="e">
        <f>AND(#REF!,"AAAAAGzz/zc=")</f>
        <v>#REF!</v>
      </c>
      <c r="BE7" t="e">
        <f>AND(#REF!,"AAAAAGzz/zg=")</f>
        <v>#REF!</v>
      </c>
      <c r="BF7" t="e">
        <f>AND(#REF!,"AAAAAGzz/zk=")</f>
        <v>#REF!</v>
      </c>
      <c r="BG7" t="e">
        <f>AND(#REF!,"AAAAAGzz/zo=")</f>
        <v>#REF!</v>
      </c>
      <c r="BH7" t="e">
        <f>AND(#REF!,"AAAAAGzz/zs=")</f>
        <v>#REF!</v>
      </c>
      <c r="BI7" t="e">
        <f>AND(#REF!,"AAAAAGzz/zw=")</f>
        <v>#REF!</v>
      </c>
      <c r="BJ7" t="e">
        <f>AND(#REF!,"AAAAAGzz/z0=")</f>
        <v>#REF!</v>
      </c>
      <c r="BK7" t="e">
        <f>AND(#REF!,"AAAAAGzz/z4=")</f>
        <v>#REF!</v>
      </c>
      <c r="BL7" t="e">
        <f>AND(#REF!,"AAAAAGzz/z8=")</f>
        <v>#REF!</v>
      </c>
      <c r="BM7" t="e">
        <f>AND(#REF!,"AAAAAGzz/0A=")</f>
        <v>#REF!</v>
      </c>
      <c r="BN7" t="e">
        <f>AND(#REF!,"AAAAAGzz/0E=")</f>
        <v>#REF!</v>
      </c>
      <c r="BO7" t="e">
        <f>AND(#REF!,"AAAAAGzz/0I=")</f>
        <v>#REF!</v>
      </c>
      <c r="BP7" t="e">
        <f>AND(#REF!,"AAAAAGzz/0M=")</f>
        <v>#REF!</v>
      </c>
      <c r="BQ7" t="e">
        <f>AND(#REF!,"AAAAAGzz/0Q=")</f>
        <v>#REF!</v>
      </c>
      <c r="BR7" t="e">
        <f>AND(#REF!,"AAAAAGzz/0U=")</f>
        <v>#REF!</v>
      </c>
      <c r="BS7" t="e">
        <f>AND(#REF!,"AAAAAGzz/0Y=")</f>
        <v>#REF!</v>
      </c>
      <c r="BT7" t="e">
        <f>AND(#REF!,"AAAAAGzz/0c=")</f>
        <v>#REF!</v>
      </c>
      <c r="BU7" t="e">
        <f>AND(#REF!,"AAAAAGzz/0g=")</f>
        <v>#REF!</v>
      </c>
      <c r="BV7" t="e">
        <f>AND(#REF!,"AAAAAGzz/0k=")</f>
        <v>#REF!</v>
      </c>
      <c r="BW7" t="e">
        <f>AND(#REF!,"AAAAAGzz/0o=")</f>
        <v>#REF!</v>
      </c>
      <c r="BX7" t="e">
        <f>AND(#REF!,"AAAAAGzz/0s=")</f>
        <v>#REF!</v>
      </c>
      <c r="BY7" t="e">
        <f>AND(#REF!,"AAAAAGzz/0w=")</f>
        <v>#REF!</v>
      </c>
      <c r="BZ7" t="e">
        <f>AND(#REF!,"AAAAAGzz/00=")</f>
        <v>#REF!</v>
      </c>
      <c r="CA7" t="e">
        <f>AND(#REF!,"AAAAAGzz/04=")</f>
        <v>#REF!</v>
      </c>
      <c r="CB7" t="e">
        <f>AND(#REF!,"AAAAAGzz/08=")</f>
        <v>#REF!</v>
      </c>
      <c r="CC7" t="e">
        <f>AND(#REF!,"AAAAAGzz/1A=")</f>
        <v>#REF!</v>
      </c>
      <c r="CD7" t="e">
        <f>AND(#REF!,"AAAAAGzz/1E=")</f>
        <v>#REF!</v>
      </c>
      <c r="CE7" t="e">
        <f>AND(#REF!,"AAAAAGzz/1I=")</f>
        <v>#REF!</v>
      </c>
      <c r="CF7" t="e">
        <f>AND(#REF!,"AAAAAGzz/1M=")</f>
        <v>#REF!</v>
      </c>
      <c r="CG7" t="e">
        <f>AND(#REF!,"AAAAAGzz/1Q=")</f>
        <v>#REF!</v>
      </c>
      <c r="CH7" t="e">
        <f>AND(#REF!,"AAAAAGzz/1U=")</f>
        <v>#REF!</v>
      </c>
      <c r="CI7" t="e">
        <f>AND(#REF!,"AAAAAGzz/1Y=")</f>
        <v>#REF!</v>
      </c>
      <c r="CJ7" t="e">
        <f>AND(#REF!,"AAAAAGzz/1c=")</f>
        <v>#REF!</v>
      </c>
      <c r="CK7" t="e">
        <f>AND(#REF!,"AAAAAGzz/1g=")</f>
        <v>#REF!</v>
      </c>
      <c r="CL7" t="e">
        <f>AND(#REF!,"AAAAAGzz/1k=")</f>
        <v>#REF!</v>
      </c>
      <c r="CM7" t="e">
        <f>AND(#REF!,"AAAAAGzz/1o=")</f>
        <v>#REF!</v>
      </c>
      <c r="CN7" t="e">
        <f>AND(#REF!,"AAAAAGzz/1s=")</f>
        <v>#REF!</v>
      </c>
      <c r="CO7" t="e">
        <f>AND(#REF!,"AAAAAGzz/1w=")</f>
        <v>#REF!</v>
      </c>
      <c r="CP7" t="e">
        <f>AND(#REF!,"AAAAAGzz/10=")</f>
        <v>#REF!</v>
      </c>
      <c r="CQ7" t="e">
        <f>AND(#REF!,"AAAAAGzz/14=")</f>
        <v>#REF!</v>
      </c>
      <c r="CR7" t="e">
        <f>AND(#REF!,"AAAAAGzz/18=")</f>
        <v>#REF!</v>
      </c>
      <c r="CS7" t="e">
        <f>AND(#REF!,"AAAAAGzz/2A=")</f>
        <v>#REF!</v>
      </c>
      <c r="CT7" t="e">
        <f>AND(#REF!,"AAAAAGzz/2E=")</f>
        <v>#REF!</v>
      </c>
      <c r="CU7" t="e">
        <f>AND(#REF!,"AAAAAGzz/2I=")</f>
        <v>#REF!</v>
      </c>
      <c r="CV7" t="e">
        <f>AND(#REF!,"AAAAAGzz/2M=")</f>
        <v>#REF!</v>
      </c>
      <c r="CW7" t="e">
        <f>AND(#REF!,"AAAAAGzz/2Q=")</f>
        <v>#REF!</v>
      </c>
      <c r="CX7" t="e">
        <f>AND(#REF!,"AAAAAGzz/2U=")</f>
        <v>#REF!</v>
      </c>
      <c r="CY7" t="e">
        <f>AND(#REF!,"AAAAAGzz/2Y=")</f>
        <v>#REF!</v>
      </c>
      <c r="CZ7" t="e">
        <f>AND(#REF!,"AAAAAGzz/2c=")</f>
        <v>#REF!</v>
      </c>
      <c r="DA7" t="e">
        <f>AND(#REF!,"AAAAAGzz/2g=")</f>
        <v>#REF!</v>
      </c>
      <c r="DB7" t="e">
        <f>AND(#REF!,"AAAAAGzz/2k=")</f>
        <v>#REF!</v>
      </c>
      <c r="DC7" t="e">
        <f>AND(#REF!,"AAAAAGzz/2o=")</f>
        <v>#REF!</v>
      </c>
      <c r="DD7" t="e">
        <f>AND(#REF!,"AAAAAGzz/2s=")</f>
        <v>#REF!</v>
      </c>
      <c r="DE7" t="e">
        <f>AND(#REF!,"AAAAAGzz/2w=")</f>
        <v>#REF!</v>
      </c>
      <c r="DF7" t="e">
        <f>AND(#REF!,"AAAAAGzz/20=")</f>
        <v>#REF!</v>
      </c>
      <c r="DG7" t="e">
        <f>IF(#REF!,"AAAAAGzz/24=",0)</f>
        <v>#REF!</v>
      </c>
      <c r="DH7" t="e">
        <f>AND(#REF!,"AAAAAGzz/28=")</f>
        <v>#REF!</v>
      </c>
      <c r="DI7" t="e">
        <f>AND(#REF!,"AAAAAGzz/3A=")</f>
        <v>#REF!</v>
      </c>
      <c r="DJ7" t="e">
        <f>AND(#REF!,"AAAAAGzz/3E=")</f>
        <v>#REF!</v>
      </c>
      <c r="DK7" t="e">
        <f>AND(#REF!,"AAAAAGzz/3I=")</f>
        <v>#REF!</v>
      </c>
      <c r="DL7" t="e">
        <f>AND(#REF!,"AAAAAGzz/3M=")</f>
        <v>#REF!</v>
      </c>
      <c r="DM7" t="e">
        <f>AND(#REF!,"AAAAAGzz/3Q=")</f>
        <v>#REF!</v>
      </c>
      <c r="DN7" t="e">
        <f>AND(#REF!,"AAAAAGzz/3U=")</f>
        <v>#REF!</v>
      </c>
      <c r="DO7" t="e">
        <f>AND(#REF!,"AAAAAGzz/3Y=")</f>
        <v>#REF!</v>
      </c>
      <c r="DP7" t="e">
        <f>AND(#REF!,"AAAAAGzz/3c=")</f>
        <v>#REF!</v>
      </c>
      <c r="DQ7" t="e">
        <f>AND(#REF!,"AAAAAGzz/3g=")</f>
        <v>#REF!</v>
      </c>
      <c r="DR7" t="e">
        <f>AND(#REF!,"AAAAAGzz/3k=")</f>
        <v>#REF!</v>
      </c>
      <c r="DS7" t="e">
        <f>AND(#REF!,"AAAAAGzz/3o=")</f>
        <v>#REF!</v>
      </c>
      <c r="DT7" t="e">
        <f>AND(#REF!,"AAAAAGzz/3s=")</f>
        <v>#REF!</v>
      </c>
      <c r="DU7" t="e">
        <f>AND(#REF!,"AAAAAGzz/3w=")</f>
        <v>#REF!</v>
      </c>
      <c r="DV7" t="e">
        <f>AND(#REF!,"AAAAAGzz/30=")</f>
        <v>#REF!</v>
      </c>
      <c r="DW7" t="e">
        <f>AND(#REF!,"AAAAAGzz/34=")</f>
        <v>#REF!</v>
      </c>
      <c r="DX7" t="e">
        <f>AND(#REF!,"AAAAAGzz/38=")</f>
        <v>#REF!</v>
      </c>
      <c r="DY7" t="e">
        <f>AND(#REF!,"AAAAAGzz/4A=")</f>
        <v>#REF!</v>
      </c>
      <c r="DZ7" t="e">
        <f>AND(#REF!,"AAAAAGzz/4E=")</f>
        <v>#REF!</v>
      </c>
      <c r="EA7" t="e">
        <f>AND(#REF!,"AAAAAGzz/4I=")</f>
        <v>#REF!</v>
      </c>
      <c r="EB7" t="e">
        <f>AND(#REF!,"AAAAAGzz/4M=")</f>
        <v>#REF!</v>
      </c>
      <c r="EC7" t="e">
        <f>AND(#REF!,"AAAAAGzz/4Q=")</f>
        <v>#REF!</v>
      </c>
      <c r="ED7" t="e">
        <f>AND(#REF!,"AAAAAGzz/4U=")</f>
        <v>#REF!</v>
      </c>
      <c r="EE7" t="e">
        <f>AND(#REF!,"AAAAAGzz/4Y=")</f>
        <v>#REF!</v>
      </c>
      <c r="EF7" t="e">
        <f>AND(#REF!,"AAAAAGzz/4c=")</f>
        <v>#REF!</v>
      </c>
      <c r="EG7" t="e">
        <f>AND(#REF!,"AAAAAGzz/4g=")</f>
        <v>#REF!</v>
      </c>
      <c r="EH7" t="e">
        <f>AND(#REF!,"AAAAAGzz/4k=")</f>
        <v>#REF!</v>
      </c>
      <c r="EI7" t="e">
        <f>AND(#REF!,"AAAAAGzz/4o=")</f>
        <v>#REF!</v>
      </c>
      <c r="EJ7" t="e">
        <f>AND(#REF!,"AAAAAGzz/4s=")</f>
        <v>#REF!</v>
      </c>
      <c r="EK7" t="e">
        <f>AND(#REF!,"AAAAAGzz/4w=")</f>
        <v>#REF!</v>
      </c>
      <c r="EL7" t="e">
        <f>AND(#REF!,"AAAAAGzz/40=")</f>
        <v>#REF!</v>
      </c>
      <c r="EM7" t="e">
        <f>AND(#REF!,"AAAAAGzz/44=")</f>
        <v>#REF!</v>
      </c>
      <c r="EN7" t="e">
        <f>AND(#REF!,"AAAAAGzz/48=")</f>
        <v>#REF!</v>
      </c>
      <c r="EO7" t="e">
        <f>AND(#REF!,"AAAAAGzz/5A=")</f>
        <v>#REF!</v>
      </c>
      <c r="EP7" t="e">
        <f>AND(#REF!,"AAAAAGzz/5E=")</f>
        <v>#REF!</v>
      </c>
      <c r="EQ7" t="e">
        <f>AND(#REF!,"AAAAAGzz/5I=")</f>
        <v>#REF!</v>
      </c>
      <c r="ER7" t="e">
        <f>AND(#REF!,"AAAAAGzz/5M=")</f>
        <v>#REF!</v>
      </c>
      <c r="ES7" t="e">
        <f>AND(#REF!,"AAAAAGzz/5Q=")</f>
        <v>#REF!</v>
      </c>
      <c r="ET7" t="e">
        <f>AND(#REF!,"AAAAAGzz/5U=")</f>
        <v>#REF!</v>
      </c>
      <c r="EU7" t="e">
        <f>AND(#REF!,"AAAAAGzz/5Y=")</f>
        <v>#REF!</v>
      </c>
      <c r="EV7" t="e">
        <f>AND(#REF!,"AAAAAGzz/5c=")</f>
        <v>#REF!</v>
      </c>
      <c r="EW7" t="e">
        <f>AND(#REF!,"AAAAAGzz/5g=")</f>
        <v>#REF!</v>
      </c>
      <c r="EX7" t="e">
        <f>AND(#REF!,"AAAAAGzz/5k=")</f>
        <v>#REF!</v>
      </c>
      <c r="EY7" t="e">
        <f>AND(#REF!,"AAAAAGzz/5o=")</f>
        <v>#REF!</v>
      </c>
      <c r="EZ7" t="e">
        <f>AND(#REF!,"AAAAAGzz/5s=")</f>
        <v>#REF!</v>
      </c>
      <c r="FA7" t="e">
        <f>AND(#REF!,"AAAAAGzz/5w=")</f>
        <v>#REF!</v>
      </c>
      <c r="FB7" t="e">
        <f>AND(#REF!,"AAAAAGzz/50=")</f>
        <v>#REF!</v>
      </c>
      <c r="FC7" t="e">
        <f>AND(#REF!,"AAAAAGzz/54=")</f>
        <v>#REF!</v>
      </c>
      <c r="FD7" t="e">
        <f>AND(#REF!,"AAAAAGzz/58=")</f>
        <v>#REF!</v>
      </c>
      <c r="FE7" t="e">
        <f>AND(#REF!,"AAAAAGzz/6A=")</f>
        <v>#REF!</v>
      </c>
      <c r="FF7" t="e">
        <f>AND(#REF!,"AAAAAGzz/6E=")</f>
        <v>#REF!</v>
      </c>
      <c r="FG7" t="e">
        <f>AND(#REF!,"AAAAAGzz/6I=")</f>
        <v>#REF!</v>
      </c>
      <c r="FH7" t="e">
        <f>AND(#REF!,"AAAAAGzz/6M=")</f>
        <v>#REF!</v>
      </c>
      <c r="FI7" t="e">
        <f>AND(#REF!,"AAAAAGzz/6Q=")</f>
        <v>#REF!</v>
      </c>
      <c r="FJ7" t="e">
        <f>AND(#REF!,"AAAAAGzz/6U=")</f>
        <v>#REF!</v>
      </c>
      <c r="FK7" t="e">
        <f>AND(#REF!,"AAAAAGzz/6Y=")</f>
        <v>#REF!</v>
      </c>
      <c r="FL7" t="e">
        <f>AND(#REF!,"AAAAAGzz/6c=")</f>
        <v>#REF!</v>
      </c>
      <c r="FM7" t="e">
        <f>AND(#REF!,"AAAAAGzz/6g=")</f>
        <v>#REF!</v>
      </c>
      <c r="FN7" t="e">
        <f>AND(#REF!,"AAAAAGzz/6k=")</f>
        <v>#REF!</v>
      </c>
      <c r="FO7" t="e">
        <f>AND(#REF!,"AAAAAGzz/6o=")</f>
        <v>#REF!</v>
      </c>
      <c r="FP7" t="e">
        <f>AND(#REF!,"AAAAAGzz/6s=")</f>
        <v>#REF!</v>
      </c>
      <c r="FQ7" t="e">
        <f>AND(#REF!,"AAAAAGzz/6w=")</f>
        <v>#REF!</v>
      </c>
      <c r="FR7" t="e">
        <f>AND(#REF!,"AAAAAGzz/60=")</f>
        <v>#REF!</v>
      </c>
      <c r="FS7" t="e">
        <f>AND(#REF!,"AAAAAGzz/64=")</f>
        <v>#REF!</v>
      </c>
      <c r="FT7" t="e">
        <f>AND(#REF!,"AAAAAGzz/68=")</f>
        <v>#REF!</v>
      </c>
      <c r="FU7" t="e">
        <f>AND(#REF!,"AAAAAGzz/7A=")</f>
        <v>#REF!</v>
      </c>
      <c r="FV7" t="e">
        <f>AND(#REF!,"AAAAAGzz/7E=")</f>
        <v>#REF!</v>
      </c>
      <c r="FW7" t="e">
        <f>AND(#REF!,"AAAAAGzz/7I=")</f>
        <v>#REF!</v>
      </c>
      <c r="FX7" t="e">
        <f>AND(#REF!,"AAAAAGzz/7M=")</f>
        <v>#REF!</v>
      </c>
      <c r="FY7" t="e">
        <f>AND(#REF!,"AAAAAGzz/7Q=")</f>
        <v>#REF!</v>
      </c>
      <c r="FZ7" t="e">
        <f>AND(#REF!,"AAAAAGzz/7U=")</f>
        <v>#REF!</v>
      </c>
      <c r="GA7" t="e">
        <f>AND(#REF!,"AAAAAGzz/7Y=")</f>
        <v>#REF!</v>
      </c>
      <c r="GB7" t="e">
        <f>AND(#REF!,"AAAAAGzz/7c=")</f>
        <v>#REF!</v>
      </c>
      <c r="GC7" t="e">
        <f>AND(#REF!,"AAAAAGzz/7g=")</f>
        <v>#REF!</v>
      </c>
      <c r="GD7" t="e">
        <f>AND(#REF!,"AAAAAGzz/7k=")</f>
        <v>#REF!</v>
      </c>
      <c r="GE7" t="e">
        <f>AND(#REF!,"AAAAAGzz/7o=")</f>
        <v>#REF!</v>
      </c>
      <c r="GF7" t="e">
        <f>AND(#REF!,"AAAAAGzz/7s=")</f>
        <v>#REF!</v>
      </c>
      <c r="GG7" t="e">
        <f>AND(#REF!,"AAAAAGzz/7w=")</f>
        <v>#REF!</v>
      </c>
      <c r="GH7" t="e">
        <f>AND(#REF!,"AAAAAGzz/70=")</f>
        <v>#REF!</v>
      </c>
      <c r="GI7" t="e">
        <f>AND(#REF!,"AAAAAGzz/74=")</f>
        <v>#REF!</v>
      </c>
      <c r="GJ7" t="e">
        <f>AND(#REF!,"AAAAAGzz/78=")</f>
        <v>#REF!</v>
      </c>
      <c r="GK7" t="e">
        <f>AND(#REF!,"AAAAAGzz/8A=")</f>
        <v>#REF!</v>
      </c>
      <c r="GL7" t="e">
        <f>AND(#REF!,"AAAAAGzz/8E=")</f>
        <v>#REF!</v>
      </c>
      <c r="GM7" t="e">
        <f>AND(#REF!,"AAAAAGzz/8I=")</f>
        <v>#REF!</v>
      </c>
      <c r="GN7" t="e">
        <f>AND(#REF!,"AAAAAGzz/8M=")</f>
        <v>#REF!</v>
      </c>
      <c r="GO7" t="e">
        <f>AND(#REF!,"AAAAAGzz/8Q=")</f>
        <v>#REF!</v>
      </c>
      <c r="GP7" t="e">
        <f>AND(#REF!,"AAAAAGzz/8U=")</f>
        <v>#REF!</v>
      </c>
      <c r="GQ7" t="e">
        <f>AND(#REF!,"AAAAAGzz/8Y=")</f>
        <v>#REF!</v>
      </c>
      <c r="GR7" t="e">
        <f>AND(#REF!,"AAAAAGzz/8c=")</f>
        <v>#REF!</v>
      </c>
      <c r="GS7" t="e">
        <f>AND(#REF!,"AAAAAGzz/8g=")</f>
        <v>#REF!</v>
      </c>
      <c r="GT7" t="e">
        <f>AND(#REF!,"AAAAAGzz/8k=")</f>
        <v>#REF!</v>
      </c>
      <c r="GU7" t="e">
        <f>AND(#REF!,"AAAAAGzz/8o=")</f>
        <v>#REF!</v>
      </c>
      <c r="GV7" t="e">
        <f>AND(#REF!,"AAAAAGzz/8s=")</f>
        <v>#REF!</v>
      </c>
      <c r="GW7" t="e">
        <f>AND(#REF!,"AAAAAGzz/8w=")</f>
        <v>#REF!</v>
      </c>
      <c r="GX7" t="e">
        <f>AND(#REF!,"AAAAAGzz/80=")</f>
        <v>#REF!</v>
      </c>
      <c r="GY7" t="e">
        <f>AND(#REF!,"AAAAAGzz/84=")</f>
        <v>#REF!</v>
      </c>
      <c r="GZ7" t="e">
        <f>AND(#REF!,"AAAAAGzz/88=")</f>
        <v>#REF!</v>
      </c>
      <c r="HA7" t="e">
        <f>AND(#REF!,"AAAAAGzz/9A=")</f>
        <v>#REF!</v>
      </c>
      <c r="HB7" t="e">
        <f>AND(#REF!,"AAAAAGzz/9E=")</f>
        <v>#REF!</v>
      </c>
      <c r="HC7" t="e">
        <f>AND(#REF!,"AAAAAGzz/9I=")</f>
        <v>#REF!</v>
      </c>
      <c r="HD7" t="e">
        <f>AND(#REF!,"AAAAAGzz/9M=")</f>
        <v>#REF!</v>
      </c>
      <c r="HE7" t="e">
        <f>AND(#REF!,"AAAAAGzz/9Q=")</f>
        <v>#REF!</v>
      </c>
      <c r="HF7" t="e">
        <f>AND(#REF!,"AAAAAGzz/9U=")</f>
        <v>#REF!</v>
      </c>
      <c r="HG7" t="e">
        <f>AND(#REF!,"AAAAAGzz/9Y=")</f>
        <v>#REF!</v>
      </c>
      <c r="HH7" t="e">
        <f>AND(#REF!,"AAAAAGzz/9c=")</f>
        <v>#REF!</v>
      </c>
      <c r="HI7" t="e">
        <f>AND(#REF!,"AAAAAGzz/9g=")</f>
        <v>#REF!</v>
      </c>
      <c r="HJ7" t="e">
        <f>AND(#REF!,"AAAAAGzz/9k=")</f>
        <v>#REF!</v>
      </c>
      <c r="HK7" t="e">
        <f>AND(#REF!,"AAAAAGzz/9o=")</f>
        <v>#REF!</v>
      </c>
      <c r="HL7" t="e">
        <f>AND(#REF!,"AAAAAGzz/9s=")</f>
        <v>#REF!</v>
      </c>
      <c r="HM7" t="e">
        <f>AND(#REF!,"AAAAAGzz/9w=")</f>
        <v>#REF!</v>
      </c>
      <c r="HN7" t="e">
        <f>AND(#REF!,"AAAAAGzz/90=")</f>
        <v>#REF!</v>
      </c>
      <c r="HO7" t="e">
        <f>AND(#REF!,"AAAAAGzz/94=")</f>
        <v>#REF!</v>
      </c>
      <c r="HP7" t="e">
        <f>AND(#REF!,"AAAAAGzz/98=")</f>
        <v>#REF!</v>
      </c>
      <c r="HQ7" t="e">
        <f>AND(#REF!,"AAAAAGzz/+A=")</f>
        <v>#REF!</v>
      </c>
      <c r="HR7" t="e">
        <f>AND(#REF!,"AAAAAGzz/+E=")</f>
        <v>#REF!</v>
      </c>
      <c r="HS7" t="e">
        <f>AND(#REF!,"AAAAAGzz/+I=")</f>
        <v>#REF!</v>
      </c>
      <c r="HT7" t="e">
        <f>AND(#REF!,"AAAAAGzz/+M=")</f>
        <v>#REF!</v>
      </c>
      <c r="HU7" t="e">
        <f>AND(#REF!,"AAAAAGzz/+Q=")</f>
        <v>#REF!</v>
      </c>
      <c r="HV7" t="e">
        <f>AND(#REF!,"AAAAAGzz/+U=")</f>
        <v>#REF!</v>
      </c>
      <c r="HW7" t="e">
        <f>AND(#REF!,"AAAAAGzz/+Y=")</f>
        <v>#REF!</v>
      </c>
      <c r="HX7" t="e">
        <f>AND(#REF!,"AAAAAGzz/+c=")</f>
        <v>#REF!</v>
      </c>
      <c r="HY7" t="e">
        <f>AND(#REF!,"AAAAAGzz/+g=")</f>
        <v>#REF!</v>
      </c>
      <c r="HZ7" t="e">
        <f>AND(#REF!,"AAAAAGzz/+k=")</f>
        <v>#REF!</v>
      </c>
      <c r="IA7" t="e">
        <f>AND(#REF!,"AAAAAGzz/+o=")</f>
        <v>#REF!</v>
      </c>
      <c r="IB7" t="e">
        <f>AND(#REF!,"AAAAAGzz/+s=")</f>
        <v>#REF!</v>
      </c>
      <c r="IC7" t="e">
        <f>AND(#REF!,"AAAAAGzz/+w=")</f>
        <v>#REF!</v>
      </c>
      <c r="ID7" t="e">
        <f>AND(#REF!,"AAAAAGzz/+0=")</f>
        <v>#REF!</v>
      </c>
      <c r="IE7" t="e">
        <f>AND(#REF!,"AAAAAGzz/+4=")</f>
        <v>#REF!</v>
      </c>
      <c r="IF7" t="e">
        <f>AND(#REF!,"AAAAAGzz/+8=")</f>
        <v>#REF!</v>
      </c>
      <c r="IG7" t="e">
        <f>AND(#REF!,"AAAAAGzz//A=")</f>
        <v>#REF!</v>
      </c>
      <c r="IH7" t="e">
        <f>AND(#REF!,"AAAAAGzz//E=")</f>
        <v>#REF!</v>
      </c>
      <c r="II7" t="e">
        <f>AND(#REF!,"AAAAAGzz//I=")</f>
        <v>#REF!</v>
      </c>
      <c r="IJ7" t="e">
        <f>AND(#REF!,"AAAAAGzz//M=")</f>
        <v>#REF!</v>
      </c>
      <c r="IK7" t="e">
        <f>AND(#REF!,"AAAAAGzz//Q=")</f>
        <v>#REF!</v>
      </c>
      <c r="IL7" t="e">
        <f>AND(#REF!,"AAAAAGzz//U=")</f>
        <v>#REF!</v>
      </c>
      <c r="IM7" t="e">
        <f>AND(#REF!,"AAAAAGzz//Y=")</f>
        <v>#REF!</v>
      </c>
      <c r="IN7" t="e">
        <f>AND(#REF!,"AAAAAGzz//c=")</f>
        <v>#REF!</v>
      </c>
      <c r="IO7" t="e">
        <f>AND(#REF!,"AAAAAGzz//g=")</f>
        <v>#REF!</v>
      </c>
      <c r="IP7" t="e">
        <f>AND(#REF!,"AAAAAGzz//k=")</f>
        <v>#REF!</v>
      </c>
      <c r="IQ7" t="e">
        <f>AND(#REF!,"AAAAAGzz//o=")</f>
        <v>#REF!</v>
      </c>
      <c r="IR7" t="e">
        <f>AND(#REF!,"AAAAAGzz//s=")</f>
        <v>#REF!</v>
      </c>
      <c r="IS7" t="e">
        <f>AND(#REF!,"AAAAAGzz//w=")</f>
        <v>#REF!</v>
      </c>
      <c r="IT7" t="e">
        <f>AND(#REF!,"AAAAAGzz//0=")</f>
        <v>#REF!</v>
      </c>
      <c r="IU7" t="e">
        <f>AND(#REF!,"AAAAAGzz//4=")</f>
        <v>#REF!</v>
      </c>
      <c r="IV7" t="e">
        <f>AND(#REF!,"AAAAAGzz//8=")</f>
        <v>#REF!</v>
      </c>
    </row>
    <row r="8" spans="1:256" x14ac:dyDescent="0.2">
      <c r="A8" t="e">
        <f>AND(#REF!,"AAAAAHjx6QA=")</f>
        <v>#REF!</v>
      </c>
      <c r="B8" t="e">
        <f>AND(#REF!,"AAAAAHjx6QE=")</f>
        <v>#REF!</v>
      </c>
      <c r="C8" t="e">
        <f>AND(#REF!,"AAAAAHjx6QI=")</f>
        <v>#REF!</v>
      </c>
      <c r="D8" t="e">
        <f>AND(#REF!,"AAAAAHjx6QM=")</f>
        <v>#REF!</v>
      </c>
      <c r="E8" t="e">
        <f>AND(#REF!,"AAAAAHjx6QQ=")</f>
        <v>#REF!</v>
      </c>
      <c r="F8" t="e">
        <f>AND(#REF!,"AAAAAHjx6QU=")</f>
        <v>#REF!</v>
      </c>
      <c r="G8" t="e">
        <f>AND(#REF!,"AAAAAHjx6QY=")</f>
        <v>#REF!</v>
      </c>
      <c r="H8" t="e">
        <f>AND(#REF!,"AAAAAHjx6Qc=")</f>
        <v>#REF!</v>
      </c>
      <c r="I8" t="e">
        <f>AND(#REF!,"AAAAAHjx6Qg=")</f>
        <v>#REF!</v>
      </c>
      <c r="J8" t="e">
        <f>AND(#REF!,"AAAAAHjx6Qk=")</f>
        <v>#REF!</v>
      </c>
      <c r="K8" t="e">
        <f>AND(#REF!,"AAAAAHjx6Qo=")</f>
        <v>#REF!</v>
      </c>
      <c r="L8" t="e">
        <f>AND(#REF!,"AAAAAHjx6Qs=")</f>
        <v>#REF!</v>
      </c>
      <c r="M8" t="e">
        <f>AND(#REF!,"AAAAAHjx6Qw=")</f>
        <v>#REF!</v>
      </c>
      <c r="N8" t="e">
        <f>AND(#REF!,"AAAAAHjx6Q0=")</f>
        <v>#REF!</v>
      </c>
      <c r="O8" t="e">
        <f>AND(#REF!,"AAAAAHjx6Q4=")</f>
        <v>#REF!</v>
      </c>
      <c r="P8" t="e">
        <f>AND(#REF!,"AAAAAHjx6Q8=")</f>
        <v>#REF!</v>
      </c>
      <c r="Q8" t="e">
        <f>AND(#REF!,"AAAAAHjx6RA=")</f>
        <v>#REF!</v>
      </c>
      <c r="R8" t="e">
        <f>AND(#REF!,"AAAAAHjx6RE=")</f>
        <v>#REF!</v>
      </c>
      <c r="S8" t="e">
        <f>AND(#REF!,"AAAAAHjx6RI=")</f>
        <v>#REF!</v>
      </c>
      <c r="T8" t="e">
        <f>AND(#REF!,"AAAAAHjx6RM=")</f>
        <v>#REF!</v>
      </c>
      <c r="U8" t="e">
        <f>AND(#REF!,"AAAAAHjx6RQ=")</f>
        <v>#REF!</v>
      </c>
      <c r="V8" t="e">
        <f>AND(#REF!,"AAAAAHjx6RU=")</f>
        <v>#REF!</v>
      </c>
      <c r="W8" t="e">
        <f>AND(#REF!,"AAAAAHjx6RY=")</f>
        <v>#REF!</v>
      </c>
      <c r="X8" t="e">
        <f>AND(#REF!,"AAAAAHjx6Rc=")</f>
        <v>#REF!</v>
      </c>
      <c r="Y8" t="e">
        <f>AND(#REF!,"AAAAAHjx6Rg=")</f>
        <v>#REF!</v>
      </c>
      <c r="Z8" t="e">
        <f>AND(#REF!,"AAAAAHjx6Rk=")</f>
        <v>#REF!</v>
      </c>
      <c r="AA8" t="e">
        <f>AND(#REF!,"AAAAAHjx6Ro=")</f>
        <v>#REF!</v>
      </c>
      <c r="AB8" t="e">
        <f>AND(#REF!,"AAAAAHjx6Rs=")</f>
        <v>#REF!</v>
      </c>
      <c r="AC8" t="e">
        <f>AND(#REF!,"AAAAAHjx6Rw=")</f>
        <v>#REF!</v>
      </c>
      <c r="AD8" t="e">
        <f>AND(#REF!,"AAAAAHjx6R0=")</f>
        <v>#REF!</v>
      </c>
      <c r="AE8" t="e">
        <f>AND(#REF!,"AAAAAHjx6R4=")</f>
        <v>#REF!</v>
      </c>
      <c r="AF8" t="e">
        <f>AND(#REF!,"AAAAAHjx6R8=")</f>
        <v>#REF!</v>
      </c>
      <c r="AG8" t="e">
        <f>AND(#REF!,"AAAAAHjx6SA=")</f>
        <v>#REF!</v>
      </c>
      <c r="AH8" t="e">
        <f>AND(#REF!,"AAAAAHjx6SE=")</f>
        <v>#REF!</v>
      </c>
      <c r="AI8" t="e">
        <f>AND(#REF!,"AAAAAHjx6SI=")</f>
        <v>#REF!</v>
      </c>
      <c r="AJ8" t="e">
        <f>IF(#REF!,"AAAAAHjx6SM=",0)</f>
        <v>#REF!</v>
      </c>
      <c r="AK8" t="e">
        <f>AND(#REF!,"AAAAAHjx6SQ=")</f>
        <v>#REF!</v>
      </c>
      <c r="AL8" t="e">
        <f>AND(#REF!,"AAAAAHjx6SU=")</f>
        <v>#REF!</v>
      </c>
      <c r="AM8" t="e">
        <f>AND(#REF!,"AAAAAHjx6SY=")</f>
        <v>#REF!</v>
      </c>
      <c r="AN8" t="e">
        <f>AND(#REF!,"AAAAAHjx6Sc=")</f>
        <v>#REF!</v>
      </c>
      <c r="AO8" t="e">
        <f>AND(#REF!,"AAAAAHjx6Sg=")</f>
        <v>#REF!</v>
      </c>
      <c r="AP8" t="e">
        <f>AND(#REF!,"AAAAAHjx6Sk=")</f>
        <v>#REF!</v>
      </c>
      <c r="AQ8" t="e">
        <f>AND(#REF!,"AAAAAHjx6So=")</f>
        <v>#REF!</v>
      </c>
      <c r="AR8" t="e">
        <f>AND(#REF!,"AAAAAHjx6Ss=")</f>
        <v>#REF!</v>
      </c>
      <c r="AS8" t="e">
        <f>AND(#REF!,"AAAAAHjx6Sw=")</f>
        <v>#REF!</v>
      </c>
      <c r="AT8" t="e">
        <f>AND(#REF!,"AAAAAHjx6S0=")</f>
        <v>#REF!</v>
      </c>
      <c r="AU8" t="e">
        <f>AND(#REF!,"AAAAAHjx6S4=")</f>
        <v>#REF!</v>
      </c>
      <c r="AV8" t="e">
        <f>AND(#REF!,"AAAAAHjx6S8=")</f>
        <v>#REF!</v>
      </c>
      <c r="AW8" t="e">
        <f>AND(#REF!,"AAAAAHjx6TA=")</f>
        <v>#REF!</v>
      </c>
      <c r="AX8" t="e">
        <f>AND(#REF!,"AAAAAHjx6TE=")</f>
        <v>#REF!</v>
      </c>
      <c r="AY8" t="e">
        <f>AND(#REF!,"AAAAAHjx6TI=")</f>
        <v>#REF!</v>
      </c>
      <c r="AZ8" t="e">
        <f>AND(#REF!,"AAAAAHjx6TM=")</f>
        <v>#REF!</v>
      </c>
      <c r="BA8" t="e">
        <f>AND(#REF!,"AAAAAHjx6TQ=")</f>
        <v>#REF!</v>
      </c>
      <c r="BB8" t="e">
        <f>AND(#REF!,"AAAAAHjx6TU=")</f>
        <v>#REF!</v>
      </c>
      <c r="BC8" t="e">
        <f>AND(#REF!,"AAAAAHjx6TY=")</f>
        <v>#REF!</v>
      </c>
      <c r="BD8" t="e">
        <f>AND(#REF!,"AAAAAHjx6Tc=")</f>
        <v>#REF!</v>
      </c>
      <c r="BE8" t="e">
        <f>AND(#REF!,"AAAAAHjx6Tg=")</f>
        <v>#REF!</v>
      </c>
      <c r="BF8" t="e">
        <f>AND(#REF!,"AAAAAHjx6Tk=")</f>
        <v>#REF!</v>
      </c>
      <c r="BG8" t="e">
        <f>AND(#REF!,"AAAAAHjx6To=")</f>
        <v>#REF!</v>
      </c>
      <c r="BH8" t="e">
        <f>AND(#REF!,"AAAAAHjx6Ts=")</f>
        <v>#REF!</v>
      </c>
      <c r="BI8" t="e">
        <f>AND(#REF!,"AAAAAHjx6Tw=")</f>
        <v>#REF!</v>
      </c>
      <c r="BJ8" t="e">
        <f>AND(#REF!,"AAAAAHjx6T0=")</f>
        <v>#REF!</v>
      </c>
      <c r="BK8" t="e">
        <f>AND(#REF!,"AAAAAHjx6T4=")</f>
        <v>#REF!</v>
      </c>
      <c r="BL8" t="e">
        <f>AND(#REF!,"AAAAAHjx6T8=")</f>
        <v>#REF!</v>
      </c>
      <c r="BM8" t="e">
        <f>AND(#REF!,"AAAAAHjx6UA=")</f>
        <v>#REF!</v>
      </c>
      <c r="BN8" t="e">
        <f>AND(#REF!,"AAAAAHjx6UE=")</f>
        <v>#REF!</v>
      </c>
      <c r="BO8" t="e">
        <f>AND(#REF!,"AAAAAHjx6UI=")</f>
        <v>#REF!</v>
      </c>
      <c r="BP8" t="e">
        <f>AND(#REF!,"AAAAAHjx6UM=")</f>
        <v>#REF!</v>
      </c>
      <c r="BQ8" t="e">
        <f>AND(#REF!,"AAAAAHjx6UQ=")</f>
        <v>#REF!</v>
      </c>
      <c r="BR8" t="e">
        <f>AND(#REF!,"AAAAAHjx6UU=")</f>
        <v>#REF!</v>
      </c>
      <c r="BS8" t="e">
        <f>AND(#REF!,"AAAAAHjx6UY=")</f>
        <v>#REF!</v>
      </c>
      <c r="BT8" t="e">
        <f>AND(#REF!,"AAAAAHjx6Uc=")</f>
        <v>#REF!</v>
      </c>
      <c r="BU8" t="e">
        <f>AND(#REF!,"AAAAAHjx6Ug=")</f>
        <v>#REF!</v>
      </c>
      <c r="BV8" t="e">
        <f>AND(#REF!,"AAAAAHjx6Uk=")</f>
        <v>#REF!</v>
      </c>
      <c r="BW8" t="e">
        <f>AND(#REF!,"AAAAAHjx6Uo=")</f>
        <v>#REF!</v>
      </c>
      <c r="BX8" t="e">
        <f>AND(#REF!,"AAAAAHjx6Us=")</f>
        <v>#REF!</v>
      </c>
      <c r="BY8" t="e">
        <f>AND(#REF!,"AAAAAHjx6Uw=")</f>
        <v>#REF!</v>
      </c>
      <c r="BZ8" t="e">
        <f>AND(#REF!,"AAAAAHjx6U0=")</f>
        <v>#REF!</v>
      </c>
      <c r="CA8" t="e">
        <f>AND(#REF!,"AAAAAHjx6U4=")</f>
        <v>#REF!</v>
      </c>
      <c r="CB8" t="e">
        <f>AND(#REF!,"AAAAAHjx6U8=")</f>
        <v>#REF!</v>
      </c>
      <c r="CC8" t="e">
        <f>AND(#REF!,"AAAAAHjx6VA=")</f>
        <v>#REF!</v>
      </c>
      <c r="CD8" t="e">
        <f>AND(#REF!,"AAAAAHjx6VE=")</f>
        <v>#REF!</v>
      </c>
      <c r="CE8" t="e">
        <f>AND(#REF!,"AAAAAHjx6VI=")</f>
        <v>#REF!</v>
      </c>
      <c r="CF8" t="e">
        <f>AND(#REF!,"AAAAAHjx6VM=")</f>
        <v>#REF!</v>
      </c>
      <c r="CG8" t="e">
        <f>AND(#REF!,"AAAAAHjx6VQ=")</f>
        <v>#REF!</v>
      </c>
      <c r="CH8" t="e">
        <f>AND(#REF!,"AAAAAHjx6VU=")</f>
        <v>#REF!</v>
      </c>
      <c r="CI8" t="e">
        <f>AND(#REF!,"AAAAAHjx6VY=")</f>
        <v>#REF!</v>
      </c>
      <c r="CJ8" t="e">
        <f>AND(#REF!,"AAAAAHjx6Vc=")</f>
        <v>#REF!</v>
      </c>
      <c r="CK8" t="e">
        <f>AND(#REF!,"AAAAAHjx6Vg=")</f>
        <v>#REF!</v>
      </c>
      <c r="CL8" t="e">
        <f>AND(#REF!,"AAAAAHjx6Vk=")</f>
        <v>#REF!</v>
      </c>
      <c r="CM8" t="e">
        <f>AND(#REF!,"AAAAAHjx6Vo=")</f>
        <v>#REF!</v>
      </c>
      <c r="CN8" t="e">
        <f>AND(#REF!,"AAAAAHjx6Vs=")</f>
        <v>#REF!</v>
      </c>
      <c r="CO8" t="e">
        <f>AND(#REF!,"AAAAAHjx6Vw=")</f>
        <v>#REF!</v>
      </c>
      <c r="CP8" t="e">
        <f>AND(#REF!,"AAAAAHjx6V0=")</f>
        <v>#REF!</v>
      </c>
      <c r="CQ8" t="e">
        <f>AND(#REF!,"AAAAAHjx6V4=")</f>
        <v>#REF!</v>
      </c>
      <c r="CR8" t="e">
        <f>AND(#REF!,"AAAAAHjx6V8=")</f>
        <v>#REF!</v>
      </c>
      <c r="CS8" t="e">
        <f>AND(#REF!,"AAAAAHjx6WA=")</f>
        <v>#REF!</v>
      </c>
      <c r="CT8" t="e">
        <f>AND(#REF!,"AAAAAHjx6WE=")</f>
        <v>#REF!</v>
      </c>
      <c r="CU8" t="e">
        <f>AND(#REF!,"AAAAAHjx6WI=")</f>
        <v>#REF!</v>
      </c>
      <c r="CV8" t="e">
        <f>AND(#REF!,"AAAAAHjx6WM=")</f>
        <v>#REF!</v>
      </c>
      <c r="CW8" t="e">
        <f>AND(#REF!,"AAAAAHjx6WQ=")</f>
        <v>#REF!</v>
      </c>
      <c r="CX8" t="e">
        <f>AND(#REF!,"AAAAAHjx6WU=")</f>
        <v>#REF!</v>
      </c>
      <c r="CY8" t="e">
        <f>AND(#REF!,"AAAAAHjx6WY=")</f>
        <v>#REF!</v>
      </c>
      <c r="CZ8" t="e">
        <f>AND(#REF!,"AAAAAHjx6Wc=")</f>
        <v>#REF!</v>
      </c>
      <c r="DA8" t="e">
        <f>AND(#REF!,"AAAAAHjx6Wg=")</f>
        <v>#REF!</v>
      </c>
      <c r="DB8" t="e">
        <f>AND(#REF!,"AAAAAHjx6Wk=")</f>
        <v>#REF!</v>
      </c>
      <c r="DC8" t="e">
        <f>AND(#REF!,"AAAAAHjx6Wo=")</f>
        <v>#REF!</v>
      </c>
      <c r="DD8" t="e">
        <f>AND(#REF!,"AAAAAHjx6Ws=")</f>
        <v>#REF!</v>
      </c>
      <c r="DE8" t="e">
        <f>AND(#REF!,"AAAAAHjx6Ww=")</f>
        <v>#REF!</v>
      </c>
      <c r="DF8" t="e">
        <f>AND(#REF!,"AAAAAHjx6W0=")</f>
        <v>#REF!</v>
      </c>
      <c r="DG8" t="e">
        <f>AND(#REF!,"AAAAAHjx6W4=")</f>
        <v>#REF!</v>
      </c>
      <c r="DH8" t="e">
        <f>AND(#REF!,"AAAAAHjx6W8=")</f>
        <v>#REF!</v>
      </c>
      <c r="DI8" t="e">
        <f>AND(#REF!,"AAAAAHjx6XA=")</f>
        <v>#REF!</v>
      </c>
      <c r="DJ8" t="e">
        <f>AND(#REF!,"AAAAAHjx6XE=")</f>
        <v>#REF!</v>
      </c>
      <c r="DK8" t="e">
        <f>AND(#REF!,"AAAAAHjx6XI=")</f>
        <v>#REF!</v>
      </c>
      <c r="DL8" t="e">
        <f>AND(#REF!,"AAAAAHjx6XM=")</f>
        <v>#REF!</v>
      </c>
      <c r="DM8" t="e">
        <f>AND(#REF!,"AAAAAHjx6XQ=")</f>
        <v>#REF!</v>
      </c>
      <c r="DN8" t="e">
        <f>AND(#REF!,"AAAAAHjx6XU=")</f>
        <v>#REF!</v>
      </c>
      <c r="DO8" t="e">
        <f>AND(#REF!,"AAAAAHjx6XY=")</f>
        <v>#REF!</v>
      </c>
      <c r="DP8" t="e">
        <f>AND(#REF!,"AAAAAHjx6Xc=")</f>
        <v>#REF!</v>
      </c>
      <c r="DQ8" t="e">
        <f>AND(#REF!,"AAAAAHjx6Xg=")</f>
        <v>#REF!</v>
      </c>
      <c r="DR8" t="e">
        <f>AND(#REF!,"AAAAAHjx6Xk=")</f>
        <v>#REF!</v>
      </c>
      <c r="DS8" t="e">
        <f>AND(#REF!,"AAAAAHjx6Xo=")</f>
        <v>#REF!</v>
      </c>
      <c r="DT8" t="e">
        <f>AND(#REF!,"AAAAAHjx6Xs=")</f>
        <v>#REF!</v>
      </c>
      <c r="DU8" t="e">
        <f>AND(#REF!,"AAAAAHjx6Xw=")</f>
        <v>#REF!</v>
      </c>
      <c r="DV8" t="e">
        <f>AND(#REF!,"AAAAAHjx6X0=")</f>
        <v>#REF!</v>
      </c>
      <c r="DW8" t="e">
        <f>AND(#REF!,"AAAAAHjx6X4=")</f>
        <v>#REF!</v>
      </c>
      <c r="DX8" t="e">
        <f>AND(#REF!,"AAAAAHjx6X8=")</f>
        <v>#REF!</v>
      </c>
      <c r="DY8" t="e">
        <f>AND(#REF!,"AAAAAHjx6YA=")</f>
        <v>#REF!</v>
      </c>
      <c r="DZ8" t="e">
        <f>AND(#REF!,"AAAAAHjx6YE=")</f>
        <v>#REF!</v>
      </c>
      <c r="EA8" t="e">
        <f>AND(#REF!,"AAAAAHjx6YI=")</f>
        <v>#REF!</v>
      </c>
      <c r="EB8" t="e">
        <f>AND(#REF!,"AAAAAHjx6YM=")</f>
        <v>#REF!</v>
      </c>
      <c r="EC8" t="e">
        <f>AND(#REF!,"AAAAAHjx6YQ=")</f>
        <v>#REF!</v>
      </c>
      <c r="ED8" t="e">
        <f>AND(#REF!,"AAAAAHjx6YU=")</f>
        <v>#REF!</v>
      </c>
      <c r="EE8" t="e">
        <f>AND(#REF!,"AAAAAHjx6YY=")</f>
        <v>#REF!</v>
      </c>
      <c r="EF8" t="e">
        <f>AND(#REF!,"AAAAAHjx6Yc=")</f>
        <v>#REF!</v>
      </c>
      <c r="EG8" t="e">
        <f>AND(#REF!,"AAAAAHjx6Yg=")</f>
        <v>#REF!</v>
      </c>
      <c r="EH8" t="e">
        <f>AND(#REF!,"AAAAAHjx6Yk=")</f>
        <v>#REF!</v>
      </c>
      <c r="EI8" t="e">
        <f>AND(#REF!,"AAAAAHjx6Yo=")</f>
        <v>#REF!</v>
      </c>
      <c r="EJ8" t="e">
        <f>AND(#REF!,"AAAAAHjx6Ys=")</f>
        <v>#REF!</v>
      </c>
      <c r="EK8" t="e">
        <f>AND(#REF!,"AAAAAHjx6Yw=")</f>
        <v>#REF!</v>
      </c>
      <c r="EL8" t="e">
        <f>AND(#REF!,"AAAAAHjx6Y0=")</f>
        <v>#REF!</v>
      </c>
      <c r="EM8" t="e">
        <f>AND(#REF!,"AAAAAHjx6Y4=")</f>
        <v>#REF!</v>
      </c>
      <c r="EN8" t="e">
        <f>AND(#REF!,"AAAAAHjx6Y8=")</f>
        <v>#REF!</v>
      </c>
      <c r="EO8" t="e">
        <f>AND(#REF!,"AAAAAHjx6ZA=")</f>
        <v>#REF!</v>
      </c>
      <c r="EP8" t="e">
        <f>AND(#REF!,"AAAAAHjx6ZE=")</f>
        <v>#REF!</v>
      </c>
      <c r="EQ8" t="e">
        <f>AND(#REF!,"AAAAAHjx6ZI=")</f>
        <v>#REF!</v>
      </c>
      <c r="ER8" t="e">
        <f>AND(#REF!,"AAAAAHjx6ZM=")</f>
        <v>#REF!</v>
      </c>
      <c r="ES8" t="e">
        <f>AND(#REF!,"AAAAAHjx6ZQ=")</f>
        <v>#REF!</v>
      </c>
      <c r="ET8" t="e">
        <f>AND(#REF!,"AAAAAHjx6ZU=")</f>
        <v>#REF!</v>
      </c>
      <c r="EU8" t="e">
        <f>AND(#REF!,"AAAAAHjx6ZY=")</f>
        <v>#REF!</v>
      </c>
      <c r="EV8" t="e">
        <f>AND(#REF!,"AAAAAHjx6Zc=")</f>
        <v>#REF!</v>
      </c>
      <c r="EW8" t="e">
        <f>AND(#REF!,"AAAAAHjx6Zg=")</f>
        <v>#REF!</v>
      </c>
      <c r="EX8" t="e">
        <f>AND(#REF!,"AAAAAHjx6Zk=")</f>
        <v>#REF!</v>
      </c>
      <c r="EY8" t="e">
        <f>AND(#REF!,"AAAAAHjx6Zo=")</f>
        <v>#REF!</v>
      </c>
      <c r="EZ8" t="e">
        <f>AND(#REF!,"AAAAAHjx6Zs=")</f>
        <v>#REF!</v>
      </c>
      <c r="FA8" t="e">
        <f>AND(#REF!,"AAAAAHjx6Zw=")</f>
        <v>#REF!</v>
      </c>
      <c r="FB8" t="e">
        <f>AND(#REF!,"AAAAAHjx6Z0=")</f>
        <v>#REF!</v>
      </c>
      <c r="FC8" t="e">
        <f>AND(#REF!,"AAAAAHjx6Z4=")</f>
        <v>#REF!</v>
      </c>
      <c r="FD8" t="e">
        <f>AND(#REF!,"AAAAAHjx6Z8=")</f>
        <v>#REF!</v>
      </c>
      <c r="FE8" t="e">
        <f>AND(#REF!,"AAAAAHjx6aA=")</f>
        <v>#REF!</v>
      </c>
      <c r="FF8" t="e">
        <f>AND(#REF!,"AAAAAHjx6aE=")</f>
        <v>#REF!</v>
      </c>
      <c r="FG8" t="e">
        <f>AND(#REF!,"AAAAAHjx6aI=")</f>
        <v>#REF!</v>
      </c>
      <c r="FH8" t="e">
        <f>AND(#REF!,"AAAAAHjx6aM=")</f>
        <v>#REF!</v>
      </c>
      <c r="FI8" t="e">
        <f>AND(#REF!,"AAAAAHjx6aQ=")</f>
        <v>#REF!</v>
      </c>
      <c r="FJ8" t="e">
        <f>AND(#REF!,"AAAAAHjx6aU=")</f>
        <v>#REF!</v>
      </c>
      <c r="FK8" t="e">
        <f>AND(#REF!,"AAAAAHjx6aY=")</f>
        <v>#REF!</v>
      </c>
      <c r="FL8" t="e">
        <f>AND(#REF!,"AAAAAHjx6ac=")</f>
        <v>#REF!</v>
      </c>
      <c r="FM8" t="e">
        <f>AND(#REF!,"AAAAAHjx6ag=")</f>
        <v>#REF!</v>
      </c>
      <c r="FN8" t="e">
        <f>AND(#REF!,"AAAAAHjx6ak=")</f>
        <v>#REF!</v>
      </c>
      <c r="FO8" t="e">
        <f>AND(#REF!,"AAAAAHjx6ao=")</f>
        <v>#REF!</v>
      </c>
      <c r="FP8" t="e">
        <f>AND(#REF!,"AAAAAHjx6as=")</f>
        <v>#REF!</v>
      </c>
      <c r="FQ8" t="e">
        <f>AND(#REF!,"AAAAAHjx6aw=")</f>
        <v>#REF!</v>
      </c>
      <c r="FR8" t="e">
        <f>AND(#REF!,"AAAAAHjx6a0=")</f>
        <v>#REF!</v>
      </c>
      <c r="FS8" t="e">
        <f>AND(#REF!,"AAAAAHjx6a4=")</f>
        <v>#REF!</v>
      </c>
      <c r="FT8" t="e">
        <f>AND(#REF!,"AAAAAHjx6a8=")</f>
        <v>#REF!</v>
      </c>
      <c r="FU8" t="e">
        <f>AND(#REF!,"AAAAAHjx6bA=")</f>
        <v>#REF!</v>
      </c>
      <c r="FV8" t="e">
        <f>AND(#REF!,"AAAAAHjx6bE=")</f>
        <v>#REF!</v>
      </c>
      <c r="FW8" t="e">
        <f>AND(#REF!,"AAAAAHjx6bI=")</f>
        <v>#REF!</v>
      </c>
      <c r="FX8" t="e">
        <f>AND(#REF!,"AAAAAHjx6bM=")</f>
        <v>#REF!</v>
      </c>
      <c r="FY8" t="e">
        <f>AND(#REF!,"AAAAAHjx6bQ=")</f>
        <v>#REF!</v>
      </c>
      <c r="FZ8" t="e">
        <f>AND(#REF!,"AAAAAHjx6bU=")</f>
        <v>#REF!</v>
      </c>
      <c r="GA8" t="e">
        <f>AND(#REF!,"AAAAAHjx6bY=")</f>
        <v>#REF!</v>
      </c>
      <c r="GB8" t="e">
        <f>AND(#REF!,"AAAAAHjx6bc=")</f>
        <v>#REF!</v>
      </c>
      <c r="GC8" t="e">
        <f>AND(#REF!,"AAAAAHjx6bg=")</f>
        <v>#REF!</v>
      </c>
      <c r="GD8" t="e">
        <f>AND(#REF!,"AAAAAHjx6bk=")</f>
        <v>#REF!</v>
      </c>
      <c r="GE8" t="e">
        <f>AND(#REF!,"AAAAAHjx6bo=")</f>
        <v>#REF!</v>
      </c>
      <c r="GF8" t="e">
        <f>AND(#REF!,"AAAAAHjx6bs=")</f>
        <v>#REF!</v>
      </c>
      <c r="GG8" t="e">
        <f>AND(#REF!,"AAAAAHjx6bw=")</f>
        <v>#REF!</v>
      </c>
      <c r="GH8" t="e">
        <f>AND(#REF!,"AAAAAHjx6b0=")</f>
        <v>#REF!</v>
      </c>
      <c r="GI8" t="e">
        <f>AND(#REF!,"AAAAAHjx6b4=")</f>
        <v>#REF!</v>
      </c>
      <c r="GJ8" t="e">
        <f>AND(#REF!,"AAAAAHjx6b8=")</f>
        <v>#REF!</v>
      </c>
      <c r="GK8" t="e">
        <f>AND(#REF!,"AAAAAHjx6cA=")</f>
        <v>#REF!</v>
      </c>
      <c r="GL8" t="e">
        <f>AND(#REF!,"AAAAAHjx6cE=")</f>
        <v>#REF!</v>
      </c>
      <c r="GM8" t="e">
        <f>AND(#REF!,"AAAAAHjx6cI=")</f>
        <v>#REF!</v>
      </c>
      <c r="GN8" t="e">
        <f>AND(#REF!,"AAAAAHjx6cM=")</f>
        <v>#REF!</v>
      </c>
      <c r="GO8" t="e">
        <f>AND(#REF!,"AAAAAHjx6cQ=")</f>
        <v>#REF!</v>
      </c>
      <c r="GP8" t="e">
        <f>AND(#REF!,"AAAAAHjx6cU=")</f>
        <v>#REF!</v>
      </c>
      <c r="GQ8" t="e">
        <f>AND(#REF!,"AAAAAHjx6cY=")</f>
        <v>#REF!</v>
      </c>
      <c r="GR8" t="e">
        <f>AND(#REF!,"AAAAAHjx6cc=")</f>
        <v>#REF!</v>
      </c>
      <c r="GS8" t="e">
        <f>AND(#REF!,"AAAAAHjx6cg=")</f>
        <v>#REF!</v>
      </c>
      <c r="GT8" t="e">
        <f>AND(#REF!,"AAAAAHjx6ck=")</f>
        <v>#REF!</v>
      </c>
      <c r="GU8" t="e">
        <f>AND(#REF!,"AAAAAHjx6co=")</f>
        <v>#REF!</v>
      </c>
      <c r="GV8" t="e">
        <f>AND(#REF!,"AAAAAHjx6cs=")</f>
        <v>#REF!</v>
      </c>
      <c r="GW8" t="e">
        <f>AND(#REF!,"AAAAAHjx6cw=")</f>
        <v>#REF!</v>
      </c>
      <c r="GX8" t="e">
        <f>AND(#REF!,"AAAAAHjx6c0=")</f>
        <v>#REF!</v>
      </c>
      <c r="GY8" t="e">
        <f>AND(#REF!,"AAAAAHjx6c4=")</f>
        <v>#REF!</v>
      </c>
      <c r="GZ8" t="e">
        <f>AND(#REF!,"AAAAAHjx6c8=")</f>
        <v>#REF!</v>
      </c>
      <c r="HA8" t="e">
        <f>AND(#REF!,"AAAAAHjx6dA=")</f>
        <v>#REF!</v>
      </c>
      <c r="HB8" t="e">
        <f>AND(#REF!,"AAAAAHjx6dE=")</f>
        <v>#REF!</v>
      </c>
      <c r="HC8" t="e">
        <f>AND(#REF!,"AAAAAHjx6dI=")</f>
        <v>#REF!</v>
      </c>
      <c r="HD8" t="e">
        <f>AND(#REF!,"AAAAAHjx6dM=")</f>
        <v>#REF!</v>
      </c>
      <c r="HE8" t="e">
        <f>AND(#REF!,"AAAAAHjx6dQ=")</f>
        <v>#REF!</v>
      </c>
      <c r="HF8" t="e">
        <f>AND(#REF!,"AAAAAHjx6dU=")</f>
        <v>#REF!</v>
      </c>
      <c r="HG8" t="e">
        <f>AND(#REF!,"AAAAAHjx6dY=")</f>
        <v>#REF!</v>
      </c>
      <c r="HH8" t="e">
        <f>AND(#REF!,"AAAAAHjx6dc=")</f>
        <v>#REF!</v>
      </c>
      <c r="HI8" t="e">
        <f>IF(#REF!,"AAAAAHjx6dg=",0)</f>
        <v>#REF!</v>
      </c>
      <c r="HJ8" t="e">
        <f>AND(#REF!,"AAAAAHjx6dk=")</f>
        <v>#REF!</v>
      </c>
      <c r="HK8" t="e">
        <f>AND(#REF!,"AAAAAHjx6do=")</f>
        <v>#REF!</v>
      </c>
      <c r="HL8" t="e">
        <f>AND(#REF!,"AAAAAHjx6ds=")</f>
        <v>#REF!</v>
      </c>
      <c r="HM8" t="e">
        <f>AND(#REF!,"AAAAAHjx6dw=")</f>
        <v>#REF!</v>
      </c>
      <c r="HN8" t="e">
        <f>AND(#REF!,"AAAAAHjx6d0=")</f>
        <v>#REF!</v>
      </c>
      <c r="HO8" t="e">
        <f>AND(#REF!,"AAAAAHjx6d4=")</f>
        <v>#REF!</v>
      </c>
      <c r="HP8" t="e">
        <f>AND(#REF!,"AAAAAHjx6d8=")</f>
        <v>#REF!</v>
      </c>
      <c r="HQ8" t="e">
        <f>AND(#REF!,"AAAAAHjx6eA=")</f>
        <v>#REF!</v>
      </c>
      <c r="HR8" t="e">
        <f>AND(#REF!,"AAAAAHjx6eE=")</f>
        <v>#REF!</v>
      </c>
      <c r="HS8" t="e">
        <f>AND(#REF!,"AAAAAHjx6eI=")</f>
        <v>#REF!</v>
      </c>
      <c r="HT8" t="e">
        <f>AND(#REF!,"AAAAAHjx6eM=")</f>
        <v>#REF!</v>
      </c>
      <c r="HU8" t="e">
        <f>AND(#REF!,"AAAAAHjx6eQ=")</f>
        <v>#REF!</v>
      </c>
      <c r="HV8" t="e">
        <f>AND(#REF!,"AAAAAHjx6eU=")</f>
        <v>#REF!</v>
      </c>
      <c r="HW8" t="e">
        <f>AND(#REF!,"AAAAAHjx6eY=")</f>
        <v>#REF!</v>
      </c>
      <c r="HX8" t="e">
        <f>AND(#REF!,"AAAAAHjx6ec=")</f>
        <v>#REF!</v>
      </c>
      <c r="HY8" t="e">
        <f>AND(#REF!,"AAAAAHjx6eg=")</f>
        <v>#REF!</v>
      </c>
      <c r="HZ8" t="e">
        <f>AND(#REF!,"AAAAAHjx6ek=")</f>
        <v>#REF!</v>
      </c>
      <c r="IA8" t="e">
        <f>AND(#REF!,"AAAAAHjx6eo=")</f>
        <v>#REF!</v>
      </c>
      <c r="IB8" t="e">
        <f>AND(#REF!,"AAAAAHjx6es=")</f>
        <v>#REF!</v>
      </c>
      <c r="IC8" t="e">
        <f>AND(#REF!,"AAAAAHjx6ew=")</f>
        <v>#REF!</v>
      </c>
      <c r="ID8" t="e">
        <f>AND(#REF!,"AAAAAHjx6e0=")</f>
        <v>#REF!</v>
      </c>
      <c r="IE8" t="e">
        <f>AND(#REF!,"AAAAAHjx6e4=")</f>
        <v>#REF!</v>
      </c>
      <c r="IF8" t="e">
        <f>AND(#REF!,"AAAAAHjx6e8=")</f>
        <v>#REF!</v>
      </c>
      <c r="IG8" t="e">
        <f>AND(#REF!,"AAAAAHjx6fA=")</f>
        <v>#REF!</v>
      </c>
      <c r="IH8" t="e">
        <f>AND(#REF!,"AAAAAHjx6fE=")</f>
        <v>#REF!</v>
      </c>
      <c r="II8" t="e">
        <f>AND(#REF!,"AAAAAHjx6fI=")</f>
        <v>#REF!</v>
      </c>
      <c r="IJ8" t="e">
        <f>AND(#REF!,"AAAAAHjx6fM=")</f>
        <v>#REF!</v>
      </c>
      <c r="IK8" t="e">
        <f>AND(#REF!,"AAAAAHjx6fQ=")</f>
        <v>#REF!</v>
      </c>
      <c r="IL8" t="e">
        <f>AND(#REF!,"AAAAAHjx6fU=")</f>
        <v>#REF!</v>
      </c>
      <c r="IM8" t="e">
        <f>AND(#REF!,"AAAAAHjx6fY=")</f>
        <v>#REF!</v>
      </c>
      <c r="IN8" t="e">
        <f>AND(#REF!,"AAAAAHjx6fc=")</f>
        <v>#REF!</v>
      </c>
      <c r="IO8" t="e">
        <f>AND(#REF!,"AAAAAHjx6fg=")</f>
        <v>#REF!</v>
      </c>
      <c r="IP8" t="e">
        <f>AND(#REF!,"AAAAAHjx6fk=")</f>
        <v>#REF!</v>
      </c>
      <c r="IQ8" t="e">
        <f>AND(#REF!,"AAAAAHjx6fo=")</f>
        <v>#REF!</v>
      </c>
      <c r="IR8" t="e">
        <f>AND(#REF!,"AAAAAHjx6fs=")</f>
        <v>#REF!</v>
      </c>
      <c r="IS8" t="e">
        <f>AND(#REF!,"AAAAAHjx6fw=")</f>
        <v>#REF!</v>
      </c>
      <c r="IT8" t="e">
        <f>AND(#REF!,"AAAAAHjx6f0=")</f>
        <v>#REF!</v>
      </c>
      <c r="IU8" t="e">
        <f>AND(#REF!,"AAAAAHjx6f4=")</f>
        <v>#REF!</v>
      </c>
      <c r="IV8" t="e">
        <f>AND(#REF!,"AAAAAHjx6f8=")</f>
        <v>#REF!</v>
      </c>
    </row>
    <row r="9" spans="1:256" x14ac:dyDescent="0.2">
      <c r="A9" t="e">
        <f>AND(#REF!,"AAAAAF7D2gA=")</f>
        <v>#REF!</v>
      </c>
      <c r="B9" t="e">
        <f>AND(#REF!,"AAAAAF7D2gE=")</f>
        <v>#REF!</v>
      </c>
      <c r="C9" t="e">
        <f>AND(#REF!,"AAAAAF7D2gI=")</f>
        <v>#REF!</v>
      </c>
      <c r="D9" t="e">
        <f>AND(#REF!,"AAAAAF7D2gM=")</f>
        <v>#REF!</v>
      </c>
      <c r="E9" t="e">
        <f>AND(#REF!,"AAAAAF7D2gQ=")</f>
        <v>#REF!</v>
      </c>
      <c r="F9" t="e">
        <f>AND(#REF!,"AAAAAF7D2gU=")</f>
        <v>#REF!</v>
      </c>
      <c r="G9" t="e">
        <f>AND(#REF!,"AAAAAF7D2gY=")</f>
        <v>#REF!</v>
      </c>
      <c r="H9" t="e">
        <f>AND(#REF!,"AAAAAF7D2gc=")</f>
        <v>#REF!</v>
      </c>
      <c r="I9" t="e">
        <f>AND(#REF!,"AAAAAF7D2gg=")</f>
        <v>#REF!</v>
      </c>
      <c r="J9" t="e">
        <f>AND(#REF!,"AAAAAF7D2gk=")</f>
        <v>#REF!</v>
      </c>
      <c r="K9" t="e">
        <f>AND(#REF!,"AAAAAF7D2go=")</f>
        <v>#REF!</v>
      </c>
      <c r="L9" t="e">
        <f>AND(#REF!,"AAAAAF7D2gs=")</f>
        <v>#REF!</v>
      </c>
      <c r="M9" t="e">
        <f>AND(#REF!,"AAAAAF7D2gw=")</f>
        <v>#REF!</v>
      </c>
      <c r="N9" t="e">
        <f>AND(#REF!,"AAAAAF7D2g0=")</f>
        <v>#REF!</v>
      </c>
      <c r="O9" t="e">
        <f>AND(#REF!,"AAAAAF7D2g4=")</f>
        <v>#REF!</v>
      </c>
      <c r="P9" t="e">
        <f>AND(#REF!,"AAAAAF7D2g8=")</f>
        <v>#REF!</v>
      </c>
      <c r="Q9" t="e">
        <f>AND(#REF!,"AAAAAF7D2hA=")</f>
        <v>#REF!</v>
      </c>
      <c r="R9" t="e">
        <f>AND(#REF!,"AAAAAF7D2hE=")</f>
        <v>#REF!</v>
      </c>
      <c r="S9" t="e">
        <f>AND(#REF!,"AAAAAF7D2hI=")</f>
        <v>#REF!</v>
      </c>
      <c r="T9" t="e">
        <f>AND(#REF!,"AAAAAF7D2hM=")</f>
        <v>#REF!</v>
      </c>
      <c r="U9" t="e">
        <f>AND(#REF!,"AAAAAF7D2hQ=")</f>
        <v>#REF!</v>
      </c>
      <c r="V9" t="e">
        <f>AND(#REF!,"AAAAAF7D2hU=")</f>
        <v>#REF!</v>
      </c>
      <c r="W9" t="e">
        <f>AND(#REF!,"AAAAAF7D2hY=")</f>
        <v>#REF!</v>
      </c>
      <c r="X9" t="e">
        <f>AND(#REF!,"AAAAAF7D2hc=")</f>
        <v>#REF!</v>
      </c>
      <c r="Y9" t="e">
        <f>AND(#REF!,"AAAAAF7D2hg=")</f>
        <v>#REF!</v>
      </c>
      <c r="Z9" t="e">
        <f>AND(#REF!,"AAAAAF7D2hk=")</f>
        <v>#REF!</v>
      </c>
      <c r="AA9" t="e">
        <f>AND(#REF!,"AAAAAF7D2ho=")</f>
        <v>#REF!</v>
      </c>
      <c r="AB9" t="e">
        <f>AND(#REF!,"AAAAAF7D2hs=")</f>
        <v>#REF!</v>
      </c>
      <c r="AC9" t="e">
        <f>AND(#REF!,"AAAAAF7D2hw=")</f>
        <v>#REF!</v>
      </c>
      <c r="AD9" t="e">
        <f>AND(#REF!,"AAAAAF7D2h0=")</f>
        <v>#REF!</v>
      </c>
      <c r="AE9" t="e">
        <f>AND(#REF!,"AAAAAF7D2h4=")</f>
        <v>#REF!</v>
      </c>
      <c r="AF9" t="e">
        <f>AND(#REF!,"AAAAAF7D2h8=")</f>
        <v>#REF!</v>
      </c>
      <c r="AG9" t="e">
        <f>AND(#REF!,"AAAAAF7D2iA=")</f>
        <v>#REF!</v>
      </c>
      <c r="AH9" t="e">
        <f>AND(#REF!,"AAAAAF7D2iE=")</f>
        <v>#REF!</v>
      </c>
      <c r="AI9" t="e">
        <f>AND(#REF!,"AAAAAF7D2iI=")</f>
        <v>#REF!</v>
      </c>
      <c r="AJ9" t="e">
        <f>AND(#REF!,"AAAAAF7D2iM=")</f>
        <v>#REF!</v>
      </c>
      <c r="AK9" t="e">
        <f>AND(#REF!,"AAAAAF7D2iQ=")</f>
        <v>#REF!</v>
      </c>
      <c r="AL9" t="e">
        <f>AND(#REF!,"AAAAAF7D2iU=")</f>
        <v>#REF!</v>
      </c>
      <c r="AM9" t="e">
        <f>AND(#REF!,"AAAAAF7D2iY=")</f>
        <v>#REF!</v>
      </c>
      <c r="AN9" t="e">
        <f>AND(#REF!,"AAAAAF7D2ic=")</f>
        <v>#REF!</v>
      </c>
      <c r="AO9" t="e">
        <f>AND(#REF!,"AAAAAF7D2ig=")</f>
        <v>#REF!</v>
      </c>
      <c r="AP9" t="e">
        <f>AND(#REF!,"AAAAAF7D2ik=")</f>
        <v>#REF!</v>
      </c>
      <c r="AQ9" t="e">
        <f>AND(#REF!,"AAAAAF7D2io=")</f>
        <v>#REF!</v>
      </c>
      <c r="AR9" t="e">
        <f>AND(#REF!,"AAAAAF7D2is=")</f>
        <v>#REF!</v>
      </c>
      <c r="AS9" t="e">
        <f>AND(#REF!,"AAAAAF7D2iw=")</f>
        <v>#REF!</v>
      </c>
      <c r="AT9" t="e">
        <f>AND(#REF!,"AAAAAF7D2i0=")</f>
        <v>#REF!</v>
      </c>
      <c r="AU9" t="e">
        <f>AND(#REF!,"AAAAAF7D2i4=")</f>
        <v>#REF!</v>
      </c>
      <c r="AV9" t="e">
        <f>AND(#REF!,"AAAAAF7D2i8=")</f>
        <v>#REF!</v>
      </c>
      <c r="AW9" t="e">
        <f>AND(#REF!,"AAAAAF7D2jA=")</f>
        <v>#REF!</v>
      </c>
      <c r="AX9" t="e">
        <f>AND(#REF!,"AAAAAF7D2jE=")</f>
        <v>#REF!</v>
      </c>
      <c r="AY9" t="e">
        <f>AND(#REF!,"AAAAAF7D2jI=")</f>
        <v>#REF!</v>
      </c>
      <c r="AZ9" t="e">
        <f>AND(#REF!,"AAAAAF7D2jM=")</f>
        <v>#REF!</v>
      </c>
      <c r="BA9" t="e">
        <f>AND(#REF!,"AAAAAF7D2jQ=")</f>
        <v>#REF!</v>
      </c>
      <c r="BB9" t="e">
        <f>AND(#REF!,"AAAAAF7D2jU=")</f>
        <v>#REF!</v>
      </c>
      <c r="BC9" t="e">
        <f>AND(#REF!,"AAAAAF7D2jY=")</f>
        <v>#REF!</v>
      </c>
      <c r="BD9" t="e">
        <f>AND(#REF!,"AAAAAF7D2jc=")</f>
        <v>#REF!</v>
      </c>
      <c r="BE9" t="e">
        <f>AND(#REF!,"AAAAAF7D2jg=")</f>
        <v>#REF!</v>
      </c>
      <c r="BF9" t="e">
        <f>AND(#REF!,"AAAAAF7D2jk=")</f>
        <v>#REF!</v>
      </c>
      <c r="BG9" t="e">
        <f>AND(#REF!,"AAAAAF7D2jo=")</f>
        <v>#REF!</v>
      </c>
      <c r="BH9" t="e">
        <f>AND(#REF!,"AAAAAF7D2js=")</f>
        <v>#REF!</v>
      </c>
      <c r="BI9" t="e">
        <f>AND(#REF!,"AAAAAF7D2jw=")</f>
        <v>#REF!</v>
      </c>
      <c r="BJ9" t="e">
        <f>AND(#REF!,"AAAAAF7D2j0=")</f>
        <v>#REF!</v>
      </c>
      <c r="BK9" t="e">
        <f>AND(#REF!,"AAAAAF7D2j4=")</f>
        <v>#REF!</v>
      </c>
      <c r="BL9" t="e">
        <f>AND(#REF!,"AAAAAF7D2j8=")</f>
        <v>#REF!</v>
      </c>
      <c r="BM9" t="e">
        <f>AND(#REF!,"AAAAAF7D2kA=")</f>
        <v>#REF!</v>
      </c>
      <c r="BN9" t="e">
        <f>AND(#REF!,"AAAAAF7D2kE=")</f>
        <v>#REF!</v>
      </c>
      <c r="BO9" t="e">
        <f>AND(#REF!,"AAAAAF7D2kI=")</f>
        <v>#REF!</v>
      </c>
      <c r="BP9" t="e">
        <f>AND(#REF!,"AAAAAF7D2kM=")</f>
        <v>#REF!</v>
      </c>
      <c r="BQ9" t="e">
        <f>AND(#REF!,"AAAAAF7D2kQ=")</f>
        <v>#REF!</v>
      </c>
      <c r="BR9" t="e">
        <f>AND(#REF!,"AAAAAF7D2kU=")</f>
        <v>#REF!</v>
      </c>
      <c r="BS9" t="e">
        <f>AND(#REF!,"AAAAAF7D2kY=")</f>
        <v>#REF!</v>
      </c>
      <c r="BT9" t="e">
        <f>AND(#REF!,"AAAAAF7D2kc=")</f>
        <v>#REF!</v>
      </c>
      <c r="BU9" t="e">
        <f>AND(#REF!,"AAAAAF7D2kg=")</f>
        <v>#REF!</v>
      </c>
      <c r="BV9" t="e">
        <f>AND(#REF!,"AAAAAF7D2kk=")</f>
        <v>#REF!</v>
      </c>
      <c r="BW9" t="e">
        <f>AND(#REF!,"AAAAAF7D2ko=")</f>
        <v>#REF!</v>
      </c>
      <c r="BX9" t="e">
        <f>AND(#REF!,"AAAAAF7D2ks=")</f>
        <v>#REF!</v>
      </c>
      <c r="BY9" t="e">
        <f>AND(#REF!,"AAAAAF7D2kw=")</f>
        <v>#REF!</v>
      </c>
      <c r="BZ9" t="e">
        <f>AND(#REF!,"AAAAAF7D2k0=")</f>
        <v>#REF!</v>
      </c>
      <c r="CA9" t="e">
        <f>AND(#REF!,"AAAAAF7D2k4=")</f>
        <v>#REF!</v>
      </c>
      <c r="CB9" t="e">
        <f>AND(#REF!,"AAAAAF7D2k8=")</f>
        <v>#REF!</v>
      </c>
      <c r="CC9" t="e">
        <f>AND(#REF!,"AAAAAF7D2lA=")</f>
        <v>#REF!</v>
      </c>
      <c r="CD9" t="e">
        <f>AND(#REF!,"AAAAAF7D2lE=")</f>
        <v>#REF!</v>
      </c>
      <c r="CE9" t="e">
        <f>AND(#REF!,"AAAAAF7D2lI=")</f>
        <v>#REF!</v>
      </c>
      <c r="CF9" t="e">
        <f>AND(#REF!,"AAAAAF7D2lM=")</f>
        <v>#REF!</v>
      </c>
      <c r="CG9" t="e">
        <f>AND(#REF!,"AAAAAF7D2lQ=")</f>
        <v>#REF!</v>
      </c>
      <c r="CH9" t="e">
        <f>AND(#REF!,"AAAAAF7D2lU=")</f>
        <v>#REF!</v>
      </c>
      <c r="CI9" t="e">
        <f>AND(#REF!,"AAAAAF7D2lY=")</f>
        <v>#REF!</v>
      </c>
      <c r="CJ9" t="e">
        <f>AND(#REF!,"AAAAAF7D2lc=")</f>
        <v>#REF!</v>
      </c>
      <c r="CK9" t="e">
        <f>AND(#REF!,"AAAAAF7D2lg=")</f>
        <v>#REF!</v>
      </c>
      <c r="CL9" t="e">
        <f>AND(#REF!,"AAAAAF7D2lk=")</f>
        <v>#REF!</v>
      </c>
      <c r="CM9" t="e">
        <f>AND(#REF!,"AAAAAF7D2lo=")</f>
        <v>#REF!</v>
      </c>
      <c r="CN9" t="e">
        <f>AND(#REF!,"AAAAAF7D2ls=")</f>
        <v>#REF!</v>
      </c>
      <c r="CO9" t="e">
        <f>AND(#REF!,"AAAAAF7D2lw=")</f>
        <v>#REF!</v>
      </c>
      <c r="CP9" t="e">
        <f>AND(#REF!,"AAAAAF7D2l0=")</f>
        <v>#REF!</v>
      </c>
      <c r="CQ9" t="e">
        <f>AND(#REF!,"AAAAAF7D2l4=")</f>
        <v>#REF!</v>
      </c>
      <c r="CR9" t="e">
        <f>AND(#REF!,"AAAAAF7D2l8=")</f>
        <v>#REF!</v>
      </c>
      <c r="CS9" t="e">
        <f>AND(#REF!,"AAAAAF7D2mA=")</f>
        <v>#REF!</v>
      </c>
      <c r="CT9" t="e">
        <f>AND(#REF!,"AAAAAF7D2mE=")</f>
        <v>#REF!</v>
      </c>
      <c r="CU9" t="e">
        <f>AND(#REF!,"AAAAAF7D2mI=")</f>
        <v>#REF!</v>
      </c>
      <c r="CV9" t="e">
        <f>AND(#REF!,"AAAAAF7D2mM=")</f>
        <v>#REF!</v>
      </c>
      <c r="CW9" t="e">
        <f>AND(#REF!,"AAAAAF7D2mQ=")</f>
        <v>#REF!</v>
      </c>
      <c r="CX9" t="e">
        <f>AND(#REF!,"AAAAAF7D2mU=")</f>
        <v>#REF!</v>
      </c>
      <c r="CY9" t="e">
        <f>AND(#REF!,"AAAAAF7D2mY=")</f>
        <v>#REF!</v>
      </c>
      <c r="CZ9" t="e">
        <f>AND(#REF!,"AAAAAF7D2mc=")</f>
        <v>#REF!</v>
      </c>
      <c r="DA9" t="e">
        <f>AND(#REF!,"AAAAAF7D2mg=")</f>
        <v>#REF!</v>
      </c>
      <c r="DB9" t="e">
        <f>AND(#REF!,"AAAAAF7D2mk=")</f>
        <v>#REF!</v>
      </c>
      <c r="DC9" t="e">
        <f>AND(#REF!,"AAAAAF7D2mo=")</f>
        <v>#REF!</v>
      </c>
      <c r="DD9" t="e">
        <f>AND(#REF!,"AAAAAF7D2ms=")</f>
        <v>#REF!</v>
      </c>
      <c r="DE9" t="e">
        <f>AND(#REF!,"AAAAAF7D2mw=")</f>
        <v>#REF!</v>
      </c>
      <c r="DF9" t="e">
        <f>AND(#REF!,"AAAAAF7D2m0=")</f>
        <v>#REF!</v>
      </c>
      <c r="DG9" t="e">
        <f>AND(#REF!,"AAAAAF7D2m4=")</f>
        <v>#REF!</v>
      </c>
      <c r="DH9" t="e">
        <f>AND(#REF!,"AAAAAF7D2m8=")</f>
        <v>#REF!</v>
      </c>
      <c r="DI9" t="e">
        <f>AND(#REF!,"AAAAAF7D2nA=")</f>
        <v>#REF!</v>
      </c>
      <c r="DJ9" t="e">
        <f>AND(#REF!,"AAAAAF7D2nE=")</f>
        <v>#REF!</v>
      </c>
      <c r="DK9" t="e">
        <f>AND(#REF!,"AAAAAF7D2nI=")</f>
        <v>#REF!</v>
      </c>
      <c r="DL9" t="e">
        <f>AND(#REF!,"AAAAAF7D2nM=")</f>
        <v>#REF!</v>
      </c>
      <c r="DM9" t="e">
        <f>AND(#REF!,"AAAAAF7D2nQ=")</f>
        <v>#REF!</v>
      </c>
      <c r="DN9" t="e">
        <f>AND(#REF!,"AAAAAF7D2nU=")</f>
        <v>#REF!</v>
      </c>
      <c r="DO9" t="e">
        <f>AND(#REF!,"AAAAAF7D2nY=")</f>
        <v>#REF!</v>
      </c>
      <c r="DP9" t="e">
        <f>AND(#REF!,"AAAAAF7D2nc=")</f>
        <v>#REF!</v>
      </c>
      <c r="DQ9" t="e">
        <f>AND(#REF!,"AAAAAF7D2ng=")</f>
        <v>#REF!</v>
      </c>
      <c r="DR9" t="e">
        <f>AND(#REF!,"AAAAAF7D2nk=")</f>
        <v>#REF!</v>
      </c>
      <c r="DS9" t="e">
        <f>AND(#REF!,"AAAAAF7D2no=")</f>
        <v>#REF!</v>
      </c>
      <c r="DT9" t="e">
        <f>AND(#REF!,"AAAAAF7D2ns=")</f>
        <v>#REF!</v>
      </c>
      <c r="DU9" t="e">
        <f>AND(#REF!,"AAAAAF7D2nw=")</f>
        <v>#REF!</v>
      </c>
      <c r="DV9" t="e">
        <f>AND(#REF!,"AAAAAF7D2n0=")</f>
        <v>#REF!</v>
      </c>
      <c r="DW9" t="e">
        <f>AND(#REF!,"AAAAAF7D2n4=")</f>
        <v>#REF!</v>
      </c>
      <c r="DX9" t="e">
        <f>AND(#REF!,"AAAAAF7D2n8=")</f>
        <v>#REF!</v>
      </c>
      <c r="DY9" t="e">
        <f>AND(#REF!,"AAAAAF7D2oA=")</f>
        <v>#REF!</v>
      </c>
      <c r="DZ9" t="e">
        <f>AND(#REF!,"AAAAAF7D2oE=")</f>
        <v>#REF!</v>
      </c>
      <c r="EA9" t="e">
        <f>AND(#REF!,"AAAAAF7D2oI=")</f>
        <v>#REF!</v>
      </c>
      <c r="EB9" t="e">
        <f>AND(#REF!,"AAAAAF7D2oM=")</f>
        <v>#REF!</v>
      </c>
      <c r="EC9" t="e">
        <f>AND(#REF!,"AAAAAF7D2oQ=")</f>
        <v>#REF!</v>
      </c>
      <c r="ED9" t="e">
        <f>AND(#REF!,"AAAAAF7D2oU=")</f>
        <v>#REF!</v>
      </c>
      <c r="EE9" t="e">
        <f>AND(#REF!,"AAAAAF7D2oY=")</f>
        <v>#REF!</v>
      </c>
      <c r="EF9" t="e">
        <f>AND(#REF!,"AAAAAF7D2oc=")</f>
        <v>#REF!</v>
      </c>
      <c r="EG9" t="e">
        <f>AND(#REF!,"AAAAAF7D2og=")</f>
        <v>#REF!</v>
      </c>
      <c r="EH9" t="e">
        <f>AND(#REF!,"AAAAAF7D2ok=")</f>
        <v>#REF!</v>
      </c>
      <c r="EI9" t="e">
        <f>AND(#REF!,"AAAAAF7D2oo=")</f>
        <v>#REF!</v>
      </c>
      <c r="EJ9" t="e">
        <f>AND(#REF!,"AAAAAF7D2os=")</f>
        <v>#REF!</v>
      </c>
      <c r="EK9" t="e">
        <f>AND(#REF!,"AAAAAF7D2ow=")</f>
        <v>#REF!</v>
      </c>
      <c r="EL9" t="e">
        <f>IF(#REF!,"AAAAAF7D2o0=",0)</f>
        <v>#REF!</v>
      </c>
      <c r="EM9" t="e">
        <f>AND(#REF!,"AAAAAF7D2o4=")</f>
        <v>#REF!</v>
      </c>
      <c r="EN9" t="e">
        <f>AND(#REF!,"AAAAAF7D2o8=")</f>
        <v>#REF!</v>
      </c>
      <c r="EO9" t="e">
        <f>AND(#REF!,"AAAAAF7D2pA=")</f>
        <v>#REF!</v>
      </c>
      <c r="EP9" t="e">
        <f>AND(#REF!,"AAAAAF7D2pE=")</f>
        <v>#REF!</v>
      </c>
      <c r="EQ9" t="e">
        <f>AND(#REF!,"AAAAAF7D2pI=")</f>
        <v>#REF!</v>
      </c>
      <c r="ER9" t="e">
        <f>AND(#REF!,"AAAAAF7D2pM=")</f>
        <v>#REF!</v>
      </c>
      <c r="ES9" t="e">
        <f>AND(#REF!,"AAAAAF7D2pQ=")</f>
        <v>#REF!</v>
      </c>
      <c r="ET9" t="e">
        <f>AND(#REF!,"AAAAAF7D2pU=")</f>
        <v>#REF!</v>
      </c>
      <c r="EU9" t="e">
        <f>AND(#REF!,"AAAAAF7D2pY=")</f>
        <v>#REF!</v>
      </c>
      <c r="EV9" t="e">
        <f>AND(#REF!,"AAAAAF7D2pc=")</f>
        <v>#REF!</v>
      </c>
      <c r="EW9" t="e">
        <f>AND(#REF!,"AAAAAF7D2pg=")</f>
        <v>#REF!</v>
      </c>
      <c r="EX9" t="e">
        <f>AND(#REF!,"AAAAAF7D2pk=")</f>
        <v>#REF!</v>
      </c>
      <c r="EY9" t="e">
        <f>AND(#REF!,"AAAAAF7D2po=")</f>
        <v>#REF!</v>
      </c>
      <c r="EZ9" t="e">
        <f>AND(#REF!,"AAAAAF7D2ps=")</f>
        <v>#REF!</v>
      </c>
      <c r="FA9" t="e">
        <f>AND(#REF!,"AAAAAF7D2pw=")</f>
        <v>#REF!</v>
      </c>
      <c r="FB9" t="e">
        <f>AND(#REF!,"AAAAAF7D2p0=")</f>
        <v>#REF!</v>
      </c>
      <c r="FC9" t="e">
        <f>AND(#REF!,"AAAAAF7D2p4=")</f>
        <v>#REF!</v>
      </c>
      <c r="FD9" t="e">
        <f>AND(#REF!,"AAAAAF7D2p8=")</f>
        <v>#REF!</v>
      </c>
      <c r="FE9" t="e">
        <f>AND(#REF!,"AAAAAF7D2qA=")</f>
        <v>#REF!</v>
      </c>
      <c r="FF9" t="e">
        <f>AND(#REF!,"AAAAAF7D2qE=")</f>
        <v>#REF!</v>
      </c>
      <c r="FG9" t="e">
        <f>AND(#REF!,"AAAAAF7D2qI=")</f>
        <v>#REF!</v>
      </c>
      <c r="FH9" t="e">
        <f>AND(#REF!,"AAAAAF7D2qM=")</f>
        <v>#REF!</v>
      </c>
      <c r="FI9" t="e">
        <f>AND(#REF!,"AAAAAF7D2qQ=")</f>
        <v>#REF!</v>
      </c>
      <c r="FJ9" t="e">
        <f>AND(#REF!,"AAAAAF7D2qU=")</f>
        <v>#REF!</v>
      </c>
      <c r="FK9" t="e">
        <f>AND(#REF!,"AAAAAF7D2qY=")</f>
        <v>#REF!</v>
      </c>
      <c r="FL9" t="e">
        <f>AND(#REF!,"AAAAAF7D2qc=")</f>
        <v>#REF!</v>
      </c>
      <c r="FM9" t="e">
        <f>AND(#REF!,"AAAAAF7D2qg=")</f>
        <v>#REF!</v>
      </c>
      <c r="FN9" t="e">
        <f>AND(#REF!,"AAAAAF7D2qk=")</f>
        <v>#REF!</v>
      </c>
      <c r="FO9" t="e">
        <f>AND(#REF!,"AAAAAF7D2qo=")</f>
        <v>#REF!</v>
      </c>
      <c r="FP9" t="e">
        <f>AND(#REF!,"AAAAAF7D2qs=")</f>
        <v>#REF!</v>
      </c>
      <c r="FQ9" t="e">
        <f>AND(#REF!,"AAAAAF7D2qw=")</f>
        <v>#REF!</v>
      </c>
      <c r="FR9" t="e">
        <f>AND(#REF!,"AAAAAF7D2q0=")</f>
        <v>#REF!</v>
      </c>
      <c r="FS9" t="e">
        <f>AND(#REF!,"AAAAAF7D2q4=")</f>
        <v>#REF!</v>
      </c>
      <c r="FT9" t="e">
        <f>AND(#REF!,"AAAAAF7D2q8=")</f>
        <v>#REF!</v>
      </c>
      <c r="FU9" t="e">
        <f>AND(#REF!,"AAAAAF7D2rA=")</f>
        <v>#REF!</v>
      </c>
      <c r="FV9" t="e">
        <f>AND(#REF!,"AAAAAF7D2rE=")</f>
        <v>#REF!</v>
      </c>
      <c r="FW9" t="e">
        <f>AND(#REF!,"AAAAAF7D2rI=")</f>
        <v>#REF!</v>
      </c>
      <c r="FX9" t="e">
        <f>AND(#REF!,"AAAAAF7D2rM=")</f>
        <v>#REF!</v>
      </c>
      <c r="FY9" t="e">
        <f>AND(#REF!,"AAAAAF7D2rQ=")</f>
        <v>#REF!</v>
      </c>
      <c r="FZ9" t="e">
        <f>AND(#REF!,"AAAAAF7D2rU=")</f>
        <v>#REF!</v>
      </c>
      <c r="GA9" t="e">
        <f>AND(#REF!,"AAAAAF7D2rY=")</f>
        <v>#REF!</v>
      </c>
      <c r="GB9" t="e">
        <f>AND(#REF!,"AAAAAF7D2rc=")</f>
        <v>#REF!</v>
      </c>
      <c r="GC9" t="e">
        <f>AND(#REF!,"AAAAAF7D2rg=")</f>
        <v>#REF!</v>
      </c>
      <c r="GD9" t="e">
        <f>AND(#REF!,"AAAAAF7D2rk=")</f>
        <v>#REF!</v>
      </c>
      <c r="GE9" t="e">
        <f>AND(#REF!,"AAAAAF7D2ro=")</f>
        <v>#REF!</v>
      </c>
      <c r="GF9" t="e">
        <f>AND(#REF!,"AAAAAF7D2rs=")</f>
        <v>#REF!</v>
      </c>
      <c r="GG9" t="e">
        <f>AND(#REF!,"AAAAAF7D2rw=")</f>
        <v>#REF!</v>
      </c>
      <c r="GH9" t="e">
        <f>AND(#REF!,"AAAAAF7D2r0=")</f>
        <v>#REF!</v>
      </c>
      <c r="GI9" t="e">
        <f>AND(#REF!,"AAAAAF7D2r4=")</f>
        <v>#REF!</v>
      </c>
      <c r="GJ9" t="e">
        <f>AND(#REF!,"AAAAAF7D2r8=")</f>
        <v>#REF!</v>
      </c>
      <c r="GK9" t="e">
        <f>AND(#REF!,"AAAAAF7D2sA=")</f>
        <v>#REF!</v>
      </c>
      <c r="GL9" t="e">
        <f>AND(#REF!,"AAAAAF7D2sE=")</f>
        <v>#REF!</v>
      </c>
      <c r="GM9" t="e">
        <f>AND(#REF!,"AAAAAF7D2sI=")</f>
        <v>#REF!</v>
      </c>
      <c r="GN9" t="e">
        <f>AND(#REF!,"AAAAAF7D2sM=")</f>
        <v>#REF!</v>
      </c>
      <c r="GO9" t="e">
        <f>AND(#REF!,"AAAAAF7D2sQ=")</f>
        <v>#REF!</v>
      </c>
      <c r="GP9" t="e">
        <f>AND(#REF!,"AAAAAF7D2sU=")</f>
        <v>#REF!</v>
      </c>
      <c r="GQ9" t="e">
        <f>AND(#REF!,"AAAAAF7D2sY=")</f>
        <v>#REF!</v>
      </c>
      <c r="GR9" t="e">
        <f>AND(#REF!,"AAAAAF7D2sc=")</f>
        <v>#REF!</v>
      </c>
      <c r="GS9" t="e">
        <f>AND(#REF!,"AAAAAF7D2sg=")</f>
        <v>#REF!</v>
      </c>
      <c r="GT9" t="e">
        <f>AND(#REF!,"AAAAAF7D2sk=")</f>
        <v>#REF!</v>
      </c>
      <c r="GU9" t="e">
        <f>AND(#REF!,"AAAAAF7D2so=")</f>
        <v>#REF!</v>
      </c>
      <c r="GV9" t="e">
        <f>AND(#REF!,"AAAAAF7D2ss=")</f>
        <v>#REF!</v>
      </c>
      <c r="GW9" t="e">
        <f>AND(#REF!,"AAAAAF7D2sw=")</f>
        <v>#REF!</v>
      </c>
      <c r="GX9" t="e">
        <f>AND(#REF!,"AAAAAF7D2s0=")</f>
        <v>#REF!</v>
      </c>
      <c r="GY9" t="e">
        <f>AND(#REF!,"AAAAAF7D2s4=")</f>
        <v>#REF!</v>
      </c>
      <c r="GZ9" t="e">
        <f>AND(#REF!,"AAAAAF7D2s8=")</f>
        <v>#REF!</v>
      </c>
      <c r="HA9" t="e">
        <f>AND(#REF!,"AAAAAF7D2tA=")</f>
        <v>#REF!</v>
      </c>
      <c r="HB9" t="e">
        <f>AND(#REF!,"AAAAAF7D2tE=")</f>
        <v>#REF!</v>
      </c>
      <c r="HC9" t="e">
        <f>AND(#REF!,"AAAAAF7D2tI=")</f>
        <v>#REF!</v>
      </c>
      <c r="HD9" t="e">
        <f>AND(#REF!,"AAAAAF7D2tM=")</f>
        <v>#REF!</v>
      </c>
      <c r="HE9" t="e">
        <f>AND(#REF!,"AAAAAF7D2tQ=")</f>
        <v>#REF!</v>
      </c>
      <c r="HF9" t="e">
        <f>AND(#REF!,"AAAAAF7D2tU=")</f>
        <v>#REF!</v>
      </c>
      <c r="HG9" t="e">
        <f>AND(#REF!,"AAAAAF7D2tY=")</f>
        <v>#REF!</v>
      </c>
      <c r="HH9" t="e">
        <f>AND(#REF!,"AAAAAF7D2tc=")</f>
        <v>#REF!</v>
      </c>
      <c r="HI9" t="e">
        <f>AND(#REF!,"AAAAAF7D2tg=")</f>
        <v>#REF!</v>
      </c>
      <c r="HJ9" t="e">
        <f>AND(#REF!,"AAAAAF7D2tk=")</f>
        <v>#REF!</v>
      </c>
      <c r="HK9" t="e">
        <f>AND(#REF!,"AAAAAF7D2to=")</f>
        <v>#REF!</v>
      </c>
      <c r="HL9" t="e">
        <f>AND(#REF!,"AAAAAF7D2ts=")</f>
        <v>#REF!</v>
      </c>
      <c r="HM9" t="e">
        <f>AND(#REF!,"AAAAAF7D2tw=")</f>
        <v>#REF!</v>
      </c>
      <c r="HN9" t="e">
        <f>AND(#REF!,"AAAAAF7D2t0=")</f>
        <v>#REF!</v>
      </c>
      <c r="HO9" t="e">
        <f>AND(#REF!,"AAAAAF7D2t4=")</f>
        <v>#REF!</v>
      </c>
      <c r="HP9" t="e">
        <f>AND(#REF!,"AAAAAF7D2t8=")</f>
        <v>#REF!</v>
      </c>
      <c r="HQ9" t="e">
        <f>AND(#REF!,"AAAAAF7D2uA=")</f>
        <v>#REF!</v>
      </c>
      <c r="HR9" t="e">
        <f>AND(#REF!,"AAAAAF7D2uE=")</f>
        <v>#REF!</v>
      </c>
      <c r="HS9" t="e">
        <f>AND(#REF!,"AAAAAF7D2uI=")</f>
        <v>#REF!</v>
      </c>
      <c r="HT9" t="e">
        <f>AND(#REF!,"AAAAAF7D2uM=")</f>
        <v>#REF!</v>
      </c>
      <c r="HU9" t="e">
        <f>AND(#REF!,"AAAAAF7D2uQ=")</f>
        <v>#REF!</v>
      </c>
      <c r="HV9" t="e">
        <f>AND(#REF!,"AAAAAF7D2uU=")</f>
        <v>#REF!</v>
      </c>
      <c r="HW9" t="e">
        <f>AND(#REF!,"AAAAAF7D2uY=")</f>
        <v>#REF!</v>
      </c>
      <c r="HX9" t="e">
        <f>AND(#REF!,"AAAAAF7D2uc=")</f>
        <v>#REF!</v>
      </c>
      <c r="HY9" t="e">
        <f>AND(#REF!,"AAAAAF7D2ug=")</f>
        <v>#REF!</v>
      </c>
      <c r="HZ9" t="e">
        <f>AND(#REF!,"AAAAAF7D2uk=")</f>
        <v>#REF!</v>
      </c>
      <c r="IA9" t="e">
        <f>AND(#REF!,"AAAAAF7D2uo=")</f>
        <v>#REF!</v>
      </c>
      <c r="IB9" t="e">
        <f>AND(#REF!,"AAAAAF7D2us=")</f>
        <v>#REF!</v>
      </c>
      <c r="IC9" t="e">
        <f>AND(#REF!,"AAAAAF7D2uw=")</f>
        <v>#REF!</v>
      </c>
      <c r="ID9" t="e">
        <f>AND(#REF!,"AAAAAF7D2u0=")</f>
        <v>#REF!</v>
      </c>
      <c r="IE9" t="e">
        <f>AND(#REF!,"AAAAAF7D2u4=")</f>
        <v>#REF!</v>
      </c>
      <c r="IF9" t="e">
        <f>AND(#REF!,"AAAAAF7D2u8=")</f>
        <v>#REF!</v>
      </c>
      <c r="IG9" t="e">
        <f>AND(#REF!,"AAAAAF7D2vA=")</f>
        <v>#REF!</v>
      </c>
      <c r="IH9" t="e">
        <f>AND(#REF!,"AAAAAF7D2vE=")</f>
        <v>#REF!</v>
      </c>
      <c r="II9" t="e">
        <f>AND(#REF!,"AAAAAF7D2vI=")</f>
        <v>#REF!</v>
      </c>
      <c r="IJ9" t="e">
        <f>AND(#REF!,"AAAAAF7D2vM=")</f>
        <v>#REF!</v>
      </c>
      <c r="IK9" t="e">
        <f>AND(#REF!,"AAAAAF7D2vQ=")</f>
        <v>#REF!</v>
      </c>
      <c r="IL9" t="e">
        <f>AND(#REF!,"AAAAAF7D2vU=")</f>
        <v>#REF!</v>
      </c>
      <c r="IM9" t="e">
        <f>AND(#REF!,"AAAAAF7D2vY=")</f>
        <v>#REF!</v>
      </c>
      <c r="IN9" t="e">
        <f>AND(#REF!,"AAAAAF7D2vc=")</f>
        <v>#REF!</v>
      </c>
      <c r="IO9" t="e">
        <f>AND(#REF!,"AAAAAF7D2vg=")</f>
        <v>#REF!</v>
      </c>
      <c r="IP9" t="e">
        <f>AND(#REF!,"AAAAAF7D2vk=")</f>
        <v>#REF!</v>
      </c>
      <c r="IQ9" t="e">
        <f>AND(#REF!,"AAAAAF7D2vo=")</f>
        <v>#REF!</v>
      </c>
      <c r="IR9" t="e">
        <f>AND(#REF!,"AAAAAF7D2vs=")</f>
        <v>#REF!</v>
      </c>
      <c r="IS9" t="e">
        <f>AND(#REF!,"AAAAAF7D2vw=")</f>
        <v>#REF!</v>
      </c>
      <c r="IT9" t="e">
        <f>AND(#REF!,"AAAAAF7D2v0=")</f>
        <v>#REF!</v>
      </c>
      <c r="IU9" t="e">
        <f>AND(#REF!,"AAAAAF7D2v4=")</f>
        <v>#REF!</v>
      </c>
      <c r="IV9" t="e">
        <f>AND(#REF!,"AAAAAF7D2v8=")</f>
        <v>#REF!</v>
      </c>
    </row>
    <row r="10" spans="1:256" x14ac:dyDescent="0.2">
      <c r="A10" t="e">
        <f>AND(#REF!,"AAAAAHXvcwA=")</f>
        <v>#REF!</v>
      </c>
      <c r="B10" t="e">
        <f>AND(#REF!,"AAAAAHXvcwE=")</f>
        <v>#REF!</v>
      </c>
      <c r="C10" t="e">
        <f>AND(#REF!,"AAAAAHXvcwI=")</f>
        <v>#REF!</v>
      </c>
      <c r="D10" t="e">
        <f>AND(#REF!,"AAAAAHXvcwM=")</f>
        <v>#REF!</v>
      </c>
      <c r="E10" t="e">
        <f>AND(#REF!,"AAAAAHXvcwQ=")</f>
        <v>#REF!</v>
      </c>
      <c r="F10" t="e">
        <f>AND(#REF!,"AAAAAHXvcwU=")</f>
        <v>#REF!</v>
      </c>
      <c r="G10" t="e">
        <f>AND(#REF!,"AAAAAHXvcwY=")</f>
        <v>#REF!</v>
      </c>
      <c r="H10" t="e">
        <f>AND(#REF!,"AAAAAHXvcwc=")</f>
        <v>#REF!</v>
      </c>
      <c r="I10" t="e">
        <f>AND(#REF!,"AAAAAHXvcwg=")</f>
        <v>#REF!</v>
      </c>
      <c r="J10" t="e">
        <f>AND(#REF!,"AAAAAHXvcwk=")</f>
        <v>#REF!</v>
      </c>
      <c r="K10" t="e">
        <f>AND(#REF!,"AAAAAHXvcwo=")</f>
        <v>#REF!</v>
      </c>
      <c r="L10" t="e">
        <f>AND(#REF!,"AAAAAHXvcws=")</f>
        <v>#REF!</v>
      </c>
      <c r="M10" t="e">
        <f>AND(#REF!,"AAAAAHXvcww=")</f>
        <v>#REF!</v>
      </c>
      <c r="N10" t="e">
        <f>AND(#REF!,"AAAAAHXvcw0=")</f>
        <v>#REF!</v>
      </c>
      <c r="O10" t="e">
        <f>AND(#REF!,"AAAAAHXvcw4=")</f>
        <v>#REF!</v>
      </c>
      <c r="P10" t="e">
        <f>AND(#REF!,"AAAAAHXvcw8=")</f>
        <v>#REF!</v>
      </c>
      <c r="Q10" t="e">
        <f>AND(#REF!,"AAAAAHXvcxA=")</f>
        <v>#REF!</v>
      </c>
      <c r="R10" t="e">
        <f>AND(#REF!,"AAAAAHXvcxE=")</f>
        <v>#REF!</v>
      </c>
      <c r="S10" t="e">
        <f>AND(#REF!,"AAAAAHXvcxI=")</f>
        <v>#REF!</v>
      </c>
      <c r="T10" t="e">
        <f>AND(#REF!,"AAAAAHXvcxM=")</f>
        <v>#REF!</v>
      </c>
      <c r="U10" t="e">
        <f>AND(#REF!,"AAAAAHXvcxQ=")</f>
        <v>#REF!</v>
      </c>
      <c r="V10" t="e">
        <f>AND(#REF!,"AAAAAHXvcxU=")</f>
        <v>#REF!</v>
      </c>
      <c r="W10" t="e">
        <f>AND(#REF!,"AAAAAHXvcxY=")</f>
        <v>#REF!</v>
      </c>
      <c r="X10" t="e">
        <f>AND(#REF!,"AAAAAHXvcxc=")</f>
        <v>#REF!</v>
      </c>
      <c r="Y10" t="e">
        <f>AND(#REF!,"AAAAAHXvcxg=")</f>
        <v>#REF!</v>
      </c>
      <c r="Z10" t="e">
        <f>AND(#REF!,"AAAAAHXvcxk=")</f>
        <v>#REF!</v>
      </c>
      <c r="AA10" t="e">
        <f>AND(#REF!,"AAAAAHXvcxo=")</f>
        <v>#REF!</v>
      </c>
      <c r="AB10" t="e">
        <f>AND(#REF!,"AAAAAHXvcxs=")</f>
        <v>#REF!</v>
      </c>
      <c r="AC10" t="e">
        <f>AND(#REF!,"AAAAAHXvcxw=")</f>
        <v>#REF!</v>
      </c>
      <c r="AD10" t="e">
        <f>AND(#REF!,"AAAAAHXvcx0=")</f>
        <v>#REF!</v>
      </c>
      <c r="AE10" t="e">
        <f>AND(#REF!,"AAAAAHXvcx4=")</f>
        <v>#REF!</v>
      </c>
      <c r="AF10" t="e">
        <f>AND(#REF!,"AAAAAHXvcx8=")</f>
        <v>#REF!</v>
      </c>
      <c r="AG10" t="e">
        <f>AND(#REF!,"AAAAAHXvcyA=")</f>
        <v>#REF!</v>
      </c>
      <c r="AH10" t="e">
        <f>AND(#REF!,"AAAAAHXvcyE=")</f>
        <v>#REF!</v>
      </c>
      <c r="AI10" t="e">
        <f>AND(#REF!,"AAAAAHXvcyI=")</f>
        <v>#REF!</v>
      </c>
      <c r="AJ10" t="e">
        <f>AND(#REF!,"AAAAAHXvcyM=")</f>
        <v>#REF!</v>
      </c>
      <c r="AK10" t="e">
        <f>AND(#REF!,"AAAAAHXvcyQ=")</f>
        <v>#REF!</v>
      </c>
      <c r="AL10" t="e">
        <f>AND(#REF!,"AAAAAHXvcyU=")</f>
        <v>#REF!</v>
      </c>
      <c r="AM10" t="e">
        <f>AND(#REF!,"AAAAAHXvcyY=")</f>
        <v>#REF!</v>
      </c>
      <c r="AN10" t="e">
        <f>AND(#REF!,"AAAAAHXvcyc=")</f>
        <v>#REF!</v>
      </c>
      <c r="AO10" t="e">
        <f>AND(#REF!,"AAAAAHXvcyg=")</f>
        <v>#REF!</v>
      </c>
      <c r="AP10" t="e">
        <f>AND(#REF!,"AAAAAHXvcyk=")</f>
        <v>#REF!</v>
      </c>
      <c r="AQ10" t="e">
        <f>AND(#REF!,"AAAAAHXvcyo=")</f>
        <v>#REF!</v>
      </c>
      <c r="AR10" t="e">
        <f>AND(#REF!,"AAAAAHXvcys=")</f>
        <v>#REF!</v>
      </c>
      <c r="AS10" t="e">
        <f>AND(#REF!,"AAAAAHXvcyw=")</f>
        <v>#REF!</v>
      </c>
      <c r="AT10" t="e">
        <f>AND(#REF!,"AAAAAHXvcy0=")</f>
        <v>#REF!</v>
      </c>
      <c r="AU10" t="e">
        <f>AND(#REF!,"AAAAAHXvcy4=")</f>
        <v>#REF!</v>
      </c>
      <c r="AV10" t="e">
        <f>AND(#REF!,"AAAAAHXvcy8=")</f>
        <v>#REF!</v>
      </c>
      <c r="AW10" t="e">
        <f>AND(#REF!,"AAAAAHXvczA=")</f>
        <v>#REF!</v>
      </c>
      <c r="AX10" t="e">
        <f>AND(#REF!,"AAAAAHXvczE=")</f>
        <v>#REF!</v>
      </c>
      <c r="AY10" t="e">
        <f>AND(#REF!,"AAAAAHXvczI=")</f>
        <v>#REF!</v>
      </c>
      <c r="AZ10" t="e">
        <f>AND(#REF!,"AAAAAHXvczM=")</f>
        <v>#REF!</v>
      </c>
      <c r="BA10" t="e">
        <f>AND(#REF!,"AAAAAHXvczQ=")</f>
        <v>#REF!</v>
      </c>
      <c r="BB10" t="e">
        <f>AND(#REF!,"AAAAAHXvczU=")</f>
        <v>#REF!</v>
      </c>
      <c r="BC10" t="e">
        <f>AND(#REF!,"AAAAAHXvczY=")</f>
        <v>#REF!</v>
      </c>
      <c r="BD10" t="e">
        <f>AND(#REF!,"AAAAAHXvczc=")</f>
        <v>#REF!</v>
      </c>
      <c r="BE10" t="e">
        <f>AND(#REF!,"AAAAAHXvczg=")</f>
        <v>#REF!</v>
      </c>
      <c r="BF10" t="e">
        <f>AND(#REF!,"AAAAAHXvczk=")</f>
        <v>#REF!</v>
      </c>
      <c r="BG10" t="e">
        <f>AND(#REF!,"AAAAAHXvczo=")</f>
        <v>#REF!</v>
      </c>
      <c r="BH10" t="e">
        <f>AND(#REF!,"AAAAAHXvczs=")</f>
        <v>#REF!</v>
      </c>
      <c r="BI10" t="e">
        <f>AND(#REF!,"AAAAAHXvczw=")</f>
        <v>#REF!</v>
      </c>
      <c r="BJ10" t="e">
        <f>AND(#REF!,"AAAAAHXvcz0=")</f>
        <v>#REF!</v>
      </c>
      <c r="BK10" t="e">
        <f>AND(#REF!,"AAAAAHXvcz4=")</f>
        <v>#REF!</v>
      </c>
      <c r="BL10" t="e">
        <f>AND(#REF!,"AAAAAHXvcz8=")</f>
        <v>#REF!</v>
      </c>
      <c r="BM10" t="e">
        <f>AND(#REF!,"AAAAAHXvc0A=")</f>
        <v>#REF!</v>
      </c>
      <c r="BN10" t="e">
        <f>AND(#REF!,"AAAAAHXvc0E=")</f>
        <v>#REF!</v>
      </c>
      <c r="BO10" t="e">
        <f>IF(#REF!,"AAAAAHXvc0I=",0)</f>
        <v>#REF!</v>
      </c>
      <c r="BP10" t="e">
        <f>AND(#REF!,"AAAAAHXvc0M=")</f>
        <v>#REF!</v>
      </c>
      <c r="BQ10" t="e">
        <f>AND(#REF!,"AAAAAHXvc0Q=")</f>
        <v>#REF!</v>
      </c>
      <c r="BR10" t="e">
        <f>AND(#REF!,"AAAAAHXvc0U=")</f>
        <v>#REF!</v>
      </c>
      <c r="BS10" t="e">
        <f>AND(#REF!,"AAAAAHXvc0Y=")</f>
        <v>#REF!</v>
      </c>
      <c r="BT10" t="e">
        <f>AND(#REF!,"AAAAAHXvc0c=")</f>
        <v>#REF!</v>
      </c>
      <c r="BU10" t="e">
        <f>AND(#REF!,"AAAAAHXvc0g=")</f>
        <v>#REF!</v>
      </c>
      <c r="BV10" t="e">
        <f>AND(#REF!,"AAAAAHXvc0k=")</f>
        <v>#REF!</v>
      </c>
      <c r="BW10" t="e">
        <f>AND(#REF!,"AAAAAHXvc0o=")</f>
        <v>#REF!</v>
      </c>
      <c r="BX10" t="e">
        <f>AND(#REF!,"AAAAAHXvc0s=")</f>
        <v>#REF!</v>
      </c>
      <c r="BY10" t="e">
        <f>AND(#REF!,"AAAAAHXvc0w=")</f>
        <v>#REF!</v>
      </c>
      <c r="BZ10" t="e">
        <f>AND(#REF!,"AAAAAHXvc00=")</f>
        <v>#REF!</v>
      </c>
      <c r="CA10" t="e">
        <f>AND(#REF!,"AAAAAHXvc04=")</f>
        <v>#REF!</v>
      </c>
      <c r="CB10" t="e">
        <f>AND(#REF!,"AAAAAHXvc08=")</f>
        <v>#REF!</v>
      </c>
      <c r="CC10" t="e">
        <f>AND(#REF!,"AAAAAHXvc1A=")</f>
        <v>#REF!</v>
      </c>
      <c r="CD10" t="e">
        <f>AND(#REF!,"AAAAAHXvc1E=")</f>
        <v>#REF!</v>
      </c>
      <c r="CE10" t="e">
        <f>AND(#REF!,"AAAAAHXvc1I=")</f>
        <v>#REF!</v>
      </c>
      <c r="CF10" t="e">
        <f>AND(#REF!,"AAAAAHXvc1M=")</f>
        <v>#REF!</v>
      </c>
      <c r="CG10" t="e">
        <f>AND(#REF!,"AAAAAHXvc1Q=")</f>
        <v>#REF!</v>
      </c>
      <c r="CH10" t="e">
        <f>AND(#REF!,"AAAAAHXvc1U=")</f>
        <v>#REF!</v>
      </c>
      <c r="CI10" t="e">
        <f>AND(#REF!,"AAAAAHXvc1Y=")</f>
        <v>#REF!</v>
      </c>
      <c r="CJ10" t="e">
        <f>AND(#REF!,"AAAAAHXvc1c=")</f>
        <v>#REF!</v>
      </c>
      <c r="CK10" t="e">
        <f>AND(#REF!,"AAAAAHXvc1g=")</f>
        <v>#REF!</v>
      </c>
      <c r="CL10" t="e">
        <f>AND(#REF!,"AAAAAHXvc1k=")</f>
        <v>#REF!</v>
      </c>
      <c r="CM10" t="e">
        <f>AND(#REF!,"AAAAAHXvc1o=")</f>
        <v>#REF!</v>
      </c>
      <c r="CN10" t="e">
        <f>AND(#REF!,"AAAAAHXvc1s=")</f>
        <v>#REF!</v>
      </c>
      <c r="CO10" t="e">
        <f>AND(#REF!,"AAAAAHXvc1w=")</f>
        <v>#REF!</v>
      </c>
      <c r="CP10" t="e">
        <f>AND(#REF!,"AAAAAHXvc10=")</f>
        <v>#REF!</v>
      </c>
      <c r="CQ10" t="e">
        <f>AND(#REF!,"AAAAAHXvc14=")</f>
        <v>#REF!</v>
      </c>
      <c r="CR10" t="e">
        <f>AND(#REF!,"AAAAAHXvc18=")</f>
        <v>#REF!</v>
      </c>
      <c r="CS10" t="e">
        <f>AND(#REF!,"AAAAAHXvc2A=")</f>
        <v>#REF!</v>
      </c>
      <c r="CT10" t="e">
        <f>AND(#REF!,"AAAAAHXvc2E=")</f>
        <v>#REF!</v>
      </c>
      <c r="CU10" t="e">
        <f>AND(#REF!,"AAAAAHXvc2I=")</f>
        <v>#REF!</v>
      </c>
      <c r="CV10" t="e">
        <f>AND(#REF!,"AAAAAHXvc2M=")</f>
        <v>#REF!</v>
      </c>
      <c r="CW10" t="e">
        <f>AND(#REF!,"AAAAAHXvc2Q=")</f>
        <v>#REF!</v>
      </c>
      <c r="CX10" t="e">
        <f>AND(#REF!,"AAAAAHXvc2U=")</f>
        <v>#REF!</v>
      </c>
      <c r="CY10" t="e">
        <f>AND(#REF!,"AAAAAHXvc2Y=")</f>
        <v>#REF!</v>
      </c>
      <c r="CZ10" t="e">
        <f>AND(#REF!,"AAAAAHXvc2c=")</f>
        <v>#REF!</v>
      </c>
      <c r="DA10" t="e">
        <f>AND(#REF!,"AAAAAHXvc2g=")</f>
        <v>#REF!</v>
      </c>
      <c r="DB10" t="e">
        <f>AND(#REF!,"AAAAAHXvc2k=")</f>
        <v>#REF!</v>
      </c>
      <c r="DC10" t="e">
        <f>AND(#REF!,"AAAAAHXvc2o=")</f>
        <v>#REF!</v>
      </c>
      <c r="DD10" t="e">
        <f>AND(#REF!,"AAAAAHXvc2s=")</f>
        <v>#REF!</v>
      </c>
      <c r="DE10" t="e">
        <f>AND(#REF!,"AAAAAHXvc2w=")</f>
        <v>#REF!</v>
      </c>
      <c r="DF10" t="e">
        <f>AND(#REF!,"AAAAAHXvc20=")</f>
        <v>#REF!</v>
      </c>
      <c r="DG10" t="e">
        <f>AND(#REF!,"AAAAAHXvc24=")</f>
        <v>#REF!</v>
      </c>
      <c r="DH10" t="e">
        <f>AND(#REF!,"AAAAAHXvc28=")</f>
        <v>#REF!</v>
      </c>
      <c r="DI10" t="e">
        <f>AND(#REF!,"AAAAAHXvc3A=")</f>
        <v>#REF!</v>
      </c>
      <c r="DJ10" t="e">
        <f>AND(#REF!,"AAAAAHXvc3E=")</f>
        <v>#REF!</v>
      </c>
      <c r="DK10" t="e">
        <f>AND(#REF!,"AAAAAHXvc3I=")</f>
        <v>#REF!</v>
      </c>
      <c r="DL10" t="e">
        <f>AND(#REF!,"AAAAAHXvc3M=")</f>
        <v>#REF!</v>
      </c>
      <c r="DM10" t="e">
        <f>AND(#REF!,"AAAAAHXvc3Q=")</f>
        <v>#REF!</v>
      </c>
      <c r="DN10" t="e">
        <f>AND(#REF!,"AAAAAHXvc3U=")</f>
        <v>#REF!</v>
      </c>
      <c r="DO10" t="e">
        <f>AND(#REF!,"AAAAAHXvc3Y=")</f>
        <v>#REF!</v>
      </c>
      <c r="DP10" t="e">
        <f>AND(#REF!,"AAAAAHXvc3c=")</f>
        <v>#REF!</v>
      </c>
      <c r="DQ10" t="e">
        <f>AND(#REF!,"AAAAAHXvc3g=")</f>
        <v>#REF!</v>
      </c>
      <c r="DR10" t="e">
        <f>AND(#REF!,"AAAAAHXvc3k=")</f>
        <v>#REF!</v>
      </c>
      <c r="DS10" t="e">
        <f>AND(#REF!,"AAAAAHXvc3o=")</f>
        <v>#REF!</v>
      </c>
      <c r="DT10" t="e">
        <f>AND(#REF!,"AAAAAHXvc3s=")</f>
        <v>#REF!</v>
      </c>
      <c r="DU10" t="e">
        <f>AND(#REF!,"AAAAAHXvc3w=")</f>
        <v>#REF!</v>
      </c>
      <c r="DV10" t="e">
        <f>AND(#REF!,"AAAAAHXvc30=")</f>
        <v>#REF!</v>
      </c>
      <c r="DW10" t="e">
        <f>AND(#REF!,"AAAAAHXvc34=")</f>
        <v>#REF!</v>
      </c>
      <c r="DX10" t="e">
        <f>AND(#REF!,"AAAAAHXvc38=")</f>
        <v>#REF!</v>
      </c>
      <c r="DY10" t="e">
        <f>AND(#REF!,"AAAAAHXvc4A=")</f>
        <v>#REF!</v>
      </c>
      <c r="DZ10" t="e">
        <f>AND(#REF!,"AAAAAHXvc4E=")</f>
        <v>#REF!</v>
      </c>
      <c r="EA10" t="e">
        <f>AND(#REF!,"AAAAAHXvc4I=")</f>
        <v>#REF!</v>
      </c>
      <c r="EB10" t="e">
        <f>AND(#REF!,"AAAAAHXvc4M=")</f>
        <v>#REF!</v>
      </c>
      <c r="EC10" t="e">
        <f>AND(#REF!,"AAAAAHXvc4Q=")</f>
        <v>#REF!</v>
      </c>
      <c r="ED10" t="e">
        <f>AND(#REF!,"AAAAAHXvc4U=")</f>
        <v>#REF!</v>
      </c>
      <c r="EE10" t="e">
        <f>AND(#REF!,"AAAAAHXvc4Y=")</f>
        <v>#REF!</v>
      </c>
      <c r="EF10" t="e">
        <f>AND(#REF!,"AAAAAHXvc4c=")</f>
        <v>#REF!</v>
      </c>
      <c r="EG10" t="e">
        <f>AND(#REF!,"AAAAAHXvc4g=")</f>
        <v>#REF!</v>
      </c>
      <c r="EH10" t="e">
        <f>AND(#REF!,"AAAAAHXvc4k=")</f>
        <v>#REF!</v>
      </c>
      <c r="EI10" t="e">
        <f>AND(#REF!,"AAAAAHXvc4o=")</f>
        <v>#REF!</v>
      </c>
      <c r="EJ10" t="e">
        <f>AND(#REF!,"AAAAAHXvc4s=")</f>
        <v>#REF!</v>
      </c>
      <c r="EK10" t="e">
        <f>AND(#REF!,"AAAAAHXvc4w=")</f>
        <v>#REF!</v>
      </c>
      <c r="EL10" t="e">
        <f>AND(#REF!,"AAAAAHXvc40=")</f>
        <v>#REF!</v>
      </c>
      <c r="EM10" t="e">
        <f>AND(#REF!,"AAAAAHXvc44=")</f>
        <v>#REF!</v>
      </c>
      <c r="EN10" t="e">
        <f>AND(#REF!,"AAAAAHXvc48=")</f>
        <v>#REF!</v>
      </c>
      <c r="EO10" t="e">
        <f>AND(#REF!,"AAAAAHXvc5A=")</f>
        <v>#REF!</v>
      </c>
      <c r="EP10" t="e">
        <f>AND(#REF!,"AAAAAHXvc5E=")</f>
        <v>#REF!</v>
      </c>
      <c r="EQ10" t="e">
        <f>AND(#REF!,"AAAAAHXvc5I=")</f>
        <v>#REF!</v>
      </c>
      <c r="ER10" t="e">
        <f>AND(#REF!,"AAAAAHXvc5M=")</f>
        <v>#REF!</v>
      </c>
      <c r="ES10" t="e">
        <f>AND(#REF!,"AAAAAHXvc5Q=")</f>
        <v>#REF!</v>
      </c>
      <c r="ET10" t="e">
        <f>AND(#REF!,"AAAAAHXvc5U=")</f>
        <v>#REF!</v>
      </c>
      <c r="EU10" t="e">
        <f>AND(#REF!,"AAAAAHXvc5Y=")</f>
        <v>#REF!</v>
      </c>
      <c r="EV10" t="e">
        <f>AND(#REF!,"AAAAAHXvc5c=")</f>
        <v>#REF!</v>
      </c>
      <c r="EW10" t="e">
        <f>AND(#REF!,"AAAAAHXvc5g=")</f>
        <v>#REF!</v>
      </c>
      <c r="EX10" t="e">
        <f>AND(#REF!,"AAAAAHXvc5k=")</f>
        <v>#REF!</v>
      </c>
      <c r="EY10" t="e">
        <f>AND(#REF!,"AAAAAHXvc5o=")</f>
        <v>#REF!</v>
      </c>
      <c r="EZ10" t="e">
        <f>AND(#REF!,"AAAAAHXvc5s=")</f>
        <v>#REF!</v>
      </c>
      <c r="FA10" t="e">
        <f>AND(#REF!,"AAAAAHXvc5w=")</f>
        <v>#REF!</v>
      </c>
      <c r="FB10" t="e">
        <f>AND(#REF!,"AAAAAHXvc50=")</f>
        <v>#REF!</v>
      </c>
      <c r="FC10" t="e">
        <f>AND(#REF!,"AAAAAHXvc54=")</f>
        <v>#REF!</v>
      </c>
      <c r="FD10" t="e">
        <f>AND(#REF!,"AAAAAHXvc58=")</f>
        <v>#REF!</v>
      </c>
      <c r="FE10" t="e">
        <f>AND(#REF!,"AAAAAHXvc6A=")</f>
        <v>#REF!</v>
      </c>
      <c r="FF10" t="e">
        <f>AND(#REF!,"AAAAAHXvc6E=")</f>
        <v>#REF!</v>
      </c>
      <c r="FG10" t="e">
        <f>AND(#REF!,"AAAAAHXvc6I=")</f>
        <v>#REF!</v>
      </c>
      <c r="FH10" t="e">
        <f>AND(#REF!,"AAAAAHXvc6M=")</f>
        <v>#REF!</v>
      </c>
      <c r="FI10" t="e">
        <f>AND(#REF!,"AAAAAHXvc6Q=")</f>
        <v>#REF!</v>
      </c>
      <c r="FJ10" t="e">
        <f>AND(#REF!,"AAAAAHXvc6U=")</f>
        <v>#REF!</v>
      </c>
      <c r="FK10" t="e">
        <f>AND(#REF!,"AAAAAHXvc6Y=")</f>
        <v>#REF!</v>
      </c>
      <c r="FL10" t="e">
        <f>AND(#REF!,"AAAAAHXvc6c=")</f>
        <v>#REF!</v>
      </c>
      <c r="FM10" t="e">
        <f>AND(#REF!,"AAAAAHXvc6g=")</f>
        <v>#REF!</v>
      </c>
      <c r="FN10" t="e">
        <f>AND(#REF!,"AAAAAHXvc6k=")</f>
        <v>#REF!</v>
      </c>
      <c r="FO10" t="e">
        <f>AND(#REF!,"AAAAAHXvc6o=")</f>
        <v>#REF!</v>
      </c>
      <c r="FP10" t="e">
        <f>AND(#REF!,"AAAAAHXvc6s=")</f>
        <v>#REF!</v>
      </c>
      <c r="FQ10" t="e">
        <f>AND(#REF!,"AAAAAHXvc6w=")</f>
        <v>#REF!</v>
      </c>
      <c r="FR10" t="e">
        <f>AND(#REF!,"AAAAAHXvc60=")</f>
        <v>#REF!</v>
      </c>
      <c r="FS10" t="e">
        <f>AND(#REF!,"AAAAAHXvc64=")</f>
        <v>#REF!</v>
      </c>
      <c r="FT10" t="e">
        <f>AND(#REF!,"AAAAAHXvc68=")</f>
        <v>#REF!</v>
      </c>
      <c r="FU10" t="e">
        <f>AND(#REF!,"AAAAAHXvc7A=")</f>
        <v>#REF!</v>
      </c>
      <c r="FV10" t="e">
        <f>AND(#REF!,"AAAAAHXvc7E=")</f>
        <v>#REF!</v>
      </c>
      <c r="FW10" t="e">
        <f>AND(#REF!,"AAAAAHXvc7I=")</f>
        <v>#REF!</v>
      </c>
      <c r="FX10" t="e">
        <f>AND(#REF!,"AAAAAHXvc7M=")</f>
        <v>#REF!</v>
      </c>
      <c r="FY10" t="e">
        <f>AND(#REF!,"AAAAAHXvc7Q=")</f>
        <v>#REF!</v>
      </c>
      <c r="FZ10" t="e">
        <f>AND(#REF!,"AAAAAHXvc7U=")</f>
        <v>#REF!</v>
      </c>
      <c r="GA10" t="e">
        <f>AND(#REF!,"AAAAAHXvc7Y=")</f>
        <v>#REF!</v>
      </c>
      <c r="GB10" t="e">
        <f>AND(#REF!,"AAAAAHXvc7c=")</f>
        <v>#REF!</v>
      </c>
      <c r="GC10" t="e">
        <f>AND(#REF!,"AAAAAHXvc7g=")</f>
        <v>#REF!</v>
      </c>
      <c r="GD10" t="e">
        <f>AND(#REF!,"AAAAAHXvc7k=")</f>
        <v>#REF!</v>
      </c>
      <c r="GE10" t="e">
        <f>AND(#REF!,"AAAAAHXvc7o=")</f>
        <v>#REF!</v>
      </c>
      <c r="GF10" t="e">
        <f>AND(#REF!,"AAAAAHXvc7s=")</f>
        <v>#REF!</v>
      </c>
      <c r="GG10" t="e">
        <f>AND(#REF!,"AAAAAHXvc7w=")</f>
        <v>#REF!</v>
      </c>
      <c r="GH10" t="e">
        <f>AND(#REF!,"AAAAAHXvc70=")</f>
        <v>#REF!</v>
      </c>
      <c r="GI10" t="e">
        <f>AND(#REF!,"AAAAAHXvc74=")</f>
        <v>#REF!</v>
      </c>
      <c r="GJ10" t="e">
        <f>AND(#REF!,"AAAAAHXvc78=")</f>
        <v>#REF!</v>
      </c>
      <c r="GK10" t="e">
        <f>AND(#REF!,"AAAAAHXvc8A=")</f>
        <v>#REF!</v>
      </c>
      <c r="GL10" t="e">
        <f>AND(#REF!,"AAAAAHXvc8E=")</f>
        <v>#REF!</v>
      </c>
      <c r="GM10" t="e">
        <f>AND(#REF!,"AAAAAHXvc8I=")</f>
        <v>#REF!</v>
      </c>
      <c r="GN10" t="e">
        <f>AND(#REF!,"AAAAAHXvc8M=")</f>
        <v>#REF!</v>
      </c>
      <c r="GO10" t="e">
        <f>AND(#REF!,"AAAAAHXvc8Q=")</f>
        <v>#REF!</v>
      </c>
      <c r="GP10" t="e">
        <f>AND(#REF!,"AAAAAHXvc8U=")</f>
        <v>#REF!</v>
      </c>
      <c r="GQ10" t="e">
        <f>AND(#REF!,"AAAAAHXvc8Y=")</f>
        <v>#REF!</v>
      </c>
      <c r="GR10" t="e">
        <f>AND(#REF!,"AAAAAHXvc8c=")</f>
        <v>#REF!</v>
      </c>
      <c r="GS10" t="e">
        <f>AND(#REF!,"AAAAAHXvc8g=")</f>
        <v>#REF!</v>
      </c>
      <c r="GT10" t="e">
        <f>AND(#REF!,"AAAAAHXvc8k=")</f>
        <v>#REF!</v>
      </c>
      <c r="GU10" t="e">
        <f>AND(#REF!,"AAAAAHXvc8o=")</f>
        <v>#REF!</v>
      </c>
      <c r="GV10" t="e">
        <f>AND(#REF!,"AAAAAHXvc8s=")</f>
        <v>#REF!</v>
      </c>
      <c r="GW10" t="e">
        <f>AND(#REF!,"AAAAAHXvc8w=")</f>
        <v>#REF!</v>
      </c>
      <c r="GX10" t="e">
        <f>AND(#REF!,"AAAAAHXvc80=")</f>
        <v>#REF!</v>
      </c>
      <c r="GY10" t="e">
        <f>AND(#REF!,"AAAAAHXvc84=")</f>
        <v>#REF!</v>
      </c>
      <c r="GZ10" t="e">
        <f>AND(#REF!,"AAAAAHXvc88=")</f>
        <v>#REF!</v>
      </c>
      <c r="HA10" t="e">
        <f>AND(#REF!,"AAAAAHXvc9A=")</f>
        <v>#REF!</v>
      </c>
      <c r="HB10" t="e">
        <f>AND(#REF!,"AAAAAHXvc9E=")</f>
        <v>#REF!</v>
      </c>
      <c r="HC10" t="e">
        <f>AND(#REF!,"AAAAAHXvc9I=")</f>
        <v>#REF!</v>
      </c>
      <c r="HD10" t="e">
        <f>AND(#REF!,"AAAAAHXvc9M=")</f>
        <v>#REF!</v>
      </c>
      <c r="HE10" t="e">
        <f>AND(#REF!,"AAAAAHXvc9Q=")</f>
        <v>#REF!</v>
      </c>
      <c r="HF10" t="e">
        <f>AND(#REF!,"AAAAAHXvc9U=")</f>
        <v>#REF!</v>
      </c>
      <c r="HG10" t="e">
        <f>AND(#REF!,"AAAAAHXvc9Y=")</f>
        <v>#REF!</v>
      </c>
      <c r="HH10" t="e">
        <f>AND(#REF!,"AAAAAHXvc9c=")</f>
        <v>#REF!</v>
      </c>
      <c r="HI10" t="e">
        <f>AND(#REF!,"AAAAAHXvc9g=")</f>
        <v>#REF!</v>
      </c>
      <c r="HJ10" t="e">
        <f>AND(#REF!,"AAAAAHXvc9k=")</f>
        <v>#REF!</v>
      </c>
      <c r="HK10" t="e">
        <f>AND(#REF!,"AAAAAHXvc9o=")</f>
        <v>#REF!</v>
      </c>
      <c r="HL10" t="e">
        <f>AND(#REF!,"AAAAAHXvc9s=")</f>
        <v>#REF!</v>
      </c>
      <c r="HM10" t="e">
        <f>AND(#REF!,"AAAAAHXvc9w=")</f>
        <v>#REF!</v>
      </c>
      <c r="HN10" t="e">
        <f>AND(#REF!,"AAAAAHXvc90=")</f>
        <v>#REF!</v>
      </c>
      <c r="HO10" t="e">
        <f>AND(#REF!,"AAAAAHXvc94=")</f>
        <v>#REF!</v>
      </c>
      <c r="HP10" t="e">
        <f>AND(#REF!,"AAAAAHXvc98=")</f>
        <v>#REF!</v>
      </c>
      <c r="HQ10" t="e">
        <f>AND(#REF!,"AAAAAHXvc+A=")</f>
        <v>#REF!</v>
      </c>
      <c r="HR10" t="e">
        <f>AND(#REF!,"AAAAAHXvc+E=")</f>
        <v>#REF!</v>
      </c>
      <c r="HS10" t="e">
        <f>AND(#REF!,"AAAAAHXvc+I=")</f>
        <v>#REF!</v>
      </c>
      <c r="HT10" t="e">
        <f>AND(#REF!,"AAAAAHXvc+M=")</f>
        <v>#REF!</v>
      </c>
      <c r="HU10" t="e">
        <f>AND(#REF!,"AAAAAHXvc+Q=")</f>
        <v>#REF!</v>
      </c>
      <c r="HV10" t="e">
        <f>AND(#REF!,"AAAAAHXvc+U=")</f>
        <v>#REF!</v>
      </c>
      <c r="HW10" t="e">
        <f>AND(#REF!,"AAAAAHXvc+Y=")</f>
        <v>#REF!</v>
      </c>
      <c r="HX10" t="e">
        <f>AND(#REF!,"AAAAAHXvc+c=")</f>
        <v>#REF!</v>
      </c>
      <c r="HY10" t="e">
        <f>AND(#REF!,"AAAAAHXvc+g=")</f>
        <v>#REF!</v>
      </c>
      <c r="HZ10" t="e">
        <f>AND(#REF!,"AAAAAHXvc+k=")</f>
        <v>#REF!</v>
      </c>
      <c r="IA10" t="e">
        <f>AND(#REF!,"AAAAAHXvc+o=")</f>
        <v>#REF!</v>
      </c>
      <c r="IB10" t="e">
        <f>AND(#REF!,"AAAAAHXvc+s=")</f>
        <v>#REF!</v>
      </c>
      <c r="IC10" t="e">
        <f>AND(#REF!,"AAAAAHXvc+w=")</f>
        <v>#REF!</v>
      </c>
      <c r="ID10" t="e">
        <f>AND(#REF!,"AAAAAHXvc+0=")</f>
        <v>#REF!</v>
      </c>
      <c r="IE10" t="e">
        <f>AND(#REF!,"AAAAAHXvc+4=")</f>
        <v>#REF!</v>
      </c>
      <c r="IF10" t="e">
        <f>AND(#REF!,"AAAAAHXvc+8=")</f>
        <v>#REF!</v>
      </c>
      <c r="IG10" t="e">
        <f>AND(#REF!,"AAAAAHXvc/A=")</f>
        <v>#REF!</v>
      </c>
      <c r="IH10" t="e">
        <f>AND(#REF!,"AAAAAHXvc/E=")</f>
        <v>#REF!</v>
      </c>
      <c r="II10" t="e">
        <f>AND(#REF!,"AAAAAHXvc/I=")</f>
        <v>#REF!</v>
      </c>
      <c r="IJ10" t="e">
        <f>AND(#REF!,"AAAAAHXvc/M=")</f>
        <v>#REF!</v>
      </c>
      <c r="IK10" t="e">
        <f>AND(#REF!,"AAAAAHXvc/Q=")</f>
        <v>#REF!</v>
      </c>
      <c r="IL10" t="e">
        <f>AND(#REF!,"AAAAAHXvc/U=")</f>
        <v>#REF!</v>
      </c>
      <c r="IM10" t="e">
        <f>AND(#REF!,"AAAAAHXvc/Y=")</f>
        <v>#REF!</v>
      </c>
      <c r="IN10" t="e">
        <f>IF(#REF!,"AAAAAHXvc/c=",0)</f>
        <v>#REF!</v>
      </c>
      <c r="IO10" t="e">
        <f>AND(#REF!,"AAAAAHXvc/g=")</f>
        <v>#REF!</v>
      </c>
      <c r="IP10" t="e">
        <f>AND(#REF!,"AAAAAHXvc/k=")</f>
        <v>#REF!</v>
      </c>
      <c r="IQ10" t="e">
        <f>AND(#REF!,"AAAAAHXvc/o=")</f>
        <v>#REF!</v>
      </c>
      <c r="IR10" t="e">
        <f>AND(#REF!,"AAAAAHXvc/s=")</f>
        <v>#REF!</v>
      </c>
      <c r="IS10" t="e">
        <f>AND(#REF!,"AAAAAHXvc/w=")</f>
        <v>#REF!</v>
      </c>
      <c r="IT10" t="e">
        <f>AND(#REF!,"AAAAAHXvc/0=")</f>
        <v>#REF!</v>
      </c>
      <c r="IU10" t="e">
        <f>AND(#REF!,"AAAAAHXvc/4=")</f>
        <v>#REF!</v>
      </c>
      <c r="IV10" t="e">
        <f>AND(#REF!,"AAAAAHXvc/8=")</f>
        <v>#REF!</v>
      </c>
    </row>
    <row r="11" spans="1:256" x14ac:dyDescent="0.2">
      <c r="A11" t="e">
        <f>AND(#REF!,"AAAAAGfm7wA=")</f>
        <v>#REF!</v>
      </c>
      <c r="B11" t="e">
        <f>AND(#REF!,"AAAAAGfm7wE=")</f>
        <v>#REF!</v>
      </c>
      <c r="C11" t="e">
        <f>AND(#REF!,"AAAAAGfm7wI=")</f>
        <v>#REF!</v>
      </c>
      <c r="D11" t="e">
        <f>AND(#REF!,"AAAAAGfm7wM=")</f>
        <v>#REF!</v>
      </c>
      <c r="E11" t="e">
        <f>AND(#REF!,"AAAAAGfm7wQ=")</f>
        <v>#REF!</v>
      </c>
      <c r="F11" t="e">
        <f>AND(#REF!,"AAAAAGfm7wU=")</f>
        <v>#REF!</v>
      </c>
      <c r="G11" t="e">
        <f>AND(#REF!,"AAAAAGfm7wY=")</f>
        <v>#REF!</v>
      </c>
      <c r="H11" t="e">
        <f>AND(#REF!,"AAAAAGfm7wc=")</f>
        <v>#REF!</v>
      </c>
      <c r="I11" t="e">
        <f>AND(#REF!,"AAAAAGfm7wg=")</f>
        <v>#REF!</v>
      </c>
      <c r="J11" t="e">
        <f>AND(#REF!,"AAAAAGfm7wk=")</f>
        <v>#REF!</v>
      </c>
      <c r="K11" t="e">
        <f>AND(#REF!,"AAAAAGfm7wo=")</f>
        <v>#REF!</v>
      </c>
      <c r="L11" t="e">
        <f>AND(#REF!,"AAAAAGfm7ws=")</f>
        <v>#REF!</v>
      </c>
      <c r="M11" t="e">
        <f>AND(#REF!,"AAAAAGfm7ww=")</f>
        <v>#REF!</v>
      </c>
      <c r="N11" t="e">
        <f>AND(#REF!,"AAAAAGfm7w0=")</f>
        <v>#REF!</v>
      </c>
      <c r="O11" t="e">
        <f>AND(#REF!,"AAAAAGfm7w4=")</f>
        <v>#REF!</v>
      </c>
      <c r="P11" t="e">
        <f>AND(#REF!,"AAAAAGfm7w8=")</f>
        <v>#REF!</v>
      </c>
      <c r="Q11" t="e">
        <f>AND(#REF!,"AAAAAGfm7xA=")</f>
        <v>#REF!</v>
      </c>
      <c r="R11" t="e">
        <f>AND(#REF!,"AAAAAGfm7xE=")</f>
        <v>#REF!</v>
      </c>
      <c r="S11" t="e">
        <f>AND(#REF!,"AAAAAGfm7xI=")</f>
        <v>#REF!</v>
      </c>
      <c r="T11" t="e">
        <f>AND(#REF!,"AAAAAGfm7xM=")</f>
        <v>#REF!</v>
      </c>
      <c r="U11" t="e">
        <f>AND(#REF!,"AAAAAGfm7xQ=")</f>
        <v>#REF!</v>
      </c>
      <c r="V11" t="e">
        <f>AND(#REF!,"AAAAAGfm7xU=")</f>
        <v>#REF!</v>
      </c>
      <c r="W11" t="e">
        <f>AND(#REF!,"AAAAAGfm7xY=")</f>
        <v>#REF!</v>
      </c>
      <c r="X11" t="e">
        <f>AND(#REF!,"AAAAAGfm7xc=")</f>
        <v>#REF!</v>
      </c>
      <c r="Y11" t="e">
        <f>AND(#REF!,"AAAAAGfm7xg=")</f>
        <v>#REF!</v>
      </c>
      <c r="Z11" t="e">
        <f>AND(#REF!,"AAAAAGfm7xk=")</f>
        <v>#REF!</v>
      </c>
      <c r="AA11" t="e">
        <f>AND(#REF!,"AAAAAGfm7xo=")</f>
        <v>#REF!</v>
      </c>
      <c r="AB11" t="e">
        <f>AND(#REF!,"AAAAAGfm7xs=")</f>
        <v>#REF!</v>
      </c>
      <c r="AC11" t="e">
        <f>AND(#REF!,"AAAAAGfm7xw=")</f>
        <v>#REF!</v>
      </c>
      <c r="AD11" t="e">
        <f>AND(#REF!,"AAAAAGfm7x0=")</f>
        <v>#REF!</v>
      </c>
      <c r="AE11" t="e">
        <f>AND(#REF!,"AAAAAGfm7x4=")</f>
        <v>#REF!</v>
      </c>
      <c r="AF11" t="e">
        <f>AND(#REF!,"AAAAAGfm7x8=")</f>
        <v>#REF!</v>
      </c>
      <c r="AG11" t="e">
        <f>AND(#REF!,"AAAAAGfm7yA=")</f>
        <v>#REF!</v>
      </c>
      <c r="AH11" t="e">
        <f>AND(#REF!,"AAAAAGfm7yE=")</f>
        <v>#REF!</v>
      </c>
      <c r="AI11" t="e">
        <f>AND(#REF!,"AAAAAGfm7yI=")</f>
        <v>#REF!</v>
      </c>
      <c r="AJ11" t="e">
        <f>AND(#REF!,"AAAAAGfm7yM=")</f>
        <v>#REF!</v>
      </c>
      <c r="AK11" t="e">
        <f>AND(#REF!,"AAAAAGfm7yQ=")</f>
        <v>#REF!</v>
      </c>
      <c r="AL11" t="e">
        <f>AND(#REF!,"AAAAAGfm7yU=")</f>
        <v>#REF!</v>
      </c>
      <c r="AM11" t="e">
        <f>AND(#REF!,"AAAAAGfm7yY=")</f>
        <v>#REF!</v>
      </c>
      <c r="AN11" t="e">
        <f>AND(#REF!,"AAAAAGfm7yc=")</f>
        <v>#REF!</v>
      </c>
      <c r="AO11" t="e">
        <f>AND(#REF!,"AAAAAGfm7yg=")</f>
        <v>#REF!</v>
      </c>
      <c r="AP11" t="e">
        <f>AND(#REF!,"AAAAAGfm7yk=")</f>
        <v>#REF!</v>
      </c>
      <c r="AQ11" t="e">
        <f>AND(#REF!,"AAAAAGfm7yo=")</f>
        <v>#REF!</v>
      </c>
      <c r="AR11" t="e">
        <f>AND(#REF!,"AAAAAGfm7ys=")</f>
        <v>#REF!</v>
      </c>
      <c r="AS11" t="e">
        <f>AND(#REF!,"AAAAAGfm7yw=")</f>
        <v>#REF!</v>
      </c>
      <c r="AT11" t="e">
        <f>AND(#REF!,"AAAAAGfm7y0=")</f>
        <v>#REF!</v>
      </c>
      <c r="AU11" t="e">
        <f>AND(#REF!,"AAAAAGfm7y4=")</f>
        <v>#REF!</v>
      </c>
      <c r="AV11" t="e">
        <f>AND(#REF!,"AAAAAGfm7y8=")</f>
        <v>#REF!</v>
      </c>
      <c r="AW11" t="e">
        <f>AND(#REF!,"AAAAAGfm7zA=")</f>
        <v>#REF!</v>
      </c>
      <c r="AX11" t="e">
        <f>AND(#REF!,"AAAAAGfm7zE=")</f>
        <v>#REF!</v>
      </c>
      <c r="AY11" t="e">
        <f>AND(#REF!,"AAAAAGfm7zI=")</f>
        <v>#REF!</v>
      </c>
      <c r="AZ11" t="e">
        <f>AND(#REF!,"AAAAAGfm7zM=")</f>
        <v>#REF!</v>
      </c>
      <c r="BA11" t="e">
        <f>AND(#REF!,"AAAAAGfm7zQ=")</f>
        <v>#REF!</v>
      </c>
      <c r="BB11" t="e">
        <f>AND(#REF!,"AAAAAGfm7zU=")</f>
        <v>#REF!</v>
      </c>
      <c r="BC11" t="e">
        <f>AND(#REF!,"AAAAAGfm7zY=")</f>
        <v>#REF!</v>
      </c>
      <c r="BD11" t="e">
        <f>AND(#REF!,"AAAAAGfm7zc=")</f>
        <v>#REF!</v>
      </c>
      <c r="BE11" t="e">
        <f>AND(#REF!,"AAAAAGfm7zg=")</f>
        <v>#REF!</v>
      </c>
      <c r="BF11" t="e">
        <f>AND(#REF!,"AAAAAGfm7zk=")</f>
        <v>#REF!</v>
      </c>
      <c r="BG11" t="e">
        <f>AND(#REF!,"AAAAAGfm7zo=")</f>
        <v>#REF!</v>
      </c>
      <c r="BH11" t="e">
        <f>AND(#REF!,"AAAAAGfm7zs=")</f>
        <v>#REF!</v>
      </c>
      <c r="BI11" t="e">
        <f>AND(#REF!,"AAAAAGfm7zw=")</f>
        <v>#REF!</v>
      </c>
      <c r="BJ11" t="e">
        <f>AND(#REF!,"AAAAAGfm7z0=")</f>
        <v>#REF!</v>
      </c>
      <c r="BK11" t="e">
        <f>AND(#REF!,"AAAAAGfm7z4=")</f>
        <v>#REF!</v>
      </c>
      <c r="BL11" t="e">
        <f>AND(#REF!,"AAAAAGfm7z8=")</f>
        <v>#REF!</v>
      </c>
      <c r="BM11" t="e">
        <f>AND(#REF!,"AAAAAGfm70A=")</f>
        <v>#REF!</v>
      </c>
      <c r="BN11" t="e">
        <f>AND(#REF!,"AAAAAGfm70E=")</f>
        <v>#REF!</v>
      </c>
      <c r="BO11" t="e">
        <f>AND(#REF!,"AAAAAGfm70I=")</f>
        <v>#REF!</v>
      </c>
      <c r="BP11" t="e">
        <f>AND(#REF!,"AAAAAGfm70M=")</f>
        <v>#REF!</v>
      </c>
      <c r="BQ11" t="e">
        <f>AND(#REF!,"AAAAAGfm70Q=")</f>
        <v>#REF!</v>
      </c>
      <c r="BR11" t="e">
        <f>AND(#REF!,"AAAAAGfm70U=")</f>
        <v>#REF!</v>
      </c>
      <c r="BS11" t="e">
        <f>AND(#REF!,"AAAAAGfm70Y=")</f>
        <v>#REF!</v>
      </c>
      <c r="BT11" t="e">
        <f>AND(#REF!,"AAAAAGfm70c=")</f>
        <v>#REF!</v>
      </c>
      <c r="BU11" t="e">
        <f>AND(#REF!,"AAAAAGfm70g=")</f>
        <v>#REF!</v>
      </c>
      <c r="BV11" t="e">
        <f>AND(#REF!,"AAAAAGfm70k=")</f>
        <v>#REF!</v>
      </c>
      <c r="BW11" t="e">
        <f>AND(#REF!,"AAAAAGfm70o=")</f>
        <v>#REF!</v>
      </c>
      <c r="BX11" t="e">
        <f>AND(#REF!,"AAAAAGfm70s=")</f>
        <v>#REF!</v>
      </c>
      <c r="BY11" t="e">
        <f>AND(#REF!,"AAAAAGfm70w=")</f>
        <v>#REF!</v>
      </c>
      <c r="BZ11" t="e">
        <f>AND(#REF!,"AAAAAGfm700=")</f>
        <v>#REF!</v>
      </c>
      <c r="CA11" t="e">
        <f>AND(#REF!,"AAAAAGfm704=")</f>
        <v>#REF!</v>
      </c>
      <c r="CB11" t="e">
        <f>AND(#REF!,"AAAAAGfm708=")</f>
        <v>#REF!</v>
      </c>
      <c r="CC11" t="e">
        <f>AND(#REF!,"AAAAAGfm71A=")</f>
        <v>#REF!</v>
      </c>
      <c r="CD11" t="e">
        <f>AND(#REF!,"AAAAAGfm71E=")</f>
        <v>#REF!</v>
      </c>
      <c r="CE11" t="e">
        <f>AND(#REF!,"AAAAAGfm71I=")</f>
        <v>#REF!</v>
      </c>
      <c r="CF11" t="e">
        <f>AND(#REF!,"AAAAAGfm71M=")</f>
        <v>#REF!</v>
      </c>
      <c r="CG11" t="e">
        <f>AND(#REF!,"AAAAAGfm71Q=")</f>
        <v>#REF!</v>
      </c>
      <c r="CH11" t="e">
        <f>AND(#REF!,"AAAAAGfm71U=")</f>
        <v>#REF!</v>
      </c>
      <c r="CI11" t="e">
        <f>AND(#REF!,"AAAAAGfm71Y=")</f>
        <v>#REF!</v>
      </c>
      <c r="CJ11" t="e">
        <f>AND(#REF!,"AAAAAGfm71c=")</f>
        <v>#REF!</v>
      </c>
      <c r="CK11" t="e">
        <f>AND(#REF!,"AAAAAGfm71g=")</f>
        <v>#REF!</v>
      </c>
      <c r="CL11" t="e">
        <f>AND(#REF!,"AAAAAGfm71k=")</f>
        <v>#REF!</v>
      </c>
      <c r="CM11" t="e">
        <f>AND(#REF!,"AAAAAGfm71o=")</f>
        <v>#REF!</v>
      </c>
      <c r="CN11" t="e">
        <f>AND(#REF!,"AAAAAGfm71s=")</f>
        <v>#REF!</v>
      </c>
      <c r="CO11" t="e">
        <f>AND(#REF!,"AAAAAGfm71w=")</f>
        <v>#REF!</v>
      </c>
      <c r="CP11" t="e">
        <f>AND(#REF!,"AAAAAGfm710=")</f>
        <v>#REF!</v>
      </c>
      <c r="CQ11" t="e">
        <f>AND(#REF!,"AAAAAGfm714=")</f>
        <v>#REF!</v>
      </c>
      <c r="CR11" t="e">
        <f>AND(#REF!,"AAAAAGfm718=")</f>
        <v>#REF!</v>
      </c>
      <c r="CS11" t="e">
        <f>AND(#REF!,"AAAAAGfm72A=")</f>
        <v>#REF!</v>
      </c>
      <c r="CT11" t="e">
        <f>AND(#REF!,"AAAAAGfm72E=")</f>
        <v>#REF!</v>
      </c>
      <c r="CU11" t="e">
        <f>AND(#REF!,"AAAAAGfm72I=")</f>
        <v>#REF!</v>
      </c>
      <c r="CV11" t="e">
        <f>AND(#REF!,"AAAAAGfm72M=")</f>
        <v>#REF!</v>
      </c>
      <c r="CW11" t="e">
        <f>AND(#REF!,"AAAAAGfm72Q=")</f>
        <v>#REF!</v>
      </c>
      <c r="CX11" t="e">
        <f>AND(#REF!,"AAAAAGfm72U=")</f>
        <v>#REF!</v>
      </c>
      <c r="CY11" t="e">
        <f>AND(#REF!,"AAAAAGfm72Y=")</f>
        <v>#REF!</v>
      </c>
      <c r="CZ11" t="e">
        <f>AND(#REF!,"AAAAAGfm72c=")</f>
        <v>#REF!</v>
      </c>
      <c r="DA11" t="e">
        <f>AND(#REF!,"AAAAAGfm72g=")</f>
        <v>#REF!</v>
      </c>
      <c r="DB11" t="e">
        <f>AND(#REF!,"AAAAAGfm72k=")</f>
        <v>#REF!</v>
      </c>
      <c r="DC11" t="e">
        <f>AND(#REF!,"AAAAAGfm72o=")</f>
        <v>#REF!</v>
      </c>
      <c r="DD11" t="e">
        <f>AND(#REF!,"AAAAAGfm72s=")</f>
        <v>#REF!</v>
      </c>
      <c r="DE11" t="e">
        <f>AND(#REF!,"AAAAAGfm72w=")</f>
        <v>#REF!</v>
      </c>
      <c r="DF11" t="e">
        <f>AND(#REF!,"AAAAAGfm720=")</f>
        <v>#REF!</v>
      </c>
      <c r="DG11" t="e">
        <f>AND(#REF!,"AAAAAGfm724=")</f>
        <v>#REF!</v>
      </c>
      <c r="DH11" t="e">
        <f>AND(#REF!,"AAAAAGfm728=")</f>
        <v>#REF!</v>
      </c>
      <c r="DI11" t="e">
        <f>AND(#REF!,"AAAAAGfm73A=")</f>
        <v>#REF!</v>
      </c>
      <c r="DJ11" t="e">
        <f>AND(#REF!,"AAAAAGfm73E=")</f>
        <v>#REF!</v>
      </c>
      <c r="DK11" t="e">
        <f>AND(#REF!,"AAAAAGfm73I=")</f>
        <v>#REF!</v>
      </c>
      <c r="DL11" t="e">
        <f>AND(#REF!,"AAAAAGfm73M=")</f>
        <v>#REF!</v>
      </c>
      <c r="DM11" t="e">
        <f>AND(#REF!,"AAAAAGfm73Q=")</f>
        <v>#REF!</v>
      </c>
      <c r="DN11" t="e">
        <f>AND(#REF!,"AAAAAGfm73U=")</f>
        <v>#REF!</v>
      </c>
      <c r="DO11" t="e">
        <f>AND(#REF!,"AAAAAGfm73Y=")</f>
        <v>#REF!</v>
      </c>
      <c r="DP11" t="e">
        <f>AND(#REF!,"AAAAAGfm73c=")</f>
        <v>#REF!</v>
      </c>
      <c r="DQ11" t="e">
        <f>AND(#REF!,"AAAAAGfm73g=")</f>
        <v>#REF!</v>
      </c>
      <c r="DR11" t="e">
        <f>AND(#REF!,"AAAAAGfm73k=")</f>
        <v>#REF!</v>
      </c>
      <c r="DS11" t="e">
        <f>AND(#REF!,"AAAAAGfm73o=")</f>
        <v>#REF!</v>
      </c>
      <c r="DT11" t="e">
        <f>AND(#REF!,"AAAAAGfm73s=")</f>
        <v>#REF!</v>
      </c>
      <c r="DU11" t="e">
        <f>AND(#REF!,"AAAAAGfm73w=")</f>
        <v>#REF!</v>
      </c>
      <c r="DV11" t="e">
        <f>AND(#REF!,"AAAAAGfm730=")</f>
        <v>#REF!</v>
      </c>
      <c r="DW11" t="e">
        <f>AND(#REF!,"AAAAAGfm734=")</f>
        <v>#REF!</v>
      </c>
      <c r="DX11" t="e">
        <f>AND(#REF!,"AAAAAGfm738=")</f>
        <v>#REF!</v>
      </c>
      <c r="DY11" t="e">
        <f>AND(#REF!,"AAAAAGfm74A=")</f>
        <v>#REF!</v>
      </c>
      <c r="DZ11" t="e">
        <f>AND(#REF!,"AAAAAGfm74E=")</f>
        <v>#REF!</v>
      </c>
      <c r="EA11" t="e">
        <f>AND(#REF!,"AAAAAGfm74I=")</f>
        <v>#REF!</v>
      </c>
      <c r="EB11" t="e">
        <f>AND(#REF!,"AAAAAGfm74M=")</f>
        <v>#REF!</v>
      </c>
      <c r="EC11" t="e">
        <f>AND(#REF!,"AAAAAGfm74Q=")</f>
        <v>#REF!</v>
      </c>
      <c r="ED11" t="e">
        <f>AND(#REF!,"AAAAAGfm74U=")</f>
        <v>#REF!</v>
      </c>
      <c r="EE11" t="e">
        <f>AND(#REF!,"AAAAAGfm74Y=")</f>
        <v>#REF!</v>
      </c>
      <c r="EF11" t="e">
        <f>AND(#REF!,"AAAAAGfm74c=")</f>
        <v>#REF!</v>
      </c>
      <c r="EG11" t="e">
        <f>AND(#REF!,"AAAAAGfm74g=")</f>
        <v>#REF!</v>
      </c>
      <c r="EH11" t="e">
        <f>AND(#REF!,"AAAAAGfm74k=")</f>
        <v>#REF!</v>
      </c>
      <c r="EI11" t="e">
        <f>AND(#REF!,"AAAAAGfm74o=")</f>
        <v>#REF!</v>
      </c>
      <c r="EJ11" t="e">
        <f>AND(#REF!,"AAAAAGfm74s=")</f>
        <v>#REF!</v>
      </c>
      <c r="EK11" t="e">
        <f>AND(#REF!,"AAAAAGfm74w=")</f>
        <v>#REF!</v>
      </c>
      <c r="EL11" t="e">
        <f>AND(#REF!,"AAAAAGfm740=")</f>
        <v>#REF!</v>
      </c>
      <c r="EM11" t="e">
        <f>AND(#REF!,"AAAAAGfm744=")</f>
        <v>#REF!</v>
      </c>
      <c r="EN11" t="e">
        <f>AND(#REF!,"AAAAAGfm748=")</f>
        <v>#REF!</v>
      </c>
      <c r="EO11" t="e">
        <f>AND(#REF!,"AAAAAGfm75A=")</f>
        <v>#REF!</v>
      </c>
      <c r="EP11" t="e">
        <f>AND(#REF!,"AAAAAGfm75E=")</f>
        <v>#REF!</v>
      </c>
      <c r="EQ11" t="e">
        <f>AND(#REF!,"AAAAAGfm75I=")</f>
        <v>#REF!</v>
      </c>
      <c r="ER11" t="e">
        <f>AND(#REF!,"AAAAAGfm75M=")</f>
        <v>#REF!</v>
      </c>
      <c r="ES11" t="e">
        <f>AND(#REF!,"AAAAAGfm75Q=")</f>
        <v>#REF!</v>
      </c>
      <c r="ET11" t="e">
        <f>AND(#REF!,"AAAAAGfm75U=")</f>
        <v>#REF!</v>
      </c>
      <c r="EU11" t="e">
        <f>AND(#REF!,"AAAAAGfm75Y=")</f>
        <v>#REF!</v>
      </c>
      <c r="EV11" t="e">
        <f>AND(#REF!,"AAAAAGfm75c=")</f>
        <v>#REF!</v>
      </c>
      <c r="EW11" t="e">
        <f>AND(#REF!,"AAAAAGfm75g=")</f>
        <v>#REF!</v>
      </c>
      <c r="EX11" t="e">
        <f>AND(#REF!,"AAAAAGfm75k=")</f>
        <v>#REF!</v>
      </c>
      <c r="EY11" t="e">
        <f>AND(#REF!,"AAAAAGfm75o=")</f>
        <v>#REF!</v>
      </c>
      <c r="EZ11" t="e">
        <f>AND(#REF!,"AAAAAGfm75s=")</f>
        <v>#REF!</v>
      </c>
      <c r="FA11" t="e">
        <f>AND(#REF!,"AAAAAGfm75w=")</f>
        <v>#REF!</v>
      </c>
      <c r="FB11" t="e">
        <f>AND(#REF!,"AAAAAGfm750=")</f>
        <v>#REF!</v>
      </c>
      <c r="FC11" t="e">
        <f>AND(#REF!,"AAAAAGfm754=")</f>
        <v>#REF!</v>
      </c>
      <c r="FD11" t="e">
        <f>AND(#REF!,"AAAAAGfm758=")</f>
        <v>#REF!</v>
      </c>
      <c r="FE11" t="e">
        <f>AND(#REF!,"AAAAAGfm76A=")</f>
        <v>#REF!</v>
      </c>
      <c r="FF11" t="e">
        <f>AND(#REF!,"AAAAAGfm76E=")</f>
        <v>#REF!</v>
      </c>
      <c r="FG11" t="e">
        <f>AND(#REF!,"AAAAAGfm76I=")</f>
        <v>#REF!</v>
      </c>
      <c r="FH11" t="e">
        <f>AND(#REF!,"AAAAAGfm76M=")</f>
        <v>#REF!</v>
      </c>
      <c r="FI11" t="e">
        <f>AND(#REF!,"AAAAAGfm76Q=")</f>
        <v>#REF!</v>
      </c>
      <c r="FJ11" t="e">
        <f>AND(#REF!,"AAAAAGfm76U=")</f>
        <v>#REF!</v>
      </c>
      <c r="FK11" t="e">
        <f>AND(#REF!,"AAAAAGfm76Y=")</f>
        <v>#REF!</v>
      </c>
      <c r="FL11" t="e">
        <f>AND(#REF!,"AAAAAGfm76c=")</f>
        <v>#REF!</v>
      </c>
      <c r="FM11" t="e">
        <f>AND(#REF!,"AAAAAGfm76g=")</f>
        <v>#REF!</v>
      </c>
      <c r="FN11" t="e">
        <f>AND(#REF!,"AAAAAGfm76k=")</f>
        <v>#REF!</v>
      </c>
      <c r="FO11" t="e">
        <f>AND(#REF!,"AAAAAGfm76o=")</f>
        <v>#REF!</v>
      </c>
      <c r="FP11" t="e">
        <f>AND(#REF!,"AAAAAGfm76s=")</f>
        <v>#REF!</v>
      </c>
      <c r="FQ11" t="e">
        <f>IF(#REF!,"AAAAAGfm76w=",0)</f>
        <v>#REF!</v>
      </c>
      <c r="FR11" t="e">
        <f>AND(#REF!,"AAAAAGfm760=")</f>
        <v>#REF!</v>
      </c>
      <c r="FS11" t="e">
        <f>AND(#REF!,"AAAAAGfm764=")</f>
        <v>#REF!</v>
      </c>
      <c r="FT11" t="e">
        <f>AND(#REF!,"AAAAAGfm768=")</f>
        <v>#REF!</v>
      </c>
      <c r="FU11" t="e">
        <f>AND(#REF!,"AAAAAGfm77A=")</f>
        <v>#REF!</v>
      </c>
      <c r="FV11" t="e">
        <f>AND(#REF!,"AAAAAGfm77E=")</f>
        <v>#REF!</v>
      </c>
      <c r="FW11" t="e">
        <f>AND(#REF!,"AAAAAGfm77I=")</f>
        <v>#REF!</v>
      </c>
      <c r="FX11" t="e">
        <f>AND(#REF!,"AAAAAGfm77M=")</f>
        <v>#REF!</v>
      </c>
      <c r="FY11" t="e">
        <f>AND(#REF!,"AAAAAGfm77Q=")</f>
        <v>#REF!</v>
      </c>
      <c r="FZ11" t="e">
        <f>AND(#REF!,"AAAAAGfm77U=")</f>
        <v>#REF!</v>
      </c>
      <c r="GA11" t="e">
        <f>AND(#REF!,"AAAAAGfm77Y=")</f>
        <v>#REF!</v>
      </c>
      <c r="GB11" t="e">
        <f>AND(#REF!,"AAAAAGfm77c=")</f>
        <v>#REF!</v>
      </c>
      <c r="GC11" t="e">
        <f>AND(#REF!,"AAAAAGfm77g=")</f>
        <v>#REF!</v>
      </c>
      <c r="GD11" t="e">
        <f>AND(#REF!,"AAAAAGfm77k=")</f>
        <v>#REF!</v>
      </c>
      <c r="GE11" t="e">
        <f>AND(#REF!,"AAAAAGfm77o=")</f>
        <v>#REF!</v>
      </c>
      <c r="GF11" t="e">
        <f>AND(#REF!,"AAAAAGfm77s=")</f>
        <v>#REF!</v>
      </c>
      <c r="GG11" t="e">
        <f>AND(#REF!,"AAAAAGfm77w=")</f>
        <v>#REF!</v>
      </c>
      <c r="GH11" t="e">
        <f>AND(#REF!,"AAAAAGfm770=")</f>
        <v>#REF!</v>
      </c>
      <c r="GI11" t="e">
        <f>AND(#REF!,"AAAAAGfm774=")</f>
        <v>#REF!</v>
      </c>
      <c r="GJ11" t="e">
        <f>AND(#REF!,"AAAAAGfm778=")</f>
        <v>#REF!</v>
      </c>
      <c r="GK11" t="e">
        <f>AND(#REF!,"AAAAAGfm78A=")</f>
        <v>#REF!</v>
      </c>
      <c r="GL11" t="e">
        <f>AND(#REF!,"AAAAAGfm78E=")</f>
        <v>#REF!</v>
      </c>
      <c r="GM11" t="e">
        <f>AND(#REF!,"AAAAAGfm78I=")</f>
        <v>#REF!</v>
      </c>
      <c r="GN11" t="e">
        <f>AND(#REF!,"AAAAAGfm78M=")</f>
        <v>#REF!</v>
      </c>
      <c r="GO11" t="e">
        <f>AND(#REF!,"AAAAAGfm78Q=")</f>
        <v>#REF!</v>
      </c>
      <c r="GP11" t="e">
        <f>AND(#REF!,"AAAAAGfm78U=")</f>
        <v>#REF!</v>
      </c>
      <c r="GQ11" t="e">
        <f>AND(#REF!,"AAAAAGfm78Y=")</f>
        <v>#REF!</v>
      </c>
      <c r="GR11" t="e">
        <f>AND(#REF!,"AAAAAGfm78c=")</f>
        <v>#REF!</v>
      </c>
      <c r="GS11" t="e">
        <f>AND(#REF!,"AAAAAGfm78g=")</f>
        <v>#REF!</v>
      </c>
      <c r="GT11" t="e">
        <f>AND(#REF!,"AAAAAGfm78k=")</f>
        <v>#REF!</v>
      </c>
      <c r="GU11" t="e">
        <f>AND(#REF!,"AAAAAGfm78o=")</f>
        <v>#REF!</v>
      </c>
      <c r="GV11" t="e">
        <f>AND(#REF!,"AAAAAGfm78s=")</f>
        <v>#REF!</v>
      </c>
      <c r="GW11" t="e">
        <f>AND(#REF!,"AAAAAGfm78w=")</f>
        <v>#REF!</v>
      </c>
      <c r="GX11" t="e">
        <f>AND(#REF!,"AAAAAGfm780=")</f>
        <v>#REF!</v>
      </c>
      <c r="GY11" t="e">
        <f>AND(#REF!,"AAAAAGfm784=")</f>
        <v>#REF!</v>
      </c>
      <c r="GZ11" t="e">
        <f>AND(#REF!,"AAAAAGfm788=")</f>
        <v>#REF!</v>
      </c>
      <c r="HA11" t="e">
        <f>AND(#REF!,"AAAAAGfm79A=")</f>
        <v>#REF!</v>
      </c>
      <c r="HB11" t="e">
        <f>AND(#REF!,"AAAAAGfm79E=")</f>
        <v>#REF!</v>
      </c>
      <c r="HC11" t="e">
        <f>AND(#REF!,"AAAAAGfm79I=")</f>
        <v>#REF!</v>
      </c>
      <c r="HD11" t="e">
        <f>AND(#REF!,"AAAAAGfm79M=")</f>
        <v>#REF!</v>
      </c>
      <c r="HE11" t="e">
        <f>AND(#REF!,"AAAAAGfm79Q=")</f>
        <v>#REF!</v>
      </c>
      <c r="HF11" t="e">
        <f>AND(#REF!,"AAAAAGfm79U=")</f>
        <v>#REF!</v>
      </c>
      <c r="HG11" t="e">
        <f>AND(#REF!,"AAAAAGfm79Y=")</f>
        <v>#REF!</v>
      </c>
      <c r="HH11" t="e">
        <f>AND(#REF!,"AAAAAGfm79c=")</f>
        <v>#REF!</v>
      </c>
      <c r="HI11" t="e">
        <f>AND(#REF!,"AAAAAGfm79g=")</f>
        <v>#REF!</v>
      </c>
      <c r="HJ11" t="e">
        <f>AND(#REF!,"AAAAAGfm79k=")</f>
        <v>#REF!</v>
      </c>
      <c r="HK11" t="e">
        <f>AND(#REF!,"AAAAAGfm79o=")</f>
        <v>#REF!</v>
      </c>
      <c r="HL11" t="e">
        <f>AND(#REF!,"AAAAAGfm79s=")</f>
        <v>#REF!</v>
      </c>
      <c r="HM11" t="e">
        <f>AND(#REF!,"AAAAAGfm79w=")</f>
        <v>#REF!</v>
      </c>
      <c r="HN11" t="e">
        <f>AND(#REF!,"AAAAAGfm790=")</f>
        <v>#REF!</v>
      </c>
      <c r="HO11" t="e">
        <f>AND(#REF!,"AAAAAGfm794=")</f>
        <v>#REF!</v>
      </c>
      <c r="HP11" t="e">
        <f>AND(#REF!,"AAAAAGfm798=")</f>
        <v>#REF!</v>
      </c>
      <c r="HQ11" t="e">
        <f>AND(#REF!,"AAAAAGfm7+A=")</f>
        <v>#REF!</v>
      </c>
      <c r="HR11" t="e">
        <f>AND(#REF!,"AAAAAGfm7+E=")</f>
        <v>#REF!</v>
      </c>
      <c r="HS11" t="e">
        <f>AND(#REF!,"AAAAAGfm7+I=")</f>
        <v>#REF!</v>
      </c>
      <c r="HT11" t="e">
        <f>AND(#REF!,"AAAAAGfm7+M=")</f>
        <v>#REF!</v>
      </c>
      <c r="HU11" t="e">
        <f>AND(#REF!,"AAAAAGfm7+Q=")</f>
        <v>#REF!</v>
      </c>
      <c r="HV11" t="e">
        <f>AND(#REF!,"AAAAAGfm7+U=")</f>
        <v>#REF!</v>
      </c>
      <c r="HW11" t="e">
        <f>AND(#REF!,"AAAAAGfm7+Y=")</f>
        <v>#REF!</v>
      </c>
      <c r="HX11" t="e">
        <f>AND(#REF!,"AAAAAGfm7+c=")</f>
        <v>#REF!</v>
      </c>
      <c r="HY11" t="e">
        <f>AND(#REF!,"AAAAAGfm7+g=")</f>
        <v>#REF!</v>
      </c>
      <c r="HZ11" t="e">
        <f>AND(#REF!,"AAAAAGfm7+k=")</f>
        <v>#REF!</v>
      </c>
      <c r="IA11" t="e">
        <f>AND(#REF!,"AAAAAGfm7+o=")</f>
        <v>#REF!</v>
      </c>
      <c r="IB11" t="e">
        <f>AND(#REF!,"AAAAAGfm7+s=")</f>
        <v>#REF!</v>
      </c>
      <c r="IC11" t="e">
        <f>AND(#REF!,"AAAAAGfm7+w=")</f>
        <v>#REF!</v>
      </c>
      <c r="ID11" t="e">
        <f>AND(#REF!,"AAAAAGfm7+0=")</f>
        <v>#REF!</v>
      </c>
      <c r="IE11" t="e">
        <f>AND(#REF!,"AAAAAGfm7+4=")</f>
        <v>#REF!</v>
      </c>
      <c r="IF11" t="e">
        <f>AND(#REF!,"AAAAAGfm7+8=")</f>
        <v>#REF!</v>
      </c>
      <c r="IG11" t="e">
        <f>AND(#REF!,"AAAAAGfm7/A=")</f>
        <v>#REF!</v>
      </c>
      <c r="IH11" t="e">
        <f>AND(#REF!,"AAAAAGfm7/E=")</f>
        <v>#REF!</v>
      </c>
      <c r="II11" t="e">
        <f>AND(#REF!,"AAAAAGfm7/I=")</f>
        <v>#REF!</v>
      </c>
      <c r="IJ11" t="e">
        <f>AND(#REF!,"AAAAAGfm7/M=")</f>
        <v>#REF!</v>
      </c>
      <c r="IK11" t="e">
        <f>AND(#REF!,"AAAAAGfm7/Q=")</f>
        <v>#REF!</v>
      </c>
      <c r="IL11" t="e">
        <f>AND(#REF!,"AAAAAGfm7/U=")</f>
        <v>#REF!</v>
      </c>
      <c r="IM11" t="e">
        <f>AND(#REF!,"AAAAAGfm7/Y=")</f>
        <v>#REF!</v>
      </c>
      <c r="IN11" t="e">
        <f>AND(#REF!,"AAAAAGfm7/c=")</f>
        <v>#REF!</v>
      </c>
      <c r="IO11" t="e">
        <f>AND(#REF!,"AAAAAGfm7/g=")</f>
        <v>#REF!</v>
      </c>
      <c r="IP11" t="e">
        <f>AND(#REF!,"AAAAAGfm7/k=")</f>
        <v>#REF!</v>
      </c>
      <c r="IQ11" t="e">
        <f>AND(#REF!,"AAAAAGfm7/o=")</f>
        <v>#REF!</v>
      </c>
      <c r="IR11" t="e">
        <f>AND(#REF!,"AAAAAGfm7/s=")</f>
        <v>#REF!</v>
      </c>
      <c r="IS11" t="e">
        <f>AND(#REF!,"AAAAAGfm7/w=")</f>
        <v>#REF!</v>
      </c>
      <c r="IT11" t="e">
        <f>AND(#REF!,"AAAAAGfm7/0=")</f>
        <v>#REF!</v>
      </c>
      <c r="IU11" t="e">
        <f>AND(#REF!,"AAAAAGfm7/4=")</f>
        <v>#REF!</v>
      </c>
      <c r="IV11" t="e">
        <f>AND(#REF!,"AAAAAGfm7/8=")</f>
        <v>#REF!</v>
      </c>
    </row>
    <row r="12" spans="1:256" x14ac:dyDescent="0.2">
      <c r="A12" t="e">
        <f>AND(#REF!,"AAAAADb/9wA=")</f>
        <v>#REF!</v>
      </c>
      <c r="B12" t="e">
        <f>AND(#REF!,"AAAAADb/9wE=")</f>
        <v>#REF!</v>
      </c>
      <c r="C12" t="e">
        <f>AND(#REF!,"AAAAADb/9wI=")</f>
        <v>#REF!</v>
      </c>
      <c r="D12" t="e">
        <f>AND(#REF!,"AAAAADb/9wM=")</f>
        <v>#REF!</v>
      </c>
      <c r="E12" t="e">
        <f>AND(#REF!,"AAAAADb/9wQ=")</f>
        <v>#REF!</v>
      </c>
      <c r="F12" t="e">
        <f>AND(#REF!,"AAAAADb/9wU=")</f>
        <v>#REF!</v>
      </c>
      <c r="G12" t="e">
        <f>AND(#REF!,"AAAAADb/9wY=")</f>
        <v>#REF!</v>
      </c>
      <c r="H12" t="e">
        <f>AND(#REF!,"AAAAADb/9wc=")</f>
        <v>#REF!</v>
      </c>
      <c r="I12" t="e">
        <f>AND(#REF!,"AAAAADb/9wg=")</f>
        <v>#REF!</v>
      </c>
      <c r="J12" t="e">
        <f>AND(#REF!,"AAAAADb/9wk=")</f>
        <v>#REF!</v>
      </c>
      <c r="K12" t="e">
        <f>AND(#REF!,"AAAAADb/9wo=")</f>
        <v>#REF!</v>
      </c>
      <c r="L12" t="e">
        <f>AND(#REF!,"AAAAADb/9ws=")</f>
        <v>#REF!</v>
      </c>
      <c r="M12" t="e">
        <f>AND(#REF!,"AAAAADb/9ww=")</f>
        <v>#REF!</v>
      </c>
      <c r="N12" t="e">
        <f>AND(#REF!,"AAAAADb/9w0=")</f>
        <v>#REF!</v>
      </c>
      <c r="O12" t="e">
        <f>AND(#REF!,"AAAAADb/9w4=")</f>
        <v>#REF!</v>
      </c>
      <c r="P12" t="e">
        <f>AND(#REF!,"AAAAADb/9w8=")</f>
        <v>#REF!</v>
      </c>
      <c r="Q12" t="e">
        <f>AND(#REF!,"AAAAADb/9xA=")</f>
        <v>#REF!</v>
      </c>
      <c r="R12" t="e">
        <f>AND(#REF!,"AAAAADb/9xE=")</f>
        <v>#REF!</v>
      </c>
      <c r="S12" t="e">
        <f>AND(#REF!,"AAAAADb/9xI=")</f>
        <v>#REF!</v>
      </c>
      <c r="T12" t="e">
        <f>AND(#REF!,"AAAAADb/9xM=")</f>
        <v>#REF!</v>
      </c>
      <c r="U12" t="e">
        <f>AND(#REF!,"AAAAADb/9xQ=")</f>
        <v>#REF!</v>
      </c>
      <c r="V12" t="e">
        <f>AND(#REF!,"AAAAADb/9xU=")</f>
        <v>#REF!</v>
      </c>
      <c r="W12" t="e">
        <f>AND(#REF!,"AAAAADb/9xY=")</f>
        <v>#REF!</v>
      </c>
      <c r="X12" t="e">
        <f>AND(#REF!,"AAAAADb/9xc=")</f>
        <v>#REF!</v>
      </c>
      <c r="Y12" t="e">
        <f>AND(#REF!,"AAAAADb/9xg=")</f>
        <v>#REF!</v>
      </c>
      <c r="Z12" t="e">
        <f>AND(#REF!,"AAAAADb/9xk=")</f>
        <v>#REF!</v>
      </c>
      <c r="AA12" t="e">
        <f>AND(#REF!,"AAAAADb/9xo=")</f>
        <v>#REF!</v>
      </c>
      <c r="AB12" t="e">
        <f>AND(#REF!,"AAAAADb/9xs=")</f>
        <v>#REF!</v>
      </c>
      <c r="AC12" t="e">
        <f>AND(#REF!,"AAAAADb/9xw=")</f>
        <v>#REF!</v>
      </c>
      <c r="AD12" t="e">
        <f>AND(#REF!,"AAAAADb/9x0=")</f>
        <v>#REF!</v>
      </c>
      <c r="AE12" t="e">
        <f>AND(#REF!,"AAAAADb/9x4=")</f>
        <v>#REF!</v>
      </c>
      <c r="AF12" t="e">
        <f>AND(#REF!,"AAAAADb/9x8=")</f>
        <v>#REF!</v>
      </c>
      <c r="AG12" t="e">
        <f>AND(#REF!,"AAAAADb/9yA=")</f>
        <v>#REF!</v>
      </c>
      <c r="AH12" t="e">
        <f>AND(#REF!,"AAAAADb/9yE=")</f>
        <v>#REF!</v>
      </c>
      <c r="AI12" t="e">
        <f>AND(#REF!,"AAAAADb/9yI=")</f>
        <v>#REF!</v>
      </c>
      <c r="AJ12" t="e">
        <f>AND(#REF!,"AAAAADb/9yM=")</f>
        <v>#REF!</v>
      </c>
      <c r="AK12" t="e">
        <f>AND(#REF!,"AAAAADb/9yQ=")</f>
        <v>#REF!</v>
      </c>
      <c r="AL12" t="e">
        <f>AND(#REF!,"AAAAADb/9yU=")</f>
        <v>#REF!</v>
      </c>
      <c r="AM12" t="e">
        <f>AND(#REF!,"AAAAADb/9yY=")</f>
        <v>#REF!</v>
      </c>
      <c r="AN12" t="e">
        <f>AND(#REF!,"AAAAADb/9yc=")</f>
        <v>#REF!</v>
      </c>
      <c r="AO12" t="e">
        <f>AND(#REF!,"AAAAADb/9yg=")</f>
        <v>#REF!</v>
      </c>
      <c r="AP12" t="e">
        <f>AND(#REF!,"AAAAADb/9yk=")</f>
        <v>#REF!</v>
      </c>
      <c r="AQ12" t="e">
        <f>AND(#REF!,"AAAAADb/9yo=")</f>
        <v>#REF!</v>
      </c>
      <c r="AR12" t="e">
        <f>AND(#REF!,"AAAAADb/9ys=")</f>
        <v>#REF!</v>
      </c>
      <c r="AS12" t="e">
        <f>AND(#REF!,"AAAAADb/9yw=")</f>
        <v>#REF!</v>
      </c>
      <c r="AT12" t="e">
        <f>AND(#REF!,"AAAAADb/9y0=")</f>
        <v>#REF!</v>
      </c>
      <c r="AU12" t="e">
        <f>AND(#REF!,"AAAAADb/9y4=")</f>
        <v>#REF!</v>
      </c>
      <c r="AV12" t="e">
        <f>AND(#REF!,"AAAAADb/9y8=")</f>
        <v>#REF!</v>
      </c>
      <c r="AW12" t="e">
        <f>AND(#REF!,"AAAAADb/9zA=")</f>
        <v>#REF!</v>
      </c>
      <c r="AX12" t="e">
        <f>AND(#REF!,"AAAAADb/9zE=")</f>
        <v>#REF!</v>
      </c>
      <c r="AY12" t="e">
        <f>AND(#REF!,"AAAAADb/9zI=")</f>
        <v>#REF!</v>
      </c>
      <c r="AZ12" t="e">
        <f>AND(#REF!,"AAAAADb/9zM=")</f>
        <v>#REF!</v>
      </c>
      <c r="BA12" t="e">
        <f>AND(#REF!,"AAAAADb/9zQ=")</f>
        <v>#REF!</v>
      </c>
      <c r="BB12" t="e">
        <f>AND(#REF!,"AAAAADb/9zU=")</f>
        <v>#REF!</v>
      </c>
      <c r="BC12" t="e">
        <f>AND(#REF!,"AAAAADb/9zY=")</f>
        <v>#REF!</v>
      </c>
      <c r="BD12" t="e">
        <f>AND(#REF!,"AAAAADb/9zc=")</f>
        <v>#REF!</v>
      </c>
      <c r="BE12" t="e">
        <f>AND(#REF!,"AAAAADb/9zg=")</f>
        <v>#REF!</v>
      </c>
      <c r="BF12" t="e">
        <f>AND(#REF!,"AAAAADb/9zk=")</f>
        <v>#REF!</v>
      </c>
      <c r="BG12" t="e">
        <f>AND(#REF!,"AAAAADb/9zo=")</f>
        <v>#REF!</v>
      </c>
      <c r="BH12" t="e">
        <f>AND(#REF!,"AAAAADb/9zs=")</f>
        <v>#REF!</v>
      </c>
      <c r="BI12" t="e">
        <f>AND(#REF!,"AAAAADb/9zw=")</f>
        <v>#REF!</v>
      </c>
      <c r="BJ12" t="e">
        <f>AND(#REF!,"AAAAADb/9z0=")</f>
        <v>#REF!</v>
      </c>
      <c r="BK12" t="e">
        <f>AND(#REF!,"AAAAADb/9z4=")</f>
        <v>#REF!</v>
      </c>
      <c r="BL12" t="e">
        <f>AND(#REF!,"AAAAADb/9z8=")</f>
        <v>#REF!</v>
      </c>
      <c r="BM12" t="e">
        <f>AND(#REF!,"AAAAADb/90A=")</f>
        <v>#REF!</v>
      </c>
      <c r="BN12" t="e">
        <f>AND(#REF!,"AAAAADb/90E=")</f>
        <v>#REF!</v>
      </c>
      <c r="BO12" t="e">
        <f>AND(#REF!,"AAAAADb/90I=")</f>
        <v>#REF!</v>
      </c>
      <c r="BP12" t="e">
        <f>AND(#REF!,"AAAAADb/90M=")</f>
        <v>#REF!</v>
      </c>
      <c r="BQ12" t="e">
        <f>AND(#REF!,"AAAAADb/90Q=")</f>
        <v>#REF!</v>
      </c>
      <c r="BR12" t="e">
        <f>AND(#REF!,"AAAAADb/90U=")</f>
        <v>#REF!</v>
      </c>
      <c r="BS12" t="e">
        <f>AND(#REF!,"AAAAADb/90Y=")</f>
        <v>#REF!</v>
      </c>
      <c r="BT12" t="e">
        <f>AND(#REF!,"AAAAADb/90c=")</f>
        <v>#REF!</v>
      </c>
      <c r="BU12" t="e">
        <f>AND(#REF!,"AAAAADb/90g=")</f>
        <v>#REF!</v>
      </c>
      <c r="BV12" t="e">
        <f>AND(#REF!,"AAAAADb/90k=")</f>
        <v>#REF!</v>
      </c>
      <c r="BW12" t="e">
        <f>AND(#REF!,"AAAAADb/90o=")</f>
        <v>#REF!</v>
      </c>
      <c r="BX12" t="e">
        <f>AND(#REF!,"AAAAADb/90s=")</f>
        <v>#REF!</v>
      </c>
      <c r="BY12" t="e">
        <f>AND(#REF!,"AAAAADb/90w=")</f>
        <v>#REF!</v>
      </c>
      <c r="BZ12" t="e">
        <f>AND(#REF!,"AAAAADb/900=")</f>
        <v>#REF!</v>
      </c>
      <c r="CA12" t="e">
        <f>AND(#REF!,"AAAAADb/904=")</f>
        <v>#REF!</v>
      </c>
      <c r="CB12" t="e">
        <f>AND(#REF!,"AAAAADb/908=")</f>
        <v>#REF!</v>
      </c>
      <c r="CC12" t="e">
        <f>AND(#REF!,"AAAAADb/91A=")</f>
        <v>#REF!</v>
      </c>
      <c r="CD12" t="e">
        <f>AND(#REF!,"AAAAADb/91E=")</f>
        <v>#REF!</v>
      </c>
      <c r="CE12" t="e">
        <f>AND(#REF!,"AAAAADb/91I=")</f>
        <v>#REF!</v>
      </c>
      <c r="CF12" t="e">
        <f>AND(#REF!,"AAAAADb/91M=")</f>
        <v>#REF!</v>
      </c>
      <c r="CG12" t="e">
        <f>AND(#REF!,"AAAAADb/91Q=")</f>
        <v>#REF!</v>
      </c>
      <c r="CH12" t="e">
        <f>AND(#REF!,"AAAAADb/91U=")</f>
        <v>#REF!</v>
      </c>
      <c r="CI12" t="e">
        <f>AND(#REF!,"AAAAADb/91Y=")</f>
        <v>#REF!</v>
      </c>
      <c r="CJ12" t="e">
        <f>AND(#REF!,"AAAAADb/91c=")</f>
        <v>#REF!</v>
      </c>
      <c r="CK12" t="e">
        <f>AND(#REF!,"AAAAADb/91g=")</f>
        <v>#REF!</v>
      </c>
      <c r="CL12" t="e">
        <f>AND(#REF!,"AAAAADb/91k=")</f>
        <v>#REF!</v>
      </c>
      <c r="CM12" t="e">
        <f>AND(#REF!,"AAAAADb/91o=")</f>
        <v>#REF!</v>
      </c>
      <c r="CN12" t="e">
        <f>AND(#REF!,"AAAAADb/91s=")</f>
        <v>#REF!</v>
      </c>
      <c r="CO12" t="e">
        <f>AND(#REF!,"AAAAADb/91w=")</f>
        <v>#REF!</v>
      </c>
      <c r="CP12" t="e">
        <f>AND(#REF!,"AAAAADb/910=")</f>
        <v>#REF!</v>
      </c>
      <c r="CQ12" t="e">
        <f>AND(#REF!,"AAAAADb/914=")</f>
        <v>#REF!</v>
      </c>
      <c r="CR12" t="e">
        <f>AND(#REF!,"AAAAADb/918=")</f>
        <v>#REF!</v>
      </c>
      <c r="CS12" t="e">
        <f>AND(#REF!,"AAAAADb/92A=")</f>
        <v>#REF!</v>
      </c>
      <c r="CT12" t="e">
        <f>IF(#REF!,"AAAAADb/92E=",0)</f>
        <v>#REF!</v>
      </c>
      <c r="CU12" t="e">
        <f>AND(#REF!,"AAAAADb/92I=")</f>
        <v>#REF!</v>
      </c>
      <c r="CV12" t="e">
        <f>AND(#REF!,"AAAAADb/92M=")</f>
        <v>#REF!</v>
      </c>
      <c r="CW12" t="e">
        <f>AND(#REF!,"AAAAADb/92Q=")</f>
        <v>#REF!</v>
      </c>
      <c r="CX12" t="e">
        <f>AND(#REF!,"AAAAADb/92U=")</f>
        <v>#REF!</v>
      </c>
      <c r="CY12" t="e">
        <f>AND(#REF!,"AAAAADb/92Y=")</f>
        <v>#REF!</v>
      </c>
      <c r="CZ12" t="e">
        <f>AND(#REF!,"AAAAADb/92c=")</f>
        <v>#REF!</v>
      </c>
      <c r="DA12" t="e">
        <f>AND(#REF!,"AAAAADb/92g=")</f>
        <v>#REF!</v>
      </c>
      <c r="DB12" t="e">
        <f>AND(#REF!,"AAAAADb/92k=")</f>
        <v>#REF!</v>
      </c>
      <c r="DC12" t="e">
        <f>AND(#REF!,"AAAAADb/92o=")</f>
        <v>#REF!</v>
      </c>
      <c r="DD12" t="e">
        <f>AND(#REF!,"AAAAADb/92s=")</f>
        <v>#REF!</v>
      </c>
      <c r="DE12" t="e">
        <f>AND(#REF!,"AAAAADb/92w=")</f>
        <v>#REF!</v>
      </c>
      <c r="DF12" t="e">
        <f>AND(#REF!,"AAAAADb/920=")</f>
        <v>#REF!</v>
      </c>
      <c r="DG12" t="e">
        <f>AND(#REF!,"AAAAADb/924=")</f>
        <v>#REF!</v>
      </c>
      <c r="DH12" t="e">
        <f>AND(#REF!,"AAAAADb/928=")</f>
        <v>#REF!</v>
      </c>
      <c r="DI12" t="e">
        <f>AND(#REF!,"AAAAADb/93A=")</f>
        <v>#REF!</v>
      </c>
      <c r="DJ12" t="e">
        <f>AND(#REF!,"AAAAADb/93E=")</f>
        <v>#REF!</v>
      </c>
      <c r="DK12" t="e">
        <f>AND(#REF!,"AAAAADb/93I=")</f>
        <v>#REF!</v>
      </c>
      <c r="DL12" t="e">
        <f>AND(#REF!,"AAAAADb/93M=")</f>
        <v>#REF!</v>
      </c>
      <c r="DM12" t="e">
        <f>AND(#REF!,"AAAAADb/93Q=")</f>
        <v>#REF!</v>
      </c>
      <c r="DN12" t="e">
        <f>AND(#REF!,"AAAAADb/93U=")</f>
        <v>#REF!</v>
      </c>
      <c r="DO12" t="e">
        <f>AND(#REF!,"AAAAADb/93Y=")</f>
        <v>#REF!</v>
      </c>
      <c r="DP12" t="e">
        <f>AND(#REF!,"AAAAADb/93c=")</f>
        <v>#REF!</v>
      </c>
      <c r="DQ12" t="e">
        <f>AND(#REF!,"AAAAADb/93g=")</f>
        <v>#REF!</v>
      </c>
      <c r="DR12" t="e">
        <f>AND(#REF!,"AAAAADb/93k=")</f>
        <v>#REF!</v>
      </c>
      <c r="DS12" t="e">
        <f>AND(#REF!,"AAAAADb/93o=")</f>
        <v>#REF!</v>
      </c>
      <c r="DT12" t="e">
        <f>AND(#REF!,"AAAAADb/93s=")</f>
        <v>#REF!</v>
      </c>
      <c r="DU12" t="e">
        <f>AND(#REF!,"AAAAADb/93w=")</f>
        <v>#REF!</v>
      </c>
      <c r="DV12" t="e">
        <f>AND(#REF!,"AAAAADb/930=")</f>
        <v>#REF!</v>
      </c>
      <c r="DW12" t="e">
        <f>AND(#REF!,"AAAAADb/934=")</f>
        <v>#REF!</v>
      </c>
      <c r="DX12" t="e">
        <f>AND(#REF!,"AAAAADb/938=")</f>
        <v>#REF!</v>
      </c>
      <c r="DY12" t="e">
        <f>AND(#REF!,"AAAAADb/94A=")</f>
        <v>#REF!</v>
      </c>
      <c r="DZ12" t="e">
        <f>AND(#REF!,"AAAAADb/94E=")</f>
        <v>#REF!</v>
      </c>
      <c r="EA12" t="e">
        <f>AND(#REF!,"AAAAADb/94I=")</f>
        <v>#REF!</v>
      </c>
      <c r="EB12" t="e">
        <f>AND(#REF!,"AAAAADb/94M=")</f>
        <v>#REF!</v>
      </c>
      <c r="EC12" t="e">
        <f>AND(#REF!,"AAAAADb/94Q=")</f>
        <v>#REF!</v>
      </c>
      <c r="ED12" t="e">
        <f>AND(#REF!,"AAAAADb/94U=")</f>
        <v>#REF!</v>
      </c>
      <c r="EE12" t="e">
        <f>AND(#REF!,"AAAAADb/94Y=")</f>
        <v>#REF!</v>
      </c>
      <c r="EF12" t="e">
        <f>AND(#REF!,"AAAAADb/94c=")</f>
        <v>#REF!</v>
      </c>
      <c r="EG12" t="e">
        <f>AND(#REF!,"AAAAADb/94g=")</f>
        <v>#REF!</v>
      </c>
      <c r="EH12" t="e">
        <f>AND(#REF!,"AAAAADb/94k=")</f>
        <v>#REF!</v>
      </c>
      <c r="EI12" t="e">
        <f>AND(#REF!,"AAAAADb/94o=")</f>
        <v>#REF!</v>
      </c>
      <c r="EJ12" t="e">
        <f>AND(#REF!,"AAAAADb/94s=")</f>
        <v>#REF!</v>
      </c>
      <c r="EK12" t="e">
        <f>AND(#REF!,"AAAAADb/94w=")</f>
        <v>#REF!</v>
      </c>
      <c r="EL12" t="e">
        <f>AND(#REF!,"AAAAADb/940=")</f>
        <v>#REF!</v>
      </c>
      <c r="EM12" t="e">
        <f>AND(#REF!,"AAAAADb/944=")</f>
        <v>#REF!</v>
      </c>
      <c r="EN12" t="e">
        <f>AND(#REF!,"AAAAADb/948=")</f>
        <v>#REF!</v>
      </c>
      <c r="EO12" t="e">
        <f>AND(#REF!,"AAAAADb/95A=")</f>
        <v>#REF!</v>
      </c>
      <c r="EP12" t="e">
        <f>AND(#REF!,"AAAAADb/95E=")</f>
        <v>#REF!</v>
      </c>
      <c r="EQ12" t="e">
        <f>AND(#REF!,"AAAAADb/95I=")</f>
        <v>#REF!</v>
      </c>
      <c r="ER12" t="e">
        <f>AND(#REF!,"AAAAADb/95M=")</f>
        <v>#REF!</v>
      </c>
      <c r="ES12" t="e">
        <f>AND(#REF!,"AAAAADb/95Q=")</f>
        <v>#REF!</v>
      </c>
      <c r="ET12" t="e">
        <f>AND(#REF!,"AAAAADb/95U=")</f>
        <v>#REF!</v>
      </c>
      <c r="EU12" t="e">
        <f>AND(#REF!,"AAAAADb/95Y=")</f>
        <v>#REF!</v>
      </c>
      <c r="EV12" t="e">
        <f>AND(#REF!,"AAAAADb/95c=")</f>
        <v>#REF!</v>
      </c>
      <c r="EW12" t="e">
        <f>AND(#REF!,"AAAAADb/95g=")</f>
        <v>#REF!</v>
      </c>
      <c r="EX12" t="e">
        <f>AND(#REF!,"AAAAADb/95k=")</f>
        <v>#REF!</v>
      </c>
      <c r="EY12" t="e">
        <f>AND(#REF!,"AAAAADb/95o=")</f>
        <v>#REF!</v>
      </c>
      <c r="EZ12" t="e">
        <f>AND(#REF!,"AAAAADb/95s=")</f>
        <v>#REF!</v>
      </c>
      <c r="FA12" t="e">
        <f>AND(#REF!,"AAAAADb/95w=")</f>
        <v>#REF!</v>
      </c>
      <c r="FB12" t="e">
        <f>AND(#REF!,"AAAAADb/950=")</f>
        <v>#REF!</v>
      </c>
      <c r="FC12" t="e">
        <f>AND(#REF!,"AAAAADb/954=")</f>
        <v>#REF!</v>
      </c>
      <c r="FD12" t="e">
        <f>AND(#REF!,"AAAAADb/958=")</f>
        <v>#REF!</v>
      </c>
      <c r="FE12" t="e">
        <f>AND(#REF!,"AAAAADb/96A=")</f>
        <v>#REF!</v>
      </c>
      <c r="FF12" t="e">
        <f>AND(#REF!,"AAAAADb/96E=")</f>
        <v>#REF!</v>
      </c>
      <c r="FG12" t="e">
        <f>AND(#REF!,"AAAAADb/96I=")</f>
        <v>#REF!</v>
      </c>
      <c r="FH12" t="e">
        <f>AND(#REF!,"AAAAADb/96M=")</f>
        <v>#REF!</v>
      </c>
      <c r="FI12" t="e">
        <f>AND(#REF!,"AAAAADb/96Q=")</f>
        <v>#REF!</v>
      </c>
      <c r="FJ12" t="e">
        <f>AND(#REF!,"AAAAADb/96U=")</f>
        <v>#REF!</v>
      </c>
      <c r="FK12" t="e">
        <f>AND(#REF!,"AAAAADb/96Y=")</f>
        <v>#REF!</v>
      </c>
      <c r="FL12" t="e">
        <f>AND(#REF!,"AAAAADb/96c=")</f>
        <v>#REF!</v>
      </c>
      <c r="FM12" t="e">
        <f>AND(#REF!,"AAAAADb/96g=")</f>
        <v>#REF!</v>
      </c>
      <c r="FN12" t="e">
        <f>AND(#REF!,"AAAAADb/96k=")</f>
        <v>#REF!</v>
      </c>
      <c r="FO12" t="e">
        <f>AND(#REF!,"AAAAADb/96o=")</f>
        <v>#REF!</v>
      </c>
      <c r="FP12" t="e">
        <f>AND(#REF!,"AAAAADb/96s=")</f>
        <v>#REF!</v>
      </c>
      <c r="FQ12" t="e">
        <f>AND(#REF!,"AAAAADb/96w=")</f>
        <v>#REF!</v>
      </c>
      <c r="FR12" t="e">
        <f>AND(#REF!,"AAAAADb/960=")</f>
        <v>#REF!</v>
      </c>
      <c r="FS12" t="e">
        <f>AND(#REF!,"AAAAADb/964=")</f>
        <v>#REF!</v>
      </c>
      <c r="FT12" t="e">
        <f>AND(#REF!,"AAAAADb/968=")</f>
        <v>#REF!</v>
      </c>
      <c r="FU12" t="e">
        <f>AND(#REF!,"AAAAADb/97A=")</f>
        <v>#REF!</v>
      </c>
      <c r="FV12" t="e">
        <f>AND(#REF!,"AAAAADb/97E=")</f>
        <v>#REF!</v>
      </c>
      <c r="FW12" t="e">
        <f>AND(#REF!,"AAAAADb/97I=")</f>
        <v>#REF!</v>
      </c>
      <c r="FX12" t="e">
        <f>AND(#REF!,"AAAAADb/97M=")</f>
        <v>#REF!</v>
      </c>
      <c r="FY12" t="e">
        <f>AND(#REF!,"AAAAADb/97Q=")</f>
        <v>#REF!</v>
      </c>
      <c r="FZ12" t="e">
        <f>AND(#REF!,"AAAAADb/97U=")</f>
        <v>#REF!</v>
      </c>
      <c r="GA12" t="e">
        <f>AND(#REF!,"AAAAADb/97Y=")</f>
        <v>#REF!</v>
      </c>
      <c r="GB12" t="e">
        <f>AND(#REF!,"AAAAADb/97c=")</f>
        <v>#REF!</v>
      </c>
      <c r="GC12" t="e">
        <f>AND(#REF!,"AAAAADb/97g=")</f>
        <v>#REF!</v>
      </c>
      <c r="GD12" t="e">
        <f>AND(#REF!,"AAAAADb/97k=")</f>
        <v>#REF!</v>
      </c>
      <c r="GE12" t="e">
        <f>AND(#REF!,"AAAAADb/97o=")</f>
        <v>#REF!</v>
      </c>
      <c r="GF12" t="e">
        <f>AND(#REF!,"AAAAADb/97s=")</f>
        <v>#REF!</v>
      </c>
      <c r="GG12" t="e">
        <f>AND(#REF!,"AAAAADb/97w=")</f>
        <v>#REF!</v>
      </c>
      <c r="GH12" t="e">
        <f>AND(#REF!,"AAAAADb/970=")</f>
        <v>#REF!</v>
      </c>
      <c r="GI12" t="e">
        <f>AND(#REF!,"AAAAADb/974=")</f>
        <v>#REF!</v>
      </c>
      <c r="GJ12" t="e">
        <f>AND(#REF!,"AAAAADb/978=")</f>
        <v>#REF!</v>
      </c>
      <c r="GK12" t="e">
        <f>AND(#REF!,"AAAAADb/98A=")</f>
        <v>#REF!</v>
      </c>
      <c r="GL12" t="e">
        <f>AND(#REF!,"AAAAADb/98E=")</f>
        <v>#REF!</v>
      </c>
      <c r="GM12" t="e">
        <f>AND(#REF!,"AAAAADb/98I=")</f>
        <v>#REF!</v>
      </c>
      <c r="GN12" t="e">
        <f>AND(#REF!,"AAAAADb/98M=")</f>
        <v>#REF!</v>
      </c>
      <c r="GO12" t="e">
        <f>AND(#REF!,"AAAAADb/98Q=")</f>
        <v>#REF!</v>
      </c>
      <c r="GP12" t="e">
        <f>AND(#REF!,"AAAAADb/98U=")</f>
        <v>#REF!</v>
      </c>
      <c r="GQ12" t="e">
        <f>AND(#REF!,"AAAAADb/98Y=")</f>
        <v>#REF!</v>
      </c>
      <c r="GR12" t="e">
        <f>AND(#REF!,"AAAAADb/98c=")</f>
        <v>#REF!</v>
      </c>
      <c r="GS12" t="e">
        <f>AND(#REF!,"AAAAADb/98g=")</f>
        <v>#REF!</v>
      </c>
      <c r="GT12" t="e">
        <f>AND(#REF!,"AAAAADb/98k=")</f>
        <v>#REF!</v>
      </c>
      <c r="GU12" t="e">
        <f>AND(#REF!,"AAAAADb/98o=")</f>
        <v>#REF!</v>
      </c>
      <c r="GV12" t="e">
        <f>AND(#REF!,"AAAAADb/98s=")</f>
        <v>#REF!</v>
      </c>
      <c r="GW12" t="e">
        <f>AND(#REF!,"AAAAADb/98w=")</f>
        <v>#REF!</v>
      </c>
      <c r="GX12" t="e">
        <f>AND(#REF!,"AAAAADb/980=")</f>
        <v>#REF!</v>
      </c>
      <c r="GY12" t="e">
        <f>AND(#REF!,"AAAAADb/984=")</f>
        <v>#REF!</v>
      </c>
      <c r="GZ12" t="e">
        <f>AND(#REF!,"AAAAADb/988=")</f>
        <v>#REF!</v>
      </c>
      <c r="HA12" t="e">
        <f>AND(#REF!,"AAAAADb/99A=")</f>
        <v>#REF!</v>
      </c>
      <c r="HB12" t="e">
        <f>AND(#REF!,"AAAAADb/99E=")</f>
        <v>#REF!</v>
      </c>
      <c r="HC12" t="e">
        <f>AND(#REF!,"AAAAADb/99I=")</f>
        <v>#REF!</v>
      </c>
      <c r="HD12" t="e">
        <f>AND(#REF!,"AAAAADb/99M=")</f>
        <v>#REF!</v>
      </c>
      <c r="HE12" t="e">
        <f>AND(#REF!,"AAAAADb/99Q=")</f>
        <v>#REF!</v>
      </c>
      <c r="HF12" t="e">
        <f>AND(#REF!,"AAAAADb/99U=")</f>
        <v>#REF!</v>
      </c>
      <c r="HG12" t="e">
        <f>AND(#REF!,"AAAAADb/99Y=")</f>
        <v>#REF!</v>
      </c>
      <c r="HH12" t="e">
        <f>AND(#REF!,"AAAAADb/99c=")</f>
        <v>#REF!</v>
      </c>
      <c r="HI12" t="e">
        <f>AND(#REF!,"AAAAADb/99g=")</f>
        <v>#REF!</v>
      </c>
      <c r="HJ12" t="e">
        <f>AND(#REF!,"AAAAADb/99k=")</f>
        <v>#REF!</v>
      </c>
      <c r="HK12" t="e">
        <f>AND(#REF!,"AAAAADb/99o=")</f>
        <v>#REF!</v>
      </c>
      <c r="HL12" t="e">
        <f>AND(#REF!,"AAAAADb/99s=")</f>
        <v>#REF!</v>
      </c>
      <c r="HM12" t="e">
        <f>AND(#REF!,"AAAAADb/99w=")</f>
        <v>#REF!</v>
      </c>
      <c r="HN12" t="e">
        <f>AND(#REF!,"AAAAADb/990=")</f>
        <v>#REF!</v>
      </c>
      <c r="HO12" t="e">
        <f>AND(#REF!,"AAAAADb/994=")</f>
        <v>#REF!</v>
      </c>
      <c r="HP12" t="e">
        <f>AND(#REF!,"AAAAADb/998=")</f>
        <v>#REF!</v>
      </c>
      <c r="HQ12" t="e">
        <f>AND(#REF!,"AAAAADb/9+A=")</f>
        <v>#REF!</v>
      </c>
      <c r="HR12" t="e">
        <f>AND(#REF!,"AAAAADb/9+E=")</f>
        <v>#REF!</v>
      </c>
      <c r="HS12" t="e">
        <f>AND(#REF!,"AAAAADb/9+I=")</f>
        <v>#REF!</v>
      </c>
      <c r="HT12" t="e">
        <f>AND(#REF!,"AAAAADb/9+M=")</f>
        <v>#REF!</v>
      </c>
      <c r="HU12" t="e">
        <f>AND(#REF!,"AAAAADb/9+Q=")</f>
        <v>#REF!</v>
      </c>
      <c r="HV12" t="e">
        <f>AND(#REF!,"AAAAADb/9+U=")</f>
        <v>#REF!</v>
      </c>
      <c r="HW12" t="e">
        <f>AND(#REF!,"AAAAADb/9+Y=")</f>
        <v>#REF!</v>
      </c>
      <c r="HX12" t="e">
        <f>AND(#REF!,"AAAAADb/9+c=")</f>
        <v>#REF!</v>
      </c>
      <c r="HY12" t="e">
        <f>AND(#REF!,"AAAAADb/9+g=")</f>
        <v>#REF!</v>
      </c>
      <c r="HZ12" t="e">
        <f>AND(#REF!,"AAAAADb/9+k=")</f>
        <v>#REF!</v>
      </c>
      <c r="IA12" t="e">
        <f>AND(#REF!,"AAAAADb/9+o=")</f>
        <v>#REF!</v>
      </c>
      <c r="IB12" t="e">
        <f>AND(#REF!,"AAAAADb/9+s=")</f>
        <v>#REF!</v>
      </c>
      <c r="IC12" t="e">
        <f>AND(#REF!,"AAAAADb/9+w=")</f>
        <v>#REF!</v>
      </c>
      <c r="ID12" t="e">
        <f>AND(#REF!,"AAAAADb/9+0=")</f>
        <v>#REF!</v>
      </c>
      <c r="IE12" t="e">
        <f>AND(#REF!,"AAAAADb/9+4=")</f>
        <v>#REF!</v>
      </c>
      <c r="IF12" t="e">
        <f>AND(#REF!,"AAAAADb/9+8=")</f>
        <v>#REF!</v>
      </c>
      <c r="IG12" t="e">
        <f>AND(#REF!,"AAAAADb/9/A=")</f>
        <v>#REF!</v>
      </c>
      <c r="IH12" t="e">
        <f>AND(#REF!,"AAAAADb/9/E=")</f>
        <v>#REF!</v>
      </c>
      <c r="II12" t="e">
        <f>AND(#REF!,"AAAAADb/9/I=")</f>
        <v>#REF!</v>
      </c>
      <c r="IJ12" t="e">
        <f>AND(#REF!,"AAAAADb/9/M=")</f>
        <v>#REF!</v>
      </c>
      <c r="IK12" t="e">
        <f>AND(#REF!,"AAAAADb/9/Q=")</f>
        <v>#REF!</v>
      </c>
      <c r="IL12" t="e">
        <f>AND(#REF!,"AAAAADb/9/U=")</f>
        <v>#REF!</v>
      </c>
      <c r="IM12" t="e">
        <f>AND(#REF!,"AAAAADb/9/Y=")</f>
        <v>#REF!</v>
      </c>
      <c r="IN12" t="e">
        <f>AND(#REF!,"AAAAADb/9/c=")</f>
        <v>#REF!</v>
      </c>
      <c r="IO12" t="e">
        <f>AND(#REF!,"AAAAADb/9/g=")</f>
        <v>#REF!</v>
      </c>
      <c r="IP12" t="e">
        <f>AND(#REF!,"AAAAADb/9/k=")</f>
        <v>#REF!</v>
      </c>
      <c r="IQ12" t="e">
        <f>AND(#REF!,"AAAAADb/9/o=")</f>
        <v>#REF!</v>
      </c>
      <c r="IR12" t="e">
        <f>AND(#REF!,"AAAAADb/9/s=")</f>
        <v>#REF!</v>
      </c>
      <c r="IS12" t="e">
        <f>AND(#REF!,"AAAAADb/9/w=")</f>
        <v>#REF!</v>
      </c>
      <c r="IT12" t="e">
        <f>AND(#REF!,"AAAAADb/9/0=")</f>
        <v>#REF!</v>
      </c>
      <c r="IU12" t="e">
        <f>AND(#REF!,"AAAAADb/9/4=")</f>
        <v>#REF!</v>
      </c>
      <c r="IV12" t="e">
        <f>AND(#REF!,"AAAAADb/9/8=")</f>
        <v>#REF!</v>
      </c>
    </row>
    <row r="13" spans="1:256" x14ac:dyDescent="0.2">
      <c r="A13" t="e">
        <f>AND(#REF!,"AAAAABv/+gA=")</f>
        <v>#REF!</v>
      </c>
      <c r="B13" t="e">
        <f>AND(#REF!,"AAAAABv/+gE=")</f>
        <v>#REF!</v>
      </c>
      <c r="C13" t="e">
        <f>AND(#REF!,"AAAAABv/+gI=")</f>
        <v>#REF!</v>
      </c>
      <c r="D13" t="e">
        <f>AND(#REF!,"AAAAABv/+gM=")</f>
        <v>#REF!</v>
      </c>
      <c r="E13" t="e">
        <f>AND(#REF!,"AAAAABv/+gQ=")</f>
        <v>#REF!</v>
      </c>
      <c r="F13" t="e">
        <f>AND(#REF!,"AAAAABv/+gU=")</f>
        <v>#REF!</v>
      </c>
      <c r="G13" t="e">
        <f>AND(#REF!,"AAAAABv/+gY=")</f>
        <v>#REF!</v>
      </c>
      <c r="H13" t="e">
        <f>AND(#REF!,"AAAAABv/+gc=")</f>
        <v>#REF!</v>
      </c>
      <c r="I13" t="e">
        <f>AND(#REF!,"AAAAABv/+gg=")</f>
        <v>#REF!</v>
      </c>
      <c r="J13" t="e">
        <f>AND(#REF!,"AAAAABv/+gk=")</f>
        <v>#REF!</v>
      </c>
      <c r="K13" t="e">
        <f>AND(#REF!,"AAAAABv/+go=")</f>
        <v>#REF!</v>
      </c>
      <c r="L13" t="e">
        <f>AND(#REF!,"AAAAABv/+gs=")</f>
        <v>#REF!</v>
      </c>
      <c r="M13" t="e">
        <f>AND(#REF!,"AAAAABv/+gw=")</f>
        <v>#REF!</v>
      </c>
      <c r="N13" t="e">
        <f>AND(#REF!,"AAAAABv/+g0=")</f>
        <v>#REF!</v>
      </c>
      <c r="O13" t="e">
        <f>AND(#REF!,"AAAAABv/+g4=")</f>
        <v>#REF!</v>
      </c>
      <c r="P13" t="e">
        <f>AND(#REF!,"AAAAABv/+g8=")</f>
        <v>#REF!</v>
      </c>
      <c r="Q13" t="e">
        <f>AND(#REF!,"AAAAABv/+hA=")</f>
        <v>#REF!</v>
      </c>
      <c r="R13" t="e">
        <f>AND(#REF!,"AAAAABv/+hE=")</f>
        <v>#REF!</v>
      </c>
      <c r="S13" t="e">
        <f>AND(#REF!,"AAAAABv/+hI=")</f>
        <v>#REF!</v>
      </c>
      <c r="T13" t="e">
        <f>AND(#REF!,"AAAAABv/+hM=")</f>
        <v>#REF!</v>
      </c>
      <c r="U13" t="e">
        <f>AND(#REF!,"AAAAABv/+hQ=")</f>
        <v>#REF!</v>
      </c>
      <c r="V13" t="e">
        <f>AND(#REF!,"AAAAABv/+hU=")</f>
        <v>#REF!</v>
      </c>
      <c r="W13" t="e">
        <f>IF(#REF!,"AAAAABv/+hY=",0)</f>
        <v>#REF!</v>
      </c>
      <c r="X13" t="e">
        <f>AND(#REF!,"AAAAABv/+hc=")</f>
        <v>#REF!</v>
      </c>
      <c r="Y13" t="e">
        <f>AND(#REF!,"AAAAABv/+hg=")</f>
        <v>#REF!</v>
      </c>
      <c r="Z13" t="e">
        <f>AND(#REF!,"AAAAABv/+hk=")</f>
        <v>#REF!</v>
      </c>
      <c r="AA13" t="e">
        <f>AND(#REF!,"AAAAABv/+ho=")</f>
        <v>#REF!</v>
      </c>
      <c r="AB13" t="e">
        <f>AND(#REF!,"AAAAABv/+hs=")</f>
        <v>#REF!</v>
      </c>
      <c r="AC13" t="e">
        <f>AND(#REF!,"AAAAABv/+hw=")</f>
        <v>#REF!</v>
      </c>
      <c r="AD13" t="e">
        <f>AND(#REF!,"AAAAABv/+h0=")</f>
        <v>#REF!</v>
      </c>
      <c r="AE13" t="e">
        <f>AND(#REF!,"AAAAABv/+h4=")</f>
        <v>#REF!</v>
      </c>
      <c r="AF13" t="e">
        <f>AND(#REF!,"AAAAABv/+h8=")</f>
        <v>#REF!</v>
      </c>
      <c r="AG13" t="e">
        <f>AND(#REF!,"AAAAABv/+iA=")</f>
        <v>#REF!</v>
      </c>
      <c r="AH13" t="e">
        <f>AND(#REF!,"AAAAABv/+iE=")</f>
        <v>#REF!</v>
      </c>
      <c r="AI13" t="e">
        <f>AND(#REF!,"AAAAABv/+iI=")</f>
        <v>#REF!</v>
      </c>
      <c r="AJ13" t="e">
        <f>AND(#REF!,"AAAAABv/+iM=")</f>
        <v>#REF!</v>
      </c>
      <c r="AK13" t="e">
        <f>AND(#REF!,"AAAAABv/+iQ=")</f>
        <v>#REF!</v>
      </c>
      <c r="AL13" t="e">
        <f>AND(#REF!,"AAAAABv/+iU=")</f>
        <v>#REF!</v>
      </c>
      <c r="AM13" t="e">
        <f>AND(#REF!,"AAAAABv/+iY=")</f>
        <v>#REF!</v>
      </c>
      <c r="AN13" t="e">
        <f>AND(#REF!,"AAAAABv/+ic=")</f>
        <v>#REF!</v>
      </c>
      <c r="AO13" t="e">
        <f>AND(#REF!,"AAAAABv/+ig=")</f>
        <v>#REF!</v>
      </c>
      <c r="AP13" t="e">
        <f>AND(#REF!,"AAAAABv/+ik=")</f>
        <v>#REF!</v>
      </c>
      <c r="AQ13" t="e">
        <f>AND(#REF!,"AAAAABv/+io=")</f>
        <v>#REF!</v>
      </c>
      <c r="AR13" t="e">
        <f>AND(#REF!,"AAAAABv/+is=")</f>
        <v>#REF!</v>
      </c>
      <c r="AS13" t="e">
        <f>AND(#REF!,"AAAAABv/+iw=")</f>
        <v>#REF!</v>
      </c>
      <c r="AT13" t="e">
        <f>AND(#REF!,"AAAAABv/+i0=")</f>
        <v>#REF!</v>
      </c>
      <c r="AU13" t="e">
        <f>AND(#REF!,"AAAAABv/+i4=")</f>
        <v>#REF!</v>
      </c>
      <c r="AV13" t="e">
        <f>AND(#REF!,"AAAAABv/+i8=")</f>
        <v>#REF!</v>
      </c>
      <c r="AW13" t="e">
        <f>AND(#REF!,"AAAAABv/+jA=")</f>
        <v>#REF!</v>
      </c>
      <c r="AX13" t="e">
        <f>AND(#REF!,"AAAAABv/+jE=")</f>
        <v>#REF!</v>
      </c>
      <c r="AY13" t="e">
        <f>AND(#REF!,"AAAAABv/+jI=")</f>
        <v>#REF!</v>
      </c>
      <c r="AZ13" t="e">
        <f>AND(#REF!,"AAAAABv/+jM=")</f>
        <v>#REF!</v>
      </c>
      <c r="BA13" t="e">
        <f>AND(#REF!,"AAAAABv/+jQ=")</f>
        <v>#REF!</v>
      </c>
      <c r="BB13" t="e">
        <f>AND(#REF!,"AAAAABv/+jU=")</f>
        <v>#REF!</v>
      </c>
      <c r="BC13" t="e">
        <f>AND(#REF!,"AAAAABv/+jY=")</f>
        <v>#REF!</v>
      </c>
      <c r="BD13" t="e">
        <f>AND(#REF!,"AAAAABv/+jc=")</f>
        <v>#REF!</v>
      </c>
      <c r="BE13" t="e">
        <f>AND(#REF!,"AAAAABv/+jg=")</f>
        <v>#REF!</v>
      </c>
      <c r="BF13" t="e">
        <f>AND(#REF!,"AAAAABv/+jk=")</f>
        <v>#REF!</v>
      </c>
      <c r="BG13" t="e">
        <f>AND(#REF!,"AAAAABv/+jo=")</f>
        <v>#REF!</v>
      </c>
      <c r="BH13" t="e">
        <f>AND(#REF!,"AAAAABv/+js=")</f>
        <v>#REF!</v>
      </c>
      <c r="BI13" t="e">
        <f>AND(#REF!,"AAAAABv/+jw=")</f>
        <v>#REF!</v>
      </c>
      <c r="BJ13" t="e">
        <f>AND(#REF!,"AAAAABv/+j0=")</f>
        <v>#REF!</v>
      </c>
      <c r="BK13" t="e">
        <f>AND(#REF!,"AAAAABv/+j4=")</f>
        <v>#REF!</v>
      </c>
      <c r="BL13" t="e">
        <f>AND(#REF!,"AAAAABv/+j8=")</f>
        <v>#REF!</v>
      </c>
      <c r="BM13" t="e">
        <f>AND(#REF!,"AAAAABv/+kA=")</f>
        <v>#REF!</v>
      </c>
      <c r="BN13" t="e">
        <f>AND(#REF!,"AAAAABv/+kE=")</f>
        <v>#REF!</v>
      </c>
      <c r="BO13" t="e">
        <f>AND(#REF!,"AAAAABv/+kI=")</f>
        <v>#REF!</v>
      </c>
      <c r="BP13" t="e">
        <f>AND(#REF!,"AAAAABv/+kM=")</f>
        <v>#REF!</v>
      </c>
      <c r="BQ13" t="e">
        <f>AND(#REF!,"AAAAABv/+kQ=")</f>
        <v>#REF!</v>
      </c>
      <c r="BR13" t="e">
        <f>AND(#REF!,"AAAAABv/+kU=")</f>
        <v>#REF!</v>
      </c>
      <c r="BS13" t="e">
        <f>AND(#REF!,"AAAAABv/+kY=")</f>
        <v>#REF!</v>
      </c>
      <c r="BT13" t="e">
        <f>AND(#REF!,"AAAAABv/+kc=")</f>
        <v>#REF!</v>
      </c>
      <c r="BU13" t="e">
        <f>AND(#REF!,"AAAAABv/+kg=")</f>
        <v>#REF!</v>
      </c>
      <c r="BV13" t="e">
        <f>AND(#REF!,"AAAAABv/+kk=")</f>
        <v>#REF!</v>
      </c>
      <c r="BW13" t="e">
        <f>AND(#REF!,"AAAAABv/+ko=")</f>
        <v>#REF!</v>
      </c>
      <c r="BX13" t="e">
        <f>AND(#REF!,"AAAAABv/+ks=")</f>
        <v>#REF!</v>
      </c>
      <c r="BY13" t="e">
        <f>AND(#REF!,"AAAAABv/+kw=")</f>
        <v>#REF!</v>
      </c>
      <c r="BZ13" t="e">
        <f>AND(#REF!,"AAAAABv/+k0=")</f>
        <v>#REF!</v>
      </c>
      <c r="CA13" t="e">
        <f>AND(#REF!,"AAAAABv/+k4=")</f>
        <v>#REF!</v>
      </c>
      <c r="CB13" t="e">
        <f>AND(#REF!,"AAAAABv/+k8=")</f>
        <v>#REF!</v>
      </c>
      <c r="CC13" t="e">
        <f>AND(#REF!,"AAAAABv/+lA=")</f>
        <v>#REF!</v>
      </c>
      <c r="CD13" t="e">
        <f>AND(#REF!,"AAAAABv/+lE=")</f>
        <v>#REF!</v>
      </c>
      <c r="CE13" t="e">
        <f>AND(#REF!,"AAAAABv/+lI=")</f>
        <v>#REF!</v>
      </c>
      <c r="CF13" t="e">
        <f>AND(#REF!,"AAAAABv/+lM=")</f>
        <v>#REF!</v>
      </c>
      <c r="CG13" t="e">
        <f>AND(#REF!,"AAAAABv/+lQ=")</f>
        <v>#REF!</v>
      </c>
      <c r="CH13" t="e">
        <f>AND(#REF!,"AAAAABv/+lU=")</f>
        <v>#REF!</v>
      </c>
      <c r="CI13" t="e">
        <f>AND(#REF!,"AAAAABv/+lY=")</f>
        <v>#REF!</v>
      </c>
      <c r="CJ13" t="e">
        <f>AND(#REF!,"AAAAABv/+lc=")</f>
        <v>#REF!</v>
      </c>
      <c r="CK13" t="e">
        <f>AND(#REF!,"AAAAABv/+lg=")</f>
        <v>#REF!</v>
      </c>
      <c r="CL13" t="e">
        <f>AND(#REF!,"AAAAABv/+lk=")</f>
        <v>#REF!</v>
      </c>
      <c r="CM13" t="e">
        <f>AND(#REF!,"AAAAABv/+lo=")</f>
        <v>#REF!</v>
      </c>
      <c r="CN13" t="e">
        <f>AND(#REF!,"AAAAABv/+ls=")</f>
        <v>#REF!</v>
      </c>
      <c r="CO13" t="e">
        <f>AND(#REF!,"AAAAABv/+lw=")</f>
        <v>#REF!</v>
      </c>
      <c r="CP13" t="e">
        <f>AND(#REF!,"AAAAABv/+l0=")</f>
        <v>#REF!</v>
      </c>
      <c r="CQ13" t="e">
        <f>AND(#REF!,"AAAAABv/+l4=")</f>
        <v>#REF!</v>
      </c>
      <c r="CR13" t="e">
        <f>AND(#REF!,"AAAAABv/+l8=")</f>
        <v>#REF!</v>
      </c>
      <c r="CS13" t="e">
        <f>AND(#REF!,"AAAAABv/+mA=")</f>
        <v>#REF!</v>
      </c>
      <c r="CT13" t="e">
        <f>AND(#REF!,"AAAAABv/+mE=")</f>
        <v>#REF!</v>
      </c>
      <c r="CU13" t="e">
        <f>AND(#REF!,"AAAAABv/+mI=")</f>
        <v>#REF!</v>
      </c>
      <c r="CV13" t="e">
        <f>AND(#REF!,"AAAAABv/+mM=")</f>
        <v>#REF!</v>
      </c>
      <c r="CW13" t="e">
        <f>AND(#REF!,"AAAAABv/+mQ=")</f>
        <v>#REF!</v>
      </c>
      <c r="CX13" t="e">
        <f>AND(#REF!,"AAAAABv/+mU=")</f>
        <v>#REF!</v>
      </c>
      <c r="CY13" t="e">
        <f>AND(#REF!,"AAAAABv/+mY=")</f>
        <v>#REF!</v>
      </c>
      <c r="CZ13" t="e">
        <f>AND(#REF!,"AAAAABv/+mc=")</f>
        <v>#REF!</v>
      </c>
      <c r="DA13" t="e">
        <f>AND(#REF!,"AAAAABv/+mg=")</f>
        <v>#REF!</v>
      </c>
      <c r="DB13" t="e">
        <f>AND(#REF!,"AAAAABv/+mk=")</f>
        <v>#REF!</v>
      </c>
      <c r="DC13" t="e">
        <f>AND(#REF!,"AAAAABv/+mo=")</f>
        <v>#REF!</v>
      </c>
      <c r="DD13" t="e">
        <f>AND(#REF!,"AAAAABv/+ms=")</f>
        <v>#REF!</v>
      </c>
      <c r="DE13" t="e">
        <f>AND(#REF!,"AAAAABv/+mw=")</f>
        <v>#REF!</v>
      </c>
      <c r="DF13" t="e">
        <f>AND(#REF!,"AAAAABv/+m0=")</f>
        <v>#REF!</v>
      </c>
      <c r="DG13" t="e">
        <f>AND(#REF!,"AAAAABv/+m4=")</f>
        <v>#REF!</v>
      </c>
      <c r="DH13" t="e">
        <f>AND(#REF!,"AAAAABv/+m8=")</f>
        <v>#REF!</v>
      </c>
      <c r="DI13" t="e">
        <f>AND(#REF!,"AAAAABv/+nA=")</f>
        <v>#REF!</v>
      </c>
      <c r="DJ13" t="e">
        <f>AND(#REF!,"AAAAABv/+nE=")</f>
        <v>#REF!</v>
      </c>
      <c r="DK13" t="e">
        <f>AND(#REF!,"AAAAABv/+nI=")</f>
        <v>#REF!</v>
      </c>
      <c r="DL13" t="e">
        <f>AND(#REF!,"AAAAABv/+nM=")</f>
        <v>#REF!</v>
      </c>
      <c r="DM13" t="e">
        <f>AND(#REF!,"AAAAABv/+nQ=")</f>
        <v>#REF!</v>
      </c>
      <c r="DN13" t="e">
        <f>AND(#REF!,"AAAAABv/+nU=")</f>
        <v>#REF!</v>
      </c>
      <c r="DO13" t="e">
        <f>AND(#REF!,"AAAAABv/+nY=")</f>
        <v>#REF!</v>
      </c>
      <c r="DP13" t="e">
        <f>AND(#REF!,"AAAAABv/+nc=")</f>
        <v>#REF!</v>
      </c>
      <c r="DQ13" t="e">
        <f>AND(#REF!,"AAAAABv/+ng=")</f>
        <v>#REF!</v>
      </c>
      <c r="DR13" t="e">
        <f>AND(#REF!,"AAAAABv/+nk=")</f>
        <v>#REF!</v>
      </c>
      <c r="DS13" t="e">
        <f>AND(#REF!,"AAAAABv/+no=")</f>
        <v>#REF!</v>
      </c>
      <c r="DT13" t="e">
        <f>AND(#REF!,"AAAAABv/+ns=")</f>
        <v>#REF!</v>
      </c>
      <c r="DU13" t="e">
        <f>AND(#REF!,"AAAAABv/+nw=")</f>
        <v>#REF!</v>
      </c>
      <c r="DV13" t="e">
        <f>AND(#REF!,"AAAAABv/+n0=")</f>
        <v>#REF!</v>
      </c>
      <c r="DW13" t="e">
        <f>AND(#REF!,"AAAAABv/+n4=")</f>
        <v>#REF!</v>
      </c>
      <c r="DX13" t="e">
        <f>AND(#REF!,"AAAAABv/+n8=")</f>
        <v>#REF!</v>
      </c>
      <c r="DY13" t="e">
        <f>AND(#REF!,"AAAAABv/+oA=")</f>
        <v>#REF!</v>
      </c>
      <c r="DZ13" t="e">
        <f>AND(#REF!,"AAAAABv/+oE=")</f>
        <v>#REF!</v>
      </c>
      <c r="EA13" t="e">
        <f>AND(#REF!,"AAAAABv/+oI=")</f>
        <v>#REF!</v>
      </c>
      <c r="EB13" t="e">
        <f>AND(#REF!,"AAAAABv/+oM=")</f>
        <v>#REF!</v>
      </c>
      <c r="EC13" t="e">
        <f>AND(#REF!,"AAAAABv/+oQ=")</f>
        <v>#REF!</v>
      </c>
      <c r="ED13" t="e">
        <f>AND(#REF!,"AAAAABv/+oU=")</f>
        <v>#REF!</v>
      </c>
      <c r="EE13" t="e">
        <f>AND(#REF!,"AAAAABv/+oY=")</f>
        <v>#REF!</v>
      </c>
      <c r="EF13" t="e">
        <f>AND(#REF!,"AAAAABv/+oc=")</f>
        <v>#REF!</v>
      </c>
      <c r="EG13" t="e">
        <f>AND(#REF!,"AAAAABv/+og=")</f>
        <v>#REF!</v>
      </c>
      <c r="EH13" t="e">
        <f>AND(#REF!,"AAAAABv/+ok=")</f>
        <v>#REF!</v>
      </c>
      <c r="EI13" t="e">
        <f>AND(#REF!,"AAAAABv/+oo=")</f>
        <v>#REF!</v>
      </c>
      <c r="EJ13" t="e">
        <f>AND(#REF!,"AAAAABv/+os=")</f>
        <v>#REF!</v>
      </c>
      <c r="EK13" t="e">
        <f>AND(#REF!,"AAAAABv/+ow=")</f>
        <v>#REF!</v>
      </c>
      <c r="EL13" t="e">
        <f>AND(#REF!,"AAAAABv/+o0=")</f>
        <v>#REF!</v>
      </c>
      <c r="EM13" t="e">
        <f>AND(#REF!,"AAAAABv/+o4=")</f>
        <v>#REF!</v>
      </c>
      <c r="EN13" t="e">
        <f>AND(#REF!,"AAAAABv/+o8=")</f>
        <v>#REF!</v>
      </c>
      <c r="EO13" t="e">
        <f>AND(#REF!,"AAAAABv/+pA=")</f>
        <v>#REF!</v>
      </c>
      <c r="EP13" t="e">
        <f>AND(#REF!,"AAAAABv/+pE=")</f>
        <v>#REF!</v>
      </c>
      <c r="EQ13" t="e">
        <f>AND(#REF!,"AAAAABv/+pI=")</f>
        <v>#REF!</v>
      </c>
      <c r="ER13" t="e">
        <f>AND(#REF!,"AAAAABv/+pM=")</f>
        <v>#REF!</v>
      </c>
      <c r="ES13" t="e">
        <f>AND(#REF!,"AAAAABv/+pQ=")</f>
        <v>#REF!</v>
      </c>
      <c r="ET13" t="e">
        <f>AND(#REF!,"AAAAABv/+pU=")</f>
        <v>#REF!</v>
      </c>
      <c r="EU13" t="e">
        <f>AND(#REF!,"AAAAABv/+pY=")</f>
        <v>#REF!</v>
      </c>
      <c r="EV13" t="e">
        <f>AND(#REF!,"AAAAABv/+pc=")</f>
        <v>#REF!</v>
      </c>
      <c r="EW13" t="e">
        <f>AND(#REF!,"AAAAABv/+pg=")</f>
        <v>#REF!</v>
      </c>
      <c r="EX13" t="e">
        <f>AND(#REF!,"AAAAABv/+pk=")</f>
        <v>#REF!</v>
      </c>
      <c r="EY13" t="e">
        <f>AND(#REF!,"AAAAABv/+po=")</f>
        <v>#REF!</v>
      </c>
      <c r="EZ13" t="e">
        <f>AND(#REF!,"AAAAABv/+ps=")</f>
        <v>#REF!</v>
      </c>
      <c r="FA13" t="e">
        <f>AND(#REF!,"AAAAABv/+pw=")</f>
        <v>#REF!</v>
      </c>
      <c r="FB13" t="e">
        <f>AND(#REF!,"AAAAABv/+p0=")</f>
        <v>#REF!</v>
      </c>
      <c r="FC13" t="e">
        <f>AND(#REF!,"AAAAABv/+p4=")</f>
        <v>#REF!</v>
      </c>
      <c r="FD13" t="e">
        <f>AND(#REF!,"AAAAABv/+p8=")</f>
        <v>#REF!</v>
      </c>
      <c r="FE13" t="e">
        <f>AND(#REF!,"AAAAABv/+qA=")</f>
        <v>#REF!</v>
      </c>
      <c r="FF13" t="e">
        <f>AND(#REF!,"AAAAABv/+qE=")</f>
        <v>#REF!</v>
      </c>
      <c r="FG13" t="e">
        <f>AND(#REF!,"AAAAABv/+qI=")</f>
        <v>#REF!</v>
      </c>
      <c r="FH13" t="e">
        <f>AND(#REF!,"AAAAABv/+qM=")</f>
        <v>#REF!</v>
      </c>
      <c r="FI13" t="e">
        <f>AND(#REF!,"AAAAABv/+qQ=")</f>
        <v>#REF!</v>
      </c>
      <c r="FJ13" t="e">
        <f>AND(#REF!,"AAAAABv/+qU=")</f>
        <v>#REF!</v>
      </c>
      <c r="FK13" t="e">
        <f>AND(#REF!,"AAAAABv/+qY=")</f>
        <v>#REF!</v>
      </c>
      <c r="FL13" t="e">
        <f>AND(#REF!,"AAAAABv/+qc=")</f>
        <v>#REF!</v>
      </c>
      <c r="FM13" t="e">
        <f>AND(#REF!,"AAAAABv/+qg=")</f>
        <v>#REF!</v>
      </c>
      <c r="FN13" t="e">
        <f>AND(#REF!,"AAAAABv/+qk=")</f>
        <v>#REF!</v>
      </c>
      <c r="FO13" t="e">
        <f>AND(#REF!,"AAAAABv/+qo=")</f>
        <v>#REF!</v>
      </c>
      <c r="FP13" t="e">
        <f>AND(#REF!,"AAAAABv/+qs=")</f>
        <v>#REF!</v>
      </c>
      <c r="FQ13" t="e">
        <f>AND(#REF!,"AAAAABv/+qw=")</f>
        <v>#REF!</v>
      </c>
      <c r="FR13" t="e">
        <f>AND(#REF!,"AAAAABv/+q0=")</f>
        <v>#REF!</v>
      </c>
      <c r="FS13" t="e">
        <f>AND(#REF!,"AAAAABv/+q4=")</f>
        <v>#REF!</v>
      </c>
      <c r="FT13" t="e">
        <f>AND(#REF!,"AAAAABv/+q8=")</f>
        <v>#REF!</v>
      </c>
      <c r="FU13" t="e">
        <f>AND(#REF!,"AAAAABv/+rA=")</f>
        <v>#REF!</v>
      </c>
      <c r="FV13" t="e">
        <f>AND(#REF!,"AAAAABv/+rE=")</f>
        <v>#REF!</v>
      </c>
      <c r="FW13" t="e">
        <f>AND(#REF!,"AAAAABv/+rI=")</f>
        <v>#REF!</v>
      </c>
      <c r="FX13" t="e">
        <f>AND(#REF!,"AAAAABv/+rM=")</f>
        <v>#REF!</v>
      </c>
      <c r="FY13" t="e">
        <f>AND(#REF!,"AAAAABv/+rQ=")</f>
        <v>#REF!</v>
      </c>
      <c r="FZ13" t="e">
        <f>AND(#REF!,"AAAAABv/+rU=")</f>
        <v>#REF!</v>
      </c>
      <c r="GA13" t="e">
        <f>AND(#REF!,"AAAAABv/+rY=")</f>
        <v>#REF!</v>
      </c>
      <c r="GB13" t="e">
        <f>AND(#REF!,"AAAAABv/+rc=")</f>
        <v>#REF!</v>
      </c>
      <c r="GC13" t="e">
        <f>AND(#REF!,"AAAAABv/+rg=")</f>
        <v>#REF!</v>
      </c>
      <c r="GD13" t="e">
        <f>AND(#REF!,"AAAAABv/+rk=")</f>
        <v>#REF!</v>
      </c>
      <c r="GE13" t="e">
        <f>AND(#REF!,"AAAAABv/+ro=")</f>
        <v>#REF!</v>
      </c>
      <c r="GF13" t="e">
        <f>AND(#REF!,"AAAAABv/+rs=")</f>
        <v>#REF!</v>
      </c>
      <c r="GG13" t="e">
        <f>AND(#REF!,"AAAAABv/+rw=")</f>
        <v>#REF!</v>
      </c>
      <c r="GH13" t="e">
        <f>AND(#REF!,"AAAAABv/+r0=")</f>
        <v>#REF!</v>
      </c>
      <c r="GI13" t="e">
        <f>AND(#REF!,"AAAAABv/+r4=")</f>
        <v>#REF!</v>
      </c>
      <c r="GJ13" t="e">
        <f>AND(#REF!,"AAAAABv/+r8=")</f>
        <v>#REF!</v>
      </c>
      <c r="GK13" t="e">
        <f>AND(#REF!,"AAAAABv/+sA=")</f>
        <v>#REF!</v>
      </c>
      <c r="GL13" t="e">
        <f>AND(#REF!,"AAAAABv/+sE=")</f>
        <v>#REF!</v>
      </c>
      <c r="GM13" t="e">
        <f>AND(#REF!,"AAAAABv/+sI=")</f>
        <v>#REF!</v>
      </c>
      <c r="GN13" t="e">
        <f>AND(#REF!,"AAAAABv/+sM=")</f>
        <v>#REF!</v>
      </c>
      <c r="GO13" t="e">
        <f>AND(#REF!,"AAAAABv/+sQ=")</f>
        <v>#REF!</v>
      </c>
      <c r="GP13" t="e">
        <f>AND(#REF!,"AAAAABv/+sU=")</f>
        <v>#REF!</v>
      </c>
      <c r="GQ13" t="e">
        <f>AND(#REF!,"AAAAABv/+sY=")</f>
        <v>#REF!</v>
      </c>
      <c r="GR13" t="e">
        <f>AND(#REF!,"AAAAABv/+sc=")</f>
        <v>#REF!</v>
      </c>
      <c r="GS13" t="e">
        <f>AND(#REF!,"AAAAABv/+sg=")</f>
        <v>#REF!</v>
      </c>
      <c r="GT13" t="e">
        <f>AND(#REF!,"AAAAABv/+sk=")</f>
        <v>#REF!</v>
      </c>
      <c r="GU13" t="e">
        <f>AND(#REF!,"AAAAABv/+so=")</f>
        <v>#REF!</v>
      </c>
      <c r="GV13" t="e">
        <f>IF(#REF!,"AAAAABv/+ss=",0)</f>
        <v>#REF!</v>
      </c>
      <c r="GW13" t="e">
        <f>AND(#REF!,"AAAAABv/+sw=")</f>
        <v>#REF!</v>
      </c>
      <c r="GX13" t="e">
        <f>AND(#REF!,"AAAAABv/+s0=")</f>
        <v>#REF!</v>
      </c>
      <c r="GY13" t="e">
        <f>AND(#REF!,"AAAAABv/+s4=")</f>
        <v>#REF!</v>
      </c>
      <c r="GZ13" t="e">
        <f>AND(#REF!,"AAAAABv/+s8=")</f>
        <v>#REF!</v>
      </c>
      <c r="HA13" t="e">
        <f>AND(#REF!,"AAAAABv/+tA=")</f>
        <v>#REF!</v>
      </c>
      <c r="HB13" t="e">
        <f>AND(#REF!,"AAAAABv/+tE=")</f>
        <v>#REF!</v>
      </c>
      <c r="HC13" t="e">
        <f>AND(#REF!,"AAAAABv/+tI=")</f>
        <v>#REF!</v>
      </c>
      <c r="HD13" t="e">
        <f>AND(#REF!,"AAAAABv/+tM=")</f>
        <v>#REF!</v>
      </c>
      <c r="HE13" t="e">
        <f>AND(#REF!,"AAAAABv/+tQ=")</f>
        <v>#REF!</v>
      </c>
      <c r="HF13" t="e">
        <f>AND(#REF!,"AAAAABv/+tU=")</f>
        <v>#REF!</v>
      </c>
      <c r="HG13" t="e">
        <f>AND(#REF!,"AAAAABv/+tY=")</f>
        <v>#REF!</v>
      </c>
      <c r="HH13" t="e">
        <f>AND(#REF!,"AAAAABv/+tc=")</f>
        <v>#REF!</v>
      </c>
      <c r="HI13" t="e">
        <f>AND(#REF!,"AAAAABv/+tg=")</f>
        <v>#REF!</v>
      </c>
      <c r="HJ13" t="e">
        <f>AND(#REF!,"AAAAABv/+tk=")</f>
        <v>#REF!</v>
      </c>
      <c r="HK13" t="e">
        <f>AND(#REF!,"AAAAABv/+to=")</f>
        <v>#REF!</v>
      </c>
      <c r="HL13" t="e">
        <f>AND(#REF!,"AAAAABv/+ts=")</f>
        <v>#REF!</v>
      </c>
      <c r="HM13" t="e">
        <f>AND(#REF!,"AAAAABv/+tw=")</f>
        <v>#REF!</v>
      </c>
      <c r="HN13" t="e">
        <f>AND(#REF!,"AAAAABv/+t0=")</f>
        <v>#REF!</v>
      </c>
      <c r="HO13" t="e">
        <f>AND(#REF!,"AAAAABv/+t4=")</f>
        <v>#REF!</v>
      </c>
      <c r="HP13" t="e">
        <f>AND(#REF!,"AAAAABv/+t8=")</f>
        <v>#REF!</v>
      </c>
      <c r="HQ13" t="e">
        <f>AND(#REF!,"AAAAABv/+uA=")</f>
        <v>#REF!</v>
      </c>
      <c r="HR13" t="e">
        <f>AND(#REF!,"AAAAABv/+uE=")</f>
        <v>#REF!</v>
      </c>
      <c r="HS13" t="e">
        <f>AND(#REF!,"AAAAABv/+uI=")</f>
        <v>#REF!</v>
      </c>
      <c r="HT13" t="e">
        <f>AND(#REF!,"AAAAABv/+uM=")</f>
        <v>#REF!</v>
      </c>
      <c r="HU13" t="e">
        <f>AND(#REF!,"AAAAABv/+uQ=")</f>
        <v>#REF!</v>
      </c>
      <c r="HV13" t="e">
        <f>AND(#REF!,"AAAAABv/+uU=")</f>
        <v>#REF!</v>
      </c>
      <c r="HW13" t="e">
        <f>AND(#REF!,"AAAAABv/+uY=")</f>
        <v>#REF!</v>
      </c>
      <c r="HX13" t="e">
        <f>AND(#REF!,"AAAAABv/+uc=")</f>
        <v>#REF!</v>
      </c>
      <c r="HY13" t="e">
        <f>AND(#REF!,"AAAAABv/+ug=")</f>
        <v>#REF!</v>
      </c>
      <c r="HZ13" t="e">
        <f>AND(#REF!,"AAAAABv/+uk=")</f>
        <v>#REF!</v>
      </c>
      <c r="IA13" t="e">
        <f>AND(#REF!,"AAAAABv/+uo=")</f>
        <v>#REF!</v>
      </c>
      <c r="IB13" t="e">
        <f>AND(#REF!,"AAAAABv/+us=")</f>
        <v>#REF!</v>
      </c>
      <c r="IC13" t="e">
        <f>AND(#REF!,"AAAAABv/+uw=")</f>
        <v>#REF!</v>
      </c>
      <c r="ID13" t="e">
        <f>AND(#REF!,"AAAAABv/+u0=")</f>
        <v>#REF!</v>
      </c>
      <c r="IE13" t="e">
        <f>AND(#REF!,"AAAAABv/+u4=")</f>
        <v>#REF!</v>
      </c>
      <c r="IF13" t="e">
        <f>AND(#REF!,"AAAAABv/+u8=")</f>
        <v>#REF!</v>
      </c>
      <c r="IG13" t="e">
        <f>AND(#REF!,"AAAAABv/+vA=")</f>
        <v>#REF!</v>
      </c>
      <c r="IH13" t="e">
        <f>AND(#REF!,"AAAAABv/+vE=")</f>
        <v>#REF!</v>
      </c>
      <c r="II13" t="e">
        <f>AND(#REF!,"AAAAABv/+vI=")</f>
        <v>#REF!</v>
      </c>
      <c r="IJ13" t="e">
        <f>AND(#REF!,"AAAAABv/+vM=")</f>
        <v>#REF!</v>
      </c>
      <c r="IK13" t="e">
        <f>AND(#REF!,"AAAAABv/+vQ=")</f>
        <v>#REF!</v>
      </c>
      <c r="IL13" t="e">
        <f>AND(#REF!,"AAAAABv/+vU=")</f>
        <v>#REF!</v>
      </c>
      <c r="IM13" t="e">
        <f>AND(#REF!,"AAAAABv/+vY=")</f>
        <v>#REF!</v>
      </c>
      <c r="IN13" t="e">
        <f>AND(#REF!,"AAAAABv/+vc=")</f>
        <v>#REF!</v>
      </c>
      <c r="IO13" t="e">
        <f>AND(#REF!,"AAAAABv/+vg=")</f>
        <v>#REF!</v>
      </c>
      <c r="IP13" t="e">
        <f>AND(#REF!,"AAAAABv/+vk=")</f>
        <v>#REF!</v>
      </c>
      <c r="IQ13" t="e">
        <f>AND(#REF!,"AAAAABv/+vo=")</f>
        <v>#REF!</v>
      </c>
      <c r="IR13" t="e">
        <f>AND(#REF!,"AAAAABv/+vs=")</f>
        <v>#REF!</v>
      </c>
      <c r="IS13" t="e">
        <f>AND(#REF!,"AAAAABv/+vw=")</f>
        <v>#REF!</v>
      </c>
      <c r="IT13" t="e">
        <f>AND(#REF!,"AAAAABv/+v0=")</f>
        <v>#REF!</v>
      </c>
      <c r="IU13" t="e">
        <f>AND(#REF!,"AAAAABv/+v4=")</f>
        <v>#REF!</v>
      </c>
      <c r="IV13" t="e">
        <f>AND(#REF!,"AAAAABv/+v8=")</f>
        <v>#REF!</v>
      </c>
    </row>
    <row r="14" spans="1:256" x14ac:dyDescent="0.2">
      <c r="A14" t="e">
        <f>AND(#REF!,"AAAAADvO3AA=")</f>
        <v>#REF!</v>
      </c>
      <c r="B14" t="e">
        <f>AND(#REF!,"AAAAADvO3AE=")</f>
        <v>#REF!</v>
      </c>
      <c r="C14" t="e">
        <f>AND(#REF!,"AAAAADvO3AI=")</f>
        <v>#REF!</v>
      </c>
      <c r="D14" t="e">
        <f>AND(#REF!,"AAAAADvO3AM=")</f>
        <v>#REF!</v>
      </c>
      <c r="E14" t="e">
        <f>AND(#REF!,"AAAAADvO3AQ=")</f>
        <v>#REF!</v>
      </c>
      <c r="F14" t="e">
        <f>AND(#REF!,"AAAAADvO3AU=")</f>
        <v>#REF!</v>
      </c>
      <c r="G14" t="e">
        <f>AND(#REF!,"AAAAADvO3AY=")</f>
        <v>#REF!</v>
      </c>
      <c r="H14" t="e">
        <f>AND(#REF!,"AAAAADvO3Ac=")</f>
        <v>#REF!</v>
      </c>
      <c r="I14" t="e">
        <f>AND(#REF!,"AAAAADvO3Ag=")</f>
        <v>#REF!</v>
      </c>
      <c r="J14" t="e">
        <f>AND(#REF!,"AAAAADvO3Ak=")</f>
        <v>#REF!</v>
      </c>
      <c r="K14" t="e">
        <f>AND(#REF!,"AAAAADvO3Ao=")</f>
        <v>#REF!</v>
      </c>
      <c r="L14" t="e">
        <f>AND(#REF!,"AAAAADvO3As=")</f>
        <v>#REF!</v>
      </c>
      <c r="M14" t="e">
        <f>AND(#REF!,"AAAAADvO3Aw=")</f>
        <v>#REF!</v>
      </c>
      <c r="N14" t="e">
        <f>AND(#REF!,"AAAAADvO3A0=")</f>
        <v>#REF!</v>
      </c>
      <c r="O14" t="e">
        <f>AND(#REF!,"AAAAADvO3A4=")</f>
        <v>#REF!</v>
      </c>
      <c r="P14" t="e">
        <f>AND(#REF!,"AAAAADvO3A8=")</f>
        <v>#REF!</v>
      </c>
      <c r="Q14" t="e">
        <f>AND(#REF!,"AAAAADvO3BA=")</f>
        <v>#REF!</v>
      </c>
      <c r="R14" t="e">
        <f>AND(#REF!,"AAAAADvO3BE=")</f>
        <v>#REF!</v>
      </c>
      <c r="S14" t="e">
        <f>AND(#REF!,"AAAAADvO3BI=")</f>
        <v>#REF!</v>
      </c>
      <c r="T14" t="e">
        <f>AND(#REF!,"AAAAADvO3BM=")</f>
        <v>#REF!</v>
      </c>
      <c r="U14" t="e">
        <f>AND(#REF!,"AAAAADvO3BQ=")</f>
        <v>#REF!</v>
      </c>
      <c r="V14" t="e">
        <f>AND(#REF!,"AAAAADvO3BU=")</f>
        <v>#REF!</v>
      </c>
      <c r="W14" t="e">
        <f>AND(#REF!,"AAAAADvO3BY=")</f>
        <v>#REF!</v>
      </c>
      <c r="X14" t="e">
        <f>AND(#REF!,"AAAAADvO3Bc=")</f>
        <v>#REF!</v>
      </c>
      <c r="Y14" t="e">
        <f>AND(#REF!,"AAAAADvO3Bg=")</f>
        <v>#REF!</v>
      </c>
      <c r="Z14" t="e">
        <f>AND(#REF!,"AAAAADvO3Bk=")</f>
        <v>#REF!</v>
      </c>
      <c r="AA14" t="e">
        <f>AND(#REF!,"AAAAADvO3Bo=")</f>
        <v>#REF!</v>
      </c>
      <c r="AB14" t="e">
        <f>AND(#REF!,"AAAAADvO3Bs=")</f>
        <v>#REF!</v>
      </c>
      <c r="AC14" t="e">
        <f>AND(#REF!,"AAAAADvO3Bw=")</f>
        <v>#REF!</v>
      </c>
      <c r="AD14" t="e">
        <f>AND(#REF!,"AAAAADvO3B0=")</f>
        <v>#REF!</v>
      </c>
      <c r="AE14" t="e">
        <f>AND(#REF!,"AAAAADvO3B4=")</f>
        <v>#REF!</v>
      </c>
      <c r="AF14" t="e">
        <f>AND(#REF!,"AAAAADvO3B8=")</f>
        <v>#REF!</v>
      </c>
      <c r="AG14" t="e">
        <f>AND(#REF!,"AAAAADvO3CA=")</f>
        <v>#REF!</v>
      </c>
      <c r="AH14" t="e">
        <f>AND(#REF!,"AAAAADvO3CE=")</f>
        <v>#REF!</v>
      </c>
      <c r="AI14" t="e">
        <f>AND(#REF!,"AAAAADvO3CI=")</f>
        <v>#REF!</v>
      </c>
      <c r="AJ14" t="e">
        <f>AND(#REF!,"AAAAADvO3CM=")</f>
        <v>#REF!</v>
      </c>
      <c r="AK14" t="e">
        <f>AND(#REF!,"AAAAADvO3CQ=")</f>
        <v>#REF!</v>
      </c>
      <c r="AL14" t="e">
        <f>AND(#REF!,"AAAAADvO3CU=")</f>
        <v>#REF!</v>
      </c>
      <c r="AM14" t="e">
        <f>AND(#REF!,"AAAAADvO3CY=")</f>
        <v>#REF!</v>
      </c>
      <c r="AN14" t="e">
        <f>AND(#REF!,"AAAAADvO3Cc=")</f>
        <v>#REF!</v>
      </c>
      <c r="AO14" t="e">
        <f>AND(#REF!,"AAAAADvO3Cg=")</f>
        <v>#REF!</v>
      </c>
      <c r="AP14" t="e">
        <f>AND(#REF!,"AAAAADvO3Ck=")</f>
        <v>#REF!</v>
      </c>
      <c r="AQ14" t="e">
        <f>AND(#REF!,"AAAAADvO3Co=")</f>
        <v>#REF!</v>
      </c>
      <c r="AR14" t="e">
        <f>AND(#REF!,"AAAAADvO3Cs=")</f>
        <v>#REF!</v>
      </c>
      <c r="AS14" t="e">
        <f>AND(#REF!,"AAAAADvO3Cw=")</f>
        <v>#REF!</v>
      </c>
      <c r="AT14" t="e">
        <f>AND(#REF!,"AAAAADvO3C0=")</f>
        <v>#REF!</v>
      </c>
      <c r="AU14" t="e">
        <f>AND(#REF!,"AAAAADvO3C4=")</f>
        <v>#REF!</v>
      </c>
      <c r="AV14" t="e">
        <f>AND(#REF!,"AAAAADvO3C8=")</f>
        <v>#REF!</v>
      </c>
      <c r="AW14" t="e">
        <f>AND(#REF!,"AAAAADvO3DA=")</f>
        <v>#REF!</v>
      </c>
      <c r="AX14" t="e">
        <f>AND(#REF!,"AAAAADvO3DE=")</f>
        <v>#REF!</v>
      </c>
      <c r="AY14" t="e">
        <f>AND(#REF!,"AAAAADvO3DI=")</f>
        <v>#REF!</v>
      </c>
      <c r="AZ14" t="e">
        <f>AND(#REF!,"AAAAADvO3DM=")</f>
        <v>#REF!</v>
      </c>
      <c r="BA14" t="e">
        <f>AND(#REF!,"AAAAADvO3DQ=")</f>
        <v>#REF!</v>
      </c>
      <c r="BB14" t="e">
        <f>AND(#REF!,"AAAAADvO3DU=")</f>
        <v>#REF!</v>
      </c>
      <c r="BC14" t="e">
        <f>AND(#REF!,"AAAAADvO3DY=")</f>
        <v>#REF!</v>
      </c>
      <c r="BD14" t="e">
        <f>AND(#REF!,"AAAAADvO3Dc=")</f>
        <v>#REF!</v>
      </c>
      <c r="BE14" t="e">
        <f>AND(#REF!,"AAAAADvO3Dg=")</f>
        <v>#REF!</v>
      </c>
      <c r="BF14" t="e">
        <f>AND(#REF!,"AAAAADvO3Dk=")</f>
        <v>#REF!</v>
      </c>
      <c r="BG14" t="e">
        <f>AND(#REF!,"AAAAADvO3Do=")</f>
        <v>#REF!</v>
      </c>
      <c r="BH14" t="e">
        <f>AND(#REF!,"AAAAADvO3Ds=")</f>
        <v>#REF!</v>
      </c>
      <c r="BI14" t="e">
        <f>AND(#REF!,"AAAAADvO3Dw=")</f>
        <v>#REF!</v>
      </c>
      <c r="BJ14" t="e">
        <f>AND(#REF!,"AAAAADvO3D0=")</f>
        <v>#REF!</v>
      </c>
      <c r="BK14" t="e">
        <f>AND(#REF!,"AAAAADvO3D4=")</f>
        <v>#REF!</v>
      </c>
      <c r="BL14" t="e">
        <f>AND(#REF!,"AAAAADvO3D8=")</f>
        <v>#REF!</v>
      </c>
      <c r="BM14" t="e">
        <f>AND(#REF!,"AAAAADvO3EA=")</f>
        <v>#REF!</v>
      </c>
      <c r="BN14" t="e">
        <f>AND(#REF!,"AAAAADvO3EE=")</f>
        <v>#REF!</v>
      </c>
      <c r="BO14" t="e">
        <f>AND(#REF!,"AAAAADvO3EI=")</f>
        <v>#REF!</v>
      </c>
      <c r="BP14" t="e">
        <f>AND(#REF!,"AAAAADvO3EM=")</f>
        <v>#REF!</v>
      </c>
      <c r="BQ14" t="e">
        <f>AND(#REF!,"AAAAADvO3EQ=")</f>
        <v>#REF!</v>
      </c>
      <c r="BR14" t="e">
        <f>AND(#REF!,"AAAAADvO3EU=")</f>
        <v>#REF!</v>
      </c>
      <c r="BS14" t="e">
        <f>AND(#REF!,"AAAAADvO3EY=")</f>
        <v>#REF!</v>
      </c>
      <c r="BT14" t="e">
        <f>AND(#REF!,"AAAAADvO3Ec=")</f>
        <v>#REF!</v>
      </c>
      <c r="BU14" t="e">
        <f>AND(#REF!,"AAAAADvO3Eg=")</f>
        <v>#REF!</v>
      </c>
      <c r="BV14" t="e">
        <f>AND(#REF!,"AAAAADvO3Ek=")</f>
        <v>#REF!</v>
      </c>
      <c r="BW14" t="e">
        <f>AND(#REF!,"AAAAADvO3Eo=")</f>
        <v>#REF!</v>
      </c>
      <c r="BX14" t="e">
        <f>AND(#REF!,"AAAAADvO3Es=")</f>
        <v>#REF!</v>
      </c>
      <c r="BY14" t="e">
        <f>AND(#REF!,"AAAAADvO3Ew=")</f>
        <v>#REF!</v>
      </c>
      <c r="BZ14" t="e">
        <f>AND(#REF!,"AAAAADvO3E0=")</f>
        <v>#REF!</v>
      </c>
      <c r="CA14" t="e">
        <f>AND(#REF!,"AAAAADvO3E4=")</f>
        <v>#REF!</v>
      </c>
      <c r="CB14" t="e">
        <f>AND(#REF!,"AAAAADvO3E8=")</f>
        <v>#REF!</v>
      </c>
      <c r="CC14" t="e">
        <f>AND(#REF!,"AAAAADvO3FA=")</f>
        <v>#REF!</v>
      </c>
      <c r="CD14" t="e">
        <f>AND(#REF!,"AAAAADvO3FE=")</f>
        <v>#REF!</v>
      </c>
      <c r="CE14" t="e">
        <f>AND(#REF!,"AAAAADvO3FI=")</f>
        <v>#REF!</v>
      </c>
      <c r="CF14" t="e">
        <f>AND(#REF!,"AAAAADvO3FM=")</f>
        <v>#REF!</v>
      </c>
      <c r="CG14" t="e">
        <f>AND(#REF!,"AAAAADvO3FQ=")</f>
        <v>#REF!</v>
      </c>
      <c r="CH14" t="e">
        <f>AND(#REF!,"AAAAADvO3FU=")</f>
        <v>#REF!</v>
      </c>
      <c r="CI14" t="e">
        <f>AND(#REF!,"AAAAADvO3FY=")</f>
        <v>#REF!</v>
      </c>
      <c r="CJ14" t="e">
        <f>AND(#REF!,"AAAAADvO3Fc=")</f>
        <v>#REF!</v>
      </c>
      <c r="CK14" t="e">
        <f>AND(#REF!,"AAAAADvO3Fg=")</f>
        <v>#REF!</v>
      </c>
      <c r="CL14" t="e">
        <f>AND(#REF!,"AAAAADvO3Fk=")</f>
        <v>#REF!</v>
      </c>
      <c r="CM14" t="e">
        <f>AND(#REF!,"AAAAADvO3Fo=")</f>
        <v>#REF!</v>
      </c>
      <c r="CN14" t="e">
        <f>AND(#REF!,"AAAAADvO3Fs=")</f>
        <v>#REF!</v>
      </c>
      <c r="CO14" t="e">
        <f>AND(#REF!,"AAAAADvO3Fw=")</f>
        <v>#REF!</v>
      </c>
      <c r="CP14" t="e">
        <f>AND(#REF!,"AAAAADvO3F0=")</f>
        <v>#REF!</v>
      </c>
      <c r="CQ14" t="e">
        <f>AND(#REF!,"AAAAADvO3F4=")</f>
        <v>#REF!</v>
      </c>
      <c r="CR14" t="e">
        <f>AND(#REF!,"AAAAADvO3F8=")</f>
        <v>#REF!</v>
      </c>
      <c r="CS14" t="e">
        <f>AND(#REF!,"AAAAADvO3GA=")</f>
        <v>#REF!</v>
      </c>
      <c r="CT14" t="e">
        <f>AND(#REF!,"AAAAADvO3GE=")</f>
        <v>#REF!</v>
      </c>
      <c r="CU14" t="e">
        <f>AND(#REF!,"AAAAADvO3GI=")</f>
        <v>#REF!</v>
      </c>
      <c r="CV14" t="e">
        <f>AND(#REF!,"AAAAADvO3GM=")</f>
        <v>#REF!</v>
      </c>
      <c r="CW14" t="e">
        <f>AND(#REF!,"AAAAADvO3GQ=")</f>
        <v>#REF!</v>
      </c>
      <c r="CX14" t="e">
        <f>AND(#REF!,"AAAAADvO3GU=")</f>
        <v>#REF!</v>
      </c>
      <c r="CY14" t="e">
        <f>AND(#REF!,"AAAAADvO3GY=")</f>
        <v>#REF!</v>
      </c>
      <c r="CZ14" t="e">
        <f>AND(#REF!,"AAAAADvO3Gc=")</f>
        <v>#REF!</v>
      </c>
      <c r="DA14" t="e">
        <f>AND(#REF!,"AAAAADvO3Gg=")</f>
        <v>#REF!</v>
      </c>
      <c r="DB14" t="e">
        <f>AND(#REF!,"AAAAADvO3Gk=")</f>
        <v>#REF!</v>
      </c>
      <c r="DC14" t="e">
        <f>AND(#REF!,"AAAAADvO3Go=")</f>
        <v>#REF!</v>
      </c>
      <c r="DD14" t="e">
        <f>AND(#REF!,"AAAAADvO3Gs=")</f>
        <v>#REF!</v>
      </c>
      <c r="DE14" t="e">
        <f>AND(#REF!,"AAAAADvO3Gw=")</f>
        <v>#REF!</v>
      </c>
      <c r="DF14" t="e">
        <f>AND(#REF!,"AAAAADvO3G0=")</f>
        <v>#REF!</v>
      </c>
      <c r="DG14" t="e">
        <f>AND(#REF!,"AAAAADvO3G4=")</f>
        <v>#REF!</v>
      </c>
      <c r="DH14" t="e">
        <f>AND(#REF!,"AAAAADvO3G8=")</f>
        <v>#REF!</v>
      </c>
      <c r="DI14" t="e">
        <f>AND(#REF!,"AAAAADvO3HA=")</f>
        <v>#REF!</v>
      </c>
      <c r="DJ14" t="e">
        <f>AND(#REF!,"AAAAADvO3HE=")</f>
        <v>#REF!</v>
      </c>
      <c r="DK14" t="e">
        <f>AND(#REF!,"AAAAADvO3HI=")</f>
        <v>#REF!</v>
      </c>
      <c r="DL14" t="e">
        <f>AND(#REF!,"AAAAADvO3HM=")</f>
        <v>#REF!</v>
      </c>
      <c r="DM14" t="e">
        <f>AND(#REF!,"AAAAADvO3HQ=")</f>
        <v>#REF!</v>
      </c>
      <c r="DN14" t="e">
        <f>AND(#REF!,"AAAAADvO3HU=")</f>
        <v>#REF!</v>
      </c>
      <c r="DO14" t="e">
        <f>AND(#REF!,"AAAAADvO3HY=")</f>
        <v>#REF!</v>
      </c>
      <c r="DP14" t="e">
        <f>AND(#REF!,"AAAAADvO3Hc=")</f>
        <v>#REF!</v>
      </c>
      <c r="DQ14" t="e">
        <f>AND(#REF!,"AAAAADvO3Hg=")</f>
        <v>#REF!</v>
      </c>
      <c r="DR14" t="e">
        <f>AND(#REF!,"AAAAADvO3Hk=")</f>
        <v>#REF!</v>
      </c>
      <c r="DS14" t="e">
        <f>AND(#REF!,"AAAAADvO3Ho=")</f>
        <v>#REF!</v>
      </c>
      <c r="DT14" t="e">
        <f>AND(#REF!,"AAAAADvO3Hs=")</f>
        <v>#REF!</v>
      </c>
      <c r="DU14" t="e">
        <f>AND(#REF!,"AAAAADvO3Hw=")</f>
        <v>#REF!</v>
      </c>
      <c r="DV14" t="e">
        <f>AND(#REF!,"AAAAADvO3H0=")</f>
        <v>#REF!</v>
      </c>
      <c r="DW14" t="e">
        <f>AND(#REF!,"AAAAADvO3H4=")</f>
        <v>#REF!</v>
      </c>
      <c r="DX14" t="e">
        <f>AND(#REF!,"AAAAADvO3H8=")</f>
        <v>#REF!</v>
      </c>
      <c r="DY14" t="e">
        <f>IF(#REF!,"AAAAADvO3IA=",0)</f>
        <v>#REF!</v>
      </c>
      <c r="DZ14" t="e">
        <f>AND(#REF!,"AAAAADvO3IE=")</f>
        <v>#REF!</v>
      </c>
      <c r="EA14" t="e">
        <f>AND(#REF!,"AAAAADvO3II=")</f>
        <v>#REF!</v>
      </c>
      <c r="EB14" t="e">
        <f>AND(#REF!,"AAAAADvO3IM=")</f>
        <v>#REF!</v>
      </c>
      <c r="EC14" t="e">
        <f>AND(#REF!,"AAAAADvO3IQ=")</f>
        <v>#REF!</v>
      </c>
      <c r="ED14" t="e">
        <f>AND(#REF!,"AAAAADvO3IU=")</f>
        <v>#REF!</v>
      </c>
      <c r="EE14" t="e">
        <f>AND(#REF!,"AAAAADvO3IY=")</f>
        <v>#REF!</v>
      </c>
      <c r="EF14" t="e">
        <f>AND(#REF!,"AAAAADvO3Ic=")</f>
        <v>#REF!</v>
      </c>
      <c r="EG14" t="e">
        <f>AND(#REF!,"AAAAADvO3Ig=")</f>
        <v>#REF!</v>
      </c>
      <c r="EH14" t="e">
        <f>AND(#REF!,"AAAAADvO3Ik=")</f>
        <v>#REF!</v>
      </c>
      <c r="EI14" t="e">
        <f>AND(#REF!,"AAAAADvO3Io=")</f>
        <v>#REF!</v>
      </c>
      <c r="EJ14" t="e">
        <f>AND(#REF!,"AAAAADvO3Is=")</f>
        <v>#REF!</v>
      </c>
      <c r="EK14" t="e">
        <f>AND(#REF!,"AAAAADvO3Iw=")</f>
        <v>#REF!</v>
      </c>
      <c r="EL14" t="e">
        <f>AND(#REF!,"AAAAADvO3I0=")</f>
        <v>#REF!</v>
      </c>
      <c r="EM14" t="e">
        <f>AND(#REF!,"AAAAADvO3I4=")</f>
        <v>#REF!</v>
      </c>
      <c r="EN14" t="e">
        <f>AND(#REF!,"AAAAADvO3I8=")</f>
        <v>#REF!</v>
      </c>
      <c r="EO14" t="e">
        <f>AND(#REF!,"AAAAADvO3JA=")</f>
        <v>#REF!</v>
      </c>
      <c r="EP14" t="e">
        <f>AND(#REF!,"AAAAADvO3JE=")</f>
        <v>#REF!</v>
      </c>
      <c r="EQ14" t="e">
        <f>AND(#REF!,"AAAAADvO3JI=")</f>
        <v>#REF!</v>
      </c>
      <c r="ER14" t="e">
        <f>AND(#REF!,"AAAAADvO3JM=")</f>
        <v>#REF!</v>
      </c>
      <c r="ES14" t="e">
        <f>AND(#REF!,"AAAAADvO3JQ=")</f>
        <v>#REF!</v>
      </c>
      <c r="ET14" t="e">
        <f>AND(#REF!,"AAAAADvO3JU=")</f>
        <v>#REF!</v>
      </c>
      <c r="EU14" t="e">
        <f>AND(#REF!,"AAAAADvO3JY=")</f>
        <v>#REF!</v>
      </c>
      <c r="EV14" t="e">
        <f>AND(#REF!,"AAAAADvO3Jc=")</f>
        <v>#REF!</v>
      </c>
      <c r="EW14" t="e">
        <f>AND(#REF!,"AAAAADvO3Jg=")</f>
        <v>#REF!</v>
      </c>
      <c r="EX14" t="e">
        <f>AND(#REF!,"AAAAADvO3Jk=")</f>
        <v>#REF!</v>
      </c>
      <c r="EY14" t="e">
        <f>AND(#REF!,"AAAAADvO3Jo=")</f>
        <v>#REF!</v>
      </c>
      <c r="EZ14" t="e">
        <f>AND(#REF!,"AAAAADvO3Js=")</f>
        <v>#REF!</v>
      </c>
      <c r="FA14" t="e">
        <f>AND(#REF!,"AAAAADvO3Jw=")</f>
        <v>#REF!</v>
      </c>
      <c r="FB14" t="e">
        <f>AND(#REF!,"AAAAADvO3J0=")</f>
        <v>#REF!</v>
      </c>
      <c r="FC14" t="e">
        <f>AND(#REF!,"AAAAADvO3J4=")</f>
        <v>#REF!</v>
      </c>
      <c r="FD14" t="e">
        <f>AND(#REF!,"AAAAADvO3J8=")</f>
        <v>#REF!</v>
      </c>
      <c r="FE14" t="e">
        <f>AND(#REF!,"AAAAADvO3KA=")</f>
        <v>#REF!</v>
      </c>
      <c r="FF14" t="e">
        <f>AND(#REF!,"AAAAADvO3KE=")</f>
        <v>#REF!</v>
      </c>
      <c r="FG14" t="e">
        <f>AND(#REF!,"AAAAADvO3KI=")</f>
        <v>#REF!</v>
      </c>
      <c r="FH14" t="e">
        <f>AND(#REF!,"AAAAADvO3KM=")</f>
        <v>#REF!</v>
      </c>
      <c r="FI14" t="e">
        <f>AND(#REF!,"AAAAADvO3KQ=")</f>
        <v>#REF!</v>
      </c>
      <c r="FJ14" t="e">
        <f>AND(#REF!,"AAAAADvO3KU=")</f>
        <v>#REF!</v>
      </c>
      <c r="FK14" t="e">
        <f>AND(#REF!,"AAAAADvO3KY=")</f>
        <v>#REF!</v>
      </c>
      <c r="FL14" t="e">
        <f>AND(#REF!,"AAAAADvO3Kc=")</f>
        <v>#REF!</v>
      </c>
      <c r="FM14" t="e">
        <f>AND(#REF!,"AAAAADvO3Kg=")</f>
        <v>#REF!</v>
      </c>
      <c r="FN14" t="e">
        <f>AND(#REF!,"AAAAADvO3Kk=")</f>
        <v>#REF!</v>
      </c>
      <c r="FO14" t="e">
        <f>AND(#REF!,"AAAAADvO3Ko=")</f>
        <v>#REF!</v>
      </c>
      <c r="FP14" t="e">
        <f>AND(#REF!,"AAAAADvO3Ks=")</f>
        <v>#REF!</v>
      </c>
      <c r="FQ14" t="e">
        <f>AND(#REF!,"AAAAADvO3Kw=")</f>
        <v>#REF!</v>
      </c>
      <c r="FR14" t="e">
        <f>AND(#REF!,"AAAAADvO3K0=")</f>
        <v>#REF!</v>
      </c>
      <c r="FS14" t="e">
        <f>AND(#REF!,"AAAAADvO3K4=")</f>
        <v>#REF!</v>
      </c>
      <c r="FT14" t="e">
        <f>AND(#REF!,"AAAAADvO3K8=")</f>
        <v>#REF!</v>
      </c>
      <c r="FU14" t="e">
        <f>AND(#REF!,"AAAAADvO3LA=")</f>
        <v>#REF!</v>
      </c>
      <c r="FV14" t="e">
        <f>AND(#REF!,"AAAAADvO3LE=")</f>
        <v>#REF!</v>
      </c>
      <c r="FW14" t="e">
        <f>AND(#REF!,"AAAAADvO3LI=")</f>
        <v>#REF!</v>
      </c>
      <c r="FX14" t="e">
        <f>AND(#REF!,"AAAAADvO3LM=")</f>
        <v>#REF!</v>
      </c>
      <c r="FY14" t="e">
        <f>AND(#REF!,"AAAAADvO3LQ=")</f>
        <v>#REF!</v>
      </c>
      <c r="FZ14" t="e">
        <f>AND(#REF!,"AAAAADvO3LU=")</f>
        <v>#REF!</v>
      </c>
      <c r="GA14" t="e">
        <f>AND(#REF!,"AAAAADvO3LY=")</f>
        <v>#REF!</v>
      </c>
      <c r="GB14" t="e">
        <f>AND(#REF!,"AAAAADvO3Lc=")</f>
        <v>#REF!</v>
      </c>
      <c r="GC14" t="e">
        <f>AND(#REF!,"AAAAADvO3Lg=")</f>
        <v>#REF!</v>
      </c>
      <c r="GD14" t="e">
        <f>AND(#REF!,"AAAAADvO3Lk=")</f>
        <v>#REF!</v>
      </c>
      <c r="GE14" t="e">
        <f>AND(#REF!,"AAAAADvO3Lo=")</f>
        <v>#REF!</v>
      </c>
      <c r="GF14" t="e">
        <f>AND(#REF!,"AAAAADvO3Ls=")</f>
        <v>#REF!</v>
      </c>
      <c r="GG14" t="e">
        <f>AND(#REF!,"AAAAADvO3Lw=")</f>
        <v>#REF!</v>
      </c>
      <c r="GH14" t="e">
        <f>AND(#REF!,"AAAAADvO3L0=")</f>
        <v>#REF!</v>
      </c>
      <c r="GI14" t="e">
        <f>AND(#REF!,"AAAAADvO3L4=")</f>
        <v>#REF!</v>
      </c>
      <c r="GJ14" t="e">
        <f>AND(#REF!,"AAAAADvO3L8=")</f>
        <v>#REF!</v>
      </c>
      <c r="GK14" t="e">
        <f>AND(#REF!,"AAAAADvO3MA=")</f>
        <v>#REF!</v>
      </c>
      <c r="GL14" t="e">
        <f>AND(#REF!,"AAAAADvO3ME=")</f>
        <v>#REF!</v>
      </c>
      <c r="GM14" t="e">
        <f>AND(#REF!,"AAAAADvO3MI=")</f>
        <v>#REF!</v>
      </c>
      <c r="GN14" t="e">
        <f>AND(#REF!,"AAAAADvO3MM=")</f>
        <v>#REF!</v>
      </c>
      <c r="GO14" t="e">
        <f>AND(#REF!,"AAAAADvO3MQ=")</f>
        <v>#REF!</v>
      </c>
      <c r="GP14" t="e">
        <f>AND(#REF!,"AAAAADvO3MU=")</f>
        <v>#REF!</v>
      </c>
      <c r="GQ14" t="e">
        <f>AND(#REF!,"AAAAADvO3MY=")</f>
        <v>#REF!</v>
      </c>
      <c r="GR14" t="e">
        <f>AND(#REF!,"AAAAADvO3Mc=")</f>
        <v>#REF!</v>
      </c>
      <c r="GS14" t="e">
        <f>AND(#REF!,"AAAAADvO3Mg=")</f>
        <v>#REF!</v>
      </c>
      <c r="GT14" t="e">
        <f>AND(#REF!,"AAAAADvO3Mk=")</f>
        <v>#REF!</v>
      </c>
      <c r="GU14" t="e">
        <f>AND(#REF!,"AAAAADvO3Mo=")</f>
        <v>#REF!</v>
      </c>
      <c r="GV14" t="e">
        <f>AND(#REF!,"AAAAADvO3Ms=")</f>
        <v>#REF!</v>
      </c>
      <c r="GW14" t="e">
        <f>AND(#REF!,"AAAAADvO3Mw=")</f>
        <v>#REF!</v>
      </c>
      <c r="GX14" t="e">
        <f>AND(#REF!,"AAAAADvO3M0=")</f>
        <v>#REF!</v>
      </c>
      <c r="GY14" t="e">
        <f>AND(#REF!,"AAAAADvO3M4=")</f>
        <v>#REF!</v>
      </c>
      <c r="GZ14" t="e">
        <f>AND(#REF!,"AAAAADvO3M8=")</f>
        <v>#REF!</v>
      </c>
      <c r="HA14" t="e">
        <f>AND(#REF!,"AAAAADvO3NA=")</f>
        <v>#REF!</v>
      </c>
      <c r="HB14" t="e">
        <f>AND(#REF!,"AAAAADvO3NE=")</f>
        <v>#REF!</v>
      </c>
      <c r="HC14" t="e">
        <f>AND(#REF!,"AAAAADvO3NI=")</f>
        <v>#REF!</v>
      </c>
      <c r="HD14" t="e">
        <f>AND(#REF!,"AAAAADvO3NM=")</f>
        <v>#REF!</v>
      </c>
      <c r="HE14" t="e">
        <f>AND(#REF!,"AAAAADvO3NQ=")</f>
        <v>#REF!</v>
      </c>
      <c r="HF14" t="e">
        <f>AND(#REF!,"AAAAADvO3NU=")</f>
        <v>#REF!</v>
      </c>
      <c r="HG14" t="e">
        <f>AND(#REF!,"AAAAADvO3NY=")</f>
        <v>#REF!</v>
      </c>
      <c r="HH14" t="e">
        <f>AND(#REF!,"AAAAADvO3Nc=")</f>
        <v>#REF!</v>
      </c>
      <c r="HI14" t="e">
        <f>AND(#REF!,"AAAAADvO3Ng=")</f>
        <v>#REF!</v>
      </c>
      <c r="HJ14" t="e">
        <f>AND(#REF!,"AAAAADvO3Nk=")</f>
        <v>#REF!</v>
      </c>
      <c r="HK14" t="e">
        <f>AND(#REF!,"AAAAADvO3No=")</f>
        <v>#REF!</v>
      </c>
      <c r="HL14" t="e">
        <f>AND(#REF!,"AAAAADvO3Ns=")</f>
        <v>#REF!</v>
      </c>
      <c r="HM14" t="e">
        <f>AND(#REF!,"AAAAADvO3Nw=")</f>
        <v>#REF!</v>
      </c>
      <c r="HN14" t="e">
        <f>AND(#REF!,"AAAAADvO3N0=")</f>
        <v>#REF!</v>
      </c>
      <c r="HO14" t="e">
        <f>AND(#REF!,"AAAAADvO3N4=")</f>
        <v>#REF!</v>
      </c>
      <c r="HP14" t="e">
        <f>AND(#REF!,"AAAAADvO3N8=")</f>
        <v>#REF!</v>
      </c>
      <c r="HQ14" t="e">
        <f>AND(#REF!,"AAAAADvO3OA=")</f>
        <v>#REF!</v>
      </c>
      <c r="HR14" t="e">
        <f>AND(#REF!,"AAAAADvO3OE=")</f>
        <v>#REF!</v>
      </c>
      <c r="HS14" t="e">
        <f>AND(#REF!,"AAAAADvO3OI=")</f>
        <v>#REF!</v>
      </c>
      <c r="HT14" t="e">
        <f>AND(#REF!,"AAAAADvO3OM=")</f>
        <v>#REF!</v>
      </c>
      <c r="HU14" t="e">
        <f>AND(#REF!,"AAAAADvO3OQ=")</f>
        <v>#REF!</v>
      </c>
      <c r="HV14" t="e">
        <f>AND(#REF!,"AAAAADvO3OU=")</f>
        <v>#REF!</v>
      </c>
      <c r="HW14" t="e">
        <f>AND(#REF!,"AAAAADvO3OY=")</f>
        <v>#REF!</v>
      </c>
      <c r="HX14" t="e">
        <f>AND(#REF!,"AAAAADvO3Oc=")</f>
        <v>#REF!</v>
      </c>
      <c r="HY14" t="e">
        <f>AND(#REF!,"AAAAADvO3Og=")</f>
        <v>#REF!</v>
      </c>
      <c r="HZ14" t="e">
        <f>AND(#REF!,"AAAAADvO3Ok=")</f>
        <v>#REF!</v>
      </c>
      <c r="IA14" t="e">
        <f>AND(#REF!,"AAAAADvO3Oo=")</f>
        <v>#REF!</v>
      </c>
      <c r="IB14" t="e">
        <f>AND(#REF!,"AAAAADvO3Os=")</f>
        <v>#REF!</v>
      </c>
      <c r="IC14" t="e">
        <f>AND(#REF!,"AAAAADvO3Ow=")</f>
        <v>#REF!</v>
      </c>
      <c r="ID14" t="e">
        <f>AND(#REF!,"AAAAADvO3O0=")</f>
        <v>#REF!</v>
      </c>
      <c r="IE14" t="e">
        <f>AND(#REF!,"AAAAADvO3O4=")</f>
        <v>#REF!</v>
      </c>
      <c r="IF14" t="e">
        <f>AND(#REF!,"AAAAADvO3O8=")</f>
        <v>#REF!</v>
      </c>
      <c r="IG14" t="e">
        <f>AND(#REF!,"AAAAADvO3PA=")</f>
        <v>#REF!</v>
      </c>
      <c r="IH14" t="e">
        <f>AND(#REF!,"AAAAADvO3PE=")</f>
        <v>#REF!</v>
      </c>
      <c r="II14" t="e">
        <f>AND(#REF!,"AAAAADvO3PI=")</f>
        <v>#REF!</v>
      </c>
      <c r="IJ14" t="e">
        <f>AND(#REF!,"AAAAADvO3PM=")</f>
        <v>#REF!</v>
      </c>
      <c r="IK14" t="e">
        <f>AND(#REF!,"AAAAADvO3PQ=")</f>
        <v>#REF!</v>
      </c>
      <c r="IL14" t="e">
        <f>AND(#REF!,"AAAAADvO3PU=")</f>
        <v>#REF!</v>
      </c>
      <c r="IM14" t="e">
        <f>AND(#REF!,"AAAAADvO3PY=")</f>
        <v>#REF!</v>
      </c>
      <c r="IN14" t="e">
        <f>AND(#REF!,"AAAAADvO3Pc=")</f>
        <v>#REF!</v>
      </c>
      <c r="IO14" t="e">
        <f>AND(#REF!,"AAAAADvO3Pg=")</f>
        <v>#REF!</v>
      </c>
      <c r="IP14" t="e">
        <f>AND(#REF!,"AAAAADvO3Pk=")</f>
        <v>#REF!</v>
      </c>
      <c r="IQ14" t="e">
        <f>AND(#REF!,"AAAAADvO3Po=")</f>
        <v>#REF!</v>
      </c>
      <c r="IR14" t="e">
        <f>AND(#REF!,"AAAAADvO3Ps=")</f>
        <v>#REF!</v>
      </c>
      <c r="IS14" t="e">
        <f>AND(#REF!,"AAAAADvO3Pw=")</f>
        <v>#REF!</v>
      </c>
      <c r="IT14" t="e">
        <f>AND(#REF!,"AAAAADvO3P0=")</f>
        <v>#REF!</v>
      </c>
      <c r="IU14" t="e">
        <f>AND(#REF!,"AAAAADvO3P4=")</f>
        <v>#REF!</v>
      </c>
      <c r="IV14" t="e">
        <f>AND(#REF!,"AAAAADvO3P8=")</f>
        <v>#REF!</v>
      </c>
    </row>
    <row r="15" spans="1:256" x14ac:dyDescent="0.2">
      <c r="A15" t="e">
        <f>AND(#REF!,"AAAAAH7//wA=")</f>
        <v>#REF!</v>
      </c>
      <c r="B15" t="e">
        <f>AND(#REF!,"AAAAAH7//wE=")</f>
        <v>#REF!</v>
      </c>
      <c r="C15" t="e">
        <f>AND(#REF!,"AAAAAH7//wI=")</f>
        <v>#REF!</v>
      </c>
      <c r="D15" t="e">
        <f>AND(#REF!,"AAAAAH7//wM=")</f>
        <v>#REF!</v>
      </c>
      <c r="E15" t="e">
        <f>AND(#REF!,"AAAAAH7//wQ=")</f>
        <v>#REF!</v>
      </c>
      <c r="F15" t="e">
        <f>AND(#REF!,"AAAAAH7//wU=")</f>
        <v>#REF!</v>
      </c>
      <c r="G15" t="e">
        <f>AND(#REF!,"AAAAAH7//wY=")</f>
        <v>#REF!</v>
      </c>
      <c r="H15" t="e">
        <f>AND(#REF!,"AAAAAH7//wc=")</f>
        <v>#REF!</v>
      </c>
      <c r="I15" t="e">
        <f>AND(#REF!,"AAAAAH7//wg=")</f>
        <v>#REF!</v>
      </c>
      <c r="J15" t="e">
        <f>AND(#REF!,"AAAAAH7//wk=")</f>
        <v>#REF!</v>
      </c>
      <c r="K15" t="e">
        <f>AND(#REF!,"AAAAAH7//wo=")</f>
        <v>#REF!</v>
      </c>
      <c r="L15" t="e">
        <f>AND(#REF!,"AAAAAH7//ws=")</f>
        <v>#REF!</v>
      </c>
      <c r="M15" t="e">
        <f>AND(#REF!,"AAAAAH7//ww=")</f>
        <v>#REF!</v>
      </c>
      <c r="N15" t="e">
        <f>AND(#REF!,"AAAAAH7//w0=")</f>
        <v>#REF!</v>
      </c>
      <c r="O15" t="e">
        <f>AND(#REF!,"AAAAAH7//w4=")</f>
        <v>#REF!</v>
      </c>
      <c r="P15" t="e">
        <f>AND(#REF!,"AAAAAH7//w8=")</f>
        <v>#REF!</v>
      </c>
      <c r="Q15" t="e">
        <f>AND(#REF!,"AAAAAH7//xA=")</f>
        <v>#REF!</v>
      </c>
      <c r="R15" t="e">
        <f>AND(#REF!,"AAAAAH7//xE=")</f>
        <v>#REF!</v>
      </c>
      <c r="S15" t="e">
        <f>AND(#REF!,"AAAAAH7//xI=")</f>
        <v>#REF!</v>
      </c>
      <c r="T15" t="e">
        <f>AND(#REF!,"AAAAAH7//xM=")</f>
        <v>#REF!</v>
      </c>
      <c r="U15" t="e">
        <f>AND(#REF!,"AAAAAH7//xQ=")</f>
        <v>#REF!</v>
      </c>
      <c r="V15" t="e">
        <f>AND(#REF!,"AAAAAH7//xU=")</f>
        <v>#REF!</v>
      </c>
      <c r="W15" t="e">
        <f>AND(#REF!,"AAAAAH7//xY=")</f>
        <v>#REF!</v>
      </c>
      <c r="X15" t="e">
        <f>AND(#REF!,"AAAAAH7//xc=")</f>
        <v>#REF!</v>
      </c>
      <c r="Y15" t="e">
        <f>AND(#REF!,"AAAAAH7//xg=")</f>
        <v>#REF!</v>
      </c>
      <c r="Z15" t="e">
        <f>AND(#REF!,"AAAAAH7//xk=")</f>
        <v>#REF!</v>
      </c>
      <c r="AA15" t="e">
        <f>AND(#REF!,"AAAAAH7//xo=")</f>
        <v>#REF!</v>
      </c>
      <c r="AB15" t="e">
        <f>AND(#REF!,"AAAAAH7//xs=")</f>
        <v>#REF!</v>
      </c>
      <c r="AC15" t="e">
        <f>AND(#REF!,"AAAAAH7//xw=")</f>
        <v>#REF!</v>
      </c>
      <c r="AD15" t="e">
        <f>AND(#REF!,"AAAAAH7//x0=")</f>
        <v>#REF!</v>
      </c>
      <c r="AE15" t="e">
        <f>AND(#REF!,"AAAAAH7//x4=")</f>
        <v>#REF!</v>
      </c>
      <c r="AF15" t="e">
        <f>AND(#REF!,"AAAAAH7//x8=")</f>
        <v>#REF!</v>
      </c>
      <c r="AG15" t="e">
        <f>AND(#REF!,"AAAAAH7//yA=")</f>
        <v>#REF!</v>
      </c>
      <c r="AH15" t="e">
        <f>AND(#REF!,"AAAAAH7//yE=")</f>
        <v>#REF!</v>
      </c>
      <c r="AI15" t="e">
        <f>AND(#REF!,"AAAAAH7//yI=")</f>
        <v>#REF!</v>
      </c>
      <c r="AJ15" t="e">
        <f>AND(#REF!,"AAAAAH7//yM=")</f>
        <v>#REF!</v>
      </c>
      <c r="AK15" t="e">
        <f>AND(#REF!,"AAAAAH7//yQ=")</f>
        <v>#REF!</v>
      </c>
      <c r="AL15" t="e">
        <f>AND(#REF!,"AAAAAH7//yU=")</f>
        <v>#REF!</v>
      </c>
      <c r="AM15" t="e">
        <f>AND(#REF!,"AAAAAH7//yY=")</f>
        <v>#REF!</v>
      </c>
      <c r="AN15" t="e">
        <f>AND(#REF!,"AAAAAH7//yc=")</f>
        <v>#REF!</v>
      </c>
      <c r="AO15" t="e">
        <f>AND(#REF!,"AAAAAH7//yg=")</f>
        <v>#REF!</v>
      </c>
      <c r="AP15" t="e">
        <f>AND(#REF!,"AAAAAH7//yk=")</f>
        <v>#REF!</v>
      </c>
      <c r="AQ15" t="e">
        <f>AND(#REF!,"AAAAAH7//yo=")</f>
        <v>#REF!</v>
      </c>
      <c r="AR15" t="e">
        <f>AND(#REF!,"AAAAAH7//ys=")</f>
        <v>#REF!</v>
      </c>
      <c r="AS15" t="e">
        <f>AND(#REF!,"AAAAAH7//yw=")</f>
        <v>#REF!</v>
      </c>
      <c r="AT15" t="e">
        <f>AND(#REF!,"AAAAAH7//y0=")</f>
        <v>#REF!</v>
      </c>
      <c r="AU15" t="e">
        <f>AND(#REF!,"AAAAAH7//y4=")</f>
        <v>#REF!</v>
      </c>
      <c r="AV15" t="e">
        <f>AND(#REF!,"AAAAAH7//y8=")</f>
        <v>#REF!</v>
      </c>
      <c r="AW15" t="e">
        <f>AND(#REF!,"AAAAAH7//zA=")</f>
        <v>#REF!</v>
      </c>
      <c r="AX15" t="e">
        <f>AND(#REF!,"AAAAAH7//zE=")</f>
        <v>#REF!</v>
      </c>
      <c r="AY15" t="e">
        <f>AND(#REF!,"AAAAAH7//zI=")</f>
        <v>#REF!</v>
      </c>
      <c r="AZ15" t="e">
        <f>AND(#REF!,"AAAAAH7//zM=")</f>
        <v>#REF!</v>
      </c>
      <c r="BA15" t="e">
        <f>AND(#REF!,"AAAAAH7//zQ=")</f>
        <v>#REF!</v>
      </c>
      <c r="BB15" t="e">
        <f>IF(#REF!,"AAAAAH7//zU=",0)</f>
        <v>#REF!</v>
      </c>
      <c r="BC15" t="e">
        <f>AND(#REF!,"AAAAAH7//zY=")</f>
        <v>#REF!</v>
      </c>
      <c r="BD15" t="e">
        <f>AND(#REF!,"AAAAAH7//zc=")</f>
        <v>#REF!</v>
      </c>
      <c r="BE15" t="e">
        <f>AND(#REF!,"AAAAAH7//zg=")</f>
        <v>#REF!</v>
      </c>
      <c r="BF15" t="e">
        <f>AND(#REF!,"AAAAAH7//zk=")</f>
        <v>#REF!</v>
      </c>
      <c r="BG15" t="e">
        <f>AND(#REF!,"AAAAAH7//zo=")</f>
        <v>#REF!</v>
      </c>
      <c r="BH15" t="e">
        <f>AND(#REF!,"AAAAAH7//zs=")</f>
        <v>#REF!</v>
      </c>
      <c r="BI15" t="e">
        <f>AND(#REF!,"AAAAAH7//zw=")</f>
        <v>#REF!</v>
      </c>
      <c r="BJ15" t="e">
        <f>AND(#REF!,"AAAAAH7//z0=")</f>
        <v>#REF!</v>
      </c>
      <c r="BK15" t="e">
        <f>AND(#REF!,"AAAAAH7//z4=")</f>
        <v>#REF!</v>
      </c>
      <c r="BL15" t="e">
        <f>AND(#REF!,"AAAAAH7//z8=")</f>
        <v>#REF!</v>
      </c>
      <c r="BM15" t="e">
        <f>AND(#REF!,"AAAAAH7//0A=")</f>
        <v>#REF!</v>
      </c>
      <c r="BN15" t="e">
        <f>AND(#REF!,"AAAAAH7//0E=")</f>
        <v>#REF!</v>
      </c>
      <c r="BO15" t="e">
        <f>AND(#REF!,"AAAAAH7//0I=")</f>
        <v>#REF!</v>
      </c>
      <c r="BP15" t="e">
        <f>AND(#REF!,"AAAAAH7//0M=")</f>
        <v>#REF!</v>
      </c>
      <c r="BQ15" t="e">
        <f>AND(#REF!,"AAAAAH7//0Q=")</f>
        <v>#REF!</v>
      </c>
      <c r="BR15" t="e">
        <f>AND(#REF!,"AAAAAH7//0U=")</f>
        <v>#REF!</v>
      </c>
      <c r="BS15" t="e">
        <f>AND(#REF!,"AAAAAH7//0Y=")</f>
        <v>#REF!</v>
      </c>
      <c r="BT15" t="e">
        <f>AND(#REF!,"AAAAAH7//0c=")</f>
        <v>#REF!</v>
      </c>
      <c r="BU15" t="e">
        <f>AND(#REF!,"AAAAAH7//0g=")</f>
        <v>#REF!</v>
      </c>
      <c r="BV15" t="e">
        <f>AND(#REF!,"AAAAAH7//0k=")</f>
        <v>#REF!</v>
      </c>
      <c r="BW15" t="e">
        <f>AND(#REF!,"AAAAAH7//0o=")</f>
        <v>#REF!</v>
      </c>
      <c r="BX15" t="e">
        <f>AND(#REF!,"AAAAAH7//0s=")</f>
        <v>#REF!</v>
      </c>
      <c r="BY15" t="e">
        <f>AND(#REF!,"AAAAAH7//0w=")</f>
        <v>#REF!</v>
      </c>
      <c r="BZ15" t="e">
        <f>AND(#REF!,"AAAAAH7//00=")</f>
        <v>#REF!</v>
      </c>
      <c r="CA15" t="e">
        <f>AND(#REF!,"AAAAAH7//04=")</f>
        <v>#REF!</v>
      </c>
      <c r="CB15" t="e">
        <f>AND(#REF!,"AAAAAH7//08=")</f>
        <v>#REF!</v>
      </c>
      <c r="CC15" t="e">
        <f>AND(#REF!,"AAAAAH7//1A=")</f>
        <v>#REF!</v>
      </c>
      <c r="CD15" t="e">
        <f>AND(#REF!,"AAAAAH7//1E=")</f>
        <v>#REF!</v>
      </c>
      <c r="CE15" t="e">
        <f>AND(#REF!,"AAAAAH7//1I=")</f>
        <v>#REF!</v>
      </c>
      <c r="CF15" t="e">
        <f>AND(#REF!,"AAAAAH7//1M=")</f>
        <v>#REF!</v>
      </c>
      <c r="CG15" t="e">
        <f>AND(#REF!,"AAAAAH7//1Q=")</f>
        <v>#REF!</v>
      </c>
      <c r="CH15" t="e">
        <f>AND(#REF!,"AAAAAH7//1U=")</f>
        <v>#REF!</v>
      </c>
      <c r="CI15" t="e">
        <f>AND(#REF!,"AAAAAH7//1Y=")</f>
        <v>#REF!</v>
      </c>
      <c r="CJ15" t="e">
        <f>AND(#REF!,"AAAAAH7//1c=")</f>
        <v>#REF!</v>
      </c>
      <c r="CK15" t="e">
        <f>AND(#REF!,"AAAAAH7//1g=")</f>
        <v>#REF!</v>
      </c>
      <c r="CL15" t="e">
        <f>AND(#REF!,"AAAAAH7//1k=")</f>
        <v>#REF!</v>
      </c>
      <c r="CM15" t="e">
        <f>AND(#REF!,"AAAAAH7//1o=")</f>
        <v>#REF!</v>
      </c>
      <c r="CN15" t="e">
        <f>AND(#REF!,"AAAAAH7//1s=")</f>
        <v>#REF!</v>
      </c>
      <c r="CO15" t="e">
        <f>AND(#REF!,"AAAAAH7//1w=")</f>
        <v>#REF!</v>
      </c>
      <c r="CP15" t="e">
        <f>AND(#REF!,"AAAAAH7//10=")</f>
        <v>#REF!</v>
      </c>
      <c r="CQ15" t="e">
        <f>AND(#REF!,"AAAAAH7//14=")</f>
        <v>#REF!</v>
      </c>
      <c r="CR15" t="e">
        <f>AND(#REF!,"AAAAAH7//18=")</f>
        <v>#REF!</v>
      </c>
      <c r="CS15" t="e">
        <f>AND(#REF!,"AAAAAH7//2A=")</f>
        <v>#REF!</v>
      </c>
      <c r="CT15" t="e">
        <f>AND(#REF!,"AAAAAH7//2E=")</f>
        <v>#REF!</v>
      </c>
      <c r="CU15" t="e">
        <f>AND(#REF!,"AAAAAH7//2I=")</f>
        <v>#REF!</v>
      </c>
      <c r="CV15" t="e">
        <f>AND(#REF!,"AAAAAH7//2M=")</f>
        <v>#REF!</v>
      </c>
      <c r="CW15" t="e">
        <f>AND(#REF!,"AAAAAH7//2Q=")</f>
        <v>#REF!</v>
      </c>
      <c r="CX15" t="e">
        <f>AND(#REF!,"AAAAAH7//2U=")</f>
        <v>#REF!</v>
      </c>
      <c r="CY15" t="e">
        <f>AND(#REF!,"AAAAAH7//2Y=")</f>
        <v>#REF!</v>
      </c>
      <c r="CZ15" t="e">
        <f>AND(#REF!,"AAAAAH7//2c=")</f>
        <v>#REF!</v>
      </c>
      <c r="DA15" t="e">
        <f>AND(#REF!,"AAAAAH7//2g=")</f>
        <v>#REF!</v>
      </c>
      <c r="DB15" t="e">
        <f>AND(#REF!,"AAAAAH7//2k=")</f>
        <v>#REF!</v>
      </c>
      <c r="DC15" t="e">
        <f>AND(#REF!,"AAAAAH7//2o=")</f>
        <v>#REF!</v>
      </c>
      <c r="DD15" t="e">
        <f>AND(#REF!,"AAAAAH7//2s=")</f>
        <v>#REF!</v>
      </c>
      <c r="DE15" t="e">
        <f>AND(#REF!,"AAAAAH7//2w=")</f>
        <v>#REF!</v>
      </c>
      <c r="DF15" t="e">
        <f>AND(#REF!,"AAAAAH7//20=")</f>
        <v>#REF!</v>
      </c>
      <c r="DG15" t="e">
        <f>AND(#REF!,"AAAAAH7//24=")</f>
        <v>#REF!</v>
      </c>
      <c r="DH15" t="e">
        <f>AND(#REF!,"AAAAAH7//28=")</f>
        <v>#REF!</v>
      </c>
      <c r="DI15" t="e">
        <f>AND(#REF!,"AAAAAH7//3A=")</f>
        <v>#REF!</v>
      </c>
      <c r="DJ15" t="e">
        <f>AND(#REF!,"AAAAAH7//3E=")</f>
        <v>#REF!</v>
      </c>
      <c r="DK15" t="e">
        <f>AND(#REF!,"AAAAAH7//3I=")</f>
        <v>#REF!</v>
      </c>
      <c r="DL15" t="e">
        <f>AND(#REF!,"AAAAAH7//3M=")</f>
        <v>#REF!</v>
      </c>
      <c r="DM15" t="e">
        <f>AND(#REF!,"AAAAAH7//3Q=")</f>
        <v>#REF!</v>
      </c>
      <c r="DN15" t="e">
        <f>AND(#REF!,"AAAAAH7//3U=")</f>
        <v>#REF!</v>
      </c>
      <c r="DO15" t="e">
        <f>AND(#REF!,"AAAAAH7//3Y=")</f>
        <v>#REF!</v>
      </c>
      <c r="DP15" t="e">
        <f>AND(#REF!,"AAAAAH7//3c=")</f>
        <v>#REF!</v>
      </c>
      <c r="DQ15" t="e">
        <f>AND(#REF!,"AAAAAH7//3g=")</f>
        <v>#REF!</v>
      </c>
      <c r="DR15" t="e">
        <f>AND(#REF!,"AAAAAH7//3k=")</f>
        <v>#REF!</v>
      </c>
      <c r="DS15" t="e">
        <f>AND(#REF!,"AAAAAH7//3o=")</f>
        <v>#REF!</v>
      </c>
      <c r="DT15" t="e">
        <f>AND(#REF!,"AAAAAH7//3s=")</f>
        <v>#REF!</v>
      </c>
      <c r="DU15" t="e">
        <f>AND(#REF!,"AAAAAH7//3w=")</f>
        <v>#REF!</v>
      </c>
      <c r="DV15" t="e">
        <f>AND(#REF!,"AAAAAH7//30=")</f>
        <v>#REF!</v>
      </c>
      <c r="DW15" t="e">
        <f>AND(#REF!,"AAAAAH7//34=")</f>
        <v>#REF!</v>
      </c>
      <c r="DX15" t="e">
        <f>AND(#REF!,"AAAAAH7//38=")</f>
        <v>#REF!</v>
      </c>
      <c r="DY15" t="e">
        <f>AND(#REF!,"AAAAAH7//4A=")</f>
        <v>#REF!</v>
      </c>
      <c r="DZ15" t="e">
        <f>AND(#REF!,"AAAAAH7//4E=")</f>
        <v>#REF!</v>
      </c>
      <c r="EA15" t="e">
        <f>AND(#REF!,"AAAAAH7//4I=")</f>
        <v>#REF!</v>
      </c>
      <c r="EB15" t="e">
        <f>AND(#REF!,"AAAAAH7//4M=")</f>
        <v>#REF!</v>
      </c>
      <c r="EC15" t="e">
        <f>AND(#REF!,"AAAAAH7//4Q=")</f>
        <v>#REF!</v>
      </c>
      <c r="ED15" t="e">
        <f>AND(#REF!,"AAAAAH7//4U=")</f>
        <v>#REF!</v>
      </c>
      <c r="EE15" t="e">
        <f>AND(#REF!,"AAAAAH7//4Y=")</f>
        <v>#REF!</v>
      </c>
      <c r="EF15" t="e">
        <f>AND(#REF!,"AAAAAH7//4c=")</f>
        <v>#REF!</v>
      </c>
      <c r="EG15" t="e">
        <f>AND(#REF!,"AAAAAH7//4g=")</f>
        <v>#REF!</v>
      </c>
      <c r="EH15" t="e">
        <f>AND(#REF!,"AAAAAH7//4k=")</f>
        <v>#REF!</v>
      </c>
      <c r="EI15" t="e">
        <f>AND(#REF!,"AAAAAH7//4o=")</f>
        <v>#REF!</v>
      </c>
      <c r="EJ15" t="e">
        <f>AND(#REF!,"AAAAAH7//4s=")</f>
        <v>#REF!</v>
      </c>
      <c r="EK15" t="e">
        <f>AND(#REF!,"AAAAAH7//4w=")</f>
        <v>#REF!</v>
      </c>
      <c r="EL15" t="e">
        <f>AND(#REF!,"AAAAAH7//40=")</f>
        <v>#REF!</v>
      </c>
      <c r="EM15" t="e">
        <f>AND(#REF!,"AAAAAH7//44=")</f>
        <v>#REF!</v>
      </c>
      <c r="EN15" t="e">
        <f>AND(#REF!,"AAAAAH7//48=")</f>
        <v>#REF!</v>
      </c>
      <c r="EO15" t="e">
        <f>AND(#REF!,"AAAAAH7//5A=")</f>
        <v>#REF!</v>
      </c>
      <c r="EP15" t="e">
        <f>AND(#REF!,"AAAAAH7//5E=")</f>
        <v>#REF!</v>
      </c>
      <c r="EQ15" t="e">
        <f>AND(#REF!,"AAAAAH7//5I=")</f>
        <v>#REF!</v>
      </c>
      <c r="ER15" t="e">
        <f>AND(#REF!,"AAAAAH7//5M=")</f>
        <v>#REF!</v>
      </c>
      <c r="ES15" t="e">
        <f>AND(#REF!,"AAAAAH7//5Q=")</f>
        <v>#REF!</v>
      </c>
      <c r="ET15" t="e">
        <f>AND(#REF!,"AAAAAH7//5U=")</f>
        <v>#REF!</v>
      </c>
      <c r="EU15" t="e">
        <f>AND(#REF!,"AAAAAH7//5Y=")</f>
        <v>#REF!</v>
      </c>
      <c r="EV15" t="e">
        <f>AND(#REF!,"AAAAAH7//5c=")</f>
        <v>#REF!</v>
      </c>
      <c r="EW15" t="e">
        <f>AND(#REF!,"AAAAAH7//5g=")</f>
        <v>#REF!</v>
      </c>
      <c r="EX15" t="e">
        <f>AND(#REF!,"AAAAAH7//5k=")</f>
        <v>#REF!</v>
      </c>
      <c r="EY15" t="e">
        <f>AND(#REF!,"AAAAAH7//5o=")</f>
        <v>#REF!</v>
      </c>
      <c r="EZ15" t="e">
        <f>AND(#REF!,"AAAAAH7//5s=")</f>
        <v>#REF!</v>
      </c>
      <c r="FA15" t="e">
        <f>AND(#REF!,"AAAAAH7//5w=")</f>
        <v>#REF!</v>
      </c>
      <c r="FB15" t="e">
        <f>AND(#REF!,"AAAAAH7//50=")</f>
        <v>#REF!</v>
      </c>
      <c r="FC15" t="e">
        <f>AND(#REF!,"AAAAAH7//54=")</f>
        <v>#REF!</v>
      </c>
      <c r="FD15" t="e">
        <f>AND(#REF!,"AAAAAH7//58=")</f>
        <v>#REF!</v>
      </c>
      <c r="FE15" t="e">
        <f>AND(#REF!,"AAAAAH7//6A=")</f>
        <v>#REF!</v>
      </c>
      <c r="FF15" t="e">
        <f>AND(#REF!,"AAAAAH7//6E=")</f>
        <v>#REF!</v>
      </c>
      <c r="FG15" t="e">
        <f>AND(#REF!,"AAAAAH7//6I=")</f>
        <v>#REF!</v>
      </c>
      <c r="FH15" t="e">
        <f>AND(#REF!,"AAAAAH7//6M=")</f>
        <v>#REF!</v>
      </c>
      <c r="FI15" t="e">
        <f>AND(#REF!,"AAAAAH7//6Q=")</f>
        <v>#REF!</v>
      </c>
      <c r="FJ15" t="e">
        <f>AND(#REF!,"AAAAAH7//6U=")</f>
        <v>#REF!</v>
      </c>
      <c r="FK15" t="e">
        <f>AND(#REF!,"AAAAAH7//6Y=")</f>
        <v>#REF!</v>
      </c>
      <c r="FL15" t="e">
        <f>AND(#REF!,"AAAAAH7//6c=")</f>
        <v>#REF!</v>
      </c>
      <c r="FM15" t="e">
        <f>AND(#REF!,"AAAAAH7//6g=")</f>
        <v>#REF!</v>
      </c>
      <c r="FN15" t="e">
        <f>AND(#REF!,"AAAAAH7//6k=")</f>
        <v>#REF!</v>
      </c>
      <c r="FO15" t="e">
        <f>AND(#REF!,"AAAAAH7//6o=")</f>
        <v>#REF!</v>
      </c>
      <c r="FP15" t="e">
        <f>AND(#REF!,"AAAAAH7//6s=")</f>
        <v>#REF!</v>
      </c>
      <c r="FQ15" t="e">
        <f>AND(#REF!,"AAAAAH7//6w=")</f>
        <v>#REF!</v>
      </c>
      <c r="FR15" t="e">
        <f>AND(#REF!,"AAAAAH7//60=")</f>
        <v>#REF!</v>
      </c>
      <c r="FS15" t="e">
        <f>AND(#REF!,"AAAAAH7//64=")</f>
        <v>#REF!</v>
      </c>
      <c r="FT15" t="e">
        <f>AND(#REF!,"AAAAAH7//68=")</f>
        <v>#REF!</v>
      </c>
      <c r="FU15" t="e">
        <f>AND(#REF!,"AAAAAH7//7A=")</f>
        <v>#REF!</v>
      </c>
      <c r="FV15" t="e">
        <f>AND(#REF!,"AAAAAH7//7E=")</f>
        <v>#REF!</v>
      </c>
      <c r="FW15" t="e">
        <f>AND(#REF!,"AAAAAH7//7I=")</f>
        <v>#REF!</v>
      </c>
      <c r="FX15" t="e">
        <f>AND(#REF!,"AAAAAH7//7M=")</f>
        <v>#REF!</v>
      </c>
      <c r="FY15" t="e">
        <f>AND(#REF!,"AAAAAH7//7Q=")</f>
        <v>#REF!</v>
      </c>
      <c r="FZ15" t="e">
        <f>AND(#REF!,"AAAAAH7//7U=")</f>
        <v>#REF!</v>
      </c>
      <c r="GA15" t="e">
        <f>AND(#REF!,"AAAAAH7//7Y=")</f>
        <v>#REF!</v>
      </c>
      <c r="GB15" t="e">
        <f>AND(#REF!,"AAAAAH7//7c=")</f>
        <v>#REF!</v>
      </c>
      <c r="GC15" t="e">
        <f>AND(#REF!,"AAAAAH7//7g=")</f>
        <v>#REF!</v>
      </c>
      <c r="GD15" t="e">
        <f>AND(#REF!,"AAAAAH7//7k=")</f>
        <v>#REF!</v>
      </c>
      <c r="GE15" t="e">
        <f>AND(#REF!,"AAAAAH7//7o=")</f>
        <v>#REF!</v>
      </c>
      <c r="GF15" t="e">
        <f>AND(#REF!,"AAAAAH7//7s=")</f>
        <v>#REF!</v>
      </c>
      <c r="GG15" t="e">
        <f>AND(#REF!,"AAAAAH7//7w=")</f>
        <v>#REF!</v>
      </c>
      <c r="GH15" t="e">
        <f>AND(#REF!,"AAAAAH7//70=")</f>
        <v>#REF!</v>
      </c>
      <c r="GI15" t="e">
        <f>AND(#REF!,"AAAAAH7//74=")</f>
        <v>#REF!</v>
      </c>
      <c r="GJ15" t="e">
        <f>AND(#REF!,"AAAAAH7//78=")</f>
        <v>#REF!</v>
      </c>
      <c r="GK15" t="e">
        <f>AND(#REF!,"AAAAAH7//8A=")</f>
        <v>#REF!</v>
      </c>
      <c r="GL15" t="e">
        <f>AND(#REF!,"AAAAAH7//8E=")</f>
        <v>#REF!</v>
      </c>
      <c r="GM15" t="e">
        <f>AND(#REF!,"AAAAAH7//8I=")</f>
        <v>#REF!</v>
      </c>
      <c r="GN15" t="e">
        <f>AND(#REF!,"AAAAAH7//8M=")</f>
        <v>#REF!</v>
      </c>
      <c r="GO15" t="e">
        <f>AND(#REF!,"AAAAAH7//8Q=")</f>
        <v>#REF!</v>
      </c>
      <c r="GP15" t="e">
        <f>AND(#REF!,"AAAAAH7//8U=")</f>
        <v>#REF!</v>
      </c>
      <c r="GQ15" t="e">
        <f>AND(#REF!,"AAAAAH7//8Y=")</f>
        <v>#REF!</v>
      </c>
      <c r="GR15" t="e">
        <f>AND(#REF!,"AAAAAH7//8c=")</f>
        <v>#REF!</v>
      </c>
      <c r="GS15" t="e">
        <f>AND(#REF!,"AAAAAH7//8g=")</f>
        <v>#REF!</v>
      </c>
      <c r="GT15" t="e">
        <f>AND(#REF!,"AAAAAH7//8k=")</f>
        <v>#REF!</v>
      </c>
      <c r="GU15" t="e">
        <f>AND(#REF!,"AAAAAH7//8o=")</f>
        <v>#REF!</v>
      </c>
      <c r="GV15" t="e">
        <f>AND(#REF!,"AAAAAH7//8s=")</f>
        <v>#REF!</v>
      </c>
      <c r="GW15" t="e">
        <f>AND(#REF!,"AAAAAH7//8w=")</f>
        <v>#REF!</v>
      </c>
      <c r="GX15" t="e">
        <f>AND(#REF!,"AAAAAH7//80=")</f>
        <v>#REF!</v>
      </c>
      <c r="GY15" t="e">
        <f>AND(#REF!,"AAAAAH7//84=")</f>
        <v>#REF!</v>
      </c>
      <c r="GZ15" t="e">
        <f>AND(#REF!,"AAAAAH7//88=")</f>
        <v>#REF!</v>
      </c>
      <c r="HA15" t="e">
        <f>AND(#REF!,"AAAAAH7//9A=")</f>
        <v>#REF!</v>
      </c>
      <c r="HB15" t="e">
        <f>AND(#REF!,"AAAAAH7//9E=")</f>
        <v>#REF!</v>
      </c>
      <c r="HC15" t="e">
        <f>AND(#REF!,"AAAAAH7//9I=")</f>
        <v>#REF!</v>
      </c>
      <c r="HD15" t="e">
        <f>AND(#REF!,"AAAAAH7//9M=")</f>
        <v>#REF!</v>
      </c>
      <c r="HE15" t="e">
        <f>AND(#REF!,"AAAAAH7//9Q=")</f>
        <v>#REF!</v>
      </c>
      <c r="HF15" t="e">
        <f>AND(#REF!,"AAAAAH7//9U=")</f>
        <v>#REF!</v>
      </c>
      <c r="HG15" t="e">
        <f>AND(#REF!,"AAAAAH7//9Y=")</f>
        <v>#REF!</v>
      </c>
      <c r="HH15" t="e">
        <f>AND(#REF!,"AAAAAH7//9c=")</f>
        <v>#REF!</v>
      </c>
      <c r="HI15" t="e">
        <f>AND(#REF!,"AAAAAH7//9g=")</f>
        <v>#REF!</v>
      </c>
      <c r="HJ15" t="e">
        <f>AND(#REF!,"AAAAAH7//9k=")</f>
        <v>#REF!</v>
      </c>
      <c r="HK15" t="e">
        <f>AND(#REF!,"AAAAAH7//9o=")</f>
        <v>#REF!</v>
      </c>
      <c r="HL15" t="e">
        <f>AND(#REF!,"AAAAAH7//9s=")</f>
        <v>#REF!</v>
      </c>
      <c r="HM15" t="e">
        <f>AND(#REF!,"AAAAAH7//9w=")</f>
        <v>#REF!</v>
      </c>
      <c r="HN15" t="e">
        <f>AND(#REF!,"AAAAAH7//90=")</f>
        <v>#REF!</v>
      </c>
      <c r="HO15" t="e">
        <f>AND(#REF!,"AAAAAH7//94=")</f>
        <v>#REF!</v>
      </c>
      <c r="HP15" t="e">
        <f>AND(#REF!,"AAAAAH7//98=")</f>
        <v>#REF!</v>
      </c>
      <c r="HQ15" t="e">
        <f>AND(#REF!,"AAAAAH7//+A=")</f>
        <v>#REF!</v>
      </c>
      <c r="HR15" t="e">
        <f>AND(#REF!,"AAAAAH7//+E=")</f>
        <v>#REF!</v>
      </c>
      <c r="HS15" t="e">
        <f>AND(#REF!,"AAAAAH7//+I=")</f>
        <v>#REF!</v>
      </c>
      <c r="HT15" t="e">
        <f>AND(#REF!,"AAAAAH7//+M=")</f>
        <v>#REF!</v>
      </c>
      <c r="HU15" t="e">
        <f>AND(#REF!,"AAAAAH7//+Q=")</f>
        <v>#REF!</v>
      </c>
      <c r="HV15" t="e">
        <f>AND(#REF!,"AAAAAH7//+U=")</f>
        <v>#REF!</v>
      </c>
      <c r="HW15" t="e">
        <f>AND(#REF!,"AAAAAH7//+Y=")</f>
        <v>#REF!</v>
      </c>
      <c r="HX15" t="e">
        <f>AND(#REF!,"AAAAAH7//+c=")</f>
        <v>#REF!</v>
      </c>
      <c r="HY15" t="e">
        <f>AND(#REF!,"AAAAAH7//+g=")</f>
        <v>#REF!</v>
      </c>
      <c r="HZ15" t="e">
        <f>AND(#REF!,"AAAAAH7//+k=")</f>
        <v>#REF!</v>
      </c>
      <c r="IA15" t="e">
        <f>IF(#REF!,"AAAAAH7//+o=",0)</f>
        <v>#REF!</v>
      </c>
      <c r="IB15" t="e">
        <f>AND(#REF!,"AAAAAH7//+s=")</f>
        <v>#REF!</v>
      </c>
      <c r="IC15" t="e">
        <f>AND(#REF!,"AAAAAH7//+w=")</f>
        <v>#REF!</v>
      </c>
      <c r="ID15" t="e">
        <f>AND(#REF!,"AAAAAH7//+0=")</f>
        <v>#REF!</v>
      </c>
      <c r="IE15" t="e">
        <f>AND(#REF!,"AAAAAH7//+4=")</f>
        <v>#REF!</v>
      </c>
      <c r="IF15" t="e">
        <f>AND(#REF!,"AAAAAH7//+8=")</f>
        <v>#REF!</v>
      </c>
      <c r="IG15" t="e">
        <f>AND(#REF!,"AAAAAH7///A=")</f>
        <v>#REF!</v>
      </c>
      <c r="IH15" t="e">
        <f>AND(#REF!,"AAAAAH7///E=")</f>
        <v>#REF!</v>
      </c>
      <c r="II15" t="e">
        <f>AND(#REF!,"AAAAAH7///I=")</f>
        <v>#REF!</v>
      </c>
      <c r="IJ15" t="e">
        <f>AND(#REF!,"AAAAAH7///M=")</f>
        <v>#REF!</v>
      </c>
      <c r="IK15" t="e">
        <f>AND(#REF!,"AAAAAH7///Q=")</f>
        <v>#REF!</v>
      </c>
      <c r="IL15" t="e">
        <f>AND(#REF!,"AAAAAH7///U=")</f>
        <v>#REF!</v>
      </c>
      <c r="IM15" t="e">
        <f>AND(#REF!,"AAAAAH7///Y=")</f>
        <v>#REF!</v>
      </c>
      <c r="IN15" t="e">
        <f>AND(#REF!,"AAAAAH7///c=")</f>
        <v>#REF!</v>
      </c>
      <c r="IO15" t="e">
        <f>AND(#REF!,"AAAAAH7///g=")</f>
        <v>#REF!</v>
      </c>
      <c r="IP15" t="e">
        <f>AND(#REF!,"AAAAAH7///k=")</f>
        <v>#REF!</v>
      </c>
      <c r="IQ15" t="e">
        <f>AND(#REF!,"AAAAAH7///o=")</f>
        <v>#REF!</v>
      </c>
      <c r="IR15" t="e">
        <f>AND(#REF!,"AAAAAH7///s=")</f>
        <v>#REF!</v>
      </c>
      <c r="IS15" t="e">
        <f>AND(#REF!,"AAAAAH7///w=")</f>
        <v>#REF!</v>
      </c>
      <c r="IT15" t="e">
        <f>AND(#REF!,"AAAAAH7///0=")</f>
        <v>#REF!</v>
      </c>
      <c r="IU15" t="e">
        <f>AND(#REF!,"AAAAAH7///4=")</f>
        <v>#REF!</v>
      </c>
      <c r="IV15" t="e">
        <f>AND(#REF!,"AAAAAH7///8=")</f>
        <v>#REF!</v>
      </c>
    </row>
    <row r="16" spans="1:256" x14ac:dyDescent="0.2">
      <c r="A16" t="e">
        <f>AND(#REF!,"AAAAAGJ9fAA=")</f>
        <v>#REF!</v>
      </c>
      <c r="B16" t="e">
        <f>AND(#REF!,"AAAAAGJ9fAE=")</f>
        <v>#REF!</v>
      </c>
      <c r="C16" t="e">
        <f>AND(#REF!,"AAAAAGJ9fAI=")</f>
        <v>#REF!</v>
      </c>
      <c r="D16" t="e">
        <f>AND(#REF!,"AAAAAGJ9fAM=")</f>
        <v>#REF!</v>
      </c>
      <c r="E16" t="e">
        <f>AND(#REF!,"AAAAAGJ9fAQ=")</f>
        <v>#REF!</v>
      </c>
      <c r="F16" t="e">
        <f>AND(#REF!,"AAAAAGJ9fAU=")</f>
        <v>#REF!</v>
      </c>
      <c r="G16" t="e">
        <f>AND(#REF!,"AAAAAGJ9fAY=")</f>
        <v>#REF!</v>
      </c>
      <c r="H16" t="e">
        <f>AND(#REF!,"AAAAAGJ9fAc=")</f>
        <v>#REF!</v>
      </c>
      <c r="I16" t="e">
        <f>AND(#REF!,"AAAAAGJ9fAg=")</f>
        <v>#REF!</v>
      </c>
      <c r="J16" t="e">
        <f>AND(#REF!,"AAAAAGJ9fAk=")</f>
        <v>#REF!</v>
      </c>
      <c r="K16" t="e">
        <f>AND(#REF!,"AAAAAGJ9fAo=")</f>
        <v>#REF!</v>
      </c>
      <c r="L16" t="e">
        <f>AND(#REF!,"AAAAAGJ9fAs=")</f>
        <v>#REF!</v>
      </c>
      <c r="M16" t="e">
        <f>AND(#REF!,"AAAAAGJ9fAw=")</f>
        <v>#REF!</v>
      </c>
      <c r="N16" t="e">
        <f>AND(#REF!,"AAAAAGJ9fA0=")</f>
        <v>#REF!</v>
      </c>
      <c r="O16" t="e">
        <f>AND(#REF!,"AAAAAGJ9fA4=")</f>
        <v>#REF!</v>
      </c>
      <c r="P16" t="e">
        <f>AND(#REF!,"AAAAAGJ9fA8=")</f>
        <v>#REF!</v>
      </c>
      <c r="Q16" t="e">
        <f>AND(#REF!,"AAAAAGJ9fBA=")</f>
        <v>#REF!</v>
      </c>
      <c r="R16" t="e">
        <f>AND(#REF!,"AAAAAGJ9fBE=")</f>
        <v>#REF!</v>
      </c>
      <c r="S16" t="e">
        <f>AND(#REF!,"AAAAAGJ9fBI=")</f>
        <v>#REF!</v>
      </c>
      <c r="T16" t="e">
        <f>AND(#REF!,"AAAAAGJ9fBM=")</f>
        <v>#REF!</v>
      </c>
      <c r="U16" t="e">
        <f>AND(#REF!,"AAAAAGJ9fBQ=")</f>
        <v>#REF!</v>
      </c>
      <c r="V16" t="e">
        <f>AND(#REF!,"AAAAAGJ9fBU=")</f>
        <v>#REF!</v>
      </c>
      <c r="W16" t="e">
        <f>AND(#REF!,"AAAAAGJ9fBY=")</f>
        <v>#REF!</v>
      </c>
      <c r="X16" t="e">
        <f>AND(#REF!,"AAAAAGJ9fBc=")</f>
        <v>#REF!</v>
      </c>
      <c r="Y16" t="e">
        <f>AND(#REF!,"AAAAAGJ9fBg=")</f>
        <v>#REF!</v>
      </c>
      <c r="Z16" t="e">
        <f>AND(#REF!,"AAAAAGJ9fBk=")</f>
        <v>#REF!</v>
      </c>
      <c r="AA16" t="e">
        <f>AND(#REF!,"AAAAAGJ9fBo=")</f>
        <v>#REF!</v>
      </c>
      <c r="AB16" t="e">
        <f>AND(#REF!,"AAAAAGJ9fBs=")</f>
        <v>#REF!</v>
      </c>
      <c r="AC16" t="e">
        <f>AND(#REF!,"AAAAAGJ9fBw=")</f>
        <v>#REF!</v>
      </c>
      <c r="AD16" t="e">
        <f>AND(#REF!,"AAAAAGJ9fB0=")</f>
        <v>#REF!</v>
      </c>
      <c r="AE16" t="e">
        <f>AND(#REF!,"AAAAAGJ9fB4=")</f>
        <v>#REF!</v>
      </c>
      <c r="AF16" t="e">
        <f>AND(#REF!,"AAAAAGJ9fB8=")</f>
        <v>#REF!</v>
      </c>
      <c r="AG16" t="e">
        <f>AND(#REF!,"AAAAAGJ9fCA=")</f>
        <v>#REF!</v>
      </c>
      <c r="AH16" t="e">
        <f>AND(#REF!,"AAAAAGJ9fCE=")</f>
        <v>#REF!</v>
      </c>
      <c r="AI16" t="e">
        <f>AND(#REF!,"AAAAAGJ9fCI=")</f>
        <v>#REF!</v>
      </c>
      <c r="AJ16" t="e">
        <f>AND(#REF!,"AAAAAGJ9fCM=")</f>
        <v>#REF!</v>
      </c>
      <c r="AK16" t="e">
        <f>AND(#REF!,"AAAAAGJ9fCQ=")</f>
        <v>#REF!</v>
      </c>
      <c r="AL16" t="e">
        <f>AND(#REF!,"AAAAAGJ9fCU=")</f>
        <v>#REF!</v>
      </c>
      <c r="AM16" t="e">
        <f>AND(#REF!,"AAAAAGJ9fCY=")</f>
        <v>#REF!</v>
      </c>
      <c r="AN16" t="e">
        <f>AND(#REF!,"AAAAAGJ9fCc=")</f>
        <v>#REF!</v>
      </c>
      <c r="AO16" t="e">
        <f>AND(#REF!,"AAAAAGJ9fCg=")</f>
        <v>#REF!</v>
      </c>
      <c r="AP16" t="e">
        <f>AND(#REF!,"AAAAAGJ9fCk=")</f>
        <v>#REF!</v>
      </c>
      <c r="AQ16" t="e">
        <f>AND(#REF!,"AAAAAGJ9fCo=")</f>
        <v>#REF!</v>
      </c>
      <c r="AR16" t="e">
        <f>AND(#REF!,"AAAAAGJ9fCs=")</f>
        <v>#REF!</v>
      </c>
      <c r="AS16" t="e">
        <f>AND(#REF!,"AAAAAGJ9fCw=")</f>
        <v>#REF!</v>
      </c>
      <c r="AT16" t="e">
        <f>AND(#REF!,"AAAAAGJ9fC0=")</f>
        <v>#REF!</v>
      </c>
      <c r="AU16" t="e">
        <f>AND(#REF!,"AAAAAGJ9fC4=")</f>
        <v>#REF!</v>
      </c>
      <c r="AV16" t="e">
        <f>AND(#REF!,"AAAAAGJ9fC8=")</f>
        <v>#REF!</v>
      </c>
      <c r="AW16" t="e">
        <f>AND(#REF!,"AAAAAGJ9fDA=")</f>
        <v>#REF!</v>
      </c>
      <c r="AX16" t="e">
        <f>AND(#REF!,"AAAAAGJ9fDE=")</f>
        <v>#REF!</v>
      </c>
      <c r="AY16" t="e">
        <f>AND(#REF!,"AAAAAGJ9fDI=")</f>
        <v>#REF!</v>
      </c>
      <c r="AZ16" t="e">
        <f>AND(#REF!,"AAAAAGJ9fDM=")</f>
        <v>#REF!</v>
      </c>
      <c r="BA16" t="e">
        <f>AND(#REF!,"AAAAAGJ9fDQ=")</f>
        <v>#REF!</v>
      </c>
      <c r="BB16" t="e">
        <f>AND(#REF!,"AAAAAGJ9fDU=")</f>
        <v>#REF!</v>
      </c>
      <c r="BC16" t="e">
        <f>AND(#REF!,"AAAAAGJ9fDY=")</f>
        <v>#REF!</v>
      </c>
      <c r="BD16" t="e">
        <f>AND(#REF!,"AAAAAGJ9fDc=")</f>
        <v>#REF!</v>
      </c>
      <c r="BE16" t="e">
        <f>AND(#REF!,"AAAAAGJ9fDg=")</f>
        <v>#REF!</v>
      </c>
      <c r="BF16" t="e">
        <f>AND(#REF!,"AAAAAGJ9fDk=")</f>
        <v>#REF!</v>
      </c>
      <c r="BG16" t="e">
        <f>AND(#REF!,"AAAAAGJ9fDo=")</f>
        <v>#REF!</v>
      </c>
      <c r="BH16" t="e">
        <f>AND(#REF!,"AAAAAGJ9fDs=")</f>
        <v>#REF!</v>
      </c>
      <c r="BI16" t="e">
        <f>AND(#REF!,"AAAAAGJ9fDw=")</f>
        <v>#REF!</v>
      </c>
      <c r="BJ16" t="e">
        <f>AND(#REF!,"AAAAAGJ9fD0=")</f>
        <v>#REF!</v>
      </c>
      <c r="BK16" t="e">
        <f>AND(#REF!,"AAAAAGJ9fD4=")</f>
        <v>#REF!</v>
      </c>
      <c r="BL16" t="e">
        <f>AND(#REF!,"AAAAAGJ9fD8=")</f>
        <v>#REF!</v>
      </c>
      <c r="BM16" t="e">
        <f>AND(#REF!,"AAAAAGJ9fEA=")</f>
        <v>#REF!</v>
      </c>
      <c r="BN16" t="e">
        <f>AND(#REF!,"AAAAAGJ9fEE=")</f>
        <v>#REF!</v>
      </c>
      <c r="BO16" t="e">
        <f>AND(#REF!,"AAAAAGJ9fEI=")</f>
        <v>#REF!</v>
      </c>
      <c r="BP16" t="e">
        <f>AND(#REF!,"AAAAAGJ9fEM=")</f>
        <v>#REF!</v>
      </c>
      <c r="BQ16" t="e">
        <f>AND(#REF!,"AAAAAGJ9fEQ=")</f>
        <v>#REF!</v>
      </c>
      <c r="BR16" t="e">
        <f>AND(#REF!,"AAAAAGJ9fEU=")</f>
        <v>#REF!</v>
      </c>
      <c r="BS16" t="e">
        <f>AND(#REF!,"AAAAAGJ9fEY=")</f>
        <v>#REF!</v>
      </c>
      <c r="BT16" t="e">
        <f>AND(#REF!,"AAAAAGJ9fEc=")</f>
        <v>#REF!</v>
      </c>
      <c r="BU16" t="e">
        <f>AND(#REF!,"AAAAAGJ9fEg=")</f>
        <v>#REF!</v>
      </c>
      <c r="BV16" t="e">
        <f>AND(#REF!,"AAAAAGJ9fEk=")</f>
        <v>#REF!</v>
      </c>
      <c r="BW16" t="e">
        <f>AND(#REF!,"AAAAAGJ9fEo=")</f>
        <v>#REF!</v>
      </c>
      <c r="BX16" t="e">
        <f>AND(#REF!,"AAAAAGJ9fEs=")</f>
        <v>#REF!</v>
      </c>
      <c r="BY16" t="e">
        <f>AND(#REF!,"AAAAAGJ9fEw=")</f>
        <v>#REF!</v>
      </c>
      <c r="BZ16" t="e">
        <f>AND(#REF!,"AAAAAGJ9fE0=")</f>
        <v>#REF!</v>
      </c>
      <c r="CA16" t="e">
        <f>AND(#REF!,"AAAAAGJ9fE4=")</f>
        <v>#REF!</v>
      </c>
      <c r="CB16" t="e">
        <f>AND(#REF!,"AAAAAGJ9fE8=")</f>
        <v>#REF!</v>
      </c>
      <c r="CC16" t="e">
        <f>AND(#REF!,"AAAAAGJ9fFA=")</f>
        <v>#REF!</v>
      </c>
      <c r="CD16" t="e">
        <f>AND(#REF!,"AAAAAGJ9fFE=")</f>
        <v>#REF!</v>
      </c>
      <c r="CE16" t="e">
        <f>AND(#REF!,"AAAAAGJ9fFI=")</f>
        <v>#REF!</v>
      </c>
      <c r="CF16" t="e">
        <f>AND(#REF!,"AAAAAGJ9fFM=")</f>
        <v>#REF!</v>
      </c>
      <c r="CG16" t="e">
        <f>AND(#REF!,"AAAAAGJ9fFQ=")</f>
        <v>#REF!</v>
      </c>
      <c r="CH16" t="e">
        <f>AND(#REF!,"AAAAAGJ9fFU=")</f>
        <v>#REF!</v>
      </c>
      <c r="CI16" t="e">
        <f>AND(#REF!,"AAAAAGJ9fFY=")</f>
        <v>#REF!</v>
      </c>
      <c r="CJ16" t="e">
        <f>AND(#REF!,"AAAAAGJ9fFc=")</f>
        <v>#REF!</v>
      </c>
      <c r="CK16" t="e">
        <f>AND(#REF!,"AAAAAGJ9fFg=")</f>
        <v>#REF!</v>
      </c>
      <c r="CL16" t="e">
        <f>AND(#REF!,"AAAAAGJ9fFk=")</f>
        <v>#REF!</v>
      </c>
      <c r="CM16" t="e">
        <f>AND(#REF!,"AAAAAGJ9fFo=")</f>
        <v>#REF!</v>
      </c>
      <c r="CN16" t="e">
        <f>AND(#REF!,"AAAAAGJ9fFs=")</f>
        <v>#REF!</v>
      </c>
      <c r="CO16" t="e">
        <f>AND(#REF!,"AAAAAGJ9fFw=")</f>
        <v>#REF!</v>
      </c>
      <c r="CP16" t="e">
        <f>AND(#REF!,"AAAAAGJ9fF0=")</f>
        <v>#REF!</v>
      </c>
      <c r="CQ16" t="e">
        <f>AND(#REF!,"AAAAAGJ9fF4=")</f>
        <v>#REF!</v>
      </c>
      <c r="CR16" t="e">
        <f>AND(#REF!,"AAAAAGJ9fF8=")</f>
        <v>#REF!</v>
      </c>
      <c r="CS16" t="e">
        <f>AND(#REF!,"AAAAAGJ9fGA=")</f>
        <v>#REF!</v>
      </c>
      <c r="CT16" t="e">
        <f>AND(#REF!,"AAAAAGJ9fGE=")</f>
        <v>#REF!</v>
      </c>
      <c r="CU16" t="e">
        <f>AND(#REF!,"AAAAAGJ9fGI=")</f>
        <v>#REF!</v>
      </c>
      <c r="CV16" t="e">
        <f>AND(#REF!,"AAAAAGJ9fGM=")</f>
        <v>#REF!</v>
      </c>
      <c r="CW16" t="e">
        <f>AND(#REF!,"AAAAAGJ9fGQ=")</f>
        <v>#REF!</v>
      </c>
      <c r="CX16" t="e">
        <f>AND(#REF!,"AAAAAGJ9fGU=")</f>
        <v>#REF!</v>
      </c>
      <c r="CY16" t="e">
        <f>AND(#REF!,"AAAAAGJ9fGY=")</f>
        <v>#REF!</v>
      </c>
      <c r="CZ16" t="e">
        <f>AND(#REF!,"AAAAAGJ9fGc=")</f>
        <v>#REF!</v>
      </c>
      <c r="DA16" t="e">
        <f>AND(#REF!,"AAAAAGJ9fGg=")</f>
        <v>#REF!</v>
      </c>
      <c r="DB16" t="e">
        <f>AND(#REF!,"AAAAAGJ9fGk=")</f>
        <v>#REF!</v>
      </c>
      <c r="DC16" t="e">
        <f>AND(#REF!,"AAAAAGJ9fGo=")</f>
        <v>#REF!</v>
      </c>
      <c r="DD16" t="e">
        <f>AND(#REF!,"AAAAAGJ9fGs=")</f>
        <v>#REF!</v>
      </c>
      <c r="DE16" t="e">
        <f>AND(#REF!,"AAAAAGJ9fGw=")</f>
        <v>#REF!</v>
      </c>
      <c r="DF16" t="e">
        <f>AND(#REF!,"AAAAAGJ9fG0=")</f>
        <v>#REF!</v>
      </c>
      <c r="DG16" t="e">
        <f>AND(#REF!,"AAAAAGJ9fG4=")</f>
        <v>#REF!</v>
      </c>
      <c r="DH16" t="e">
        <f>AND(#REF!,"AAAAAGJ9fG8=")</f>
        <v>#REF!</v>
      </c>
      <c r="DI16" t="e">
        <f>AND(#REF!,"AAAAAGJ9fHA=")</f>
        <v>#REF!</v>
      </c>
      <c r="DJ16" t="e">
        <f>AND(#REF!,"AAAAAGJ9fHE=")</f>
        <v>#REF!</v>
      </c>
      <c r="DK16" t="e">
        <f>AND(#REF!,"AAAAAGJ9fHI=")</f>
        <v>#REF!</v>
      </c>
      <c r="DL16" t="e">
        <f>AND(#REF!,"AAAAAGJ9fHM=")</f>
        <v>#REF!</v>
      </c>
      <c r="DM16" t="e">
        <f>AND(#REF!,"AAAAAGJ9fHQ=")</f>
        <v>#REF!</v>
      </c>
      <c r="DN16" t="e">
        <f>AND(#REF!,"AAAAAGJ9fHU=")</f>
        <v>#REF!</v>
      </c>
      <c r="DO16" t="e">
        <f>AND(#REF!,"AAAAAGJ9fHY=")</f>
        <v>#REF!</v>
      </c>
      <c r="DP16" t="e">
        <f>AND(#REF!,"AAAAAGJ9fHc=")</f>
        <v>#REF!</v>
      </c>
      <c r="DQ16" t="e">
        <f>AND(#REF!,"AAAAAGJ9fHg=")</f>
        <v>#REF!</v>
      </c>
      <c r="DR16" t="e">
        <f>AND(#REF!,"AAAAAGJ9fHk=")</f>
        <v>#REF!</v>
      </c>
      <c r="DS16" t="e">
        <f>AND(#REF!,"AAAAAGJ9fHo=")</f>
        <v>#REF!</v>
      </c>
      <c r="DT16" t="e">
        <f>AND(#REF!,"AAAAAGJ9fHs=")</f>
        <v>#REF!</v>
      </c>
      <c r="DU16" t="e">
        <f>AND(#REF!,"AAAAAGJ9fHw=")</f>
        <v>#REF!</v>
      </c>
      <c r="DV16" t="e">
        <f>AND(#REF!,"AAAAAGJ9fH0=")</f>
        <v>#REF!</v>
      </c>
      <c r="DW16" t="e">
        <f>AND(#REF!,"AAAAAGJ9fH4=")</f>
        <v>#REF!</v>
      </c>
      <c r="DX16" t="e">
        <f>AND(#REF!,"AAAAAGJ9fH8=")</f>
        <v>#REF!</v>
      </c>
      <c r="DY16" t="e">
        <f>AND(#REF!,"AAAAAGJ9fIA=")</f>
        <v>#REF!</v>
      </c>
      <c r="DZ16" t="e">
        <f>AND(#REF!,"AAAAAGJ9fIE=")</f>
        <v>#REF!</v>
      </c>
      <c r="EA16" t="e">
        <f>AND(#REF!,"AAAAAGJ9fII=")</f>
        <v>#REF!</v>
      </c>
      <c r="EB16" t="e">
        <f>AND(#REF!,"AAAAAGJ9fIM=")</f>
        <v>#REF!</v>
      </c>
      <c r="EC16" t="e">
        <f>AND(#REF!,"AAAAAGJ9fIQ=")</f>
        <v>#REF!</v>
      </c>
      <c r="ED16" t="e">
        <f>AND(#REF!,"AAAAAGJ9fIU=")</f>
        <v>#REF!</v>
      </c>
      <c r="EE16" t="e">
        <f>AND(#REF!,"AAAAAGJ9fIY=")</f>
        <v>#REF!</v>
      </c>
      <c r="EF16" t="e">
        <f>AND(#REF!,"AAAAAGJ9fIc=")</f>
        <v>#REF!</v>
      </c>
      <c r="EG16" t="e">
        <f>AND(#REF!,"AAAAAGJ9fIg=")</f>
        <v>#REF!</v>
      </c>
      <c r="EH16" t="e">
        <f>AND(#REF!,"AAAAAGJ9fIk=")</f>
        <v>#REF!</v>
      </c>
      <c r="EI16" t="e">
        <f>AND(#REF!,"AAAAAGJ9fIo=")</f>
        <v>#REF!</v>
      </c>
      <c r="EJ16" t="e">
        <f>AND(#REF!,"AAAAAGJ9fIs=")</f>
        <v>#REF!</v>
      </c>
      <c r="EK16" t="e">
        <f>AND(#REF!,"AAAAAGJ9fIw=")</f>
        <v>#REF!</v>
      </c>
      <c r="EL16" t="e">
        <f>AND(#REF!,"AAAAAGJ9fI0=")</f>
        <v>#REF!</v>
      </c>
      <c r="EM16" t="e">
        <f>AND(#REF!,"AAAAAGJ9fI4=")</f>
        <v>#REF!</v>
      </c>
      <c r="EN16" t="e">
        <f>AND(#REF!,"AAAAAGJ9fI8=")</f>
        <v>#REF!</v>
      </c>
      <c r="EO16" t="e">
        <f>AND(#REF!,"AAAAAGJ9fJA=")</f>
        <v>#REF!</v>
      </c>
      <c r="EP16" t="e">
        <f>AND(#REF!,"AAAAAGJ9fJE=")</f>
        <v>#REF!</v>
      </c>
      <c r="EQ16" t="e">
        <f>AND(#REF!,"AAAAAGJ9fJI=")</f>
        <v>#REF!</v>
      </c>
      <c r="ER16" t="e">
        <f>AND(#REF!,"AAAAAGJ9fJM=")</f>
        <v>#REF!</v>
      </c>
      <c r="ES16" t="e">
        <f>AND(#REF!,"AAAAAGJ9fJQ=")</f>
        <v>#REF!</v>
      </c>
      <c r="ET16" t="e">
        <f>AND(#REF!,"AAAAAGJ9fJU=")</f>
        <v>#REF!</v>
      </c>
      <c r="EU16" t="e">
        <f>AND(#REF!,"AAAAAGJ9fJY=")</f>
        <v>#REF!</v>
      </c>
      <c r="EV16" t="e">
        <f>AND(#REF!,"AAAAAGJ9fJc=")</f>
        <v>#REF!</v>
      </c>
      <c r="EW16" t="e">
        <f>AND(#REF!,"AAAAAGJ9fJg=")</f>
        <v>#REF!</v>
      </c>
      <c r="EX16" t="e">
        <f>AND(#REF!,"AAAAAGJ9fJk=")</f>
        <v>#REF!</v>
      </c>
      <c r="EY16" t="e">
        <f>AND(#REF!,"AAAAAGJ9fJo=")</f>
        <v>#REF!</v>
      </c>
      <c r="EZ16" t="e">
        <f>AND(#REF!,"AAAAAGJ9fJs=")</f>
        <v>#REF!</v>
      </c>
      <c r="FA16" t="e">
        <f>AND(#REF!,"AAAAAGJ9fJw=")</f>
        <v>#REF!</v>
      </c>
      <c r="FB16" t="e">
        <f>AND(#REF!,"AAAAAGJ9fJ0=")</f>
        <v>#REF!</v>
      </c>
      <c r="FC16" t="e">
        <f>AND(#REF!,"AAAAAGJ9fJ4=")</f>
        <v>#REF!</v>
      </c>
      <c r="FD16" t="e">
        <f>IF(#REF!,"AAAAAGJ9fJ8=",0)</f>
        <v>#REF!</v>
      </c>
      <c r="FE16" t="e">
        <f>AND(#REF!,"AAAAAGJ9fKA=")</f>
        <v>#REF!</v>
      </c>
      <c r="FF16" t="e">
        <f>AND(#REF!,"AAAAAGJ9fKE=")</f>
        <v>#REF!</v>
      </c>
      <c r="FG16" t="e">
        <f>AND(#REF!,"AAAAAGJ9fKI=")</f>
        <v>#REF!</v>
      </c>
      <c r="FH16" t="e">
        <f>AND(#REF!,"AAAAAGJ9fKM=")</f>
        <v>#REF!</v>
      </c>
      <c r="FI16" t="e">
        <f>AND(#REF!,"AAAAAGJ9fKQ=")</f>
        <v>#REF!</v>
      </c>
      <c r="FJ16" t="e">
        <f>AND(#REF!,"AAAAAGJ9fKU=")</f>
        <v>#REF!</v>
      </c>
      <c r="FK16" t="e">
        <f>AND(#REF!,"AAAAAGJ9fKY=")</f>
        <v>#REF!</v>
      </c>
      <c r="FL16" t="e">
        <f>AND(#REF!,"AAAAAGJ9fKc=")</f>
        <v>#REF!</v>
      </c>
      <c r="FM16" t="e">
        <f>AND(#REF!,"AAAAAGJ9fKg=")</f>
        <v>#REF!</v>
      </c>
      <c r="FN16" t="e">
        <f>AND(#REF!,"AAAAAGJ9fKk=")</f>
        <v>#REF!</v>
      </c>
      <c r="FO16" t="e">
        <f>AND(#REF!,"AAAAAGJ9fKo=")</f>
        <v>#REF!</v>
      </c>
      <c r="FP16" t="e">
        <f>AND(#REF!,"AAAAAGJ9fKs=")</f>
        <v>#REF!</v>
      </c>
      <c r="FQ16" t="e">
        <f>AND(#REF!,"AAAAAGJ9fKw=")</f>
        <v>#REF!</v>
      </c>
      <c r="FR16" t="e">
        <f>AND(#REF!,"AAAAAGJ9fK0=")</f>
        <v>#REF!</v>
      </c>
      <c r="FS16" t="e">
        <f>AND(#REF!,"AAAAAGJ9fK4=")</f>
        <v>#REF!</v>
      </c>
      <c r="FT16" t="e">
        <f>AND(#REF!,"AAAAAGJ9fK8=")</f>
        <v>#REF!</v>
      </c>
      <c r="FU16" t="e">
        <f>AND(#REF!,"AAAAAGJ9fLA=")</f>
        <v>#REF!</v>
      </c>
      <c r="FV16" t="e">
        <f>AND(#REF!,"AAAAAGJ9fLE=")</f>
        <v>#REF!</v>
      </c>
      <c r="FW16" t="e">
        <f>AND(#REF!,"AAAAAGJ9fLI=")</f>
        <v>#REF!</v>
      </c>
      <c r="FX16" t="e">
        <f>AND(#REF!,"AAAAAGJ9fLM=")</f>
        <v>#REF!</v>
      </c>
      <c r="FY16" t="e">
        <f>AND(#REF!,"AAAAAGJ9fLQ=")</f>
        <v>#REF!</v>
      </c>
      <c r="FZ16" t="e">
        <f>AND(#REF!,"AAAAAGJ9fLU=")</f>
        <v>#REF!</v>
      </c>
      <c r="GA16" t="e">
        <f>AND(#REF!,"AAAAAGJ9fLY=")</f>
        <v>#REF!</v>
      </c>
      <c r="GB16" t="e">
        <f>AND(#REF!,"AAAAAGJ9fLc=")</f>
        <v>#REF!</v>
      </c>
      <c r="GC16" t="e">
        <f>AND(#REF!,"AAAAAGJ9fLg=")</f>
        <v>#REF!</v>
      </c>
      <c r="GD16" t="e">
        <f>AND(#REF!,"AAAAAGJ9fLk=")</f>
        <v>#REF!</v>
      </c>
      <c r="GE16" t="e">
        <f>AND(#REF!,"AAAAAGJ9fLo=")</f>
        <v>#REF!</v>
      </c>
      <c r="GF16" t="e">
        <f>AND(#REF!,"AAAAAGJ9fLs=")</f>
        <v>#REF!</v>
      </c>
      <c r="GG16" t="e">
        <f>AND(#REF!,"AAAAAGJ9fLw=")</f>
        <v>#REF!</v>
      </c>
      <c r="GH16" t="e">
        <f>AND(#REF!,"AAAAAGJ9fL0=")</f>
        <v>#REF!</v>
      </c>
      <c r="GI16" t="e">
        <f>AND(#REF!,"AAAAAGJ9fL4=")</f>
        <v>#REF!</v>
      </c>
      <c r="GJ16" t="e">
        <f>AND(#REF!,"AAAAAGJ9fL8=")</f>
        <v>#REF!</v>
      </c>
      <c r="GK16" t="e">
        <f>AND(#REF!,"AAAAAGJ9fMA=")</f>
        <v>#REF!</v>
      </c>
      <c r="GL16" t="e">
        <f>AND(#REF!,"AAAAAGJ9fME=")</f>
        <v>#REF!</v>
      </c>
      <c r="GM16" t="e">
        <f>AND(#REF!,"AAAAAGJ9fMI=")</f>
        <v>#REF!</v>
      </c>
      <c r="GN16" t="e">
        <f>AND(#REF!,"AAAAAGJ9fMM=")</f>
        <v>#REF!</v>
      </c>
      <c r="GO16" t="e">
        <f>AND(#REF!,"AAAAAGJ9fMQ=")</f>
        <v>#REF!</v>
      </c>
      <c r="GP16" t="e">
        <f>AND(#REF!,"AAAAAGJ9fMU=")</f>
        <v>#REF!</v>
      </c>
      <c r="GQ16" t="e">
        <f>AND(#REF!,"AAAAAGJ9fMY=")</f>
        <v>#REF!</v>
      </c>
      <c r="GR16" t="e">
        <f>AND(#REF!,"AAAAAGJ9fMc=")</f>
        <v>#REF!</v>
      </c>
      <c r="GS16" t="e">
        <f>AND(#REF!,"AAAAAGJ9fMg=")</f>
        <v>#REF!</v>
      </c>
      <c r="GT16" t="e">
        <f>AND(#REF!,"AAAAAGJ9fMk=")</f>
        <v>#REF!</v>
      </c>
      <c r="GU16" t="e">
        <f>AND(#REF!,"AAAAAGJ9fMo=")</f>
        <v>#REF!</v>
      </c>
      <c r="GV16" t="e">
        <f>AND(#REF!,"AAAAAGJ9fMs=")</f>
        <v>#REF!</v>
      </c>
      <c r="GW16" t="e">
        <f>AND(#REF!,"AAAAAGJ9fMw=")</f>
        <v>#REF!</v>
      </c>
      <c r="GX16" t="e">
        <f>AND(#REF!,"AAAAAGJ9fM0=")</f>
        <v>#REF!</v>
      </c>
      <c r="GY16" t="e">
        <f>AND(#REF!,"AAAAAGJ9fM4=")</f>
        <v>#REF!</v>
      </c>
      <c r="GZ16" t="e">
        <f>AND(#REF!,"AAAAAGJ9fM8=")</f>
        <v>#REF!</v>
      </c>
      <c r="HA16" t="e">
        <f>AND(#REF!,"AAAAAGJ9fNA=")</f>
        <v>#REF!</v>
      </c>
      <c r="HB16" t="e">
        <f>AND(#REF!,"AAAAAGJ9fNE=")</f>
        <v>#REF!</v>
      </c>
      <c r="HC16" t="e">
        <f>AND(#REF!,"AAAAAGJ9fNI=")</f>
        <v>#REF!</v>
      </c>
      <c r="HD16" t="e">
        <f>AND(#REF!,"AAAAAGJ9fNM=")</f>
        <v>#REF!</v>
      </c>
      <c r="HE16" t="e">
        <f>AND(#REF!,"AAAAAGJ9fNQ=")</f>
        <v>#REF!</v>
      </c>
      <c r="HF16" t="e">
        <f>AND(#REF!,"AAAAAGJ9fNU=")</f>
        <v>#REF!</v>
      </c>
      <c r="HG16" t="e">
        <f>AND(#REF!,"AAAAAGJ9fNY=")</f>
        <v>#REF!</v>
      </c>
      <c r="HH16" t="e">
        <f>AND(#REF!,"AAAAAGJ9fNc=")</f>
        <v>#REF!</v>
      </c>
      <c r="HI16" t="e">
        <f>AND(#REF!,"AAAAAGJ9fNg=")</f>
        <v>#REF!</v>
      </c>
      <c r="HJ16" t="e">
        <f>AND(#REF!,"AAAAAGJ9fNk=")</f>
        <v>#REF!</v>
      </c>
      <c r="HK16" t="e">
        <f>AND(#REF!,"AAAAAGJ9fNo=")</f>
        <v>#REF!</v>
      </c>
      <c r="HL16" t="e">
        <f>AND(#REF!,"AAAAAGJ9fNs=")</f>
        <v>#REF!</v>
      </c>
      <c r="HM16" t="e">
        <f>AND(#REF!,"AAAAAGJ9fNw=")</f>
        <v>#REF!</v>
      </c>
      <c r="HN16" t="e">
        <f>AND(#REF!,"AAAAAGJ9fN0=")</f>
        <v>#REF!</v>
      </c>
      <c r="HO16" t="e">
        <f>AND(#REF!,"AAAAAGJ9fN4=")</f>
        <v>#REF!</v>
      </c>
      <c r="HP16" t="e">
        <f>AND(#REF!,"AAAAAGJ9fN8=")</f>
        <v>#REF!</v>
      </c>
      <c r="HQ16" t="e">
        <f>AND(#REF!,"AAAAAGJ9fOA=")</f>
        <v>#REF!</v>
      </c>
      <c r="HR16" t="e">
        <f>AND(#REF!,"AAAAAGJ9fOE=")</f>
        <v>#REF!</v>
      </c>
      <c r="HS16" t="e">
        <f>AND(#REF!,"AAAAAGJ9fOI=")</f>
        <v>#REF!</v>
      </c>
      <c r="HT16" t="e">
        <f>AND(#REF!,"AAAAAGJ9fOM=")</f>
        <v>#REF!</v>
      </c>
      <c r="HU16" t="e">
        <f>AND(#REF!,"AAAAAGJ9fOQ=")</f>
        <v>#REF!</v>
      </c>
      <c r="HV16" t="e">
        <f>AND(#REF!,"AAAAAGJ9fOU=")</f>
        <v>#REF!</v>
      </c>
      <c r="HW16" t="e">
        <f>AND(#REF!,"AAAAAGJ9fOY=")</f>
        <v>#REF!</v>
      </c>
      <c r="HX16" t="e">
        <f>AND(#REF!,"AAAAAGJ9fOc=")</f>
        <v>#REF!</v>
      </c>
      <c r="HY16" t="e">
        <f>AND(#REF!,"AAAAAGJ9fOg=")</f>
        <v>#REF!</v>
      </c>
      <c r="HZ16" t="e">
        <f>AND(#REF!,"AAAAAGJ9fOk=")</f>
        <v>#REF!</v>
      </c>
      <c r="IA16" t="e">
        <f>AND(#REF!,"AAAAAGJ9fOo=")</f>
        <v>#REF!</v>
      </c>
      <c r="IB16" t="e">
        <f>AND(#REF!,"AAAAAGJ9fOs=")</f>
        <v>#REF!</v>
      </c>
      <c r="IC16" t="e">
        <f>AND(#REF!,"AAAAAGJ9fOw=")</f>
        <v>#REF!</v>
      </c>
      <c r="ID16" t="e">
        <f>AND(#REF!,"AAAAAGJ9fO0=")</f>
        <v>#REF!</v>
      </c>
      <c r="IE16" t="e">
        <f>AND(#REF!,"AAAAAGJ9fO4=")</f>
        <v>#REF!</v>
      </c>
      <c r="IF16" t="e">
        <f>AND(#REF!,"AAAAAGJ9fO8=")</f>
        <v>#REF!</v>
      </c>
      <c r="IG16" t="e">
        <f>AND(#REF!,"AAAAAGJ9fPA=")</f>
        <v>#REF!</v>
      </c>
      <c r="IH16" t="e">
        <f>AND(#REF!,"AAAAAGJ9fPE=")</f>
        <v>#REF!</v>
      </c>
      <c r="II16" t="e">
        <f>AND(#REF!,"AAAAAGJ9fPI=")</f>
        <v>#REF!</v>
      </c>
      <c r="IJ16" t="e">
        <f>AND(#REF!,"AAAAAGJ9fPM=")</f>
        <v>#REF!</v>
      </c>
      <c r="IK16" t="e">
        <f>AND(#REF!,"AAAAAGJ9fPQ=")</f>
        <v>#REF!</v>
      </c>
      <c r="IL16" t="e">
        <f>AND(#REF!,"AAAAAGJ9fPU=")</f>
        <v>#REF!</v>
      </c>
      <c r="IM16" t="e">
        <f>AND(#REF!,"AAAAAGJ9fPY=")</f>
        <v>#REF!</v>
      </c>
      <c r="IN16" t="e">
        <f>AND(#REF!,"AAAAAGJ9fPc=")</f>
        <v>#REF!</v>
      </c>
      <c r="IO16" t="e">
        <f>AND(#REF!,"AAAAAGJ9fPg=")</f>
        <v>#REF!</v>
      </c>
      <c r="IP16" t="e">
        <f>AND(#REF!,"AAAAAGJ9fPk=")</f>
        <v>#REF!</v>
      </c>
      <c r="IQ16" t="e">
        <f>AND(#REF!,"AAAAAGJ9fPo=")</f>
        <v>#REF!</v>
      </c>
      <c r="IR16" t="e">
        <f>AND(#REF!,"AAAAAGJ9fPs=")</f>
        <v>#REF!</v>
      </c>
      <c r="IS16" t="e">
        <f>AND(#REF!,"AAAAAGJ9fPw=")</f>
        <v>#REF!</v>
      </c>
      <c r="IT16" t="e">
        <f>AND(#REF!,"AAAAAGJ9fP0=")</f>
        <v>#REF!</v>
      </c>
      <c r="IU16" t="e">
        <f>AND(#REF!,"AAAAAGJ9fP4=")</f>
        <v>#REF!</v>
      </c>
      <c r="IV16" t="e">
        <f>AND(#REF!,"AAAAAGJ9fP8=")</f>
        <v>#REF!</v>
      </c>
    </row>
    <row r="17" spans="1:256" x14ac:dyDescent="0.2">
      <c r="A17" t="e">
        <f>AND(#REF!,"AAAAAFF9ewA=")</f>
        <v>#REF!</v>
      </c>
      <c r="B17" t="e">
        <f>AND(#REF!,"AAAAAFF9ewE=")</f>
        <v>#REF!</v>
      </c>
      <c r="C17" t="e">
        <f>AND(#REF!,"AAAAAFF9ewI=")</f>
        <v>#REF!</v>
      </c>
      <c r="D17" t="e">
        <f>AND(#REF!,"AAAAAFF9ewM=")</f>
        <v>#REF!</v>
      </c>
      <c r="E17" t="e">
        <f>AND(#REF!,"AAAAAFF9ewQ=")</f>
        <v>#REF!</v>
      </c>
      <c r="F17" t="e">
        <f>AND(#REF!,"AAAAAFF9ewU=")</f>
        <v>#REF!</v>
      </c>
      <c r="G17" t="e">
        <f>AND(#REF!,"AAAAAFF9ewY=")</f>
        <v>#REF!</v>
      </c>
      <c r="H17" t="e">
        <f>AND(#REF!,"AAAAAFF9ewc=")</f>
        <v>#REF!</v>
      </c>
      <c r="I17" t="e">
        <f>AND(#REF!,"AAAAAFF9ewg=")</f>
        <v>#REF!</v>
      </c>
      <c r="J17" t="e">
        <f>AND(#REF!,"AAAAAFF9ewk=")</f>
        <v>#REF!</v>
      </c>
      <c r="K17" t="e">
        <f>AND(#REF!,"AAAAAFF9ewo=")</f>
        <v>#REF!</v>
      </c>
      <c r="L17" t="e">
        <f>AND(#REF!,"AAAAAFF9ews=")</f>
        <v>#REF!</v>
      </c>
      <c r="M17" t="e">
        <f>AND(#REF!,"AAAAAFF9eww=")</f>
        <v>#REF!</v>
      </c>
      <c r="N17" t="e">
        <f>AND(#REF!,"AAAAAFF9ew0=")</f>
        <v>#REF!</v>
      </c>
      <c r="O17" t="e">
        <f>AND(#REF!,"AAAAAFF9ew4=")</f>
        <v>#REF!</v>
      </c>
      <c r="P17" t="e">
        <f>AND(#REF!,"AAAAAFF9ew8=")</f>
        <v>#REF!</v>
      </c>
      <c r="Q17" t="e">
        <f>AND(#REF!,"AAAAAFF9exA=")</f>
        <v>#REF!</v>
      </c>
      <c r="R17" t="e">
        <f>AND(#REF!,"AAAAAFF9exE=")</f>
        <v>#REF!</v>
      </c>
      <c r="S17" t="e">
        <f>AND(#REF!,"AAAAAFF9exI=")</f>
        <v>#REF!</v>
      </c>
      <c r="T17" t="e">
        <f>AND(#REF!,"AAAAAFF9exM=")</f>
        <v>#REF!</v>
      </c>
      <c r="U17" t="e">
        <f>AND(#REF!,"AAAAAFF9exQ=")</f>
        <v>#REF!</v>
      </c>
      <c r="V17" t="e">
        <f>AND(#REF!,"AAAAAFF9exU=")</f>
        <v>#REF!</v>
      </c>
      <c r="W17" t="e">
        <f>AND(#REF!,"AAAAAFF9exY=")</f>
        <v>#REF!</v>
      </c>
      <c r="X17" t="e">
        <f>AND(#REF!,"AAAAAFF9exc=")</f>
        <v>#REF!</v>
      </c>
      <c r="Y17" t="e">
        <f>AND(#REF!,"AAAAAFF9exg=")</f>
        <v>#REF!</v>
      </c>
      <c r="Z17" t="e">
        <f>AND(#REF!,"AAAAAFF9exk=")</f>
        <v>#REF!</v>
      </c>
      <c r="AA17" t="e">
        <f>AND(#REF!,"AAAAAFF9exo=")</f>
        <v>#REF!</v>
      </c>
      <c r="AB17" t="e">
        <f>AND(#REF!,"AAAAAFF9exs=")</f>
        <v>#REF!</v>
      </c>
      <c r="AC17" t="e">
        <f>AND(#REF!,"AAAAAFF9exw=")</f>
        <v>#REF!</v>
      </c>
      <c r="AD17" t="e">
        <f>AND(#REF!,"AAAAAFF9ex0=")</f>
        <v>#REF!</v>
      </c>
      <c r="AE17" t="e">
        <f>AND(#REF!,"AAAAAFF9ex4=")</f>
        <v>#REF!</v>
      </c>
      <c r="AF17" t="e">
        <f>AND(#REF!,"AAAAAFF9ex8=")</f>
        <v>#REF!</v>
      </c>
      <c r="AG17" t="e">
        <f>AND(#REF!,"AAAAAFF9eyA=")</f>
        <v>#REF!</v>
      </c>
      <c r="AH17" t="e">
        <f>AND(#REF!,"AAAAAFF9eyE=")</f>
        <v>#REF!</v>
      </c>
      <c r="AI17" t="e">
        <f>AND(#REF!,"AAAAAFF9eyI=")</f>
        <v>#REF!</v>
      </c>
      <c r="AJ17" t="e">
        <f>AND(#REF!,"AAAAAFF9eyM=")</f>
        <v>#REF!</v>
      </c>
      <c r="AK17" t="e">
        <f>AND(#REF!,"AAAAAFF9eyQ=")</f>
        <v>#REF!</v>
      </c>
      <c r="AL17" t="e">
        <f>AND(#REF!,"AAAAAFF9eyU=")</f>
        <v>#REF!</v>
      </c>
      <c r="AM17" t="e">
        <f>AND(#REF!,"AAAAAFF9eyY=")</f>
        <v>#REF!</v>
      </c>
      <c r="AN17" t="e">
        <f>AND(#REF!,"AAAAAFF9eyc=")</f>
        <v>#REF!</v>
      </c>
      <c r="AO17" t="e">
        <f>AND(#REF!,"AAAAAFF9eyg=")</f>
        <v>#REF!</v>
      </c>
      <c r="AP17" t="e">
        <f>AND(#REF!,"AAAAAFF9eyk=")</f>
        <v>#REF!</v>
      </c>
      <c r="AQ17" t="e">
        <f>AND(#REF!,"AAAAAFF9eyo=")</f>
        <v>#REF!</v>
      </c>
      <c r="AR17" t="e">
        <f>AND(#REF!,"AAAAAFF9eys=")</f>
        <v>#REF!</v>
      </c>
      <c r="AS17" t="e">
        <f>AND(#REF!,"AAAAAFF9eyw=")</f>
        <v>#REF!</v>
      </c>
      <c r="AT17" t="e">
        <f>AND(#REF!,"AAAAAFF9ey0=")</f>
        <v>#REF!</v>
      </c>
      <c r="AU17" t="e">
        <f>AND(#REF!,"AAAAAFF9ey4=")</f>
        <v>#REF!</v>
      </c>
      <c r="AV17" t="e">
        <f>AND(#REF!,"AAAAAFF9ey8=")</f>
        <v>#REF!</v>
      </c>
      <c r="AW17" t="e">
        <f>AND(#REF!,"AAAAAFF9ezA=")</f>
        <v>#REF!</v>
      </c>
      <c r="AX17" t="e">
        <f>AND(#REF!,"AAAAAFF9ezE=")</f>
        <v>#REF!</v>
      </c>
      <c r="AY17" t="e">
        <f>AND(#REF!,"AAAAAFF9ezI=")</f>
        <v>#REF!</v>
      </c>
      <c r="AZ17" t="e">
        <f>AND(#REF!,"AAAAAFF9ezM=")</f>
        <v>#REF!</v>
      </c>
      <c r="BA17" t="e">
        <f>AND(#REF!,"AAAAAFF9ezQ=")</f>
        <v>#REF!</v>
      </c>
      <c r="BB17" t="e">
        <f>AND(#REF!,"AAAAAFF9ezU=")</f>
        <v>#REF!</v>
      </c>
      <c r="BC17" t="e">
        <f>AND(#REF!,"AAAAAFF9ezY=")</f>
        <v>#REF!</v>
      </c>
      <c r="BD17" t="e">
        <f>AND(#REF!,"AAAAAFF9ezc=")</f>
        <v>#REF!</v>
      </c>
      <c r="BE17" t="e">
        <f>AND(#REF!,"AAAAAFF9ezg=")</f>
        <v>#REF!</v>
      </c>
      <c r="BF17" t="e">
        <f>AND(#REF!,"AAAAAFF9ezk=")</f>
        <v>#REF!</v>
      </c>
      <c r="BG17" t="e">
        <f>AND(#REF!,"AAAAAFF9ezo=")</f>
        <v>#REF!</v>
      </c>
      <c r="BH17" t="e">
        <f>AND(#REF!,"AAAAAFF9ezs=")</f>
        <v>#REF!</v>
      </c>
      <c r="BI17" t="e">
        <f>AND(#REF!,"AAAAAFF9ezw=")</f>
        <v>#REF!</v>
      </c>
      <c r="BJ17" t="e">
        <f>AND(#REF!,"AAAAAFF9ez0=")</f>
        <v>#REF!</v>
      </c>
      <c r="BK17" t="e">
        <f>AND(#REF!,"AAAAAFF9ez4=")</f>
        <v>#REF!</v>
      </c>
      <c r="BL17" t="e">
        <f>AND(#REF!,"AAAAAFF9ez8=")</f>
        <v>#REF!</v>
      </c>
      <c r="BM17" t="e">
        <f>AND(#REF!,"AAAAAFF9e0A=")</f>
        <v>#REF!</v>
      </c>
      <c r="BN17" t="e">
        <f>AND(#REF!,"AAAAAFF9e0E=")</f>
        <v>#REF!</v>
      </c>
      <c r="BO17" t="e">
        <f>AND(#REF!,"AAAAAFF9e0I=")</f>
        <v>#REF!</v>
      </c>
      <c r="BP17" t="e">
        <f>AND(#REF!,"AAAAAFF9e0M=")</f>
        <v>#REF!</v>
      </c>
      <c r="BQ17" t="e">
        <f>AND(#REF!,"AAAAAFF9e0Q=")</f>
        <v>#REF!</v>
      </c>
      <c r="BR17" t="e">
        <f>AND(#REF!,"AAAAAFF9e0U=")</f>
        <v>#REF!</v>
      </c>
      <c r="BS17" t="e">
        <f>AND(#REF!,"AAAAAFF9e0Y=")</f>
        <v>#REF!</v>
      </c>
      <c r="BT17" t="e">
        <f>AND(#REF!,"AAAAAFF9e0c=")</f>
        <v>#REF!</v>
      </c>
      <c r="BU17" t="e">
        <f>AND(#REF!,"AAAAAFF9e0g=")</f>
        <v>#REF!</v>
      </c>
      <c r="BV17" t="e">
        <f>AND(#REF!,"AAAAAFF9e0k=")</f>
        <v>#REF!</v>
      </c>
      <c r="BW17" t="e">
        <f>AND(#REF!,"AAAAAFF9e0o=")</f>
        <v>#REF!</v>
      </c>
      <c r="BX17" t="e">
        <f>AND(#REF!,"AAAAAFF9e0s=")</f>
        <v>#REF!</v>
      </c>
      <c r="BY17" t="e">
        <f>AND(#REF!,"AAAAAFF9e0w=")</f>
        <v>#REF!</v>
      </c>
      <c r="BZ17" t="e">
        <f>AND(#REF!,"AAAAAFF9e00=")</f>
        <v>#REF!</v>
      </c>
      <c r="CA17" t="e">
        <f>AND(#REF!,"AAAAAFF9e04=")</f>
        <v>#REF!</v>
      </c>
      <c r="CB17" t="e">
        <f>AND(#REF!,"AAAAAFF9e08=")</f>
        <v>#REF!</v>
      </c>
      <c r="CC17" t="e">
        <f>AND(#REF!,"AAAAAFF9e1A=")</f>
        <v>#REF!</v>
      </c>
      <c r="CD17" t="e">
        <f>AND(#REF!,"AAAAAFF9e1E=")</f>
        <v>#REF!</v>
      </c>
      <c r="CE17" t="e">
        <f>AND(#REF!,"AAAAAFF9e1I=")</f>
        <v>#REF!</v>
      </c>
      <c r="CF17" t="e">
        <f>AND(#REF!,"AAAAAFF9e1M=")</f>
        <v>#REF!</v>
      </c>
      <c r="CG17" t="e">
        <f>IF(#REF!,"AAAAAFF9e1Q=",0)</f>
        <v>#REF!</v>
      </c>
      <c r="CH17" t="e">
        <f>AND(#REF!,"AAAAAFF9e1U=")</f>
        <v>#REF!</v>
      </c>
      <c r="CI17" t="e">
        <f>AND(#REF!,"AAAAAFF9e1Y=")</f>
        <v>#REF!</v>
      </c>
      <c r="CJ17" t="e">
        <f>AND(#REF!,"AAAAAFF9e1c=")</f>
        <v>#REF!</v>
      </c>
      <c r="CK17" t="e">
        <f>AND(#REF!,"AAAAAFF9e1g=")</f>
        <v>#REF!</v>
      </c>
      <c r="CL17" t="e">
        <f>AND(#REF!,"AAAAAFF9e1k=")</f>
        <v>#REF!</v>
      </c>
      <c r="CM17" t="e">
        <f>AND(#REF!,"AAAAAFF9e1o=")</f>
        <v>#REF!</v>
      </c>
      <c r="CN17" t="e">
        <f>AND(#REF!,"AAAAAFF9e1s=")</f>
        <v>#REF!</v>
      </c>
      <c r="CO17" t="e">
        <f>AND(#REF!,"AAAAAFF9e1w=")</f>
        <v>#REF!</v>
      </c>
      <c r="CP17" t="e">
        <f>AND(#REF!,"AAAAAFF9e10=")</f>
        <v>#REF!</v>
      </c>
      <c r="CQ17" t="e">
        <f>AND(#REF!,"AAAAAFF9e14=")</f>
        <v>#REF!</v>
      </c>
      <c r="CR17" t="e">
        <f>AND(#REF!,"AAAAAFF9e18=")</f>
        <v>#REF!</v>
      </c>
      <c r="CS17" t="e">
        <f>AND(#REF!,"AAAAAFF9e2A=")</f>
        <v>#REF!</v>
      </c>
      <c r="CT17" t="e">
        <f>AND(#REF!,"AAAAAFF9e2E=")</f>
        <v>#REF!</v>
      </c>
      <c r="CU17" t="e">
        <f>AND(#REF!,"AAAAAFF9e2I=")</f>
        <v>#REF!</v>
      </c>
      <c r="CV17" t="e">
        <f>AND(#REF!,"AAAAAFF9e2M=")</f>
        <v>#REF!</v>
      </c>
      <c r="CW17" t="e">
        <f>AND(#REF!,"AAAAAFF9e2Q=")</f>
        <v>#REF!</v>
      </c>
      <c r="CX17" t="e">
        <f>AND(#REF!,"AAAAAFF9e2U=")</f>
        <v>#REF!</v>
      </c>
      <c r="CY17" t="e">
        <f>AND(#REF!,"AAAAAFF9e2Y=")</f>
        <v>#REF!</v>
      </c>
      <c r="CZ17" t="e">
        <f>AND(#REF!,"AAAAAFF9e2c=")</f>
        <v>#REF!</v>
      </c>
      <c r="DA17" t="e">
        <f>AND(#REF!,"AAAAAFF9e2g=")</f>
        <v>#REF!</v>
      </c>
      <c r="DB17" t="e">
        <f>AND(#REF!,"AAAAAFF9e2k=")</f>
        <v>#REF!</v>
      </c>
      <c r="DC17" t="e">
        <f>AND(#REF!,"AAAAAFF9e2o=")</f>
        <v>#REF!</v>
      </c>
      <c r="DD17" t="e">
        <f>AND(#REF!,"AAAAAFF9e2s=")</f>
        <v>#REF!</v>
      </c>
      <c r="DE17" t="e">
        <f>AND(#REF!,"AAAAAFF9e2w=")</f>
        <v>#REF!</v>
      </c>
      <c r="DF17" t="e">
        <f>AND(#REF!,"AAAAAFF9e20=")</f>
        <v>#REF!</v>
      </c>
      <c r="DG17" t="e">
        <f>AND(#REF!,"AAAAAFF9e24=")</f>
        <v>#REF!</v>
      </c>
      <c r="DH17" t="e">
        <f>AND(#REF!,"AAAAAFF9e28=")</f>
        <v>#REF!</v>
      </c>
      <c r="DI17" t="e">
        <f>AND(#REF!,"AAAAAFF9e3A=")</f>
        <v>#REF!</v>
      </c>
      <c r="DJ17" t="e">
        <f>AND(#REF!,"AAAAAFF9e3E=")</f>
        <v>#REF!</v>
      </c>
      <c r="DK17" t="e">
        <f>AND(#REF!,"AAAAAFF9e3I=")</f>
        <v>#REF!</v>
      </c>
      <c r="DL17" t="e">
        <f>AND(#REF!,"AAAAAFF9e3M=")</f>
        <v>#REF!</v>
      </c>
      <c r="DM17" t="e">
        <f>AND(#REF!,"AAAAAFF9e3Q=")</f>
        <v>#REF!</v>
      </c>
      <c r="DN17" t="e">
        <f>AND(#REF!,"AAAAAFF9e3U=")</f>
        <v>#REF!</v>
      </c>
      <c r="DO17" t="e">
        <f>AND(#REF!,"AAAAAFF9e3Y=")</f>
        <v>#REF!</v>
      </c>
      <c r="DP17" t="e">
        <f>AND(#REF!,"AAAAAFF9e3c=")</f>
        <v>#REF!</v>
      </c>
      <c r="DQ17" t="e">
        <f>AND(#REF!,"AAAAAFF9e3g=")</f>
        <v>#REF!</v>
      </c>
      <c r="DR17" t="e">
        <f>AND(#REF!,"AAAAAFF9e3k=")</f>
        <v>#REF!</v>
      </c>
      <c r="DS17" t="e">
        <f>AND(#REF!,"AAAAAFF9e3o=")</f>
        <v>#REF!</v>
      </c>
      <c r="DT17" t="e">
        <f>AND(#REF!,"AAAAAFF9e3s=")</f>
        <v>#REF!</v>
      </c>
      <c r="DU17" t="e">
        <f>AND(#REF!,"AAAAAFF9e3w=")</f>
        <v>#REF!</v>
      </c>
      <c r="DV17" t="e">
        <f>AND(#REF!,"AAAAAFF9e30=")</f>
        <v>#REF!</v>
      </c>
      <c r="DW17" t="e">
        <f>AND(#REF!,"AAAAAFF9e34=")</f>
        <v>#REF!</v>
      </c>
      <c r="DX17" t="e">
        <f>AND(#REF!,"AAAAAFF9e38=")</f>
        <v>#REF!</v>
      </c>
      <c r="DY17" t="e">
        <f>AND(#REF!,"AAAAAFF9e4A=")</f>
        <v>#REF!</v>
      </c>
      <c r="DZ17" t="e">
        <f>AND(#REF!,"AAAAAFF9e4E=")</f>
        <v>#REF!</v>
      </c>
      <c r="EA17" t="e">
        <f>AND(#REF!,"AAAAAFF9e4I=")</f>
        <v>#REF!</v>
      </c>
      <c r="EB17" t="e">
        <f>AND(#REF!,"AAAAAFF9e4M=")</f>
        <v>#REF!</v>
      </c>
      <c r="EC17" t="e">
        <f>AND(#REF!,"AAAAAFF9e4Q=")</f>
        <v>#REF!</v>
      </c>
      <c r="ED17" t="e">
        <f>AND(#REF!,"AAAAAFF9e4U=")</f>
        <v>#REF!</v>
      </c>
      <c r="EE17" t="e">
        <f>AND(#REF!,"AAAAAFF9e4Y=")</f>
        <v>#REF!</v>
      </c>
      <c r="EF17" t="e">
        <f>AND(#REF!,"AAAAAFF9e4c=")</f>
        <v>#REF!</v>
      </c>
      <c r="EG17" t="e">
        <f>AND(#REF!,"AAAAAFF9e4g=")</f>
        <v>#REF!</v>
      </c>
      <c r="EH17" t="e">
        <f>AND(#REF!,"AAAAAFF9e4k=")</f>
        <v>#REF!</v>
      </c>
      <c r="EI17" t="e">
        <f>AND(#REF!,"AAAAAFF9e4o=")</f>
        <v>#REF!</v>
      </c>
      <c r="EJ17" t="e">
        <f>AND(#REF!,"AAAAAFF9e4s=")</f>
        <v>#REF!</v>
      </c>
      <c r="EK17" t="e">
        <f>AND(#REF!,"AAAAAFF9e4w=")</f>
        <v>#REF!</v>
      </c>
      <c r="EL17" t="e">
        <f>AND(#REF!,"AAAAAFF9e40=")</f>
        <v>#REF!</v>
      </c>
      <c r="EM17" t="e">
        <f>AND(#REF!,"AAAAAFF9e44=")</f>
        <v>#REF!</v>
      </c>
      <c r="EN17" t="e">
        <f>AND(#REF!,"AAAAAFF9e48=")</f>
        <v>#REF!</v>
      </c>
      <c r="EO17" t="e">
        <f>AND(#REF!,"AAAAAFF9e5A=")</f>
        <v>#REF!</v>
      </c>
      <c r="EP17" t="e">
        <f>AND(#REF!,"AAAAAFF9e5E=")</f>
        <v>#REF!</v>
      </c>
      <c r="EQ17" t="e">
        <f>AND(#REF!,"AAAAAFF9e5I=")</f>
        <v>#REF!</v>
      </c>
      <c r="ER17" t="e">
        <f>AND(#REF!,"AAAAAFF9e5M=")</f>
        <v>#REF!</v>
      </c>
      <c r="ES17" t="e">
        <f>AND(#REF!,"AAAAAFF9e5Q=")</f>
        <v>#REF!</v>
      </c>
      <c r="ET17" t="e">
        <f>AND(#REF!,"AAAAAFF9e5U=")</f>
        <v>#REF!</v>
      </c>
      <c r="EU17" t="e">
        <f>AND(#REF!,"AAAAAFF9e5Y=")</f>
        <v>#REF!</v>
      </c>
      <c r="EV17" t="e">
        <f>AND(#REF!,"AAAAAFF9e5c=")</f>
        <v>#REF!</v>
      </c>
      <c r="EW17" t="e">
        <f>AND(#REF!,"AAAAAFF9e5g=")</f>
        <v>#REF!</v>
      </c>
      <c r="EX17" t="e">
        <f>AND(#REF!,"AAAAAFF9e5k=")</f>
        <v>#REF!</v>
      </c>
      <c r="EY17" t="e">
        <f>AND(#REF!,"AAAAAFF9e5o=")</f>
        <v>#REF!</v>
      </c>
      <c r="EZ17" t="e">
        <f>AND(#REF!,"AAAAAFF9e5s=")</f>
        <v>#REF!</v>
      </c>
      <c r="FA17" t="e">
        <f>AND(#REF!,"AAAAAFF9e5w=")</f>
        <v>#REF!</v>
      </c>
      <c r="FB17" t="e">
        <f>AND(#REF!,"AAAAAFF9e50=")</f>
        <v>#REF!</v>
      </c>
      <c r="FC17" t="e">
        <f>AND(#REF!,"AAAAAFF9e54=")</f>
        <v>#REF!</v>
      </c>
      <c r="FD17" t="e">
        <f>AND(#REF!,"AAAAAFF9e58=")</f>
        <v>#REF!</v>
      </c>
      <c r="FE17" t="e">
        <f>AND(#REF!,"AAAAAFF9e6A=")</f>
        <v>#REF!</v>
      </c>
      <c r="FF17" t="e">
        <f>AND(#REF!,"AAAAAFF9e6E=")</f>
        <v>#REF!</v>
      </c>
      <c r="FG17" t="e">
        <f>AND(#REF!,"AAAAAFF9e6I=")</f>
        <v>#REF!</v>
      </c>
      <c r="FH17" t="e">
        <f>AND(#REF!,"AAAAAFF9e6M=")</f>
        <v>#REF!</v>
      </c>
      <c r="FI17" t="e">
        <f>AND(#REF!,"AAAAAFF9e6Q=")</f>
        <v>#REF!</v>
      </c>
      <c r="FJ17" t="e">
        <f>AND(#REF!,"AAAAAFF9e6U=")</f>
        <v>#REF!</v>
      </c>
      <c r="FK17" t="e">
        <f>AND(#REF!,"AAAAAFF9e6Y=")</f>
        <v>#REF!</v>
      </c>
      <c r="FL17" t="e">
        <f>AND(#REF!,"AAAAAFF9e6c=")</f>
        <v>#REF!</v>
      </c>
      <c r="FM17" t="e">
        <f>AND(#REF!,"AAAAAFF9e6g=")</f>
        <v>#REF!</v>
      </c>
      <c r="FN17" t="e">
        <f>AND(#REF!,"AAAAAFF9e6k=")</f>
        <v>#REF!</v>
      </c>
      <c r="FO17" t="e">
        <f>AND(#REF!,"AAAAAFF9e6o=")</f>
        <v>#REF!</v>
      </c>
      <c r="FP17" t="e">
        <f>AND(#REF!,"AAAAAFF9e6s=")</f>
        <v>#REF!</v>
      </c>
      <c r="FQ17" t="e">
        <f>AND(#REF!,"AAAAAFF9e6w=")</f>
        <v>#REF!</v>
      </c>
      <c r="FR17" t="e">
        <f>AND(#REF!,"AAAAAFF9e60=")</f>
        <v>#REF!</v>
      </c>
      <c r="FS17" t="e">
        <f>AND(#REF!,"AAAAAFF9e64=")</f>
        <v>#REF!</v>
      </c>
      <c r="FT17" t="e">
        <f>AND(#REF!,"AAAAAFF9e68=")</f>
        <v>#REF!</v>
      </c>
      <c r="FU17" t="e">
        <f>AND(#REF!,"AAAAAFF9e7A=")</f>
        <v>#REF!</v>
      </c>
      <c r="FV17" t="e">
        <f>AND(#REF!,"AAAAAFF9e7E=")</f>
        <v>#REF!</v>
      </c>
      <c r="FW17" t="e">
        <f>AND(#REF!,"AAAAAFF9e7I=")</f>
        <v>#REF!</v>
      </c>
      <c r="FX17" t="e">
        <f>AND(#REF!,"AAAAAFF9e7M=")</f>
        <v>#REF!</v>
      </c>
      <c r="FY17" t="e">
        <f>AND(#REF!,"AAAAAFF9e7Q=")</f>
        <v>#REF!</v>
      </c>
      <c r="FZ17" t="e">
        <f>AND(#REF!,"AAAAAFF9e7U=")</f>
        <v>#REF!</v>
      </c>
      <c r="GA17" t="e">
        <f>AND(#REF!,"AAAAAFF9e7Y=")</f>
        <v>#REF!</v>
      </c>
      <c r="GB17" t="e">
        <f>AND(#REF!,"AAAAAFF9e7c=")</f>
        <v>#REF!</v>
      </c>
      <c r="GC17" t="e">
        <f>AND(#REF!,"AAAAAFF9e7g=")</f>
        <v>#REF!</v>
      </c>
      <c r="GD17" t="e">
        <f>AND(#REF!,"AAAAAFF9e7k=")</f>
        <v>#REF!</v>
      </c>
      <c r="GE17" t="e">
        <f>AND(#REF!,"AAAAAFF9e7o=")</f>
        <v>#REF!</v>
      </c>
      <c r="GF17" t="e">
        <f>AND(#REF!,"AAAAAFF9e7s=")</f>
        <v>#REF!</v>
      </c>
      <c r="GG17" t="e">
        <f>AND(#REF!,"AAAAAFF9e7w=")</f>
        <v>#REF!</v>
      </c>
      <c r="GH17" t="e">
        <f>AND(#REF!,"AAAAAFF9e70=")</f>
        <v>#REF!</v>
      </c>
      <c r="GI17" t="e">
        <f>AND(#REF!,"AAAAAFF9e74=")</f>
        <v>#REF!</v>
      </c>
      <c r="GJ17" t="e">
        <f>AND(#REF!,"AAAAAFF9e78=")</f>
        <v>#REF!</v>
      </c>
      <c r="GK17" t="e">
        <f>AND(#REF!,"AAAAAFF9e8A=")</f>
        <v>#REF!</v>
      </c>
      <c r="GL17" t="e">
        <f>AND(#REF!,"AAAAAFF9e8E=")</f>
        <v>#REF!</v>
      </c>
      <c r="GM17" t="e">
        <f>AND(#REF!,"AAAAAFF9e8I=")</f>
        <v>#REF!</v>
      </c>
      <c r="GN17" t="e">
        <f>AND(#REF!,"AAAAAFF9e8M=")</f>
        <v>#REF!</v>
      </c>
      <c r="GO17" t="e">
        <f>AND(#REF!,"AAAAAFF9e8Q=")</f>
        <v>#REF!</v>
      </c>
      <c r="GP17" t="e">
        <f>AND(#REF!,"AAAAAFF9e8U=")</f>
        <v>#REF!</v>
      </c>
      <c r="GQ17" t="e">
        <f>AND(#REF!,"AAAAAFF9e8Y=")</f>
        <v>#REF!</v>
      </c>
      <c r="GR17" t="e">
        <f>AND(#REF!,"AAAAAFF9e8c=")</f>
        <v>#REF!</v>
      </c>
      <c r="GS17" t="e">
        <f>AND(#REF!,"AAAAAFF9e8g=")</f>
        <v>#REF!</v>
      </c>
      <c r="GT17" t="e">
        <f>AND(#REF!,"AAAAAFF9e8k=")</f>
        <v>#REF!</v>
      </c>
      <c r="GU17" t="e">
        <f>AND(#REF!,"AAAAAFF9e8o=")</f>
        <v>#REF!</v>
      </c>
      <c r="GV17" t="e">
        <f>AND(#REF!,"AAAAAFF9e8s=")</f>
        <v>#REF!</v>
      </c>
      <c r="GW17" t="e">
        <f>AND(#REF!,"AAAAAFF9e8w=")</f>
        <v>#REF!</v>
      </c>
      <c r="GX17" t="e">
        <f>AND(#REF!,"AAAAAFF9e80=")</f>
        <v>#REF!</v>
      </c>
      <c r="GY17" t="e">
        <f>AND(#REF!,"AAAAAFF9e84=")</f>
        <v>#REF!</v>
      </c>
      <c r="GZ17" t="e">
        <f>AND(#REF!,"AAAAAFF9e88=")</f>
        <v>#REF!</v>
      </c>
      <c r="HA17" t="e">
        <f>AND(#REF!,"AAAAAFF9e9A=")</f>
        <v>#REF!</v>
      </c>
      <c r="HB17" t="e">
        <f>AND(#REF!,"AAAAAFF9e9E=")</f>
        <v>#REF!</v>
      </c>
      <c r="HC17" t="e">
        <f>AND(#REF!,"AAAAAFF9e9I=")</f>
        <v>#REF!</v>
      </c>
      <c r="HD17" t="e">
        <f>AND(#REF!,"AAAAAFF9e9M=")</f>
        <v>#REF!</v>
      </c>
      <c r="HE17" t="e">
        <f>AND(#REF!,"AAAAAFF9e9Q=")</f>
        <v>#REF!</v>
      </c>
      <c r="HF17" t="e">
        <f>AND(#REF!,"AAAAAFF9e9U=")</f>
        <v>#REF!</v>
      </c>
      <c r="HG17" t="e">
        <f>AND(#REF!,"AAAAAFF9e9Y=")</f>
        <v>#REF!</v>
      </c>
      <c r="HH17" t="e">
        <f>AND(#REF!,"AAAAAFF9e9c=")</f>
        <v>#REF!</v>
      </c>
      <c r="HI17" t="e">
        <f>AND(#REF!,"AAAAAFF9e9g=")</f>
        <v>#REF!</v>
      </c>
      <c r="HJ17" t="e">
        <f>AND(#REF!,"AAAAAFF9e9k=")</f>
        <v>#REF!</v>
      </c>
      <c r="HK17" t="e">
        <f>AND(#REF!,"AAAAAFF9e9o=")</f>
        <v>#REF!</v>
      </c>
      <c r="HL17" t="e">
        <f>AND(#REF!,"AAAAAFF9e9s=")</f>
        <v>#REF!</v>
      </c>
      <c r="HM17" t="e">
        <f>AND(#REF!,"AAAAAFF9e9w=")</f>
        <v>#REF!</v>
      </c>
      <c r="HN17" t="e">
        <f>AND(#REF!,"AAAAAFF9e90=")</f>
        <v>#REF!</v>
      </c>
      <c r="HO17" t="e">
        <f>AND(#REF!,"AAAAAFF9e94=")</f>
        <v>#REF!</v>
      </c>
      <c r="HP17" t="e">
        <f>AND(#REF!,"AAAAAFF9e98=")</f>
        <v>#REF!</v>
      </c>
      <c r="HQ17" t="e">
        <f>AND(#REF!,"AAAAAFF9e+A=")</f>
        <v>#REF!</v>
      </c>
      <c r="HR17" t="e">
        <f>AND(#REF!,"AAAAAFF9e+E=")</f>
        <v>#REF!</v>
      </c>
      <c r="HS17" t="e">
        <f>AND(#REF!,"AAAAAFF9e+I=")</f>
        <v>#REF!</v>
      </c>
      <c r="HT17" t="e">
        <f>AND(#REF!,"AAAAAFF9e+M=")</f>
        <v>#REF!</v>
      </c>
      <c r="HU17" t="e">
        <f>AND(#REF!,"AAAAAFF9e+Q=")</f>
        <v>#REF!</v>
      </c>
      <c r="HV17" t="e">
        <f>AND(#REF!,"AAAAAFF9e+U=")</f>
        <v>#REF!</v>
      </c>
      <c r="HW17" t="e">
        <f>AND(#REF!,"AAAAAFF9e+Y=")</f>
        <v>#REF!</v>
      </c>
      <c r="HX17" t="e">
        <f>AND(#REF!,"AAAAAFF9e+c=")</f>
        <v>#REF!</v>
      </c>
      <c r="HY17" t="e">
        <f>AND(#REF!,"AAAAAFF9e+g=")</f>
        <v>#REF!</v>
      </c>
      <c r="HZ17" t="e">
        <f>AND(#REF!,"AAAAAFF9e+k=")</f>
        <v>#REF!</v>
      </c>
      <c r="IA17" t="e">
        <f>AND(#REF!,"AAAAAFF9e+o=")</f>
        <v>#REF!</v>
      </c>
      <c r="IB17" t="e">
        <f>AND(#REF!,"AAAAAFF9e+s=")</f>
        <v>#REF!</v>
      </c>
      <c r="IC17" t="e">
        <f>AND(#REF!,"AAAAAFF9e+w=")</f>
        <v>#REF!</v>
      </c>
      <c r="ID17" t="e">
        <f>AND(#REF!,"AAAAAFF9e+0=")</f>
        <v>#REF!</v>
      </c>
      <c r="IE17" t="e">
        <f>AND(#REF!,"AAAAAFF9e+4=")</f>
        <v>#REF!</v>
      </c>
      <c r="IF17" t="e">
        <f>AND(#REF!,"AAAAAFF9e+8=")</f>
        <v>#REF!</v>
      </c>
      <c r="IG17" t="e">
        <f>AND(#REF!,"AAAAAFF9e/A=")</f>
        <v>#REF!</v>
      </c>
      <c r="IH17" t="e">
        <f>AND(#REF!,"AAAAAFF9e/E=")</f>
        <v>#REF!</v>
      </c>
      <c r="II17" t="e">
        <f>AND(#REF!,"AAAAAFF9e/I=")</f>
        <v>#REF!</v>
      </c>
      <c r="IJ17" t="e">
        <f>AND(#REF!,"AAAAAFF9e/M=")</f>
        <v>#REF!</v>
      </c>
      <c r="IK17" t="e">
        <f>AND(#REF!,"AAAAAFF9e/Q=")</f>
        <v>#REF!</v>
      </c>
      <c r="IL17" t="e">
        <f>AND(#REF!,"AAAAAFF9e/U=")</f>
        <v>#REF!</v>
      </c>
      <c r="IM17" t="e">
        <f>AND(#REF!,"AAAAAFF9e/Y=")</f>
        <v>#REF!</v>
      </c>
      <c r="IN17" t="e">
        <f>AND(#REF!,"AAAAAFF9e/c=")</f>
        <v>#REF!</v>
      </c>
      <c r="IO17" t="e">
        <f>AND(#REF!,"AAAAAFF9e/g=")</f>
        <v>#REF!</v>
      </c>
      <c r="IP17" t="e">
        <f>AND(#REF!,"AAAAAFF9e/k=")</f>
        <v>#REF!</v>
      </c>
      <c r="IQ17" t="e">
        <f>AND(#REF!,"AAAAAFF9e/o=")</f>
        <v>#REF!</v>
      </c>
      <c r="IR17" t="e">
        <f>AND(#REF!,"AAAAAFF9e/s=")</f>
        <v>#REF!</v>
      </c>
      <c r="IS17" t="e">
        <f>AND(#REF!,"AAAAAFF9e/w=")</f>
        <v>#REF!</v>
      </c>
      <c r="IT17" t="e">
        <f>AND(#REF!,"AAAAAFF9e/0=")</f>
        <v>#REF!</v>
      </c>
      <c r="IU17" t="e">
        <f>AND(#REF!,"AAAAAFF9e/4=")</f>
        <v>#REF!</v>
      </c>
      <c r="IV17" t="e">
        <f>AND(#REF!,"AAAAAFF9e/8=")</f>
        <v>#REF!</v>
      </c>
    </row>
    <row r="18" spans="1:256" x14ac:dyDescent="0.2">
      <c r="A18" t="e">
        <f>AND(#REF!,"AAAAAE/fbwA=")</f>
        <v>#REF!</v>
      </c>
      <c r="B18" t="e">
        <f>AND(#REF!,"AAAAAE/fbwE=")</f>
        <v>#REF!</v>
      </c>
      <c r="C18" t="e">
        <f>AND(#REF!,"AAAAAE/fbwI=")</f>
        <v>#REF!</v>
      </c>
      <c r="D18" t="e">
        <f>AND(#REF!,"AAAAAE/fbwM=")</f>
        <v>#REF!</v>
      </c>
      <c r="E18" t="e">
        <f>AND(#REF!,"AAAAAE/fbwQ=")</f>
        <v>#REF!</v>
      </c>
      <c r="F18" t="e">
        <f>AND(#REF!,"AAAAAE/fbwU=")</f>
        <v>#REF!</v>
      </c>
      <c r="G18" t="e">
        <f>AND(#REF!,"AAAAAE/fbwY=")</f>
        <v>#REF!</v>
      </c>
      <c r="H18" t="e">
        <f>AND(#REF!,"AAAAAE/fbwc=")</f>
        <v>#REF!</v>
      </c>
      <c r="I18" t="e">
        <f>AND(#REF!,"AAAAAE/fbwg=")</f>
        <v>#REF!</v>
      </c>
      <c r="J18" t="e">
        <f>IF(#REF!,"AAAAAE/fbwk=",0)</f>
        <v>#REF!</v>
      </c>
      <c r="K18" t="e">
        <f>AND(#REF!,"AAAAAE/fbwo=")</f>
        <v>#REF!</v>
      </c>
      <c r="L18" t="e">
        <f>AND(#REF!,"AAAAAE/fbws=")</f>
        <v>#REF!</v>
      </c>
      <c r="M18" t="e">
        <f>AND(#REF!,"AAAAAE/fbww=")</f>
        <v>#REF!</v>
      </c>
      <c r="N18" t="e">
        <f>AND(#REF!,"AAAAAE/fbw0=")</f>
        <v>#REF!</v>
      </c>
      <c r="O18" t="e">
        <f>AND(#REF!,"AAAAAE/fbw4=")</f>
        <v>#REF!</v>
      </c>
      <c r="P18" t="e">
        <f>AND(#REF!,"AAAAAE/fbw8=")</f>
        <v>#REF!</v>
      </c>
      <c r="Q18" t="e">
        <f>AND(#REF!,"AAAAAE/fbxA=")</f>
        <v>#REF!</v>
      </c>
      <c r="R18" t="e">
        <f>AND(#REF!,"AAAAAE/fbxE=")</f>
        <v>#REF!</v>
      </c>
      <c r="S18" t="e">
        <f>AND(#REF!,"AAAAAE/fbxI=")</f>
        <v>#REF!</v>
      </c>
      <c r="T18" t="e">
        <f>AND(#REF!,"AAAAAE/fbxM=")</f>
        <v>#REF!</v>
      </c>
      <c r="U18" t="e">
        <f>AND(#REF!,"AAAAAE/fbxQ=")</f>
        <v>#REF!</v>
      </c>
      <c r="V18" t="e">
        <f>AND(#REF!,"AAAAAE/fbxU=")</f>
        <v>#REF!</v>
      </c>
      <c r="W18" t="e">
        <f>AND(#REF!,"AAAAAE/fbxY=")</f>
        <v>#REF!</v>
      </c>
      <c r="X18" t="e">
        <f>AND(#REF!,"AAAAAE/fbxc=")</f>
        <v>#REF!</v>
      </c>
      <c r="Y18" t="e">
        <f>AND(#REF!,"AAAAAE/fbxg=")</f>
        <v>#REF!</v>
      </c>
      <c r="Z18" t="e">
        <f>AND(#REF!,"AAAAAE/fbxk=")</f>
        <v>#REF!</v>
      </c>
      <c r="AA18" t="e">
        <f>AND(#REF!,"AAAAAE/fbxo=")</f>
        <v>#REF!</v>
      </c>
      <c r="AB18" t="e">
        <f>AND(#REF!,"AAAAAE/fbxs=")</f>
        <v>#REF!</v>
      </c>
      <c r="AC18" t="e">
        <f>AND(#REF!,"AAAAAE/fbxw=")</f>
        <v>#REF!</v>
      </c>
      <c r="AD18" t="e">
        <f>AND(#REF!,"AAAAAE/fbx0=")</f>
        <v>#REF!</v>
      </c>
      <c r="AE18" t="e">
        <f>AND(#REF!,"AAAAAE/fbx4=")</f>
        <v>#REF!</v>
      </c>
      <c r="AF18" t="e">
        <f>AND(#REF!,"AAAAAE/fbx8=")</f>
        <v>#REF!</v>
      </c>
      <c r="AG18" t="e">
        <f>AND(#REF!,"AAAAAE/fbyA=")</f>
        <v>#REF!</v>
      </c>
      <c r="AH18" t="e">
        <f>AND(#REF!,"AAAAAE/fbyE=")</f>
        <v>#REF!</v>
      </c>
      <c r="AI18" t="e">
        <f>AND(#REF!,"AAAAAE/fbyI=")</f>
        <v>#REF!</v>
      </c>
      <c r="AJ18" t="e">
        <f>AND(#REF!,"AAAAAE/fbyM=")</f>
        <v>#REF!</v>
      </c>
      <c r="AK18" t="e">
        <f>AND(#REF!,"AAAAAE/fbyQ=")</f>
        <v>#REF!</v>
      </c>
      <c r="AL18" t="e">
        <f>AND(#REF!,"AAAAAE/fbyU=")</f>
        <v>#REF!</v>
      </c>
      <c r="AM18" t="e">
        <f>AND(#REF!,"AAAAAE/fbyY=")</f>
        <v>#REF!</v>
      </c>
      <c r="AN18" t="e">
        <f>AND(#REF!,"AAAAAE/fbyc=")</f>
        <v>#REF!</v>
      </c>
      <c r="AO18" t="e">
        <f>AND(#REF!,"AAAAAE/fbyg=")</f>
        <v>#REF!</v>
      </c>
      <c r="AP18" t="e">
        <f>AND(#REF!,"AAAAAE/fbyk=")</f>
        <v>#REF!</v>
      </c>
      <c r="AQ18" t="e">
        <f>AND(#REF!,"AAAAAE/fbyo=")</f>
        <v>#REF!</v>
      </c>
      <c r="AR18" t="e">
        <f>AND(#REF!,"AAAAAE/fbys=")</f>
        <v>#REF!</v>
      </c>
      <c r="AS18" t="e">
        <f>AND(#REF!,"AAAAAE/fbyw=")</f>
        <v>#REF!</v>
      </c>
      <c r="AT18" t="e">
        <f>AND(#REF!,"AAAAAE/fby0=")</f>
        <v>#REF!</v>
      </c>
      <c r="AU18" t="e">
        <f>AND(#REF!,"AAAAAE/fby4=")</f>
        <v>#REF!</v>
      </c>
      <c r="AV18" t="e">
        <f>AND(#REF!,"AAAAAE/fby8=")</f>
        <v>#REF!</v>
      </c>
      <c r="AW18" t="e">
        <f>AND(#REF!,"AAAAAE/fbzA=")</f>
        <v>#REF!</v>
      </c>
      <c r="AX18" t="e">
        <f>AND(#REF!,"AAAAAE/fbzE=")</f>
        <v>#REF!</v>
      </c>
      <c r="AY18" t="e">
        <f>AND(#REF!,"AAAAAE/fbzI=")</f>
        <v>#REF!</v>
      </c>
      <c r="AZ18" t="e">
        <f>AND(#REF!,"AAAAAE/fbzM=")</f>
        <v>#REF!</v>
      </c>
      <c r="BA18" t="e">
        <f>AND(#REF!,"AAAAAE/fbzQ=")</f>
        <v>#REF!</v>
      </c>
      <c r="BB18" t="e">
        <f>AND(#REF!,"AAAAAE/fbzU=")</f>
        <v>#REF!</v>
      </c>
      <c r="BC18" t="e">
        <f>AND(#REF!,"AAAAAE/fbzY=")</f>
        <v>#REF!</v>
      </c>
      <c r="BD18" t="e">
        <f>AND(#REF!,"AAAAAE/fbzc=")</f>
        <v>#REF!</v>
      </c>
      <c r="BE18" t="e">
        <f>AND(#REF!,"AAAAAE/fbzg=")</f>
        <v>#REF!</v>
      </c>
      <c r="BF18" t="e">
        <f>AND(#REF!,"AAAAAE/fbzk=")</f>
        <v>#REF!</v>
      </c>
      <c r="BG18" t="e">
        <f>AND(#REF!,"AAAAAE/fbzo=")</f>
        <v>#REF!</v>
      </c>
      <c r="BH18" t="e">
        <f>AND(#REF!,"AAAAAE/fbzs=")</f>
        <v>#REF!</v>
      </c>
      <c r="BI18" t="e">
        <f>AND(#REF!,"AAAAAE/fbzw=")</f>
        <v>#REF!</v>
      </c>
      <c r="BJ18" t="e">
        <f>AND(#REF!,"AAAAAE/fbz0=")</f>
        <v>#REF!</v>
      </c>
      <c r="BK18" t="e">
        <f>AND(#REF!,"AAAAAE/fbz4=")</f>
        <v>#REF!</v>
      </c>
      <c r="BL18" t="e">
        <f>AND(#REF!,"AAAAAE/fbz8=")</f>
        <v>#REF!</v>
      </c>
      <c r="BM18" t="e">
        <f>AND(#REF!,"AAAAAE/fb0A=")</f>
        <v>#REF!</v>
      </c>
      <c r="BN18" t="e">
        <f>AND(#REF!,"AAAAAE/fb0E=")</f>
        <v>#REF!</v>
      </c>
      <c r="BO18" t="e">
        <f>AND(#REF!,"AAAAAE/fb0I=")</f>
        <v>#REF!</v>
      </c>
      <c r="BP18" t="e">
        <f>AND(#REF!,"AAAAAE/fb0M=")</f>
        <v>#REF!</v>
      </c>
      <c r="BQ18" t="e">
        <f>AND(#REF!,"AAAAAE/fb0Q=")</f>
        <v>#REF!</v>
      </c>
      <c r="BR18" t="e">
        <f>AND(#REF!,"AAAAAE/fb0U=")</f>
        <v>#REF!</v>
      </c>
      <c r="BS18" t="e">
        <f>AND(#REF!,"AAAAAE/fb0Y=")</f>
        <v>#REF!</v>
      </c>
      <c r="BT18" t="e">
        <f>AND(#REF!,"AAAAAE/fb0c=")</f>
        <v>#REF!</v>
      </c>
      <c r="BU18" t="e">
        <f>AND(#REF!,"AAAAAE/fb0g=")</f>
        <v>#REF!</v>
      </c>
      <c r="BV18" t="e">
        <f>AND(#REF!,"AAAAAE/fb0k=")</f>
        <v>#REF!</v>
      </c>
      <c r="BW18" t="e">
        <f>AND(#REF!,"AAAAAE/fb0o=")</f>
        <v>#REF!</v>
      </c>
      <c r="BX18" t="e">
        <f>AND(#REF!,"AAAAAE/fb0s=")</f>
        <v>#REF!</v>
      </c>
      <c r="BY18" t="e">
        <f>AND(#REF!,"AAAAAE/fb0w=")</f>
        <v>#REF!</v>
      </c>
      <c r="BZ18" t="e">
        <f>AND(#REF!,"AAAAAE/fb00=")</f>
        <v>#REF!</v>
      </c>
      <c r="CA18" t="e">
        <f>AND(#REF!,"AAAAAE/fb04=")</f>
        <v>#REF!</v>
      </c>
      <c r="CB18" t="e">
        <f>AND(#REF!,"AAAAAE/fb08=")</f>
        <v>#REF!</v>
      </c>
      <c r="CC18" t="e">
        <f>AND(#REF!,"AAAAAE/fb1A=")</f>
        <v>#REF!</v>
      </c>
      <c r="CD18" t="e">
        <f>AND(#REF!,"AAAAAE/fb1E=")</f>
        <v>#REF!</v>
      </c>
      <c r="CE18" t="e">
        <f>AND(#REF!,"AAAAAE/fb1I=")</f>
        <v>#REF!</v>
      </c>
      <c r="CF18" t="e">
        <f>AND(#REF!,"AAAAAE/fb1M=")</f>
        <v>#REF!</v>
      </c>
      <c r="CG18" t="e">
        <f>AND(#REF!,"AAAAAE/fb1Q=")</f>
        <v>#REF!</v>
      </c>
      <c r="CH18" t="e">
        <f>AND(#REF!,"AAAAAE/fb1U=")</f>
        <v>#REF!</v>
      </c>
      <c r="CI18" t="e">
        <f>AND(#REF!,"AAAAAE/fb1Y=")</f>
        <v>#REF!</v>
      </c>
      <c r="CJ18" t="e">
        <f>AND(#REF!,"AAAAAE/fb1c=")</f>
        <v>#REF!</v>
      </c>
      <c r="CK18" t="e">
        <f>AND(#REF!,"AAAAAE/fb1g=")</f>
        <v>#REF!</v>
      </c>
      <c r="CL18" t="e">
        <f>AND(#REF!,"AAAAAE/fb1k=")</f>
        <v>#REF!</v>
      </c>
      <c r="CM18" t="e">
        <f>AND(#REF!,"AAAAAE/fb1o=")</f>
        <v>#REF!</v>
      </c>
      <c r="CN18" t="e">
        <f>AND(#REF!,"AAAAAE/fb1s=")</f>
        <v>#REF!</v>
      </c>
      <c r="CO18" t="e">
        <f>AND(#REF!,"AAAAAE/fb1w=")</f>
        <v>#REF!</v>
      </c>
      <c r="CP18" t="e">
        <f>AND(#REF!,"AAAAAE/fb10=")</f>
        <v>#REF!</v>
      </c>
      <c r="CQ18" t="e">
        <f>AND(#REF!,"AAAAAE/fb14=")</f>
        <v>#REF!</v>
      </c>
      <c r="CR18" t="e">
        <f>AND(#REF!,"AAAAAE/fb18=")</f>
        <v>#REF!</v>
      </c>
      <c r="CS18" t="e">
        <f>AND(#REF!,"AAAAAE/fb2A=")</f>
        <v>#REF!</v>
      </c>
      <c r="CT18" t="e">
        <f>AND(#REF!,"AAAAAE/fb2E=")</f>
        <v>#REF!</v>
      </c>
      <c r="CU18" t="e">
        <f>AND(#REF!,"AAAAAE/fb2I=")</f>
        <v>#REF!</v>
      </c>
      <c r="CV18" t="e">
        <f>AND(#REF!,"AAAAAE/fb2M=")</f>
        <v>#REF!</v>
      </c>
      <c r="CW18" t="e">
        <f>AND(#REF!,"AAAAAE/fb2Q=")</f>
        <v>#REF!</v>
      </c>
      <c r="CX18" t="e">
        <f>AND(#REF!,"AAAAAE/fb2U=")</f>
        <v>#REF!</v>
      </c>
      <c r="CY18" t="e">
        <f>AND(#REF!,"AAAAAE/fb2Y=")</f>
        <v>#REF!</v>
      </c>
      <c r="CZ18" t="e">
        <f>AND(#REF!,"AAAAAE/fb2c=")</f>
        <v>#REF!</v>
      </c>
      <c r="DA18" t="e">
        <f>AND(#REF!,"AAAAAE/fb2g=")</f>
        <v>#REF!</v>
      </c>
      <c r="DB18" t="e">
        <f>AND(#REF!,"AAAAAE/fb2k=")</f>
        <v>#REF!</v>
      </c>
      <c r="DC18" t="e">
        <f>AND(#REF!,"AAAAAE/fb2o=")</f>
        <v>#REF!</v>
      </c>
      <c r="DD18" t="e">
        <f>AND(#REF!,"AAAAAE/fb2s=")</f>
        <v>#REF!</v>
      </c>
      <c r="DE18" t="e">
        <f>AND(#REF!,"AAAAAE/fb2w=")</f>
        <v>#REF!</v>
      </c>
      <c r="DF18" t="e">
        <f>AND(#REF!,"AAAAAE/fb20=")</f>
        <v>#REF!</v>
      </c>
      <c r="DG18" t="e">
        <f>AND(#REF!,"AAAAAE/fb24=")</f>
        <v>#REF!</v>
      </c>
      <c r="DH18" t="e">
        <f>AND(#REF!,"AAAAAE/fb28=")</f>
        <v>#REF!</v>
      </c>
      <c r="DI18" t="e">
        <f>AND(#REF!,"AAAAAE/fb3A=")</f>
        <v>#REF!</v>
      </c>
      <c r="DJ18" t="e">
        <f>AND(#REF!,"AAAAAE/fb3E=")</f>
        <v>#REF!</v>
      </c>
      <c r="DK18" t="e">
        <f>AND(#REF!,"AAAAAE/fb3I=")</f>
        <v>#REF!</v>
      </c>
      <c r="DL18" t="e">
        <f>AND(#REF!,"AAAAAE/fb3M=")</f>
        <v>#REF!</v>
      </c>
      <c r="DM18" t="e">
        <f>AND(#REF!,"AAAAAE/fb3Q=")</f>
        <v>#REF!</v>
      </c>
      <c r="DN18" t="e">
        <f>AND(#REF!,"AAAAAE/fb3U=")</f>
        <v>#REF!</v>
      </c>
      <c r="DO18" t="e">
        <f>AND(#REF!,"AAAAAE/fb3Y=")</f>
        <v>#REF!</v>
      </c>
      <c r="DP18" t="e">
        <f>AND(#REF!,"AAAAAE/fb3c=")</f>
        <v>#REF!</v>
      </c>
      <c r="DQ18" t="e">
        <f>AND(#REF!,"AAAAAE/fb3g=")</f>
        <v>#REF!</v>
      </c>
      <c r="DR18" t="e">
        <f>AND(#REF!,"AAAAAE/fb3k=")</f>
        <v>#REF!</v>
      </c>
      <c r="DS18" t="e">
        <f>AND(#REF!,"AAAAAE/fb3o=")</f>
        <v>#REF!</v>
      </c>
      <c r="DT18" t="e">
        <f>AND(#REF!,"AAAAAE/fb3s=")</f>
        <v>#REF!</v>
      </c>
      <c r="DU18" t="e">
        <f>AND(#REF!,"AAAAAE/fb3w=")</f>
        <v>#REF!</v>
      </c>
      <c r="DV18" t="e">
        <f>AND(#REF!,"AAAAAE/fb30=")</f>
        <v>#REF!</v>
      </c>
      <c r="DW18" t="e">
        <f>AND(#REF!,"AAAAAE/fb34=")</f>
        <v>#REF!</v>
      </c>
      <c r="DX18" t="e">
        <f>AND(#REF!,"AAAAAE/fb38=")</f>
        <v>#REF!</v>
      </c>
      <c r="DY18" t="e">
        <f>AND(#REF!,"AAAAAE/fb4A=")</f>
        <v>#REF!</v>
      </c>
      <c r="DZ18" t="e">
        <f>AND(#REF!,"AAAAAE/fb4E=")</f>
        <v>#REF!</v>
      </c>
      <c r="EA18" t="e">
        <f>AND(#REF!,"AAAAAE/fb4I=")</f>
        <v>#REF!</v>
      </c>
      <c r="EB18" t="e">
        <f>AND(#REF!,"AAAAAE/fb4M=")</f>
        <v>#REF!</v>
      </c>
      <c r="EC18" t="e">
        <f>AND(#REF!,"AAAAAE/fb4Q=")</f>
        <v>#REF!</v>
      </c>
      <c r="ED18" t="e">
        <f>AND(#REF!,"AAAAAE/fb4U=")</f>
        <v>#REF!</v>
      </c>
      <c r="EE18" t="e">
        <f>AND(#REF!,"AAAAAE/fb4Y=")</f>
        <v>#REF!</v>
      </c>
      <c r="EF18" t="e">
        <f>AND(#REF!,"AAAAAE/fb4c=")</f>
        <v>#REF!</v>
      </c>
      <c r="EG18" t="e">
        <f>AND(#REF!,"AAAAAE/fb4g=")</f>
        <v>#REF!</v>
      </c>
      <c r="EH18" t="e">
        <f>AND(#REF!,"AAAAAE/fb4k=")</f>
        <v>#REF!</v>
      </c>
      <c r="EI18" t="e">
        <f>AND(#REF!,"AAAAAE/fb4o=")</f>
        <v>#REF!</v>
      </c>
      <c r="EJ18" t="e">
        <f>AND(#REF!,"AAAAAE/fb4s=")</f>
        <v>#REF!</v>
      </c>
      <c r="EK18" t="e">
        <f>AND(#REF!,"AAAAAE/fb4w=")</f>
        <v>#REF!</v>
      </c>
      <c r="EL18" t="e">
        <f>AND(#REF!,"AAAAAE/fb40=")</f>
        <v>#REF!</v>
      </c>
      <c r="EM18" t="e">
        <f>AND(#REF!,"AAAAAE/fb44=")</f>
        <v>#REF!</v>
      </c>
      <c r="EN18" t="e">
        <f>AND(#REF!,"AAAAAE/fb48=")</f>
        <v>#REF!</v>
      </c>
      <c r="EO18" t="e">
        <f>AND(#REF!,"AAAAAE/fb5A=")</f>
        <v>#REF!</v>
      </c>
      <c r="EP18" t="e">
        <f>AND(#REF!,"AAAAAE/fb5E=")</f>
        <v>#REF!</v>
      </c>
      <c r="EQ18" t="e">
        <f>AND(#REF!,"AAAAAE/fb5I=")</f>
        <v>#REF!</v>
      </c>
      <c r="ER18" t="e">
        <f>AND(#REF!,"AAAAAE/fb5M=")</f>
        <v>#REF!</v>
      </c>
      <c r="ES18" t="e">
        <f>AND(#REF!,"AAAAAE/fb5Q=")</f>
        <v>#REF!</v>
      </c>
      <c r="ET18" t="e">
        <f>AND(#REF!,"AAAAAE/fb5U=")</f>
        <v>#REF!</v>
      </c>
      <c r="EU18" t="e">
        <f>AND(#REF!,"AAAAAE/fb5Y=")</f>
        <v>#REF!</v>
      </c>
      <c r="EV18" t="e">
        <f>AND(#REF!,"AAAAAE/fb5c=")</f>
        <v>#REF!</v>
      </c>
      <c r="EW18" t="e">
        <f>AND(#REF!,"AAAAAE/fb5g=")</f>
        <v>#REF!</v>
      </c>
      <c r="EX18" t="e">
        <f>AND(#REF!,"AAAAAE/fb5k=")</f>
        <v>#REF!</v>
      </c>
      <c r="EY18" t="e">
        <f>AND(#REF!,"AAAAAE/fb5o=")</f>
        <v>#REF!</v>
      </c>
      <c r="EZ18" t="e">
        <f>AND(#REF!,"AAAAAE/fb5s=")</f>
        <v>#REF!</v>
      </c>
      <c r="FA18" t="e">
        <f>AND(#REF!,"AAAAAE/fb5w=")</f>
        <v>#REF!</v>
      </c>
      <c r="FB18" t="e">
        <f>AND(#REF!,"AAAAAE/fb50=")</f>
        <v>#REF!</v>
      </c>
      <c r="FC18" t="e">
        <f>AND(#REF!,"AAAAAE/fb54=")</f>
        <v>#REF!</v>
      </c>
      <c r="FD18" t="e">
        <f>AND(#REF!,"AAAAAE/fb58=")</f>
        <v>#REF!</v>
      </c>
      <c r="FE18" t="e">
        <f>AND(#REF!,"AAAAAE/fb6A=")</f>
        <v>#REF!</v>
      </c>
      <c r="FF18" t="e">
        <f>AND(#REF!,"AAAAAE/fb6E=")</f>
        <v>#REF!</v>
      </c>
      <c r="FG18" t="e">
        <f>AND(#REF!,"AAAAAE/fb6I=")</f>
        <v>#REF!</v>
      </c>
      <c r="FH18" t="e">
        <f>AND(#REF!,"AAAAAE/fb6M=")</f>
        <v>#REF!</v>
      </c>
      <c r="FI18" t="e">
        <f>AND(#REF!,"AAAAAE/fb6Q=")</f>
        <v>#REF!</v>
      </c>
      <c r="FJ18" t="e">
        <f>AND(#REF!,"AAAAAE/fb6U=")</f>
        <v>#REF!</v>
      </c>
      <c r="FK18" t="e">
        <f>AND(#REF!,"AAAAAE/fb6Y=")</f>
        <v>#REF!</v>
      </c>
      <c r="FL18" t="e">
        <f>AND(#REF!,"AAAAAE/fb6c=")</f>
        <v>#REF!</v>
      </c>
      <c r="FM18" t="e">
        <f>AND(#REF!,"AAAAAE/fb6g=")</f>
        <v>#REF!</v>
      </c>
      <c r="FN18" t="e">
        <f>AND(#REF!,"AAAAAE/fb6k=")</f>
        <v>#REF!</v>
      </c>
      <c r="FO18" t="e">
        <f>AND(#REF!,"AAAAAE/fb6o=")</f>
        <v>#REF!</v>
      </c>
      <c r="FP18" t="e">
        <f>AND(#REF!,"AAAAAE/fb6s=")</f>
        <v>#REF!</v>
      </c>
      <c r="FQ18" t="e">
        <f>AND(#REF!,"AAAAAE/fb6w=")</f>
        <v>#REF!</v>
      </c>
      <c r="FR18" t="e">
        <f>AND(#REF!,"AAAAAE/fb60=")</f>
        <v>#REF!</v>
      </c>
      <c r="FS18" t="e">
        <f>AND(#REF!,"AAAAAE/fb64=")</f>
        <v>#REF!</v>
      </c>
      <c r="FT18" t="e">
        <f>AND(#REF!,"AAAAAE/fb68=")</f>
        <v>#REF!</v>
      </c>
      <c r="FU18" t="e">
        <f>AND(#REF!,"AAAAAE/fb7A=")</f>
        <v>#REF!</v>
      </c>
      <c r="FV18" t="e">
        <f>AND(#REF!,"AAAAAE/fb7E=")</f>
        <v>#REF!</v>
      </c>
      <c r="FW18" t="e">
        <f>AND(#REF!,"AAAAAE/fb7I=")</f>
        <v>#REF!</v>
      </c>
      <c r="FX18" t="e">
        <f>AND(#REF!,"AAAAAE/fb7M=")</f>
        <v>#REF!</v>
      </c>
      <c r="FY18" t="e">
        <f>AND(#REF!,"AAAAAE/fb7Q=")</f>
        <v>#REF!</v>
      </c>
      <c r="FZ18" t="e">
        <f>AND(#REF!,"AAAAAE/fb7U=")</f>
        <v>#REF!</v>
      </c>
      <c r="GA18" t="e">
        <f>AND(#REF!,"AAAAAE/fb7Y=")</f>
        <v>#REF!</v>
      </c>
      <c r="GB18" t="e">
        <f>AND(#REF!,"AAAAAE/fb7c=")</f>
        <v>#REF!</v>
      </c>
      <c r="GC18" t="e">
        <f>AND(#REF!,"AAAAAE/fb7g=")</f>
        <v>#REF!</v>
      </c>
      <c r="GD18" t="e">
        <f>AND(#REF!,"AAAAAE/fb7k=")</f>
        <v>#REF!</v>
      </c>
      <c r="GE18" t="e">
        <f>AND(#REF!,"AAAAAE/fb7o=")</f>
        <v>#REF!</v>
      </c>
      <c r="GF18" t="e">
        <f>AND(#REF!,"AAAAAE/fb7s=")</f>
        <v>#REF!</v>
      </c>
      <c r="GG18" t="e">
        <f>AND(#REF!,"AAAAAE/fb7w=")</f>
        <v>#REF!</v>
      </c>
      <c r="GH18" t="e">
        <f>AND(#REF!,"AAAAAE/fb70=")</f>
        <v>#REF!</v>
      </c>
      <c r="GI18" t="e">
        <f>IF(#REF!,"AAAAAE/fb74=",0)</f>
        <v>#REF!</v>
      </c>
      <c r="GJ18" t="e">
        <f>AND(#REF!,"AAAAAE/fb78=")</f>
        <v>#REF!</v>
      </c>
      <c r="GK18" t="e">
        <f>AND(#REF!,"AAAAAE/fb8A=")</f>
        <v>#REF!</v>
      </c>
      <c r="GL18" t="e">
        <f>AND(#REF!,"AAAAAE/fb8E=")</f>
        <v>#REF!</v>
      </c>
      <c r="GM18" t="e">
        <f>AND(#REF!,"AAAAAE/fb8I=")</f>
        <v>#REF!</v>
      </c>
      <c r="GN18" t="e">
        <f>AND(#REF!,"AAAAAE/fb8M=")</f>
        <v>#REF!</v>
      </c>
      <c r="GO18" t="e">
        <f>AND(#REF!,"AAAAAE/fb8Q=")</f>
        <v>#REF!</v>
      </c>
      <c r="GP18" t="e">
        <f>AND(#REF!,"AAAAAE/fb8U=")</f>
        <v>#REF!</v>
      </c>
      <c r="GQ18" t="e">
        <f>AND(#REF!,"AAAAAE/fb8Y=")</f>
        <v>#REF!</v>
      </c>
      <c r="GR18" t="e">
        <f>AND(#REF!,"AAAAAE/fb8c=")</f>
        <v>#REF!</v>
      </c>
      <c r="GS18" t="e">
        <f>AND(#REF!,"AAAAAE/fb8g=")</f>
        <v>#REF!</v>
      </c>
      <c r="GT18" t="e">
        <f>AND(#REF!,"AAAAAE/fb8k=")</f>
        <v>#REF!</v>
      </c>
      <c r="GU18" t="e">
        <f>AND(#REF!,"AAAAAE/fb8o=")</f>
        <v>#REF!</v>
      </c>
      <c r="GV18" t="e">
        <f>AND(#REF!,"AAAAAE/fb8s=")</f>
        <v>#REF!</v>
      </c>
      <c r="GW18" t="e">
        <f>AND(#REF!,"AAAAAE/fb8w=")</f>
        <v>#REF!</v>
      </c>
      <c r="GX18" t="e">
        <f>AND(#REF!,"AAAAAE/fb80=")</f>
        <v>#REF!</v>
      </c>
      <c r="GY18" t="e">
        <f>AND(#REF!,"AAAAAE/fb84=")</f>
        <v>#REF!</v>
      </c>
      <c r="GZ18" t="e">
        <f>AND(#REF!,"AAAAAE/fb88=")</f>
        <v>#REF!</v>
      </c>
      <c r="HA18" t="e">
        <f>AND(#REF!,"AAAAAE/fb9A=")</f>
        <v>#REF!</v>
      </c>
      <c r="HB18" t="e">
        <f>AND(#REF!,"AAAAAE/fb9E=")</f>
        <v>#REF!</v>
      </c>
      <c r="HC18" t="e">
        <f>AND(#REF!,"AAAAAE/fb9I=")</f>
        <v>#REF!</v>
      </c>
      <c r="HD18" t="e">
        <f>AND(#REF!,"AAAAAE/fb9M=")</f>
        <v>#REF!</v>
      </c>
      <c r="HE18" t="e">
        <f>AND(#REF!,"AAAAAE/fb9Q=")</f>
        <v>#REF!</v>
      </c>
      <c r="HF18" t="e">
        <f>AND(#REF!,"AAAAAE/fb9U=")</f>
        <v>#REF!</v>
      </c>
      <c r="HG18" t="e">
        <f>AND(#REF!,"AAAAAE/fb9Y=")</f>
        <v>#REF!</v>
      </c>
      <c r="HH18" t="e">
        <f>AND(#REF!,"AAAAAE/fb9c=")</f>
        <v>#REF!</v>
      </c>
      <c r="HI18" t="e">
        <f>AND(#REF!,"AAAAAE/fb9g=")</f>
        <v>#REF!</v>
      </c>
      <c r="HJ18" t="e">
        <f>AND(#REF!,"AAAAAE/fb9k=")</f>
        <v>#REF!</v>
      </c>
      <c r="HK18" t="e">
        <f>AND(#REF!,"AAAAAE/fb9o=")</f>
        <v>#REF!</v>
      </c>
      <c r="HL18" t="e">
        <f>AND(#REF!,"AAAAAE/fb9s=")</f>
        <v>#REF!</v>
      </c>
      <c r="HM18" t="e">
        <f>AND(#REF!,"AAAAAE/fb9w=")</f>
        <v>#REF!</v>
      </c>
      <c r="HN18" t="e">
        <f>AND(#REF!,"AAAAAE/fb90=")</f>
        <v>#REF!</v>
      </c>
      <c r="HO18" t="e">
        <f>AND(#REF!,"AAAAAE/fb94=")</f>
        <v>#REF!</v>
      </c>
      <c r="HP18" t="e">
        <f>AND(#REF!,"AAAAAE/fb98=")</f>
        <v>#REF!</v>
      </c>
      <c r="HQ18" t="e">
        <f>AND(#REF!,"AAAAAE/fb+A=")</f>
        <v>#REF!</v>
      </c>
      <c r="HR18" t="e">
        <f>AND(#REF!,"AAAAAE/fb+E=")</f>
        <v>#REF!</v>
      </c>
      <c r="HS18" t="e">
        <f>AND(#REF!,"AAAAAE/fb+I=")</f>
        <v>#REF!</v>
      </c>
      <c r="HT18" t="e">
        <f>AND(#REF!,"AAAAAE/fb+M=")</f>
        <v>#REF!</v>
      </c>
      <c r="HU18" t="e">
        <f>AND(#REF!,"AAAAAE/fb+Q=")</f>
        <v>#REF!</v>
      </c>
      <c r="HV18" t="e">
        <f>AND(#REF!,"AAAAAE/fb+U=")</f>
        <v>#REF!</v>
      </c>
      <c r="HW18" t="e">
        <f>AND(#REF!,"AAAAAE/fb+Y=")</f>
        <v>#REF!</v>
      </c>
      <c r="HX18" t="e">
        <f>AND(#REF!,"AAAAAE/fb+c=")</f>
        <v>#REF!</v>
      </c>
      <c r="HY18" t="e">
        <f>AND(#REF!,"AAAAAE/fb+g=")</f>
        <v>#REF!</v>
      </c>
      <c r="HZ18" t="e">
        <f>AND(#REF!,"AAAAAE/fb+k=")</f>
        <v>#REF!</v>
      </c>
      <c r="IA18" t="e">
        <f>AND(#REF!,"AAAAAE/fb+o=")</f>
        <v>#REF!</v>
      </c>
      <c r="IB18" t="e">
        <f>AND(#REF!,"AAAAAE/fb+s=")</f>
        <v>#REF!</v>
      </c>
      <c r="IC18" t="e">
        <f>AND(#REF!,"AAAAAE/fb+w=")</f>
        <v>#REF!</v>
      </c>
      <c r="ID18" t="e">
        <f>AND(#REF!,"AAAAAE/fb+0=")</f>
        <v>#REF!</v>
      </c>
      <c r="IE18" t="e">
        <f>AND(#REF!,"AAAAAE/fb+4=")</f>
        <v>#REF!</v>
      </c>
      <c r="IF18" t="e">
        <f>AND(#REF!,"AAAAAE/fb+8=")</f>
        <v>#REF!</v>
      </c>
      <c r="IG18" t="e">
        <f>AND(#REF!,"AAAAAE/fb/A=")</f>
        <v>#REF!</v>
      </c>
      <c r="IH18" t="e">
        <f>AND(#REF!,"AAAAAE/fb/E=")</f>
        <v>#REF!</v>
      </c>
      <c r="II18" t="e">
        <f>AND(#REF!,"AAAAAE/fb/I=")</f>
        <v>#REF!</v>
      </c>
      <c r="IJ18" t="e">
        <f>AND(#REF!,"AAAAAE/fb/M=")</f>
        <v>#REF!</v>
      </c>
      <c r="IK18" t="e">
        <f>AND(#REF!,"AAAAAE/fb/Q=")</f>
        <v>#REF!</v>
      </c>
      <c r="IL18" t="e">
        <f>AND(#REF!,"AAAAAE/fb/U=")</f>
        <v>#REF!</v>
      </c>
      <c r="IM18" t="e">
        <f>AND(#REF!,"AAAAAE/fb/Y=")</f>
        <v>#REF!</v>
      </c>
      <c r="IN18" t="e">
        <f>AND(#REF!,"AAAAAE/fb/c=")</f>
        <v>#REF!</v>
      </c>
      <c r="IO18" t="e">
        <f>AND(#REF!,"AAAAAE/fb/g=")</f>
        <v>#REF!</v>
      </c>
      <c r="IP18" t="e">
        <f>AND(#REF!,"AAAAAE/fb/k=")</f>
        <v>#REF!</v>
      </c>
      <c r="IQ18" t="e">
        <f>AND(#REF!,"AAAAAE/fb/o=")</f>
        <v>#REF!</v>
      </c>
      <c r="IR18" t="e">
        <f>AND(#REF!,"AAAAAE/fb/s=")</f>
        <v>#REF!</v>
      </c>
      <c r="IS18" t="e">
        <f>AND(#REF!,"AAAAAE/fb/w=")</f>
        <v>#REF!</v>
      </c>
      <c r="IT18" t="e">
        <f>AND(#REF!,"AAAAAE/fb/0=")</f>
        <v>#REF!</v>
      </c>
      <c r="IU18" t="e">
        <f>AND(#REF!,"AAAAAE/fb/4=")</f>
        <v>#REF!</v>
      </c>
      <c r="IV18" t="e">
        <f>AND(#REF!,"AAAAAE/fb/8=")</f>
        <v>#REF!</v>
      </c>
    </row>
    <row r="19" spans="1:256" x14ac:dyDescent="0.2">
      <c r="A19" t="e">
        <f>AND(#REF!,"AAAAAB/i/wA=")</f>
        <v>#REF!</v>
      </c>
      <c r="B19" t="e">
        <f>AND(#REF!,"AAAAAB/i/wE=")</f>
        <v>#REF!</v>
      </c>
      <c r="C19" t="e">
        <f>AND(#REF!,"AAAAAB/i/wI=")</f>
        <v>#REF!</v>
      </c>
      <c r="D19" t="e">
        <f>AND(#REF!,"AAAAAB/i/wM=")</f>
        <v>#REF!</v>
      </c>
      <c r="E19" t="e">
        <f>AND(#REF!,"AAAAAB/i/wQ=")</f>
        <v>#REF!</v>
      </c>
      <c r="F19" t="e">
        <f>AND(#REF!,"AAAAAB/i/wU=")</f>
        <v>#REF!</v>
      </c>
      <c r="G19" t="e">
        <f>AND(#REF!,"AAAAAB/i/wY=")</f>
        <v>#REF!</v>
      </c>
      <c r="H19" t="e">
        <f>AND(#REF!,"AAAAAB/i/wc=")</f>
        <v>#REF!</v>
      </c>
      <c r="I19" t="e">
        <f>AND(#REF!,"AAAAAB/i/wg=")</f>
        <v>#REF!</v>
      </c>
      <c r="J19" t="e">
        <f>AND(#REF!,"AAAAAB/i/wk=")</f>
        <v>#REF!</v>
      </c>
      <c r="K19" t="e">
        <f>AND(#REF!,"AAAAAB/i/wo=")</f>
        <v>#REF!</v>
      </c>
      <c r="L19" t="e">
        <f>AND(#REF!,"AAAAAB/i/ws=")</f>
        <v>#REF!</v>
      </c>
      <c r="M19" t="e">
        <f>AND(#REF!,"AAAAAB/i/ww=")</f>
        <v>#REF!</v>
      </c>
      <c r="N19" t="e">
        <f>AND(#REF!,"AAAAAB/i/w0=")</f>
        <v>#REF!</v>
      </c>
      <c r="O19" t="e">
        <f>AND(#REF!,"AAAAAB/i/w4=")</f>
        <v>#REF!</v>
      </c>
      <c r="P19" t="e">
        <f>AND(#REF!,"AAAAAB/i/w8=")</f>
        <v>#REF!</v>
      </c>
      <c r="Q19" t="e">
        <f>AND(#REF!,"AAAAAB/i/xA=")</f>
        <v>#REF!</v>
      </c>
      <c r="R19" t="e">
        <f>AND(#REF!,"AAAAAB/i/xE=")</f>
        <v>#REF!</v>
      </c>
      <c r="S19" t="e">
        <f>AND(#REF!,"AAAAAB/i/xI=")</f>
        <v>#REF!</v>
      </c>
      <c r="T19" t="e">
        <f>AND(#REF!,"AAAAAB/i/xM=")</f>
        <v>#REF!</v>
      </c>
      <c r="U19" t="e">
        <f>AND(#REF!,"AAAAAB/i/xQ=")</f>
        <v>#REF!</v>
      </c>
      <c r="V19" t="e">
        <f>AND(#REF!,"AAAAAB/i/xU=")</f>
        <v>#REF!</v>
      </c>
      <c r="W19" t="e">
        <f>AND(#REF!,"AAAAAB/i/xY=")</f>
        <v>#REF!</v>
      </c>
      <c r="X19" t="e">
        <f>AND(#REF!,"AAAAAB/i/xc=")</f>
        <v>#REF!</v>
      </c>
      <c r="Y19" t="e">
        <f>AND(#REF!,"AAAAAB/i/xg=")</f>
        <v>#REF!</v>
      </c>
      <c r="Z19" t="e">
        <f>AND(#REF!,"AAAAAB/i/xk=")</f>
        <v>#REF!</v>
      </c>
      <c r="AA19" t="e">
        <f>AND(#REF!,"AAAAAB/i/xo=")</f>
        <v>#REF!</v>
      </c>
      <c r="AB19" t="e">
        <f>AND(#REF!,"AAAAAB/i/xs=")</f>
        <v>#REF!</v>
      </c>
      <c r="AC19" t="e">
        <f>AND(#REF!,"AAAAAB/i/xw=")</f>
        <v>#REF!</v>
      </c>
      <c r="AD19" t="e">
        <f>AND(#REF!,"AAAAAB/i/x0=")</f>
        <v>#REF!</v>
      </c>
      <c r="AE19" t="e">
        <f>AND(#REF!,"AAAAAB/i/x4=")</f>
        <v>#REF!</v>
      </c>
      <c r="AF19" t="e">
        <f>AND(#REF!,"AAAAAB/i/x8=")</f>
        <v>#REF!</v>
      </c>
      <c r="AG19" t="e">
        <f>AND(#REF!,"AAAAAB/i/yA=")</f>
        <v>#REF!</v>
      </c>
      <c r="AH19" t="e">
        <f>AND(#REF!,"AAAAAB/i/yE=")</f>
        <v>#REF!</v>
      </c>
      <c r="AI19" t="e">
        <f>AND(#REF!,"AAAAAB/i/yI=")</f>
        <v>#REF!</v>
      </c>
      <c r="AJ19" t="e">
        <f>AND(#REF!,"AAAAAB/i/yM=")</f>
        <v>#REF!</v>
      </c>
      <c r="AK19" t="e">
        <f>AND(#REF!,"AAAAAB/i/yQ=")</f>
        <v>#REF!</v>
      </c>
      <c r="AL19" t="e">
        <f>AND(#REF!,"AAAAAB/i/yU=")</f>
        <v>#REF!</v>
      </c>
      <c r="AM19" t="e">
        <f>AND(#REF!,"AAAAAB/i/yY=")</f>
        <v>#REF!</v>
      </c>
      <c r="AN19" t="e">
        <f>AND(#REF!,"AAAAAB/i/yc=")</f>
        <v>#REF!</v>
      </c>
      <c r="AO19" t="e">
        <f>AND(#REF!,"AAAAAB/i/yg=")</f>
        <v>#REF!</v>
      </c>
      <c r="AP19" t="e">
        <f>AND(#REF!,"AAAAAB/i/yk=")</f>
        <v>#REF!</v>
      </c>
      <c r="AQ19" t="e">
        <f>AND(#REF!,"AAAAAB/i/yo=")</f>
        <v>#REF!</v>
      </c>
      <c r="AR19" t="e">
        <f>AND(#REF!,"AAAAAB/i/ys=")</f>
        <v>#REF!</v>
      </c>
      <c r="AS19" t="e">
        <f>AND(#REF!,"AAAAAB/i/yw=")</f>
        <v>#REF!</v>
      </c>
      <c r="AT19" t="e">
        <f>AND(#REF!,"AAAAAB/i/y0=")</f>
        <v>#REF!</v>
      </c>
      <c r="AU19" t="e">
        <f>AND(#REF!,"AAAAAB/i/y4=")</f>
        <v>#REF!</v>
      </c>
      <c r="AV19" t="e">
        <f>AND(#REF!,"AAAAAB/i/y8=")</f>
        <v>#REF!</v>
      </c>
      <c r="AW19" t="e">
        <f>AND(#REF!,"AAAAAB/i/zA=")</f>
        <v>#REF!</v>
      </c>
      <c r="AX19" t="e">
        <f>AND(#REF!,"AAAAAB/i/zE=")</f>
        <v>#REF!</v>
      </c>
      <c r="AY19" t="e">
        <f>AND(#REF!,"AAAAAB/i/zI=")</f>
        <v>#REF!</v>
      </c>
      <c r="AZ19" t="e">
        <f>AND(#REF!,"AAAAAB/i/zM=")</f>
        <v>#REF!</v>
      </c>
      <c r="BA19" t="e">
        <f>AND(#REF!,"AAAAAB/i/zQ=")</f>
        <v>#REF!</v>
      </c>
      <c r="BB19" t="e">
        <f>AND(#REF!,"AAAAAB/i/zU=")</f>
        <v>#REF!</v>
      </c>
      <c r="BC19" t="e">
        <f>AND(#REF!,"AAAAAB/i/zY=")</f>
        <v>#REF!</v>
      </c>
      <c r="BD19" t="e">
        <f>AND(#REF!,"AAAAAB/i/zc=")</f>
        <v>#REF!</v>
      </c>
      <c r="BE19" t="e">
        <f>AND(#REF!,"AAAAAB/i/zg=")</f>
        <v>#REF!</v>
      </c>
      <c r="BF19" t="e">
        <f>AND(#REF!,"AAAAAB/i/zk=")</f>
        <v>#REF!</v>
      </c>
      <c r="BG19" t="e">
        <f>AND(#REF!,"AAAAAB/i/zo=")</f>
        <v>#REF!</v>
      </c>
      <c r="BH19" t="e">
        <f>AND(#REF!,"AAAAAB/i/zs=")</f>
        <v>#REF!</v>
      </c>
      <c r="BI19" t="e">
        <f>AND(#REF!,"AAAAAB/i/zw=")</f>
        <v>#REF!</v>
      </c>
      <c r="BJ19" t="e">
        <f>AND(#REF!,"AAAAAB/i/z0=")</f>
        <v>#REF!</v>
      </c>
      <c r="BK19" t="e">
        <f>AND(#REF!,"AAAAAB/i/z4=")</f>
        <v>#REF!</v>
      </c>
      <c r="BL19" t="e">
        <f>AND(#REF!,"AAAAAB/i/z8=")</f>
        <v>#REF!</v>
      </c>
      <c r="BM19" t="e">
        <f>AND(#REF!,"AAAAAB/i/0A=")</f>
        <v>#REF!</v>
      </c>
      <c r="BN19" t="e">
        <f>AND(#REF!,"AAAAAB/i/0E=")</f>
        <v>#REF!</v>
      </c>
      <c r="BO19" t="e">
        <f>AND(#REF!,"AAAAAB/i/0I=")</f>
        <v>#REF!</v>
      </c>
      <c r="BP19" t="e">
        <f>AND(#REF!,"AAAAAB/i/0M=")</f>
        <v>#REF!</v>
      </c>
      <c r="BQ19" t="e">
        <f>AND(#REF!,"AAAAAB/i/0Q=")</f>
        <v>#REF!</v>
      </c>
      <c r="BR19" t="e">
        <f>AND(#REF!,"AAAAAB/i/0U=")</f>
        <v>#REF!</v>
      </c>
      <c r="BS19" t="e">
        <f>AND(#REF!,"AAAAAB/i/0Y=")</f>
        <v>#REF!</v>
      </c>
      <c r="BT19" t="e">
        <f>AND(#REF!,"AAAAAB/i/0c=")</f>
        <v>#REF!</v>
      </c>
      <c r="BU19" t="e">
        <f>AND(#REF!,"AAAAAB/i/0g=")</f>
        <v>#REF!</v>
      </c>
      <c r="BV19" t="e">
        <f>AND(#REF!,"AAAAAB/i/0k=")</f>
        <v>#REF!</v>
      </c>
      <c r="BW19" t="e">
        <f>AND(#REF!,"AAAAAB/i/0o=")</f>
        <v>#REF!</v>
      </c>
      <c r="BX19" t="e">
        <f>AND(#REF!,"AAAAAB/i/0s=")</f>
        <v>#REF!</v>
      </c>
      <c r="BY19" t="e">
        <f>AND(#REF!,"AAAAAB/i/0w=")</f>
        <v>#REF!</v>
      </c>
      <c r="BZ19" t="e">
        <f>AND(#REF!,"AAAAAB/i/00=")</f>
        <v>#REF!</v>
      </c>
      <c r="CA19" t="e">
        <f>AND(#REF!,"AAAAAB/i/04=")</f>
        <v>#REF!</v>
      </c>
      <c r="CB19" t="e">
        <f>AND(#REF!,"AAAAAB/i/08=")</f>
        <v>#REF!</v>
      </c>
      <c r="CC19" t="e">
        <f>AND(#REF!,"AAAAAB/i/1A=")</f>
        <v>#REF!</v>
      </c>
      <c r="CD19" t="e">
        <f>AND(#REF!,"AAAAAB/i/1E=")</f>
        <v>#REF!</v>
      </c>
      <c r="CE19" t="e">
        <f>AND(#REF!,"AAAAAB/i/1I=")</f>
        <v>#REF!</v>
      </c>
      <c r="CF19" t="e">
        <f>AND(#REF!,"AAAAAB/i/1M=")</f>
        <v>#REF!</v>
      </c>
      <c r="CG19" t="e">
        <f>AND(#REF!,"AAAAAB/i/1Q=")</f>
        <v>#REF!</v>
      </c>
      <c r="CH19" t="e">
        <f>AND(#REF!,"AAAAAB/i/1U=")</f>
        <v>#REF!</v>
      </c>
      <c r="CI19" t="e">
        <f>AND(#REF!,"AAAAAB/i/1Y=")</f>
        <v>#REF!</v>
      </c>
      <c r="CJ19" t="e">
        <f>AND(#REF!,"AAAAAB/i/1c=")</f>
        <v>#REF!</v>
      </c>
      <c r="CK19" t="e">
        <f>AND(#REF!,"AAAAAB/i/1g=")</f>
        <v>#REF!</v>
      </c>
      <c r="CL19" t="e">
        <f>AND(#REF!,"AAAAAB/i/1k=")</f>
        <v>#REF!</v>
      </c>
      <c r="CM19" t="e">
        <f>AND(#REF!,"AAAAAB/i/1o=")</f>
        <v>#REF!</v>
      </c>
      <c r="CN19" t="e">
        <f>AND(#REF!,"AAAAAB/i/1s=")</f>
        <v>#REF!</v>
      </c>
      <c r="CO19" t="e">
        <f>AND(#REF!,"AAAAAB/i/1w=")</f>
        <v>#REF!</v>
      </c>
      <c r="CP19" t="e">
        <f>AND(#REF!,"AAAAAB/i/10=")</f>
        <v>#REF!</v>
      </c>
      <c r="CQ19" t="e">
        <f>AND(#REF!,"AAAAAB/i/14=")</f>
        <v>#REF!</v>
      </c>
      <c r="CR19" t="e">
        <f>AND(#REF!,"AAAAAB/i/18=")</f>
        <v>#REF!</v>
      </c>
      <c r="CS19" t="e">
        <f>AND(#REF!,"AAAAAB/i/2A=")</f>
        <v>#REF!</v>
      </c>
      <c r="CT19" t="e">
        <f>AND(#REF!,"AAAAAB/i/2E=")</f>
        <v>#REF!</v>
      </c>
      <c r="CU19" t="e">
        <f>AND(#REF!,"AAAAAB/i/2I=")</f>
        <v>#REF!</v>
      </c>
      <c r="CV19" t="e">
        <f>AND(#REF!,"AAAAAB/i/2M=")</f>
        <v>#REF!</v>
      </c>
      <c r="CW19" t="e">
        <f>AND(#REF!,"AAAAAB/i/2Q=")</f>
        <v>#REF!</v>
      </c>
      <c r="CX19" t="e">
        <f>AND(#REF!,"AAAAAB/i/2U=")</f>
        <v>#REF!</v>
      </c>
      <c r="CY19" t="e">
        <f>AND(#REF!,"AAAAAB/i/2Y=")</f>
        <v>#REF!</v>
      </c>
      <c r="CZ19" t="e">
        <f>AND(#REF!,"AAAAAB/i/2c=")</f>
        <v>#REF!</v>
      </c>
      <c r="DA19" t="e">
        <f>AND(#REF!,"AAAAAB/i/2g=")</f>
        <v>#REF!</v>
      </c>
      <c r="DB19" t="e">
        <f>AND(#REF!,"AAAAAB/i/2k=")</f>
        <v>#REF!</v>
      </c>
      <c r="DC19" t="e">
        <f>AND(#REF!,"AAAAAB/i/2o=")</f>
        <v>#REF!</v>
      </c>
      <c r="DD19" t="e">
        <f>AND(#REF!,"AAAAAB/i/2s=")</f>
        <v>#REF!</v>
      </c>
      <c r="DE19" t="e">
        <f>AND(#REF!,"AAAAAB/i/2w=")</f>
        <v>#REF!</v>
      </c>
      <c r="DF19" t="e">
        <f>AND(#REF!,"AAAAAB/i/20=")</f>
        <v>#REF!</v>
      </c>
      <c r="DG19" t="e">
        <f>AND(#REF!,"AAAAAB/i/24=")</f>
        <v>#REF!</v>
      </c>
      <c r="DH19" t="e">
        <f>AND(#REF!,"AAAAAB/i/28=")</f>
        <v>#REF!</v>
      </c>
      <c r="DI19" t="e">
        <f>AND(#REF!,"AAAAAB/i/3A=")</f>
        <v>#REF!</v>
      </c>
      <c r="DJ19" t="e">
        <f>AND(#REF!,"AAAAAB/i/3E=")</f>
        <v>#REF!</v>
      </c>
      <c r="DK19" t="e">
        <f>AND(#REF!,"AAAAAB/i/3I=")</f>
        <v>#REF!</v>
      </c>
      <c r="DL19" t="e">
        <f>IF(#REF!,"AAAAAB/i/3M=",0)</f>
        <v>#REF!</v>
      </c>
      <c r="DM19" t="e">
        <f>AND(#REF!,"AAAAAB/i/3Q=")</f>
        <v>#REF!</v>
      </c>
      <c r="DN19" t="e">
        <f>AND(#REF!,"AAAAAB/i/3U=")</f>
        <v>#REF!</v>
      </c>
      <c r="DO19" t="e">
        <f>AND(#REF!,"AAAAAB/i/3Y=")</f>
        <v>#REF!</v>
      </c>
      <c r="DP19" t="e">
        <f>AND(#REF!,"AAAAAB/i/3c=")</f>
        <v>#REF!</v>
      </c>
      <c r="DQ19" t="e">
        <f>AND(#REF!,"AAAAAB/i/3g=")</f>
        <v>#REF!</v>
      </c>
      <c r="DR19" t="e">
        <f>AND(#REF!,"AAAAAB/i/3k=")</f>
        <v>#REF!</v>
      </c>
      <c r="DS19" t="e">
        <f>AND(#REF!,"AAAAAB/i/3o=")</f>
        <v>#REF!</v>
      </c>
      <c r="DT19" t="e">
        <f>AND(#REF!,"AAAAAB/i/3s=")</f>
        <v>#REF!</v>
      </c>
      <c r="DU19" t="e">
        <f>AND(#REF!,"AAAAAB/i/3w=")</f>
        <v>#REF!</v>
      </c>
      <c r="DV19" t="e">
        <f>AND(#REF!,"AAAAAB/i/30=")</f>
        <v>#REF!</v>
      </c>
      <c r="DW19" t="e">
        <f>AND(#REF!,"AAAAAB/i/34=")</f>
        <v>#REF!</v>
      </c>
      <c r="DX19" t="e">
        <f>AND(#REF!,"AAAAAB/i/38=")</f>
        <v>#REF!</v>
      </c>
      <c r="DY19" t="e">
        <f>AND(#REF!,"AAAAAB/i/4A=")</f>
        <v>#REF!</v>
      </c>
      <c r="DZ19" t="e">
        <f>AND(#REF!,"AAAAAB/i/4E=")</f>
        <v>#REF!</v>
      </c>
      <c r="EA19" t="e">
        <f>AND(#REF!,"AAAAAB/i/4I=")</f>
        <v>#REF!</v>
      </c>
      <c r="EB19" t="e">
        <f>AND(#REF!,"AAAAAB/i/4M=")</f>
        <v>#REF!</v>
      </c>
      <c r="EC19" t="e">
        <f>AND(#REF!,"AAAAAB/i/4Q=")</f>
        <v>#REF!</v>
      </c>
      <c r="ED19" t="e">
        <f>AND(#REF!,"AAAAAB/i/4U=")</f>
        <v>#REF!</v>
      </c>
      <c r="EE19" t="e">
        <f>AND(#REF!,"AAAAAB/i/4Y=")</f>
        <v>#REF!</v>
      </c>
      <c r="EF19" t="e">
        <f>AND(#REF!,"AAAAAB/i/4c=")</f>
        <v>#REF!</v>
      </c>
      <c r="EG19" t="e">
        <f>AND(#REF!,"AAAAAB/i/4g=")</f>
        <v>#REF!</v>
      </c>
      <c r="EH19" t="e">
        <f>AND(#REF!,"AAAAAB/i/4k=")</f>
        <v>#REF!</v>
      </c>
      <c r="EI19" t="e">
        <f>AND(#REF!,"AAAAAB/i/4o=")</f>
        <v>#REF!</v>
      </c>
      <c r="EJ19" t="e">
        <f>AND(#REF!,"AAAAAB/i/4s=")</f>
        <v>#REF!</v>
      </c>
      <c r="EK19" t="e">
        <f>AND(#REF!,"AAAAAB/i/4w=")</f>
        <v>#REF!</v>
      </c>
      <c r="EL19" t="e">
        <f>AND(#REF!,"AAAAAB/i/40=")</f>
        <v>#REF!</v>
      </c>
      <c r="EM19" t="e">
        <f>AND(#REF!,"AAAAAB/i/44=")</f>
        <v>#REF!</v>
      </c>
      <c r="EN19" t="e">
        <f>AND(#REF!,"AAAAAB/i/48=")</f>
        <v>#REF!</v>
      </c>
      <c r="EO19" t="e">
        <f>AND(#REF!,"AAAAAB/i/5A=")</f>
        <v>#REF!</v>
      </c>
      <c r="EP19" t="e">
        <f>AND(#REF!,"AAAAAB/i/5E=")</f>
        <v>#REF!</v>
      </c>
      <c r="EQ19" t="e">
        <f>AND(#REF!,"AAAAAB/i/5I=")</f>
        <v>#REF!</v>
      </c>
      <c r="ER19" t="e">
        <f>AND(#REF!,"AAAAAB/i/5M=")</f>
        <v>#REF!</v>
      </c>
      <c r="ES19" t="e">
        <f>AND(#REF!,"AAAAAB/i/5Q=")</f>
        <v>#REF!</v>
      </c>
      <c r="ET19" t="e">
        <f>AND(#REF!,"AAAAAB/i/5U=")</f>
        <v>#REF!</v>
      </c>
      <c r="EU19" t="e">
        <f>AND(#REF!,"AAAAAB/i/5Y=")</f>
        <v>#REF!</v>
      </c>
      <c r="EV19" t="e">
        <f>AND(#REF!,"AAAAAB/i/5c=")</f>
        <v>#REF!</v>
      </c>
      <c r="EW19" t="e">
        <f>AND(#REF!,"AAAAAB/i/5g=")</f>
        <v>#REF!</v>
      </c>
      <c r="EX19" t="e">
        <f>AND(#REF!,"AAAAAB/i/5k=")</f>
        <v>#REF!</v>
      </c>
      <c r="EY19" t="e">
        <f>AND(#REF!,"AAAAAB/i/5o=")</f>
        <v>#REF!</v>
      </c>
      <c r="EZ19" t="e">
        <f>AND(#REF!,"AAAAAB/i/5s=")</f>
        <v>#REF!</v>
      </c>
      <c r="FA19" t="e">
        <f>AND(#REF!,"AAAAAB/i/5w=")</f>
        <v>#REF!</v>
      </c>
      <c r="FB19" t="e">
        <f>AND(#REF!,"AAAAAB/i/50=")</f>
        <v>#REF!</v>
      </c>
      <c r="FC19" t="e">
        <f>AND(#REF!,"AAAAAB/i/54=")</f>
        <v>#REF!</v>
      </c>
      <c r="FD19" t="e">
        <f>AND(#REF!,"AAAAAB/i/58=")</f>
        <v>#REF!</v>
      </c>
      <c r="FE19" t="e">
        <f>AND(#REF!,"AAAAAB/i/6A=")</f>
        <v>#REF!</v>
      </c>
      <c r="FF19" t="e">
        <f>AND(#REF!,"AAAAAB/i/6E=")</f>
        <v>#REF!</v>
      </c>
      <c r="FG19" t="e">
        <f>AND(#REF!,"AAAAAB/i/6I=")</f>
        <v>#REF!</v>
      </c>
      <c r="FH19" t="e">
        <f>AND(#REF!,"AAAAAB/i/6M=")</f>
        <v>#REF!</v>
      </c>
      <c r="FI19" t="e">
        <f>AND(#REF!,"AAAAAB/i/6Q=")</f>
        <v>#REF!</v>
      </c>
      <c r="FJ19" t="e">
        <f>AND(#REF!,"AAAAAB/i/6U=")</f>
        <v>#REF!</v>
      </c>
      <c r="FK19" t="e">
        <f>AND(#REF!,"AAAAAB/i/6Y=")</f>
        <v>#REF!</v>
      </c>
      <c r="FL19" t="e">
        <f>AND(#REF!,"AAAAAB/i/6c=")</f>
        <v>#REF!</v>
      </c>
      <c r="FM19" t="e">
        <f>AND(#REF!,"AAAAAB/i/6g=")</f>
        <v>#REF!</v>
      </c>
      <c r="FN19" t="e">
        <f>AND(#REF!,"AAAAAB/i/6k=")</f>
        <v>#REF!</v>
      </c>
      <c r="FO19" t="e">
        <f>AND(#REF!,"AAAAAB/i/6o=")</f>
        <v>#REF!</v>
      </c>
      <c r="FP19" t="e">
        <f>AND(#REF!,"AAAAAB/i/6s=")</f>
        <v>#REF!</v>
      </c>
      <c r="FQ19" t="e">
        <f>AND(#REF!,"AAAAAB/i/6w=")</f>
        <v>#REF!</v>
      </c>
      <c r="FR19" t="e">
        <f>AND(#REF!,"AAAAAB/i/60=")</f>
        <v>#REF!</v>
      </c>
      <c r="FS19" t="e">
        <f>AND(#REF!,"AAAAAB/i/64=")</f>
        <v>#REF!</v>
      </c>
      <c r="FT19" t="e">
        <f>AND(#REF!,"AAAAAB/i/68=")</f>
        <v>#REF!</v>
      </c>
      <c r="FU19" t="e">
        <f>AND(#REF!,"AAAAAB/i/7A=")</f>
        <v>#REF!</v>
      </c>
      <c r="FV19" t="e">
        <f>AND(#REF!,"AAAAAB/i/7E=")</f>
        <v>#REF!</v>
      </c>
      <c r="FW19" t="e">
        <f>AND(#REF!,"AAAAAB/i/7I=")</f>
        <v>#REF!</v>
      </c>
      <c r="FX19" t="e">
        <f>AND(#REF!,"AAAAAB/i/7M=")</f>
        <v>#REF!</v>
      </c>
      <c r="FY19" t="e">
        <f>AND(#REF!,"AAAAAB/i/7Q=")</f>
        <v>#REF!</v>
      </c>
      <c r="FZ19" t="e">
        <f>AND(#REF!,"AAAAAB/i/7U=")</f>
        <v>#REF!</v>
      </c>
      <c r="GA19" t="e">
        <f>AND(#REF!,"AAAAAB/i/7Y=")</f>
        <v>#REF!</v>
      </c>
      <c r="GB19" t="e">
        <f>AND(#REF!,"AAAAAB/i/7c=")</f>
        <v>#REF!</v>
      </c>
      <c r="GC19" t="e">
        <f>AND(#REF!,"AAAAAB/i/7g=")</f>
        <v>#REF!</v>
      </c>
      <c r="GD19" t="e">
        <f>AND(#REF!,"AAAAAB/i/7k=")</f>
        <v>#REF!</v>
      </c>
      <c r="GE19" t="e">
        <f>AND(#REF!,"AAAAAB/i/7o=")</f>
        <v>#REF!</v>
      </c>
      <c r="GF19" t="e">
        <f>AND(#REF!,"AAAAAB/i/7s=")</f>
        <v>#REF!</v>
      </c>
      <c r="GG19" t="e">
        <f>AND(#REF!,"AAAAAB/i/7w=")</f>
        <v>#REF!</v>
      </c>
      <c r="GH19" t="e">
        <f>AND(#REF!,"AAAAAB/i/70=")</f>
        <v>#REF!</v>
      </c>
      <c r="GI19" t="e">
        <f>AND(#REF!,"AAAAAB/i/74=")</f>
        <v>#REF!</v>
      </c>
      <c r="GJ19" t="e">
        <f>AND(#REF!,"AAAAAB/i/78=")</f>
        <v>#REF!</v>
      </c>
      <c r="GK19" t="e">
        <f>AND(#REF!,"AAAAAB/i/8A=")</f>
        <v>#REF!</v>
      </c>
      <c r="GL19" t="e">
        <f>AND(#REF!,"AAAAAB/i/8E=")</f>
        <v>#REF!</v>
      </c>
      <c r="GM19" t="e">
        <f>AND(#REF!,"AAAAAB/i/8I=")</f>
        <v>#REF!</v>
      </c>
      <c r="GN19" t="e">
        <f>AND(#REF!,"AAAAAB/i/8M=")</f>
        <v>#REF!</v>
      </c>
      <c r="GO19" t="e">
        <f>AND(#REF!,"AAAAAB/i/8Q=")</f>
        <v>#REF!</v>
      </c>
      <c r="GP19" t="e">
        <f>AND(#REF!,"AAAAAB/i/8U=")</f>
        <v>#REF!</v>
      </c>
      <c r="GQ19" t="e">
        <f>AND(#REF!,"AAAAAB/i/8Y=")</f>
        <v>#REF!</v>
      </c>
      <c r="GR19" t="e">
        <f>AND(#REF!,"AAAAAB/i/8c=")</f>
        <v>#REF!</v>
      </c>
      <c r="GS19" t="e">
        <f>AND(#REF!,"AAAAAB/i/8g=")</f>
        <v>#REF!</v>
      </c>
      <c r="GT19" t="e">
        <f>AND(#REF!,"AAAAAB/i/8k=")</f>
        <v>#REF!</v>
      </c>
      <c r="GU19" t="e">
        <f>AND(#REF!,"AAAAAB/i/8o=")</f>
        <v>#REF!</v>
      </c>
      <c r="GV19" t="e">
        <f>AND(#REF!,"AAAAAB/i/8s=")</f>
        <v>#REF!</v>
      </c>
      <c r="GW19" t="e">
        <f>AND(#REF!,"AAAAAB/i/8w=")</f>
        <v>#REF!</v>
      </c>
      <c r="GX19" t="e">
        <f>AND(#REF!,"AAAAAB/i/80=")</f>
        <v>#REF!</v>
      </c>
      <c r="GY19" t="e">
        <f>AND(#REF!,"AAAAAB/i/84=")</f>
        <v>#REF!</v>
      </c>
      <c r="GZ19" t="e">
        <f>AND(#REF!,"AAAAAB/i/88=")</f>
        <v>#REF!</v>
      </c>
      <c r="HA19" t="e">
        <f>AND(#REF!,"AAAAAB/i/9A=")</f>
        <v>#REF!</v>
      </c>
      <c r="HB19" t="e">
        <f>AND(#REF!,"AAAAAB/i/9E=")</f>
        <v>#REF!</v>
      </c>
      <c r="HC19" t="e">
        <f>AND(#REF!,"AAAAAB/i/9I=")</f>
        <v>#REF!</v>
      </c>
      <c r="HD19" t="e">
        <f>AND(#REF!,"AAAAAB/i/9M=")</f>
        <v>#REF!</v>
      </c>
      <c r="HE19" t="e">
        <f>AND(#REF!,"AAAAAB/i/9Q=")</f>
        <v>#REF!</v>
      </c>
      <c r="HF19" t="e">
        <f>AND(#REF!,"AAAAAB/i/9U=")</f>
        <v>#REF!</v>
      </c>
      <c r="HG19" t="e">
        <f>AND(#REF!,"AAAAAB/i/9Y=")</f>
        <v>#REF!</v>
      </c>
      <c r="HH19" t="e">
        <f>AND(#REF!,"AAAAAB/i/9c=")</f>
        <v>#REF!</v>
      </c>
      <c r="HI19" t="e">
        <f>AND(#REF!,"AAAAAB/i/9g=")</f>
        <v>#REF!</v>
      </c>
      <c r="HJ19" t="e">
        <f>AND(#REF!,"AAAAAB/i/9k=")</f>
        <v>#REF!</v>
      </c>
      <c r="HK19" t="e">
        <f>AND(#REF!,"AAAAAB/i/9o=")</f>
        <v>#REF!</v>
      </c>
      <c r="HL19" t="e">
        <f>AND(#REF!,"AAAAAB/i/9s=")</f>
        <v>#REF!</v>
      </c>
      <c r="HM19" t="e">
        <f>AND(#REF!,"AAAAAB/i/9w=")</f>
        <v>#REF!</v>
      </c>
      <c r="HN19" t="e">
        <f>AND(#REF!,"AAAAAB/i/90=")</f>
        <v>#REF!</v>
      </c>
      <c r="HO19" t="e">
        <f>AND(#REF!,"AAAAAB/i/94=")</f>
        <v>#REF!</v>
      </c>
      <c r="HP19" t="e">
        <f>AND(#REF!,"AAAAAB/i/98=")</f>
        <v>#REF!</v>
      </c>
      <c r="HQ19" t="e">
        <f>AND(#REF!,"AAAAAB/i/+A=")</f>
        <v>#REF!</v>
      </c>
      <c r="HR19" t="e">
        <f>AND(#REF!,"AAAAAB/i/+E=")</f>
        <v>#REF!</v>
      </c>
      <c r="HS19" t="e">
        <f>AND(#REF!,"AAAAAB/i/+I=")</f>
        <v>#REF!</v>
      </c>
      <c r="HT19" t="e">
        <f>AND(#REF!,"AAAAAB/i/+M=")</f>
        <v>#REF!</v>
      </c>
      <c r="HU19" t="e">
        <f>AND(#REF!,"AAAAAB/i/+Q=")</f>
        <v>#REF!</v>
      </c>
      <c r="HV19" t="e">
        <f>AND(#REF!,"AAAAAB/i/+U=")</f>
        <v>#REF!</v>
      </c>
      <c r="HW19" t="e">
        <f>AND(#REF!,"AAAAAB/i/+Y=")</f>
        <v>#REF!</v>
      </c>
      <c r="HX19" t="e">
        <f>AND(#REF!,"AAAAAB/i/+c=")</f>
        <v>#REF!</v>
      </c>
      <c r="HY19" t="e">
        <f>AND(#REF!,"AAAAAB/i/+g=")</f>
        <v>#REF!</v>
      </c>
      <c r="HZ19" t="e">
        <f>AND(#REF!,"AAAAAB/i/+k=")</f>
        <v>#REF!</v>
      </c>
      <c r="IA19" t="e">
        <f>AND(#REF!,"AAAAAB/i/+o=")</f>
        <v>#REF!</v>
      </c>
      <c r="IB19" t="e">
        <f>AND(#REF!,"AAAAAB/i/+s=")</f>
        <v>#REF!</v>
      </c>
      <c r="IC19" t="e">
        <f>AND(#REF!,"AAAAAB/i/+w=")</f>
        <v>#REF!</v>
      </c>
      <c r="ID19" t="e">
        <f>AND(#REF!,"AAAAAB/i/+0=")</f>
        <v>#REF!</v>
      </c>
      <c r="IE19" t="e">
        <f>AND(#REF!,"AAAAAB/i/+4=")</f>
        <v>#REF!</v>
      </c>
      <c r="IF19" t="e">
        <f>AND(#REF!,"AAAAAB/i/+8=")</f>
        <v>#REF!</v>
      </c>
      <c r="IG19" t="e">
        <f>AND(#REF!,"AAAAAB/i//A=")</f>
        <v>#REF!</v>
      </c>
      <c r="IH19" t="e">
        <f>AND(#REF!,"AAAAAB/i//E=")</f>
        <v>#REF!</v>
      </c>
      <c r="II19" t="e">
        <f>AND(#REF!,"AAAAAB/i//I=")</f>
        <v>#REF!</v>
      </c>
      <c r="IJ19" t="e">
        <f>AND(#REF!,"AAAAAB/i//M=")</f>
        <v>#REF!</v>
      </c>
      <c r="IK19" t="e">
        <f>AND(#REF!,"AAAAAB/i//Q=")</f>
        <v>#REF!</v>
      </c>
      <c r="IL19" t="e">
        <f>AND(#REF!,"AAAAAB/i//U=")</f>
        <v>#REF!</v>
      </c>
      <c r="IM19" t="e">
        <f>AND(#REF!,"AAAAAB/i//Y=")</f>
        <v>#REF!</v>
      </c>
      <c r="IN19" t="e">
        <f>AND(#REF!,"AAAAAB/i//c=")</f>
        <v>#REF!</v>
      </c>
      <c r="IO19" t="e">
        <f>AND(#REF!,"AAAAAB/i//g=")</f>
        <v>#REF!</v>
      </c>
      <c r="IP19" t="e">
        <f>AND(#REF!,"AAAAAB/i//k=")</f>
        <v>#REF!</v>
      </c>
      <c r="IQ19" t="e">
        <f>AND(#REF!,"AAAAAB/i//o=")</f>
        <v>#REF!</v>
      </c>
      <c r="IR19" t="e">
        <f>AND(#REF!,"AAAAAB/i//s=")</f>
        <v>#REF!</v>
      </c>
      <c r="IS19" t="e">
        <f>AND(#REF!,"AAAAAB/i//w=")</f>
        <v>#REF!</v>
      </c>
      <c r="IT19" t="e">
        <f>AND(#REF!,"AAAAAB/i//0=")</f>
        <v>#REF!</v>
      </c>
      <c r="IU19" t="e">
        <f>AND(#REF!,"AAAAAB/i//4=")</f>
        <v>#REF!</v>
      </c>
      <c r="IV19" t="e">
        <f>AND(#REF!,"AAAAAB/i//8=")</f>
        <v>#REF!</v>
      </c>
    </row>
    <row r="20" spans="1:256" x14ac:dyDescent="0.2">
      <c r="A20" t="e">
        <f>AND(#REF!,"AAAAAH4SvQA=")</f>
        <v>#REF!</v>
      </c>
      <c r="B20" t="e">
        <f>AND(#REF!,"AAAAAH4SvQE=")</f>
        <v>#REF!</v>
      </c>
      <c r="C20" t="e">
        <f>AND(#REF!,"AAAAAH4SvQI=")</f>
        <v>#REF!</v>
      </c>
      <c r="D20" t="e">
        <f>AND(#REF!,"AAAAAH4SvQM=")</f>
        <v>#REF!</v>
      </c>
      <c r="E20" t="e">
        <f>AND(#REF!,"AAAAAH4SvQQ=")</f>
        <v>#REF!</v>
      </c>
      <c r="F20" t="e">
        <f>AND(#REF!,"AAAAAH4SvQU=")</f>
        <v>#REF!</v>
      </c>
      <c r="G20" t="e">
        <f>AND(#REF!,"AAAAAH4SvQY=")</f>
        <v>#REF!</v>
      </c>
      <c r="H20" t="e">
        <f>AND(#REF!,"AAAAAH4SvQc=")</f>
        <v>#REF!</v>
      </c>
      <c r="I20" t="e">
        <f>AND(#REF!,"AAAAAH4SvQg=")</f>
        <v>#REF!</v>
      </c>
      <c r="J20" t="e">
        <f>AND(#REF!,"AAAAAH4SvQk=")</f>
        <v>#REF!</v>
      </c>
      <c r="K20" t="e">
        <f>AND(#REF!,"AAAAAH4SvQo=")</f>
        <v>#REF!</v>
      </c>
      <c r="L20" t="e">
        <f>AND(#REF!,"AAAAAH4SvQs=")</f>
        <v>#REF!</v>
      </c>
      <c r="M20" t="e">
        <f>AND(#REF!,"AAAAAH4SvQw=")</f>
        <v>#REF!</v>
      </c>
      <c r="N20" t="e">
        <f>AND(#REF!,"AAAAAH4SvQ0=")</f>
        <v>#REF!</v>
      </c>
      <c r="O20" t="e">
        <f>AND(#REF!,"AAAAAH4SvQ4=")</f>
        <v>#REF!</v>
      </c>
      <c r="P20" t="e">
        <f>AND(#REF!,"AAAAAH4SvQ8=")</f>
        <v>#REF!</v>
      </c>
      <c r="Q20" t="e">
        <f>AND(#REF!,"AAAAAH4SvRA=")</f>
        <v>#REF!</v>
      </c>
      <c r="R20" t="e">
        <f>AND(#REF!,"AAAAAH4SvRE=")</f>
        <v>#REF!</v>
      </c>
      <c r="S20" t="e">
        <f>AND(#REF!,"AAAAAH4SvRI=")</f>
        <v>#REF!</v>
      </c>
      <c r="T20" t="e">
        <f>AND(#REF!,"AAAAAH4SvRM=")</f>
        <v>#REF!</v>
      </c>
      <c r="U20" t="e">
        <f>AND(#REF!,"AAAAAH4SvRQ=")</f>
        <v>#REF!</v>
      </c>
      <c r="V20" t="e">
        <f>AND(#REF!,"AAAAAH4SvRU=")</f>
        <v>#REF!</v>
      </c>
      <c r="W20" t="e">
        <f>AND(#REF!,"AAAAAH4SvRY=")</f>
        <v>#REF!</v>
      </c>
      <c r="X20" t="e">
        <f>AND(#REF!,"AAAAAH4SvRc=")</f>
        <v>#REF!</v>
      </c>
      <c r="Y20" t="e">
        <f>AND(#REF!,"AAAAAH4SvRg=")</f>
        <v>#REF!</v>
      </c>
      <c r="Z20" t="e">
        <f>AND(#REF!,"AAAAAH4SvRk=")</f>
        <v>#REF!</v>
      </c>
      <c r="AA20" t="e">
        <f>AND(#REF!,"AAAAAH4SvRo=")</f>
        <v>#REF!</v>
      </c>
      <c r="AB20" t="e">
        <f>AND(#REF!,"AAAAAH4SvRs=")</f>
        <v>#REF!</v>
      </c>
      <c r="AC20" t="e">
        <f>AND(#REF!,"AAAAAH4SvRw=")</f>
        <v>#REF!</v>
      </c>
      <c r="AD20" t="e">
        <f>AND(#REF!,"AAAAAH4SvR0=")</f>
        <v>#REF!</v>
      </c>
      <c r="AE20" t="e">
        <f>AND(#REF!,"AAAAAH4SvR4=")</f>
        <v>#REF!</v>
      </c>
      <c r="AF20" t="e">
        <f>AND(#REF!,"AAAAAH4SvR8=")</f>
        <v>#REF!</v>
      </c>
      <c r="AG20" t="e">
        <f>AND(#REF!,"AAAAAH4SvSA=")</f>
        <v>#REF!</v>
      </c>
      <c r="AH20" t="e">
        <f>AND(#REF!,"AAAAAH4SvSE=")</f>
        <v>#REF!</v>
      </c>
      <c r="AI20" t="e">
        <f>AND(#REF!,"AAAAAH4SvSI=")</f>
        <v>#REF!</v>
      </c>
      <c r="AJ20" t="e">
        <f>AND(#REF!,"AAAAAH4SvSM=")</f>
        <v>#REF!</v>
      </c>
      <c r="AK20" t="e">
        <f>AND(#REF!,"AAAAAH4SvSQ=")</f>
        <v>#REF!</v>
      </c>
      <c r="AL20" t="e">
        <f>AND(#REF!,"AAAAAH4SvSU=")</f>
        <v>#REF!</v>
      </c>
      <c r="AM20" t="e">
        <f>AND(#REF!,"AAAAAH4SvSY=")</f>
        <v>#REF!</v>
      </c>
      <c r="AN20" t="e">
        <f>AND(#REF!,"AAAAAH4SvSc=")</f>
        <v>#REF!</v>
      </c>
      <c r="AO20" t="e">
        <f>IF(#REF!,"AAAAAH4SvSg=",0)</f>
        <v>#REF!</v>
      </c>
      <c r="AP20" t="e">
        <f>AND(#REF!,"AAAAAH4SvSk=")</f>
        <v>#REF!</v>
      </c>
      <c r="AQ20" t="e">
        <f>AND(#REF!,"AAAAAH4SvSo=")</f>
        <v>#REF!</v>
      </c>
      <c r="AR20" t="e">
        <f>AND(#REF!,"AAAAAH4SvSs=")</f>
        <v>#REF!</v>
      </c>
      <c r="AS20" t="e">
        <f>AND(#REF!,"AAAAAH4SvSw=")</f>
        <v>#REF!</v>
      </c>
      <c r="AT20" t="e">
        <f>AND(#REF!,"AAAAAH4SvS0=")</f>
        <v>#REF!</v>
      </c>
      <c r="AU20" t="e">
        <f>AND(#REF!,"AAAAAH4SvS4=")</f>
        <v>#REF!</v>
      </c>
      <c r="AV20" t="e">
        <f>AND(#REF!,"AAAAAH4SvS8=")</f>
        <v>#REF!</v>
      </c>
      <c r="AW20" t="e">
        <f>AND(#REF!,"AAAAAH4SvTA=")</f>
        <v>#REF!</v>
      </c>
      <c r="AX20" t="e">
        <f>AND(#REF!,"AAAAAH4SvTE=")</f>
        <v>#REF!</v>
      </c>
      <c r="AY20" t="e">
        <f>AND(#REF!,"AAAAAH4SvTI=")</f>
        <v>#REF!</v>
      </c>
      <c r="AZ20" t="e">
        <f>AND(#REF!,"AAAAAH4SvTM=")</f>
        <v>#REF!</v>
      </c>
      <c r="BA20" t="e">
        <f>AND(#REF!,"AAAAAH4SvTQ=")</f>
        <v>#REF!</v>
      </c>
      <c r="BB20" t="e">
        <f>AND(#REF!,"AAAAAH4SvTU=")</f>
        <v>#REF!</v>
      </c>
      <c r="BC20" t="e">
        <f>AND(#REF!,"AAAAAH4SvTY=")</f>
        <v>#REF!</v>
      </c>
      <c r="BD20" t="e">
        <f>AND(#REF!,"AAAAAH4SvTc=")</f>
        <v>#REF!</v>
      </c>
      <c r="BE20" t="e">
        <f>AND(#REF!,"AAAAAH4SvTg=")</f>
        <v>#REF!</v>
      </c>
      <c r="BF20" t="e">
        <f>AND(#REF!,"AAAAAH4SvTk=")</f>
        <v>#REF!</v>
      </c>
      <c r="BG20" t="e">
        <f>AND(#REF!,"AAAAAH4SvTo=")</f>
        <v>#REF!</v>
      </c>
      <c r="BH20" t="e">
        <f>AND(#REF!,"AAAAAH4SvTs=")</f>
        <v>#REF!</v>
      </c>
      <c r="BI20" t="e">
        <f>AND(#REF!,"AAAAAH4SvTw=")</f>
        <v>#REF!</v>
      </c>
      <c r="BJ20" t="e">
        <f>AND(#REF!,"AAAAAH4SvT0=")</f>
        <v>#REF!</v>
      </c>
      <c r="BK20" t="e">
        <f>AND(#REF!,"AAAAAH4SvT4=")</f>
        <v>#REF!</v>
      </c>
      <c r="BL20" t="e">
        <f>AND(#REF!,"AAAAAH4SvT8=")</f>
        <v>#REF!</v>
      </c>
      <c r="BM20" t="e">
        <f>AND(#REF!,"AAAAAH4SvUA=")</f>
        <v>#REF!</v>
      </c>
      <c r="BN20" t="e">
        <f>AND(#REF!,"AAAAAH4SvUE=")</f>
        <v>#REF!</v>
      </c>
      <c r="BO20" t="e">
        <f>AND(#REF!,"AAAAAH4SvUI=")</f>
        <v>#REF!</v>
      </c>
      <c r="BP20" t="e">
        <f>AND(#REF!,"AAAAAH4SvUM=")</f>
        <v>#REF!</v>
      </c>
      <c r="BQ20" t="e">
        <f>AND(#REF!,"AAAAAH4SvUQ=")</f>
        <v>#REF!</v>
      </c>
      <c r="BR20" t="e">
        <f>AND(#REF!,"AAAAAH4SvUU=")</f>
        <v>#REF!</v>
      </c>
      <c r="BS20" t="e">
        <f>AND(#REF!,"AAAAAH4SvUY=")</f>
        <v>#REF!</v>
      </c>
      <c r="BT20" t="e">
        <f>AND(#REF!,"AAAAAH4SvUc=")</f>
        <v>#REF!</v>
      </c>
      <c r="BU20" t="e">
        <f>AND(#REF!,"AAAAAH4SvUg=")</f>
        <v>#REF!</v>
      </c>
      <c r="BV20" t="e">
        <f>AND(#REF!,"AAAAAH4SvUk=")</f>
        <v>#REF!</v>
      </c>
      <c r="BW20" t="e">
        <f>AND(#REF!,"AAAAAH4SvUo=")</f>
        <v>#REF!</v>
      </c>
      <c r="BX20" t="e">
        <f>AND(#REF!,"AAAAAH4SvUs=")</f>
        <v>#REF!</v>
      </c>
      <c r="BY20" t="e">
        <f>AND(#REF!,"AAAAAH4SvUw=")</f>
        <v>#REF!</v>
      </c>
      <c r="BZ20" t="e">
        <f>AND(#REF!,"AAAAAH4SvU0=")</f>
        <v>#REF!</v>
      </c>
      <c r="CA20" t="e">
        <f>AND(#REF!,"AAAAAH4SvU4=")</f>
        <v>#REF!</v>
      </c>
      <c r="CB20" t="e">
        <f>AND(#REF!,"AAAAAH4SvU8=")</f>
        <v>#REF!</v>
      </c>
      <c r="CC20" t="e">
        <f>AND(#REF!,"AAAAAH4SvVA=")</f>
        <v>#REF!</v>
      </c>
      <c r="CD20" t="e">
        <f>AND(#REF!,"AAAAAH4SvVE=")</f>
        <v>#REF!</v>
      </c>
      <c r="CE20" t="e">
        <f>AND(#REF!,"AAAAAH4SvVI=")</f>
        <v>#REF!</v>
      </c>
      <c r="CF20" t="e">
        <f>AND(#REF!,"AAAAAH4SvVM=")</f>
        <v>#REF!</v>
      </c>
      <c r="CG20" t="e">
        <f>AND(#REF!,"AAAAAH4SvVQ=")</f>
        <v>#REF!</v>
      </c>
      <c r="CH20" t="e">
        <f>AND(#REF!,"AAAAAH4SvVU=")</f>
        <v>#REF!</v>
      </c>
      <c r="CI20" t="e">
        <f>AND(#REF!,"AAAAAH4SvVY=")</f>
        <v>#REF!</v>
      </c>
      <c r="CJ20" t="e">
        <f>AND(#REF!,"AAAAAH4SvVc=")</f>
        <v>#REF!</v>
      </c>
      <c r="CK20" t="e">
        <f>AND(#REF!,"AAAAAH4SvVg=")</f>
        <v>#REF!</v>
      </c>
      <c r="CL20" t="e">
        <f>AND(#REF!,"AAAAAH4SvVk=")</f>
        <v>#REF!</v>
      </c>
      <c r="CM20" t="e">
        <f>AND(#REF!,"AAAAAH4SvVo=")</f>
        <v>#REF!</v>
      </c>
      <c r="CN20" t="e">
        <f>AND(#REF!,"AAAAAH4SvVs=")</f>
        <v>#REF!</v>
      </c>
      <c r="CO20" t="e">
        <f>AND(#REF!,"AAAAAH4SvVw=")</f>
        <v>#REF!</v>
      </c>
      <c r="CP20" t="e">
        <f>AND(#REF!,"AAAAAH4SvV0=")</f>
        <v>#REF!</v>
      </c>
      <c r="CQ20" t="e">
        <f>AND(#REF!,"AAAAAH4SvV4=")</f>
        <v>#REF!</v>
      </c>
      <c r="CR20" t="e">
        <f>AND(#REF!,"AAAAAH4SvV8=")</f>
        <v>#REF!</v>
      </c>
      <c r="CS20" t="e">
        <f>AND(#REF!,"AAAAAH4SvWA=")</f>
        <v>#REF!</v>
      </c>
      <c r="CT20" t="e">
        <f>AND(#REF!,"AAAAAH4SvWE=")</f>
        <v>#REF!</v>
      </c>
      <c r="CU20" t="e">
        <f>AND(#REF!,"AAAAAH4SvWI=")</f>
        <v>#REF!</v>
      </c>
      <c r="CV20" t="e">
        <f>AND(#REF!,"AAAAAH4SvWM=")</f>
        <v>#REF!</v>
      </c>
      <c r="CW20" t="e">
        <f>AND(#REF!,"AAAAAH4SvWQ=")</f>
        <v>#REF!</v>
      </c>
      <c r="CX20" t="e">
        <f>AND(#REF!,"AAAAAH4SvWU=")</f>
        <v>#REF!</v>
      </c>
      <c r="CY20" t="e">
        <f>AND(#REF!,"AAAAAH4SvWY=")</f>
        <v>#REF!</v>
      </c>
      <c r="CZ20" t="e">
        <f>AND(#REF!,"AAAAAH4SvWc=")</f>
        <v>#REF!</v>
      </c>
      <c r="DA20" t="e">
        <f>AND(#REF!,"AAAAAH4SvWg=")</f>
        <v>#REF!</v>
      </c>
      <c r="DB20" t="e">
        <f>AND(#REF!,"AAAAAH4SvWk=")</f>
        <v>#REF!</v>
      </c>
      <c r="DC20" t="e">
        <f>AND(#REF!,"AAAAAH4SvWo=")</f>
        <v>#REF!</v>
      </c>
      <c r="DD20" t="e">
        <f>AND(#REF!,"AAAAAH4SvWs=")</f>
        <v>#REF!</v>
      </c>
      <c r="DE20" t="e">
        <f>AND(#REF!,"AAAAAH4SvWw=")</f>
        <v>#REF!</v>
      </c>
      <c r="DF20" t="e">
        <f>AND(#REF!,"AAAAAH4SvW0=")</f>
        <v>#REF!</v>
      </c>
      <c r="DG20" t="e">
        <f>AND(#REF!,"AAAAAH4SvW4=")</f>
        <v>#REF!</v>
      </c>
      <c r="DH20" t="e">
        <f>AND(#REF!,"AAAAAH4SvW8=")</f>
        <v>#REF!</v>
      </c>
      <c r="DI20" t="e">
        <f>AND(#REF!,"AAAAAH4SvXA=")</f>
        <v>#REF!</v>
      </c>
      <c r="DJ20" t="e">
        <f>AND(#REF!,"AAAAAH4SvXE=")</f>
        <v>#REF!</v>
      </c>
      <c r="DK20" t="e">
        <f>AND(#REF!,"AAAAAH4SvXI=")</f>
        <v>#REF!</v>
      </c>
      <c r="DL20" t="e">
        <f>AND(#REF!,"AAAAAH4SvXM=")</f>
        <v>#REF!</v>
      </c>
      <c r="DM20" t="e">
        <f>AND(#REF!,"AAAAAH4SvXQ=")</f>
        <v>#REF!</v>
      </c>
      <c r="DN20" t="e">
        <f>AND(#REF!,"AAAAAH4SvXU=")</f>
        <v>#REF!</v>
      </c>
      <c r="DO20" t="e">
        <f>AND(#REF!,"AAAAAH4SvXY=")</f>
        <v>#REF!</v>
      </c>
      <c r="DP20" t="e">
        <f>AND(#REF!,"AAAAAH4SvXc=")</f>
        <v>#REF!</v>
      </c>
      <c r="DQ20" t="e">
        <f>AND(#REF!,"AAAAAH4SvXg=")</f>
        <v>#REF!</v>
      </c>
      <c r="DR20" t="e">
        <f>AND(#REF!,"AAAAAH4SvXk=")</f>
        <v>#REF!</v>
      </c>
      <c r="DS20" t="e">
        <f>AND(#REF!,"AAAAAH4SvXo=")</f>
        <v>#REF!</v>
      </c>
      <c r="DT20" t="e">
        <f>AND(#REF!,"AAAAAH4SvXs=")</f>
        <v>#REF!</v>
      </c>
      <c r="DU20" t="e">
        <f>AND(#REF!,"AAAAAH4SvXw=")</f>
        <v>#REF!</v>
      </c>
      <c r="DV20" t="e">
        <f>AND(#REF!,"AAAAAH4SvX0=")</f>
        <v>#REF!</v>
      </c>
      <c r="DW20" t="e">
        <f>AND(#REF!,"AAAAAH4SvX4=")</f>
        <v>#REF!</v>
      </c>
      <c r="DX20" t="e">
        <f>AND(#REF!,"AAAAAH4SvX8=")</f>
        <v>#REF!</v>
      </c>
      <c r="DY20" t="e">
        <f>AND(#REF!,"AAAAAH4SvYA=")</f>
        <v>#REF!</v>
      </c>
      <c r="DZ20" t="e">
        <f>AND(#REF!,"AAAAAH4SvYE=")</f>
        <v>#REF!</v>
      </c>
      <c r="EA20" t="e">
        <f>AND(#REF!,"AAAAAH4SvYI=")</f>
        <v>#REF!</v>
      </c>
      <c r="EB20" t="e">
        <f>AND(#REF!,"AAAAAH4SvYM=")</f>
        <v>#REF!</v>
      </c>
      <c r="EC20" t="e">
        <f>AND(#REF!,"AAAAAH4SvYQ=")</f>
        <v>#REF!</v>
      </c>
      <c r="ED20" t="e">
        <f>AND(#REF!,"AAAAAH4SvYU=")</f>
        <v>#REF!</v>
      </c>
      <c r="EE20" t="e">
        <f>AND(#REF!,"AAAAAH4SvYY=")</f>
        <v>#REF!</v>
      </c>
      <c r="EF20" t="e">
        <f>AND(#REF!,"AAAAAH4SvYc=")</f>
        <v>#REF!</v>
      </c>
      <c r="EG20" t="e">
        <f>AND(#REF!,"AAAAAH4SvYg=")</f>
        <v>#REF!</v>
      </c>
      <c r="EH20" t="e">
        <f>AND(#REF!,"AAAAAH4SvYk=")</f>
        <v>#REF!</v>
      </c>
      <c r="EI20" t="e">
        <f>AND(#REF!,"AAAAAH4SvYo=")</f>
        <v>#REF!</v>
      </c>
      <c r="EJ20" t="e">
        <f>AND(#REF!,"AAAAAH4SvYs=")</f>
        <v>#REF!</v>
      </c>
      <c r="EK20" t="e">
        <f>AND(#REF!,"AAAAAH4SvYw=")</f>
        <v>#REF!</v>
      </c>
      <c r="EL20" t="e">
        <f>AND(#REF!,"AAAAAH4SvY0=")</f>
        <v>#REF!</v>
      </c>
      <c r="EM20" t="e">
        <f>AND(#REF!,"AAAAAH4SvY4=")</f>
        <v>#REF!</v>
      </c>
      <c r="EN20" t="e">
        <f>AND(#REF!,"AAAAAH4SvY8=")</f>
        <v>#REF!</v>
      </c>
      <c r="EO20" t="e">
        <f>AND(#REF!,"AAAAAH4SvZA=")</f>
        <v>#REF!</v>
      </c>
      <c r="EP20" t="e">
        <f>AND(#REF!,"AAAAAH4SvZE=")</f>
        <v>#REF!</v>
      </c>
      <c r="EQ20" t="e">
        <f>AND(#REF!,"AAAAAH4SvZI=")</f>
        <v>#REF!</v>
      </c>
      <c r="ER20" t="e">
        <f>AND(#REF!,"AAAAAH4SvZM=")</f>
        <v>#REF!</v>
      </c>
      <c r="ES20" t="e">
        <f>AND(#REF!,"AAAAAH4SvZQ=")</f>
        <v>#REF!</v>
      </c>
      <c r="ET20" t="e">
        <f>AND(#REF!,"AAAAAH4SvZU=")</f>
        <v>#REF!</v>
      </c>
      <c r="EU20" t="e">
        <f>AND(#REF!,"AAAAAH4SvZY=")</f>
        <v>#REF!</v>
      </c>
      <c r="EV20" t="e">
        <f>AND(#REF!,"AAAAAH4SvZc=")</f>
        <v>#REF!</v>
      </c>
      <c r="EW20" t="e">
        <f>AND(#REF!,"AAAAAH4SvZg=")</f>
        <v>#REF!</v>
      </c>
      <c r="EX20" t="e">
        <f>AND(#REF!,"AAAAAH4SvZk=")</f>
        <v>#REF!</v>
      </c>
      <c r="EY20" t="e">
        <f>AND(#REF!,"AAAAAH4SvZo=")</f>
        <v>#REF!</v>
      </c>
      <c r="EZ20" t="e">
        <f>AND(#REF!,"AAAAAH4SvZs=")</f>
        <v>#REF!</v>
      </c>
      <c r="FA20" t="e">
        <f>AND(#REF!,"AAAAAH4SvZw=")</f>
        <v>#REF!</v>
      </c>
      <c r="FB20" t="e">
        <f>AND(#REF!,"AAAAAH4SvZ0=")</f>
        <v>#REF!</v>
      </c>
      <c r="FC20" t="e">
        <f>AND(#REF!,"AAAAAH4SvZ4=")</f>
        <v>#REF!</v>
      </c>
      <c r="FD20" t="e">
        <f>AND(#REF!,"AAAAAH4SvZ8=")</f>
        <v>#REF!</v>
      </c>
      <c r="FE20" t="e">
        <f>AND(#REF!,"AAAAAH4SvaA=")</f>
        <v>#REF!</v>
      </c>
      <c r="FF20" t="e">
        <f>AND(#REF!,"AAAAAH4SvaE=")</f>
        <v>#REF!</v>
      </c>
      <c r="FG20" t="e">
        <f>AND(#REF!,"AAAAAH4SvaI=")</f>
        <v>#REF!</v>
      </c>
      <c r="FH20" t="e">
        <f>AND(#REF!,"AAAAAH4SvaM=")</f>
        <v>#REF!</v>
      </c>
      <c r="FI20" t="e">
        <f>AND(#REF!,"AAAAAH4SvaQ=")</f>
        <v>#REF!</v>
      </c>
      <c r="FJ20" t="e">
        <f>AND(#REF!,"AAAAAH4SvaU=")</f>
        <v>#REF!</v>
      </c>
      <c r="FK20" t="e">
        <f>AND(#REF!,"AAAAAH4SvaY=")</f>
        <v>#REF!</v>
      </c>
      <c r="FL20" t="e">
        <f>AND(#REF!,"AAAAAH4Svac=")</f>
        <v>#REF!</v>
      </c>
      <c r="FM20" t="e">
        <f>AND(#REF!,"AAAAAH4Svag=")</f>
        <v>#REF!</v>
      </c>
      <c r="FN20" t="e">
        <f>AND(#REF!,"AAAAAH4Svak=")</f>
        <v>#REF!</v>
      </c>
      <c r="FO20" t="e">
        <f>AND(#REF!,"AAAAAH4Svao=")</f>
        <v>#REF!</v>
      </c>
      <c r="FP20" t="e">
        <f>AND(#REF!,"AAAAAH4Svas=")</f>
        <v>#REF!</v>
      </c>
      <c r="FQ20" t="e">
        <f>AND(#REF!,"AAAAAH4Svaw=")</f>
        <v>#REF!</v>
      </c>
      <c r="FR20" t="e">
        <f>AND(#REF!,"AAAAAH4Sva0=")</f>
        <v>#REF!</v>
      </c>
      <c r="FS20" t="e">
        <f>AND(#REF!,"AAAAAH4Sva4=")</f>
        <v>#REF!</v>
      </c>
      <c r="FT20" t="e">
        <f>AND(#REF!,"AAAAAH4Sva8=")</f>
        <v>#REF!</v>
      </c>
      <c r="FU20" t="e">
        <f>AND(#REF!,"AAAAAH4SvbA=")</f>
        <v>#REF!</v>
      </c>
      <c r="FV20" t="e">
        <f>AND(#REF!,"AAAAAH4SvbE=")</f>
        <v>#REF!</v>
      </c>
      <c r="FW20" t="e">
        <f>AND(#REF!,"AAAAAH4SvbI=")</f>
        <v>#REF!</v>
      </c>
      <c r="FX20" t="e">
        <f>AND(#REF!,"AAAAAH4SvbM=")</f>
        <v>#REF!</v>
      </c>
      <c r="FY20" t="e">
        <f>AND(#REF!,"AAAAAH4SvbQ=")</f>
        <v>#REF!</v>
      </c>
      <c r="FZ20" t="e">
        <f>AND(#REF!,"AAAAAH4SvbU=")</f>
        <v>#REF!</v>
      </c>
      <c r="GA20" t="e">
        <f>AND(#REF!,"AAAAAH4SvbY=")</f>
        <v>#REF!</v>
      </c>
      <c r="GB20" t="e">
        <f>AND(#REF!,"AAAAAH4Svbc=")</f>
        <v>#REF!</v>
      </c>
      <c r="GC20" t="e">
        <f>AND(#REF!,"AAAAAH4Svbg=")</f>
        <v>#REF!</v>
      </c>
      <c r="GD20" t="e">
        <f>AND(#REF!,"AAAAAH4Svbk=")</f>
        <v>#REF!</v>
      </c>
      <c r="GE20" t="e">
        <f>AND(#REF!,"AAAAAH4Svbo=")</f>
        <v>#REF!</v>
      </c>
      <c r="GF20" t="e">
        <f>AND(#REF!,"AAAAAH4Svbs=")</f>
        <v>#REF!</v>
      </c>
      <c r="GG20" t="e">
        <f>AND(#REF!,"AAAAAH4Svbw=")</f>
        <v>#REF!</v>
      </c>
      <c r="GH20" t="e">
        <f>AND(#REF!,"AAAAAH4Svb0=")</f>
        <v>#REF!</v>
      </c>
      <c r="GI20" t="e">
        <f>AND(#REF!,"AAAAAH4Svb4=")</f>
        <v>#REF!</v>
      </c>
      <c r="GJ20" t="e">
        <f>AND(#REF!,"AAAAAH4Svb8=")</f>
        <v>#REF!</v>
      </c>
      <c r="GK20" t="e">
        <f>AND(#REF!,"AAAAAH4SvcA=")</f>
        <v>#REF!</v>
      </c>
      <c r="GL20" t="e">
        <f>AND(#REF!,"AAAAAH4SvcE=")</f>
        <v>#REF!</v>
      </c>
      <c r="GM20" t="e">
        <f>AND(#REF!,"AAAAAH4SvcI=")</f>
        <v>#REF!</v>
      </c>
      <c r="GN20" t="e">
        <f>AND(#REF!,"AAAAAH4SvcM=")</f>
        <v>#REF!</v>
      </c>
      <c r="GO20" t="e">
        <f>AND(#REF!,"AAAAAH4SvcQ=")</f>
        <v>#REF!</v>
      </c>
      <c r="GP20" t="e">
        <f>AND(#REF!,"AAAAAH4SvcU=")</f>
        <v>#REF!</v>
      </c>
      <c r="GQ20" t="e">
        <f>AND(#REF!,"AAAAAH4SvcY=")</f>
        <v>#REF!</v>
      </c>
      <c r="GR20" t="e">
        <f>AND(#REF!,"AAAAAH4Svcc=")</f>
        <v>#REF!</v>
      </c>
      <c r="GS20" t="e">
        <f>AND(#REF!,"AAAAAH4Svcg=")</f>
        <v>#REF!</v>
      </c>
      <c r="GT20" t="e">
        <f>AND(#REF!,"AAAAAH4Svck=")</f>
        <v>#REF!</v>
      </c>
      <c r="GU20" t="e">
        <f>AND(#REF!,"AAAAAH4Svco=")</f>
        <v>#REF!</v>
      </c>
      <c r="GV20" t="e">
        <f>AND(#REF!,"AAAAAH4Svcs=")</f>
        <v>#REF!</v>
      </c>
      <c r="GW20" t="e">
        <f>AND(#REF!,"AAAAAH4Svcw=")</f>
        <v>#REF!</v>
      </c>
      <c r="GX20" t="e">
        <f>AND(#REF!,"AAAAAH4Svc0=")</f>
        <v>#REF!</v>
      </c>
      <c r="GY20" t="e">
        <f>AND(#REF!,"AAAAAH4Svc4=")</f>
        <v>#REF!</v>
      </c>
      <c r="GZ20" t="e">
        <f>AND(#REF!,"AAAAAH4Svc8=")</f>
        <v>#REF!</v>
      </c>
      <c r="HA20" t="e">
        <f>AND(#REF!,"AAAAAH4SvdA=")</f>
        <v>#REF!</v>
      </c>
      <c r="HB20" t="e">
        <f>AND(#REF!,"AAAAAH4SvdE=")</f>
        <v>#REF!</v>
      </c>
      <c r="HC20" t="e">
        <f>AND(#REF!,"AAAAAH4SvdI=")</f>
        <v>#REF!</v>
      </c>
      <c r="HD20" t="e">
        <f>AND(#REF!,"AAAAAH4SvdM=")</f>
        <v>#REF!</v>
      </c>
      <c r="HE20" t="e">
        <f>AND(#REF!,"AAAAAH4SvdQ=")</f>
        <v>#REF!</v>
      </c>
      <c r="HF20" t="e">
        <f>AND(#REF!,"AAAAAH4SvdU=")</f>
        <v>#REF!</v>
      </c>
      <c r="HG20" t="e">
        <f>AND(#REF!,"AAAAAH4SvdY=")</f>
        <v>#REF!</v>
      </c>
      <c r="HH20" t="e">
        <f>AND(#REF!,"AAAAAH4Svdc=")</f>
        <v>#REF!</v>
      </c>
      <c r="HI20" t="e">
        <f>AND(#REF!,"AAAAAH4Svdg=")</f>
        <v>#REF!</v>
      </c>
      <c r="HJ20" t="e">
        <f>AND(#REF!,"AAAAAH4Svdk=")</f>
        <v>#REF!</v>
      </c>
      <c r="HK20" t="e">
        <f>AND(#REF!,"AAAAAH4Svdo=")</f>
        <v>#REF!</v>
      </c>
      <c r="HL20" t="e">
        <f>AND(#REF!,"AAAAAH4Svds=")</f>
        <v>#REF!</v>
      </c>
      <c r="HM20" t="e">
        <f>AND(#REF!,"AAAAAH4Svdw=")</f>
        <v>#REF!</v>
      </c>
      <c r="HN20" t="e">
        <f>IF(#REF!,"AAAAAH4Svd0=",0)</f>
        <v>#REF!</v>
      </c>
      <c r="HO20" t="e">
        <f>AND(#REF!,"AAAAAH4Svd4=")</f>
        <v>#REF!</v>
      </c>
      <c r="HP20" t="e">
        <f>AND(#REF!,"AAAAAH4Svd8=")</f>
        <v>#REF!</v>
      </c>
      <c r="HQ20" t="e">
        <f>AND(#REF!,"AAAAAH4SveA=")</f>
        <v>#REF!</v>
      </c>
      <c r="HR20" t="e">
        <f>AND(#REF!,"AAAAAH4SveE=")</f>
        <v>#REF!</v>
      </c>
      <c r="HS20" t="e">
        <f>AND(#REF!,"AAAAAH4SveI=")</f>
        <v>#REF!</v>
      </c>
      <c r="HT20" t="e">
        <f>AND(#REF!,"AAAAAH4SveM=")</f>
        <v>#REF!</v>
      </c>
      <c r="HU20" t="e">
        <f>AND(#REF!,"AAAAAH4SveQ=")</f>
        <v>#REF!</v>
      </c>
      <c r="HV20" t="e">
        <f>AND(#REF!,"AAAAAH4SveU=")</f>
        <v>#REF!</v>
      </c>
      <c r="HW20" t="e">
        <f>AND(#REF!,"AAAAAH4SveY=")</f>
        <v>#REF!</v>
      </c>
      <c r="HX20" t="e">
        <f>AND(#REF!,"AAAAAH4Svec=")</f>
        <v>#REF!</v>
      </c>
      <c r="HY20" t="e">
        <f>AND(#REF!,"AAAAAH4Sveg=")</f>
        <v>#REF!</v>
      </c>
      <c r="HZ20" t="e">
        <f>AND(#REF!,"AAAAAH4Svek=")</f>
        <v>#REF!</v>
      </c>
      <c r="IA20" t="e">
        <f>AND(#REF!,"AAAAAH4Sveo=")</f>
        <v>#REF!</v>
      </c>
      <c r="IB20" t="e">
        <f>AND(#REF!,"AAAAAH4Sves=")</f>
        <v>#REF!</v>
      </c>
      <c r="IC20" t="e">
        <f>AND(#REF!,"AAAAAH4Svew=")</f>
        <v>#REF!</v>
      </c>
      <c r="ID20" t="e">
        <f>AND(#REF!,"AAAAAH4Sve0=")</f>
        <v>#REF!</v>
      </c>
      <c r="IE20" t="e">
        <f>AND(#REF!,"AAAAAH4Sve4=")</f>
        <v>#REF!</v>
      </c>
      <c r="IF20" t="e">
        <f>AND(#REF!,"AAAAAH4Sve8=")</f>
        <v>#REF!</v>
      </c>
      <c r="IG20" t="e">
        <f>AND(#REF!,"AAAAAH4SvfA=")</f>
        <v>#REF!</v>
      </c>
      <c r="IH20" t="e">
        <f>AND(#REF!,"AAAAAH4SvfE=")</f>
        <v>#REF!</v>
      </c>
      <c r="II20" t="e">
        <f>AND(#REF!,"AAAAAH4SvfI=")</f>
        <v>#REF!</v>
      </c>
      <c r="IJ20" t="e">
        <f>AND(#REF!,"AAAAAH4SvfM=")</f>
        <v>#REF!</v>
      </c>
      <c r="IK20" t="e">
        <f>AND(#REF!,"AAAAAH4SvfQ=")</f>
        <v>#REF!</v>
      </c>
      <c r="IL20" t="e">
        <f>AND(#REF!,"AAAAAH4SvfU=")</f>
        <v>#REF!</v>
      </c>
      <c r="IM20" t="e">
        <f>AND(#REF!,"AAAAAH4SvfY=")</f>
        <v>#REF!</v>
      </c>
      <c r="IN20" t="e">
        <f>AND(#REF!,"AAAAAH4Svfc=")</f>
        <v>#REF!</v>
      </c>
      <c r="IO20" t="e">
        <f>AND(#REF!,"AAAAAH4Svfg=")</f>
        <v>#REF!</v>
      </c>
      <c r="IP20" t="e">
        <f>AND(#REF!,"AAAAAH4Svfk=")</f>
        <v>#REF!</v>
      </c>
      <c r="IQ20" t="e">
        <f>AND(#REF!,"AAAAAH4Svfo=")</f>
        <v>#REF!</v>
      </c>
      <c r="IR20" t="e">
        <f>AND(#REF!,"AAAAAH4Svfs=")</f>
        <v>#REF!</v>
      </c>
      <c r="IS20" t="e">
        <f>AND(#REF!,"AAAAAH4Svfw=")</f>
        <v>#REF!</v>
      </c>
      <c r="IT20" t="e">
        <f>AND(#REF!,"AAAAAH4Svf0=")</f>
        <v>#REF!</v>
      </c>
      <c r="IU20" t="e">
        <f>AND(#REF!,"AAAAAH4Svf4=")</f>
        <v>#REF!</v>
      </c>
      <c r="IV20" t="e">
        <f>AND(#REF!,"AAAAAH4Svf8=")</f>
        <v>#REF!</v>
      </c>
    </row>
    <row r="21" spans="1:256" x14ac:dyDescent="0.2">
      <c r="A21" t="e">
        <f>AND(#REF!,"AAAAADb/eQA=")</f>
        <v>#REF!</v>
      </c>
      <c r="B21" t="e">
        <f>AND(#REF!,"AAAAADb/eQE=")</f>
        <v>#REF!</v>
      </c>
      <c r="C21" t="e">
        <f>AND(#REF!,"AAAAADb/eQI=")</f>
        <v>#REF!</v>
      </c>
      <c r="D21" t="e">
        <f>AND(#REF!,"AAAAADb/eQM=")</f>
        <v>#REF!</v>
      </c>
      <c r="E21" t="e">
        <f>AND(#REF!,"AAAAADb/eQQ=")</f>
        <v>#REF!</v>
      </c>
      <c r="F21" t="e">
        <f>AND(#REF!,"AAAAADb/eQU=")</f>
        <v>#REF!</v>
      </c>
      <c r="G21" t="e">
        <f>AND(#REF!,"AAAAADb/eQY=")</f>
        <v>#REF!</v>
      </c>
      <c r="H21" t="e">
        <f>AND(#REF!,"AAAAADb/eQc=")</f>
        <v>#REF!</v>
      </c>
      <c r="I21" t="e">
        <f>AND(#REF!,"AAAAADb/eQg=")</f>
        <v>#REF!</v>
      </c>
      <c r="J21" t="e">
        <f>AND(#REF!,"AAAAADb/eQk=")</f>
        <v>#REF!</v>
      </c>
      <c r="K21" t="e">
        <f>AND(#REF!,"AAAAADb/eQo=")</f>
        <v>#REF!</v>
      </c>
      <c r="L21" t="e">
        <f>AND(#REF!,"AAAAADb/eQs=")</f>
        <v>#REF!</v>
      </c>
      <c r="M21" t="e">
        <f>AND(#REF!,"AAAAADb/eQw=")</f>
        <v>#REF!</v>
      </c>
      <c r="N21" t="e">
        <f>AND(#REF!,"AAAAADb/eQ0=")</f>
        <v>#REF!</v>
      </c>
      <c r="O21" t="e">
        <f>AND(#REF!,"AAAAADb/eQ4=")</f>
        <v>#REF!</v>
      </c>
      <c r="P21" t="e">
        <f>AND(#REF!,"AAAAADb/eQ8=")</f>
        <v>#REF!</v>
      </c>
      <c r="Q21" t="e">
        <f>AND(#REF!,"AAAAADb/eRA=")</f>
        <v>#REF!</v>
      </c>
      <c r="R21" t="e">
        <f>AND(#REF!,"AAAAADb/eRE=")</f>
        <v>#REF!</v>
      </c>
      <c r="S21" t="e">
        <f>AND(#REF!,"AAAAADb/eRI=")</f>
        <v>#REF!</v>
      </c>
      <c r="T21" t="e">
        <f>AND(#REF!,"AAAAADb/eRM=")</f>
        <v>#REF!</v>
      </c>
      <c r="U21" t="e">
        <f>AND(#REF!,"AAAAADb/eRQ=")</f>
        <v>#REF!</v>
      </c>
      <c r="V21" t="e">
        <f>AND(#REF!,"AAAAADb/eRU=")</f>
        <v>#REF!</v>
      </c>
      <c r="W21" t="e">
        <f>AND(#REF!,"AAAAADb/eRY=")</f>
        <v>#REF!</v>
      </c>
      <c r="X21" t="e">
        <f>AND(#REF!,"AAAAADb/eRc=")</f>
        <v>#REF!</v>
      </c>
      <c r="Y21" t="e">
        <f>AND(#REF!,"AAAAADb/eRg=")</f>
        <v>#REF!</v>
      </c>
      <c r="Z21" t="e">
        <f>AND(#REF!,"AAAAADb/eRk=")</f>
        <v>#REF!</v>
      </c>
      <c r="AA21" t="e">
        <f>AND(#REF!,"AAAAADb/eRo=")</f>
        <v>#REF!</v>
      </c>
      <c r="AB21" t="e">
        <f>AND(#REF!,"AAAAADb/eRs=")</f>
        <v>#REF!</v>
      </c>
      <c r="AC21" t="e">
        <f>AND(#REF!,"AAAAADb/eRw=")</f>
        <v>#REF!</v>
      </c>
      <c r="AD21" t="e">
        <f>AND(#REF!,"AAAAADb/eR0=")</f>
        <v>#REF!</v>
      </c>
      <c r="AE21" t="e">
        <f>AND(#REF!,"AAAAADb/eR4=")</f>
        <v>#REF!</v>
      </c>
      <c r="AF21" t="e">
        <f>AND(#REF!,"AAAAADb/eR8=")</f>
        <v>#REF!</v>
      </c>
      <c r="AG21" t="e">
        <f>AND(#REF!,"AAAAADb/eSA=")</f>
        <v>#REF!</v>
      </c>
      <c r="AH21" t="e">
        <f>AND(#REF!,"AAAAADb/eSE=")</f>
        <v>#REF!</v>
      </c>
      <c r="AI21" t="e">
        <f>AND(#REF!,"AAAAADb/eSI=")</f>
        <v>#REF!</v>
      </c>
      <c r="AJ21" t="e">
        <f>AND(#REF!,"AAAAADb/eSM=")</f>
        <v>#REF!</v>
      </c>
      <c r="AK21" t="e">
        <f>AND(#REF!,"AAAAADb/eSQ=")</f>
        <v>#REF!</v>
      </c>
      <c r="AL21" t="e">
        <f>AND(#REF!,"AAAAADb/eSU=")</f>
        <v>#REF!</v>
      </c>
      <c r="AM21" t="e">
        <f>AND(#REF!,"AAAAADb/eSY=")</f>
        <v>#REF!</v>
      </c>
      <c r="AN21" t="e">
        <f>AND(#REF!,"AAAAADb/eSc=")</f>
        <v>#REF!</v>
      </c>
      <c r="AO21" t="e">
        <f>AND(#REF!,"AAAAADb/eSg=")</f>
        <v>#REF!</v>
      </c>
      <c r="AP21" t="e">
        <f>AND(#REF!,"AAAAADb/eSk=")</f>
        <v>#REF!</v>
      </c>
      <c r="AQ21" t="e">
        <f>AND(#REF!,"AAAAADb/eSo=")</f>
        <v>#REF!</v>
      </c>
      <c r="AR21" t="e">
        <f>AND(#REF!,"AAAAADb/eSs=")</f>
        <v>#REF!</v>
      </c>
      <c r="AS21" t="e">
        <f>AND(#REF!,"AAAAADb/eSw=")</f>
        <v>#REF!</v>
      </c>
      <c r="AT21" t="e">
        <f>AND(#REF!,"AAAAADb/eS0=")</f>
        <v>#REF!</v>
      </c>
      <c r="AU21" t="e">
        <f>AND(#REF!,"AAAAADb/eS4=")</f>
        <v>#REF!</v>
      </c>
      <c r="AV21" t="e">
        <f>AND(#REF!,"AAAAADb/eS8=")</f>
        <v>#REF!</v>
      </c>
      <c r="AW21" t="e">
        <f>AND(#REF!,"AAAAADb/eTA=")</f>
        <v>#REF!</v>
      </c>
      <c r="AX21" t="e">
        <f>AND(#REF!,"AAAAADb/eTE=")</f>
        <v>#REF!</v>
      </c>
      <c r="AY21" t="e">
        <f>AND(#REF!,"AAAAADb/eTI=")</f>
        <v>#REF!</v>
      </c>
      <c r="AZ21" t="e">
        <f>AND(#REF!,"AAAAADb/eTM=")</f>
        <v>#REF!</v>
      </c>
      <c r="BA21" t="e">
        <f>AND(#REF!,"AAAAADb/eTQ=")</f>
        <v>#REF!</v>
      </c>
      <c r="BB21" t="e">
        <f>AND(#REF!,"AAAAADb/eTU=")</f>
        <v>#REF!</v>
      </c>
      <c r="BC21" t="e">
        <f>AND(#REF!,"AAAAADb/eTY=")</f>
        <v>#REF!</v>
      </c>
      <c r="BD21" t="e">
        <f>AND(#REF!,"AAAAADb/eTc=")</f>
        <v>#REF!</v>
      </c>
      <c r="BE21" t="e">
        <f>AND(#REF!,"AAAAADb/eTg=")</f>
        <v>#REF!</v>
      </c>
      <c r="BF21" t="e">
        <f>AND(#REF!,"AAAAADb/eTk=")</f>
        <v>#REF!</v>
      </c>
      <c r="BG21" t="e">
        <f>AND(#REF!,"AAAAADb/eTo=")</f>
        <v>#REF!</v>
      </c>
      <c r="BH21" t="e">
        <f>AND(#REF!,"AAAAADb/eTs=")</f>
        <v>#REF!</v>
      </c>
      <c r="BI21" t="e">
        <f>AND(#REF!,"AAAAADb/eTw=")</f>
        <v>#REF!</v>
      </c>
      <c r="BJ21" t="e">
        <f>AND(#REF!,"AAAAADb/eT0=")</f>
        <v>#REF!</v>
      </c>
      <c r="BK21" t="e">
        <f>AND(#REF!,"AAAAADb/eT4=")</f>
        <v>#REF!</v>
      </c>
      <c r="BL21" t="e">
        <f>AND(#REF!,"AAAAADb/eT8=")</f>
        <v>#REF!</v>
      </c>
      <c r="BM21" t="e">
        <f>AND(#REF!,"AAAAADb/eUA=")</f>
        <v>#REF!</v>
      </c>
      <c r="BN21" t="e">
        <f>AND(#REF!,"AAAAADb/eUE=")</f>
        <v>#REF!</v>
      </c>
      <c r="BO21" t="e">
        <f>AND(#REF!,"AAAAADb/eUI=")</f>
        <v>#REF!</v>
      </c>
      <c r="BP21" t="e">
        <f>AND(#REF!,"AAAAADb/eUM=")</f>
        <v>#REF!</v>
      </c>
      <c r="BQ21" t="e">
        <f>AND(#REF!,"AAAAADb/eUQ=")</f>
        <v>#REF!</v>
      </c>
      <c r="BR21" t="e">
        <f>AND(#REF!,"AAAAADb/eUU=")</f>
        <v>#REF!</v>
      </c>
      <c r="BS21" t="e">
        <f>AND(#REF!,"AAAAADb/eUY=")</f>
        <v>#REF!</v>
      </c>
      <c r="BT21" t="e">
        <f>AND(#REF!,"AAAAADb/eUc=")</f>
        <v>#REF!</v>
      </c>
      <c r="BU21" t="e">
        <f>AND(#REF!,"AAAAADb/eUg=")</f>
        <v>#REF!</v>
      </c>
      <c r="BV21" t="e">
        <f>AND(#REF!,"AAAAADb/eUk=")</f>
        <v>#REF!</v>
      </c>
      <c r="BW21" t="e">
        <f>AND(#REF!,"AAAAADb/eUo=")</f>
        <v>#REF!</v>
      </c>
      <c r="BX21" t="e">
        <f>AND(#REF!,"AAAAADb/eUs=")</f>
        <v>#REF!</v>
      </c>
      <c r="BY21" t="e">
        <f>AND(#REF!,"AAAAADb/eUw=")</f>
        <v>#REF!</v>
      </c>
      <c r="BZ21" t="e">
        <f>AND(#REF!,"AAAAADb/eU0=")</f>
        <v>#REF!</v>
      </c>
      <c r="CA21" t="e">
        <f>AND(#REF!,"AAAAADb/eU4=")</f>
        <v>#REF!</v>
      </c>
      <c r="CB21" t="e">
        <f>AND(#REF!,"AAAAADb/eU8=")</f>
        <v>#REF!</v>
      </c>
      <c r="CC21" t="e">
        <f>AND(#REF!,"AAAAADb/eVA=")</f>
        <v>#REF!</v>
      </c>
      <c r="CD21" t="e">
        <f>AND(#REF!,"AAAAADb/eVE=")</f>
        <v>#REF!</v>
      </c>
      <c r="CE21" t="e">
        <f>AND(#REF!,"AAAAADb/eVI=")</f>
        <v>#REF!</v>
      </c>
      <c r="CF21" t="e">
        <f>AND(#REF!,"AAAAADb/eVM=")</f>
        <v>#REF!</v>
      </c>
      <c r="CG21" t="e">
        <f>AND(#REF!,"AAAAADb/eVQ=")</f>
        <v>#REF!</v>
      </c>
      <c r="CH21" t="e">
        <f>AND(#REF!,"AAAAADb/eVU=")</f>
        <v>#REF!</v>
      </c>
      <c r="CI21" t="e">
        <f>AND(#REF!,"AAAAADb/eVY=")</f>
        <v>#REF!</v>
      </c>
      <c r="CJ21" t="e">
        <f>AND(#REF!,"AAAAADb/eVc=")</f>
        <v>#REF!</v>
      </c>
      <c r="CK21" t="e">
        <f>AND(#REF!,"AAAAADb/eVg=")</f>
        <v>#REF!</v>
      </c>
      <c r="CL21" t="e">
        <f>AND(#REF!,"AAAAADb/eVk=")</f>
        <v>#REF!</v>
      </c>
      <c r="CM21" t="e">
        <f>AND(#REF!,"AAAAADb/eVo=")</f>
        <v>#REF!</v>
      </c>
      <c r="CN21" t="e">
        <f>AND(#REF!,"AAAAADb/eVs=")</f>
        <v>#REF!</v>
      </c>
      <c r="CO21" t="e">
        <f>AND(#REF!,"AAAAADb/eVw=")</f>
        <v>#REF!</v>
      </c>
      <c r="CP21" t="e">
        <f>AND(#REF!,"AAAAADb/eV0=")</f>
        <v>#REF!</v>
      </c>
      <c r="CQ21" t="e">
        <f>AND(#REF!,"AAAAADb/eV4=")</f>
        <v>#REF!</v>
      </c>
      <c r="CR21" t="e">
        <f>AND(#REF!,"AAAAADb/eV8=")</f>
        <v>#REF!</v>
      </c>
      <c r="CS21" t="e">
        <f>AND(#REF!,"AAAAADb/eWA=")</f>
        <v>#REF!</v>
      </c>
      <c r="CT21" t="e">
        <f>AND(#REF!,"AAAAADb/eWE=")</f>
        <v>#REF!</v>
      </c>
      <c r="CU21" t="e">
        <f>AND(#REF!,"AAAAADb/eWI=")</f>
        <v>#REF!</v>
      </c>
      <c r="CV21" t="e">
        <f>AND(#REF!,"AAAAADb/eWM=")</f>
        <v>#REF!</v>
      </c>
      <c r="CW21" t="e">
        <f>AND(#REF!,"AAAAADb/eWQ=")</f>
        <v>#REF!</v>
      </c>
      <c r="CX21" t="e">
        <f>AND(#REF!,"AAAAADb/eWU=")</f>
        <v>#REF!</v>
      </c>
      <c r="CY21" t="e">
        <f>AND(#REF!,"AAAAADb/eWY=")</f>
        <v>#REF!</v>
      </c>
      <c r="CZ21" t="e">
        <f>AND(#REF!,"AAAAADb/eWc=")</f>
        <v>#REF!</v>
      </c>
      <c r="DA21" t="e">
        <f>AND(#REF!,"AAAAADb/eWg=")</f>
        <v>#REF!</v>
      </c>
      <c r="DB21" t="e">
        <f>AND(#REF!,"AAAAADb/eWk=")</f>
        <v>#REF!</v>
      </c>
      <c r="DC21" t="e">
        <f>AND(#REF!,"AAAAADb/eWo=")</f>
        <v>#REF!</v>
      </c>
      <c r="DD21" t="e">
        <f>AND(#REF!,"AAAAADb/eWs=")</f>
        <v>#REF!</v>
      </c>
      <c r="DE21" t="e">
        <f>AND(#REF!,"AAAAADb/eWw=")</f>
        <v>#REF!</v>
      </c>
      <c r="DF21" t="e">
        <f>AND(#REF!,"AAAAADb/eW0=")</f>
        <v>#REF!</v>
      </c>
      <c r="DG21" t="e">
        <f>AND(#REF!,"AAAAADb/eW4=")</f>
        <v>#REF!</v>
      </c>
      <c r="DH21" t="e">
        <f>AND(#REF!,"AAAAADb/eW8=")</f>
        <v>#REF!</v>
      </c>
      <c r="DI21" t="e">
        <f>AND(#REF!,"AAAAADb/eXA=")</f>
        <v>#REF!</v>
      </c>
      <c r="DJ21" t="e">
        <f>AND(#REF!,"AAAAADb/eXE=")</f>
        <v>#REF!</v>
      </c>
      <c r="DK21" t="e">
        <f>AND(#REF!,"AAAAADb/eXI=")</f>
        <v>#REF!</v>
      </c>
      <c r="DL21" t="e">
        <f>AND(#REF!,"AAAAADb/eXM=")</f>
        <v>#REF!</v>
      </c>
      <c r="DM21" t="e">
        <f>AND(#REF!,"AAAAADb/eXQ=")</f>
        <v>#REF!</v>
      </c>
      <c r="DN21" t="e">
        <f>AND(#REF!,"AAAAADb/eXU=")</f>
        <v>#REF!</v>
      </c>
      <c r="DO21" t="e">
        <f>AND(#REF!,"AAAAADb/eXY=")</f>
        <v>#REF!</v>
      </c>
      <c r="DP21" t="e">
        <f>AND(#REF!,"AAAAADb/eXc=")</f>
        <v>#REF!</v>
      </c>
      <c r="DQ21" t="e">
        <f>AND(#REF!,"AAAAADb/eXg=")</f>
        <v>#REF!</v>
      </c>
      <c r="DR21" t="e">
        <f>AND(#REF!,"AAAAADb/eXk=")</f>
        <v>#REF!</v>
      </c>
      <c r="DS21" t="e">
        <f>AND(#REF!,"AAAAADb/eXo=")</f>
        <v>#REF!</v>
      </c>
      <c r="DT21" t="e">
        <f>AND(#REF!,"AAAAADb/eXs=")</f>
        <v>#REF!</v>
      </c>
      <c r="DU21" t="e">
        <f>AND(#REF!,"AAAAADb/eXw=")</f>
        <v>#REF!</v>
      </c>
      <c r="DV21" t="e">
        <f>AND(#REF!,"AAAAADb/eX0=")</f>
        <v>#REF!</v>
      </c>
      <c r="DW21" t="e">
        <f>AND(#REF!,"AAAAADb/eX4=")</f>
        <v>#REF!</v>
      </c>
      <c r="DX21" t="e">
        <f>AND(#REF!,"AAAAADb/eX8=")</f>
        <v>#REF!</v>
      </c>
      <c r="DY21" t="e">
        <f>AND(#REF!,"AAAAADb/eYA=")</f>
        <v>#REF!</v>
      </c>
      <c r="DZ21" t="e">
        <f>AND(#REF!,"AAAAADb/eYE=")</f>
        <v>#REF!</v>
      </c>
      <c r="EA21" t="e">
        <f>AND(#REF!,"AAAAADb/eYI=")</f>
        <v>#REF!</v>
      </c>
      <c r="EB21" t="e">
        <f>AND(#REF!,"AAAAADb/eYM=")</f>
        <v>#REF!</v>
      </c>
      <c r="EC21" t="e">
        <f>AND(#REF!,"AAAAADb/eYQ=")</f>
        <v>#REF!</v>
      </c>
      <c r="ED21" t="e">
        <f>AND(#REF!,"AAAAADb/eYU=")</f>
        <v>#REF!</v>
      </c>
      <c r="EE21" t="e">
        <f>AND(#REF!,"AAAAADb/eYY=")</f>
        <v>#REF!</v>
      </c>
      <c r="EF21" t="e">
        <f>AND(#REF!,"AAAAADb/eYc=")</f>
        <v>#REF!</v>
      </c>
      <c r="EG21" t="e">
        <f>AND(#REF!,"AAAAADb/eYg=")</f>
        <v>#REF!</v>
      </c>
      <c r="EH21" t="e">
        <f>AND(#REF!,"AAAAADb/eYk=")</f>
        <v>#REF!</v>
      </c>
      <c r="EI21" t="e">
        <f>AND(#REF!,"AAAAADb/eYo=")</f>
        <v>#REF!</v>
      </c>
      <c r="EJ21" t="e">
        <f>AND(#REF!,"AAAAADb/eYs=")</f>
        <v>#REF!</v>
      </c>
      <c r="EK21" t="e">
        <f>AND(#REF!,"AAAAADb/eYw=")</f>
        <v>#REF!</v>
      </c>
      <c r="EL21" t="e">
        <f>AND(#REF!,"AAAAADb/eY0=")</f>
        <v>#REF!</v>
      </c>
      <c r="EM21" t="e">
        <f>AND(#REF!,"AAAAADb/eY4=")</f>
        <v>#REF!</v>
      </c>
      <c r="EN21" t="e">
        <f>AND(#REF!,"AAAAADb/eY8=")</f>
        <v>#REF!</v>
      </c>
      <c r="EO21" t="e">
        <f>AND(#REF!,"AAAAADb/eZA=")</f>
        <v>#REF!</v>
      </c>
      <c r="EP21" t="e">
        <f>AND(#REF!,"AAAAADb/eZE=")</f>
        <v>#REF!</v>
      </c>
      <c r="EQ21" t="e">
        <f>IF(#REF!,"AAAAADb/eZI=",0)</f>
        <v>#REF!</v>
      </c>
      <c r="ER21" t="e">
        <f>AND(#REF!,"AAAAADb/eZM=")</f>
        <v>#REF!</v>
      </c>
      <c r="ES21" t="e">
        <f>AND(#REF!,"AAAAADb/eZQ=")</f>
        <v>#REF!</v>
      </c>
      <c r="ET21" t="e">
        <f>AND(#REF!,"AAAAADb/eZU=")</f>
        <v>#REF!</v>
      </c>
      <c r="EU21" t="e">
        <f>AND(#REF!,"AAAAADb/eZY=")</f>
        <v>#REF!</v>
      </c>
      <c r="EV21" t="e">
        <f>AND(#REF!,"AAAAADb/eZc=")</f>
        <v>#REF!</v>
      </c>
      <c r="EW21" t="e">
        <f>AND(#REF!,"AAAAADb/eZg=")</f>
        <v>#REF!</v>
      </c>
      <c r="EX21" t="e">
        <f>AND(#REF!,"AAAAADb/eZk=")</f>
        <v>#REF!</v>
      </c>
      <c r="EY21" t="e">
        <f>AND(#REF!,"AAAAADb/eZo=")</f>
        <v>#REF!</v>
      </c>
      <c r="EZ21" t="e">
        <f>AND(#REF!,"AAAAADb/eZs=")</f>
        <v>#REF!</v>
      </c>
      <c r="FA21" t="e">
        <f>AND(#REF!,"AAAAADb/eZw=")</f>
        <v>#REF!</v>
      </c>
      <c r="FB21" t="e">
        <f>AND(#REF!,"AAAAADb/eZ0=")</f>
        <v>#REF!</v>
      </c>
      <c r="FC21" t="e">
        <f>AND(#REF!,"AAAAADb/eZ4=")</f>
        <v>#REF!</v>
      </c>
      <c r="FD21" t="e">
        <f>AND(#REF!,"AAAAADb/eZ8=")</f>
        <v>#REF!</v>
      </c>
      <c r="FE21" t="e">
        <f>AND(#REF!,"AAAAADb/eaA=")</f>
        <v>#REF!</v>
      </c>
      <c r="FF21" t="e">
        <f>AND(#REF!,"AAAAADb/eaE=")</f>
        <v>#REF!</v>
      </c>
      <c r="FG21" t="e">
        <f>AND(#REF!,"AAAAADb/eaI=")</f>
        <v>#REF!</v>
      </c>
      <c r="FH21" t="e">
        <f>AND(#REF!,"AAAAADb/eaM=")</f>
        <v>#REF!</v>
      </c>
      <c r="FI21" t="e">
        <f>AND(#REF!,"AAAAADb/eaQ=")</f>
        <v>#REF!</v>
      </c>
      <c r="FJ21" t="e">
        <f>AND(#REF!,"AAAAADb/eaU=")</f>
        <v>#REF!</v>
      </c>
      <c r="FK21" t="e">
        <f>AND(#REF!,"AAAAADb/eaY=")</f>
        <v>#REF!</v>
      </c>
      <c r="FL21" t="e">
        <f>AND(#REF!,"AAAAADb/eac=")</f>
        <v>#REF!</v>
      </c>
      <c r="FM21" t="e">
        <f>AND(#REF!,"AAAAADb/eag=")</f>
        <v>#REF!</v>
      </c>
      <c r="FN21" t="e">
        <f>AND(#REF!,"AAAAADb/eak=")</f>
        <v>#REF!</v>
      </c>
      <c r="FO21" t="e">
        <f>AND(#REF!,"AAAAADb/eao=")</f>
        <v>#REF!</v>
      </c>
      <c r="FP21" t="e">
        <f>AND(#REF!,"AAAAADb/eas=")</f>
        <v>#REF!</v>
      </c>
      <c r="FQ21" t="e">
        <f>AND(#REF!,"AAAAADb/eaw=")</f>
        <v>#REF!</v>
      </c>
      <c r="FR21" t="e">
        <f>AND(#REF!,"AAAAADb/ea0=")</f>
        <v>#REF!</v>
      </c>
      <c r="FS21" t="e">
        <f>AND(#REF!,"AAAAADb/ea4=")</f>
        <v>#REF!</v>
      </c>
      <c r="FT21" t="e">
        <f>AND(#REF!,"AAAAADb/ea8=")</f>
        <v>#REF!</v>
      </c>
      <c r="FU21" t="e">
        <f>AND(#REF!,"AAAAADb/ebA=")</f>
        <v>#REF!</v>
      </c>
      <c r="FV21" t="e">
        <f>AND(#REF!,"AAAAADb/ebE=")</f>
        <v>#REF!</v>
      </c>
      <c r="FW21" t="e">
        <f>AND(#REF!,"AAAAADb/ebI=")</f>
        <v>#REF!</v>
      </c>
      <c r="FX21" t="e">
        <f>AND(#REF!,"AAAAADb/ebM=")</f>
        <v>#REF!</v>
      </c>
      <c r="FY21" t="e">
        <f>AND(#REF!,"AAAAADb/ebQ=")</f>
        <v>#REF!</v>
      </c>
      <c r="FZ21" t="e">
        <f>AND(#REF!,"AAAAADb/ebU=")</f>
        <v>#REF!</v>
      </c>
      <c r="GA21" t="e">
        <f>AND(#REF!,"AAAAADb/ebY=")</f>
        <v>#REF!</v>
      </c>
      <c r="GB21" t="e">
        <f>AND(#REF!,"AAAAADb/ebc=")</f>
        <v>#REF!</v>
      </c>
      <c r="GC21" t="e">
        <f>AND(#REF!,"AAAAADb/ebg=")</f>
        <v>#REF!</v>
      </c>
      <c r="GD21" t="e">
        <f>AND(#REF!,"AAAAADb/ebk=")</f>
        <v>#REF!</v>
      </c>
      <c r="GE21" t="e">
        <f>AND(#REF!,"AAAAADb/ebo=")</f>
        <v>#REF!</v>
      </c>
      <c r="GF21" t="e">
        <f>AND(#REF!,"AAAAADb/ebs=")</f>
        <v>#REF!</v>
      </c>
      <c r="GG21" t="e">
        <f>AND(#REF!,"AAAAADb/ebw=")</f>
        <v>#REF!</v>
      </c>
      <c r="GH21" t="e">
        <f>AND(#REF!,"AAAAADb/eb0=")</f>
        <v>#REF!</v>
      </c>
      <c r="GI21" t="e">
        <f>AND(#REF!,"AAAAADb/eb4=")</f>
        <v>#REF!</v>
      </c>
      <c r="GJ21" t="e">
        <f>AND(#REF!,"AAAAADb/eb8=")</f>
        <v>#REF!</v>
      </c>
      <c r="GK21" t="e">
        <f>AND(#REF!,"AAAAADb/ecA=")</f>
        <v>#REF!</v>
      </c>
      <c r="GL21" t="e">
        <f>AND(#REF!,"AAAAADb/ecE=")</f>
        <v>#REF!</v>
      </c>
      <c r="GM21" t="e">
        <f>AND(#REF!,"AAAAADb/ecI=")</f>
        <v>#REF!</v>
      </c>
      <c r="GN21" t="e">
        <f>AND(#REF!,"AAAAADb/ecM=")</f>
        <v>#REF!</v>
      </c>
      <c r="GO21" t="e">
        <f>AND(#REF!,"AAAAADb/ecQ=")</f>
        <v>#REF!</v>
      </c>
      <c r="GP21" t="e">
        <f>AND(#REF!,"AAAAADb/ecU=")</f>
        <v>#REF!</v>
      </c>
      <c r="GQ21" t="e">
        <f>AND(#REF!,"AAAAADb/ecY=")</f>
        <v>#REF!</v>
      </c>
      <c r="GR21" t="e">
        <f>AND(#REF!,"AAAAADb/ecc=")</f>
        <v>#REF!</v>
      </c>
      <c r="GS21" t="e">
        <f>AND(#REF!,"AAAAADb/ecg=")</f>
        <v>#REF!</v>
      </c>
      <c r="GT21" t="e">
        <f>AND(#REF!,"AAAAADb/eck=")</f>
        <v>#REF!</v>
      </c>
      <c r="GU21" t="e">
        <f>AND(#REF!,"AAAAADb/eco=")</f>
        <v>#REF!</v>
      </c>
      <c r="GV21" t="e">
        <f>AND(#REF!,"AAAAADb/ecs=")</f>
        <v>#REF!</v>
      </c>
      <c r="GW21" t="e">
        <f>AND(#REF!,"AAAAADb/ecw=")</f>
        <v>#REF!</v>
      </c>
      <c r="GX21" t="e">
        <f>AND(#REF!,"AAAAADb/ec0=")</f>
        <v>#REF!</v>
      </c>
      <c r="GY21" t="e">
        <f>AND(#REF!,"AAAAADb/ec4=")</f>
        <v>#REF!</v>
      </c>
      <c r="GZ21" t="e">
        <f>AND(#REF!,"AAAAADb/ec8=")</f>
        <v>#REF!</v>
      </c>
      <c r="HA21" t="e">
        <f>AND(#REF!,"AAAAADb/edA=")</f>
        <v>#REF!</v>
      </c>
      <c r="HB21" t="e">
        <f>AND(#REF!,"AAAAADb/edE=")</f>
        <v>#REF!</v>
      </c>
      <c r="HC21" t="e">
        <f>AND(#REF!,"AAAAADb/edI=")</f>
        <v>#REF!</v>
      </c>
      <c r="HD21" t="e">
        <f>AND(#REF!,"AAAAADb/edM=")</f>
        <v>#REF!</v>
      </c>
      <c r="HE21" t="e">
        <f>AND(#REF!,"AAAAADb/edQ=")</f>
        <v>#REF!</v>
      </c>
      <c r="HF21" t="e">
        <f>AND(#REF!,"AAAAADb/edU=")</f>
        <v>#REF!</v>
      </c>
      <c r="HG21" t="e">
        <f>AND(#REF!,"AAAAADb/edY=")</f>
        <v>#REF!</v>
      </c>
      <c r="HH21" t="e">
        <f>AND(#REF!,"AAAAADb/edc=")</f>
        <v>#REF!</v>
      </c>
      <c r="HI21" t="e">
        <f>AND(#REF!,"AAAAADb/edg=")</f>
        <v>#REF!</v>
      </c>
      <c r="HJ21" t="e">
        <f>AND(#REF!,"AAAAADb/edk=")</f>
        <v>#REF!</v>
      </c>
      <c r="HK21" t="e">
        <f>AND(#REF!,"AAAAADb/edo=")</f>
        <v>#REF!</v>
      </c>
      <c r="HL21" t="e">
        <f>AND(#REF!,"AAAAADb/eds=")</f>
        <v>#REF!</v>
      </c>
      <c r="HM21" t="e">
        <f>AND(#REF!,"AAAAADb/edw=")</f>
        <v>#REF!</v>
      </c>
      <c r="HN21" t="e">
        <f>AND(#REF!,"AAAAADb/ed0=")</f>
        <v>#REF!</v>
      </c>
      <c r="HO21" t="e">
        <f>AND(#REF!,"AAAAADb/ed4=")</f>
        <v>#REF!</v>
      </c>
      <c r="HP21" t="e">
        <f>AND(#REF!,"AAAAADb/ed8=")</f>
        <v>#REF!</v>
      </c>
      <c r="HQ21" t="e">
        <f>AND(#REF!,"AAAAADb/eeA=")</f>
        <v>#REF!</v>
      </c>
      <c r="HR21" t="e">
        <f>AND(#REF!,"AAAAADb/eeE=")</f>
        <v>#REF!</v>
      </c>
      <c r="HS21" t="e">
        <f>AND(#REF!,"AAAAADb/eeI=")</f>
        <v>#REF!</v>
      </c>
      <c r="HT21" t="e">
        <f>AND(#REF!,"AAAAADb/eeM=")</f>
        <v>#REF!</v>
      </c>
      <c r="HU21" t="e">
        <f>AND(#REF!,"AAAAADb/eeQ=")</f>
        <v>#REF!</v>
      </c>
      <c r="HV21" t="e">
        <f>AND(#REF!,"AAAAADb/eeU=")</f>
        <v>#REF!</v>
      </c>
      <c r="HW21" t="e">
        <f>AND(#REF!,"AAAAADb/eeY=")</f>
        <v>#REF!</v>
      </c>
      <c r="HX21" t="e">
        <f>AND(#REF!,"AAAAADb/eec=")</f>
        <v>#REF!</v>
      </c>
      <c r="HY21" t="e">
        <f>AND(#REF!,"AAAAADb/eeg=")</f>
        <v>#REF!</v>
      </c>
      <c r="HZ21" t="e">
        <f>AND(#REF!,"AAAAADb/eek=")</f>
        <v>#REF!</v>
      </c>
      <c r="IA21" t="e">
        <f>AND(#REF!,"AAAAADb/eeo=")</f>
        <v>#REF!</v>
      </c>
      <c r="IB21" t="e">
        <f>AND(#REF!,"AAAAADb/ees=")</f>
        <v>#REF!</v>
      </c>
      <c r="IC21" t="e">
        <f>AND(#REF!,"AAAAADb/eew=")</f>
        <v>#REF!</v>
      </c>
      <c r="ID21" t="e">
        <f>AND(#REF!,"AAAAADb/ee0=")</f>
        <v>#REF!</v>
      </c>
      <c r="IE21" t="e">
        <f>AND(#REF!,"AAAAADb/ee4=")</f>
        <v>#REF!</v>
      </c>
      <c r="IF21" t="e">
        <f>AND(#REF!,"AAAAADb/ee8=")</f>
        <v>#REF!</v>
      </c>
      <c r="IG21" t="e">
        <f>AND(#REF!,"AAAAADb/efA=")</f>
        <v>#REF!</v>
      </c>
      <c r="IH21" t="e">
        <f>AND(#REF!,"AAAAADb/efE=")</f>
        <v>#REF!</v>
      </c>
      <c r="II21" t="e">
        <f>AND(#REF!,"AAAAADb/efI=")</f>
        <v>#REF!</v>
      </c>
      <c r="IJ21" t="e">
        <f>AND(#REF!,"AAAAADb/efM=")</f>
        <v>#REF!</v>
      </c>
      <c r="IK21" t="e">
        <f>AND(#REF!,"AAAAADb/efQ=")</f>
        <v>#REF!</v>
      </c>
      <c r="IL21" t="e">
        <f>AND(#REF!,"AAAAADb/efU=")</f>
        <v>#REF!</v>
      </c>
      <c r="IM21" t="e">
        <f>AND(#REF!,"AAAAADb/efY=")</f>
        <v>#REF!</v>
      </c>
      <c r="IN21" t="e">
        <f>AND(#REF!,"AAAAADb/efc=")</f>
        <v>#REF!</v>
      </c>
      <c r="IO21" t="e">
        <f>AND(#REF!,"AAAAADb/efg=")</f>
        <v>#REF!</v>
      </c>
      <c r="IP21" t="e">
        <f>AND(#REF!,"AAAAADb/efk=")</f>
        <v>#REF!</v>
      </c>
      <c r="IQ21" t="e">
        <f>AND(#REF!,"AAAAADb/efo=")</f>
        <v>#REF!</v>
      </c>
      <c r="IR21" t="e">
        <f>AND(#REF!,"AAAAADb/efs=")</f>
        <v>#REF!</v>
      </c>
      <c r="IS21" t="e">
        <f>AND(#REF!,"AAAAADb/efw=")</f>
        <v>#REF!</v>
      </c>
      <c r="IT21" t="e">
        <f>AND(#REF!,"AAAAADb/ef0=")</f>
        <v>#REF!</v>
      </c>
      <c r="IU21" t="e">
        <f>AND(#REF!,"AAAAADb/ef4=")</f>
        <v>#REF!</v>
      </c>
      <c r="IV21" t="e">
        <f>AND(#REF!,"AAAAADb/ef8=")</f>
        <v>#REF!</v>
      </c>
    </row>
    <row r="22" spans="1:256" x14ac:dyDescent="0.2">
      <c r="A22" t="e">
        <f>AND(#REF!,"AAAAAF973gA=")</f>
        <v>#REF!</v>
      </c>
      <c r="B22" t="e">
        <f>AND(#REF!,"AAAAAF973gE=")</f>
        <v>#REF!</v>
      </c>
      <c r="C22" t="e">
        <f>AND(#REF!,"AAAAAF973gI=")</f>
        <v>#REF!</v>
      </c>
      <c r="D22" t="e">
        <f>AND(#REF!,"AAAAAF973gM=")</f>
        <v>#REF!</v>
      </c>
      <c r="E22" t="e">
        <f>AND(#REF!,"AAAAAF973gQ=")</f>
        <v>#REF!</v>
      </c>
      <c r="F22" t="e">
        <f>AND(#REF!,"AAAAAF973gU=")</f>
        <v>#REF!</v>
      </c>
      <c r="G22" t="e">
        <f>AND(#REF!,"AAAAAF973gY=")</f>
        <v>#REF!</v>
      </c>
      <c r="H22" t="e">
        <f>AND(#REF!,"AAAAAF973gc=")</f>
        <v>#REF!</v>
      </c>
      <c r="I22" t="e">
        <f>AND(#REF!,"AAAAAF973gg=")</f>
        <v>#REF!</v>
      </c>
      <c r="J22" t="e">
        <f>AND(#REF!,"AAAAAF973gk=")</f>
        <v>#REF!</v>
      </c>
      <c r="K22" t="e">
        <f>AND(#REF!,"AAAAAF973go=")</f>
        <v>#REF!</v>
      </c>
      <c r="L22" t="e">
        <f>AND(#REF!,"AAAAAF973gs=")</f>
        <v>#REF!</v>
      </c>
      <c r="M22" t="e">
        <f>AND(#REF!,"AAAAAF973gw=")</f>
        <v>#REF!</v>
      </c>
      <c r="N22" t="e">
        <f>AND(#REF!,"AAAAAF973g0=")</f>
        <v>#REF!</v>
      </c>
      <c r="O22" t="e">
        <f>AND(#REF!,"AAAAAF973g4=")</f>
        <v>#REF!</v>
      </c>
      <c r="P22" t="e">
        <f>AND(#REF!,"AAAAAF973g8=")</f>
        <v>#REF!</v>
      </c>
      <c r="Q22" t="e">
        <f>AND(#REF!,"AAAAAF973hA=")</f>
        <v>#REF!</v>
      </c>
      <c r="R22" t="e">
        <f>AND(#REF!,"AAAAAF973hE=")</f>
        <v>#REF!</v>
      </c>
      <c r="S22" t="e">
        <f>AND(#REF!,"AAAAAF973hI=")</f>
        <v>#REF!</v>
      </c>
      <c r="T22" t="e">
        <f>AND(#REF!,"AAAAAF973hM=")</f>
        <v>#REF!</v>
      </c>
      <c r="U22" t="e">
        <f>AND(#REF!,"AAAAAF973hQ=")</f>
        <v>#REF!</v>
      </c>
      <c r="V22" t="e">
        <f>AND(#REF!,"AAAAAF973hU=")</f>
        <v>#REF!</v>
      </c>
      <c r="W22" t="e">
        <f>AND(#REF!,"AAAAAF973hY=")</f>
        <v>#REF!</v>
      </c>
      <c r="X22" t="e">
        <f>AND(#REF!,"AAAAAF973hc=")</f>
        <v>#REF!</v>
      </c>
      <c r="Y22" t="e">
        <f>AND(#REF!,"AAAAAF973hg=")</f>
        <v>#REF!</v>
      </c>
      <c r="Z22" t="e">
        <f>AND(#REF!,"AAAAAF973hk=")</f>
        <v>#REF!</v>
      </c>
      <c r="AA22" t="e">
        <f>AND(#REF!,"AAAAAF973ho=")</f>
        <v>#REF!</v>
      </c>
      <c r="AB22" t="e">
        <f>AND(#REF!,"AAAAAF973hs=")</f>
        <v>#REF!</v>
      </c>
      <c r="AC22" t="e">
        <f>AND(#REF!,"AAAAAF973hw=")</f>
        <v>#REF!</v>
      </c>
      <c r="AD22" t="e">
        <f>AND(#REF!,"AAAAAF973h0=")</f>
        <v>#REF!</v>
      </c>
      <c r="AE22" t="e">
        <f>AND(#REF!,"AAAAAF973h4=")</f>
        <v>#REF!</v>
      </c>
      <c r="AF22" t="e">
        <f>AND(#REF!,"AAAAAF973h8=")</f>
        <v>#REF!</v>
      </c>
      <c r="AG22" t="e">
        <f>AND(#REF!,"AAAAAF973iA=")</f>
        <v>#REF!</v>
      </c>
      <c r="AH22" t="e">
        <f>AND(#REF!,"AAAAAF973iE=")</f>
        <v>#REF!</v>
      </c>
      <c r="AI22" t="e">
        <f>AND(#REF!,"AAAAAF973iI=")</f>
        <v>#REF!</v>
      </c>
      <c r="AJ22" t="e">
        <f>AND(#REF!,"AAAAAF973iM=")</f>
        <v>#REF!</v>
      </c>
      <c r="AK22" t="e">
        <f>AND(#REF!,"AAAAAF973iQ=")</f>
        <v>#REF!</v>
      </c>
      <c r="AL22" t="e">
        <f>AND(#REF!,"AAAAAF973iU=")</f>
        <v>#REF!</v>
      </c>
      <c r="AM22" t="e">
        <f>AND(#REF!,"AAAAAF973iY=")</f>
        <v>#REF!</v>
      </c>
      <c r="AN22" t="e">
        <f>AND(#REF!,"AAAAAF973ic=")</f>
        <v>#REF!</v>
      </c>
      <c r="AO22" t="e">
        <f>AND(#REF!,"AAAAAF973ig=")</f>
        <v>#REF!</v>
      </c>
      <c r="AP22" t="e">
        <f>AND(#REF!,"AAAAAF973ik=")</f>
        <v>#REF!</v>
      </c>
      <c r="AQ22" t="e">
        <f>AND(#REF!,"AAAAAF973io=")</f>
        <v>#REF!</v>
      </c>
      <c r="AR22" t="e">
        <f>AND(#REF!,"AAAAAF973is=")</f>
        <v>#REF!</v>
      </c>
      <c r="AS22" t="e">
        <f>AND(#REF!,"AAAAAF973iw=")</f>
        <v>#REF!</v>
      </c>
      <c r="AT22" t="e">
        <f>AND(#REF!,"AAAAAF973i0=")</f>
        <v>#REF!</v>
      </c>
      <c r="AU22" t="e">
        <f>AND(#REF!,"AAAAAF973i4=")</f>
        <v>#REF!</v>
      </c>
      <c r="AV22" t="e">
        <f>AND(#REF!,"AAAAAF973i8=")</f>
        <v>#REF!</v>
      </c>
      <c r="AW22" t="e">
        <f>AND(#REF!,"AAAAAF973jA=")</f>
        <v>#REF!</v>
      </c>
      <c r="AX22" t="e">
        <f>AND(#REF!,"AAAAAF973jE=")</f>
        <v>#REF!</v>
      </c>
      <c r="AY22" t="e">
        <f>AND(#REF!,"AAAAAF973jI=")</f>
        <v>#REF!</v>
      </c>
      <c r="AZ22" t="e">
        <f>AND(#REF!,"AAAAAF973jM=")</f>
        <v>#REF!</v>
      </c>
      <c r="BA22" t="e">
        <f>AND(#REF!,"AAAAAF973jQ=")</f>
        <v>#REF!</v>
      </c>
      <c r="BB22" t="e">
        <f>AND(#REF!,"AAAAAF973jU=")</f>
        <v>#REF!</v>
      </c>
      <c r="BC22" t="e">
        <f>AND(#REF!,"AAAAAF973jY=")</f>
        <v>#REF!</v>
      </c>
      <c r="BD22" t="e">
        <f>AND(#REF!,"AAAAAF973jc=")</f>
        <v>#REF!</v>
      </c>
      <c r="BE22" t="e">
        <f>AND(#REF!,"AAAAAF973jg=")</f>
        <v>#REF!</v>
      </c>
      <c r="BF22" t="e">
        <f>AND(#REF!,"AAAAAF973jk=")</f>
        <v>#REF!</v>
      </c>
      <c r="BG22" t="e">
        <f>AND(#REF!,"AAAAAF973jo=")</f>
        <v>#REF!</v>
      </c>
      <c r="BH22" t="e">
        <f>AND(#REF!,"AAAAAF973js=")</f>
        <v>#REF!</v>
      </c>
      <c r="BI22" t="e">
        <f>AND(#REF!,"AAAAAF973jw=")</f>
        <v>#REF!</v>
      </c>
      <c r="BJ22" t="e">
        <f>AND(#REF!,"AAAAAF973j0=")</f>
        <v>#REF!</v>
      </c>
      <c r="BK22" t="e">
        <f>AND(#REF!,"AAAAAF973j4=")</f>
        <v>#REF!</v>
      </c>
      <c r="BL22" t="e">
        <f>AND(#REF!,"AAAAAF973j8=")</f>
        <v>#REF!</v>
      </c>
      <c r="BM22" t="e">
        <f>AND(#REF!,"AAAAAF973kA=")</f>
        <v>#REF!</v>
      </c>
      <c r="BN22" t="e">
        <f>AND(#REF!,"AAAAAF973kE=")</f>
        <v>#REF!</v>
      </c>
      <c r="BO22" t="e">
        <f>AND(#REF!,"AAAAAF973kI=")</f>
        <v>#REF!</v>
      </c>
      <c r="BP22" t="e">
        <f>AND(#REF!,"AAAAAF973kM=")</f>
        <v>#REF!</v>
      </c>
      <c r="BQ22" t="e">
        <f>AND(#REF!,"AAAAAF973kQ=")</f>
        <v>#REF!</v>
      </c>
      <c r="BR22" t="e">
        <f>AND(#REF!,"AAAAAF973kU=")</f>
        <v>#REF!</v>
      </c>
      <c r="BS22" t="e">
        <f>AND(#REF!,"AAAAAF973kY=")</f>
        <v>#REF!</v>
      </c>
      <c r="BT22" t="e">
        <f>IF(#REF!,"AAAAAF973kc=",0)</f>
        <v>#REF!</v>
      </c>
      <c r="BU22" t="e">
        <f>AND(#REF!,"AAAAAF973kg=")</f>
        <v>#REF!</v>
      </c>
      <c r="BV22" t="e">
        <f>AND(#REF!,"AAAAAF973kk=")</f>
        <v>#REF!</v>
      </c>
      <c r="BW22" t="e">
        <f>AND(#REF!,"AAAAAF973ko=")</f>
        <v>#REF!</v>
      </c>
      <c r="BX22" t="e">
        <f>AND(#REF!,"AAAAAF973ks=")</f>
        <v>#REF!</v>
      </c>
      <c r="BY22" t="e">
        <f>AND(#REF!,"AAAAAF973kw=")</f>
        <v>#REF!</v>
      </c>
      <c r="BZ22" t="e">
        <f>AND(#REF!,"AAAAAF973k0=")</f>
        <v>#REF!</v>
      </c>
      <c r="CA22" t="e">
        <f>AND(#REF!,"AAAAAF973k4=")</f>
        <v>#REF!</v>
      </c>
      <c r="CB22" t="e">
        <f>AND(#REF!,"AAAAAF973k8=")</f>
        <v>#REF!</v>
      </c>
      <c r="CC22" t="e">
        <f>AND(#REF!,"AAAAAF973lA=")</f>
        <v>#REF!</v>
      </c>
      <c r="CD22" t="e">
        <f>AND(#REF!,"AAAAAF973lE=")</f>
        <v>#REF!</v>
      </c>
      <c r="CE22" t="e">
        <f>AND(#REF!,"AAAAAF973lI=")</f>
        <v>#REF!</v>
      </c>
      <c r="CF22" t="e">
        <f>AND(#REF!,"AAAAAF973lM=")</f>
        <v>#REF!</v>
      </c>
      <c r="CG22" t="e">
        <f>AND(#REF!,"AAAAAF973lQ=")</f>
        <v>#REF!</v>
      </c>
      <c r="CH22" t="e">
        <f>AND(#REF!,"AAAAAF973lU=")</f>
        <v>#REF!</v>
      </c>
      <c r="CI22" t="e">
        <f>AND(#REF!,"AAAAAF973lY=")</f>
        <v>#REF!</v>
      </c>
      <c r="CJ22" t="e">
        <f>AND(#REF!,"AAAAAF973lc=")</f>
        <v>#REF!</v>
      </c>
      <c r="CK22" t="e">
        <f>AND(#REF!,"AAAAAF973lg=")</f>
        <v>#REF!</v>
      </c>
      <c r="CL22" t="e">
        <f>AND(#REF!,"AAAAAF973lk=")</f>
        <v>#REF!</v>
      </c>
      <c r="CM22" t="e">
        <f>AND(#REF!,"AAAAAF973lo=")</f>
        <v>#REF!</v>
      </c>
      <c r="CN22" t="e">
        <f>AND(#REF!,"AAAAAF973ls=")</f>
        <v>#REF!</v>
      </c>
      <c r="CO22" t="e">
        <f>AND(#REF!,"AAAAAF973lw=")</f>
        <v>#REF!</v>
      </c>
      <c r="CP22" t="e">
        <f>AND(#REF!,"AAAAAF973l0=")</f>
        <v>#REF!</v>
      </c>
      <c r="CQ22" t="e">
        <f>AND(#REF!,"AAAAAF973l4=")</f>
        <v>#REF!</v>
      </c>
      <c r="CR22" t="e">
        <f>AND(#REF!,"AAAAAF973l8=")</f>
        <v>#REF!</v>
      </c>
      <c r="CS22" t="e">
        <f>AND(#REF!,"AAAAAF973mA=")</f>
        <v>#REF!</v>
      </c>
      <c r="CT22" t="e">
        <f>AND(#REF!,"AAAAAF973mE=")</f>
        <v>#REF!</v>
      </c>
      <c r="CU22" t="e">
        <f>AND(#REF!,"AAAAAF973mI=")</f>
        <v>#REF!</v>
      </c>
      <c r="CV22" t="e">
        <f>AND(#REF!,"AAAAAF973mM=")</f>
        <v>#REF!</v>
      </c>
      <c r="CW22" t="e">
        <f>AND(#REF!,"AAAAAF973mQ=")</f>
        <v>#REF!</v>
      </c>
      <c r="CX22" t="e">
        <f>AND(#REF!,"AAAAAF973mU=")</f>
        <v>#REF!</v>
      </c>
      <c r="CY22" t="e">
        <f>AND(#REF!,"AAAAAF973mY=")</f>
        <v>#REF!</v>
      </c>
      <c r="CZ22" t="e">
        <f>AND(#REF!,"AAAAAF973mc=")</f>
        <v>#REF!</v>
      </c>
      <c r="DA22" t="e">
        <f>AND(#REF!,"AAAAAF973mg=")</f>
        <v>#REF!</v>
      </c>
      <c r="DB22" t="e">
        <f>AND(#REF!,"AAAAAF973mk=")</f>
        <v>#REF!</v>
      </c>
      <c r="DC22" t="e">
        <f>AND(#REF!,"AAAAAF973mo=")</f>
        <v>#REF!</v>
      </c>
      <c r="DD22" t="e">
        <f>AND(#REF!,"AAAAAF973ms=")</f>
        <v>#REF!</v>
      </c>
      <c r="DE22" t="e">
        <f>AND(#REF!,"AAAAAF973mw=")</f>
        <v>#REF!</v>
      </c>
      <c r="DF22" t="e">
        <f>AND(#REF!,"AAAAAF973m0=")</f>
        <v>#REF!</v>
      </c>
      <c r="DG22" t="e">
        <f>AND(#REF!,"AAAAAF973m4=")</f>
        <v>#REF!</v>
      </c>
      <c r="DH22" t="e">
        <f>AND(#REF!,"AAAAAF973m8=")</f>
        <v>#REF!</v>
      </c>
      <c r="DI22" t="e">
        <f>AND(#REF!,"AAAAAF973nA=")</f>
        <v>#REF!</v>
      </c>
      <c r="DJ22" t="e">
        <f>AND(#REF!,"AAAAAF973nE=")</f>
        <v>#REF!</v>
      </c>
      <c r="DK22" t="e">
        <f>AND(#REF!,"AAAAAF973nI=")</f>
        <v>#REF!</v>
      </c>
      <c r="DL22" t="e">
        <f>AND(#REF!,"AAAAAF973nM=")</f>
        <v>#REF!</v>
      </c>
      <c r="DM22" t="e">
        <f>AND(#REF!,"AAAAAF973nQ=")</f>
        <v>#REF!</v>
      </c>
      <c r="DN22" t="e">
        <f>AND(#REF!,"AAAAAF973nU=")</f>
        <v>#REF!</v>
      </c>
      <c r="DO22" t="e">
        <f>AND(#REF!,"AAAAAF973nY=")</f>
        <v>#REF!</v>
      </c>
      <c r="DP22" t="e">
        <f>AND(#REF!,"AAAAAF973nc=")</f>
        <v>#REF!</v>
      </c>
      <c r="DQ22" t="e">
        <f>AND(#REF!,"AAAAAF973ng=")</f>
        <v>#REF!</v>
      </c>
      <c r="DR22" t="e">
        <f>AND(#REF!,"AAAAAF973nk=")</f>
        <v>#REF!</v>
      </c>
      <c r="DS22" t="e">
        <f>AND(#REF!,"AAAAAF973no=")</f>
        <v>#REF!</v>
      </c>
      <c r="DT22" t="e">
        <f>AND(#REF!,"AAAAAF973ns=")</f>
        <v>#REF!</v>
      </c>
      <c r="DU22" t="e">
        <f>AND(#REF!,"AAAAAF973nw=")</f>
        <v>#REF!</v>
      </c>
      <c r="DV22" t="e">
        <f>AND(#REF!,"AAAAAF973n0=")</f>
        <v>#REF!</v>
      </c>
      <c r="DW22" t="e">
        <f>AND(#REF!,"AAAAAF973n4=")</f>
        <v>#REF!</v>
      </c>
      <c r="DX22" t="e">
        <f>AND(#REF!,"AAAAAF973n8=")</f>
        <v>#REF!</v>
      </c>
      <c r="DY22" t="e">
        <f>AND(#REF!,"AAAAAF973oA=")</f>
        <v>#REF!</v>
      </c>
      <c r="DZ22" t="e">
        <f>AND(#REF!,"AAAAAF973oE=")</f>
        <v>#REF!</v>
      </c>
      <c r="EA22" t="e">
        <f>AND(#REF!,"AAAAAF973oI=")</f>
        <v>#REF!</v>
      </c>
      <c r="EB22" t="e">
        <f>AND(#REF!,"AAAAAF973oM=")</f>
        <v>#REF!</v>
      </c>
      <c r="EC22" t="e">
        <f>AND(#REF!,"AAAAAF973oQ=")</f>
        <v>#REF!</v>
      </c>
      <c r="ED22" t="e">
        <f>AND(#REF!,"AAAAAF973oU=")</f>
        <v>#REF!</v>
      </c>
      <c r="EE22" t="e">
        <f>AND(#REF!,"AAAAAF973oY=")</f>
        <v>#REF!</v>
      </c>
      <c r="EF22" t="e">
        <f>AND(#REF!,"AAAAAF973oc=")</f>
        <v>#REF!</v>
      </c>
      <c r="EG22" t="e">
        <f>AND(#REF!,"AAAAAF973og=")</f>
        <v>#REF!</v>
      </c>
      <c r="EH22" t="e">
        <f>AND(#REF!,"AAAAAF973ok=")</f>
        <v>#REF!</v>
      </c>
      <c r="EI22" t="e">
        <f>AND(#REF!,"AAAAAF973oo=")</f>
        <v>#REF!</v>
      </c>
      <c r="EJ22" t="e">
        <f>AND(#REF!,"AAAAAF973os=")</f>
        <v>#REF!</v>
      </c>
      <c r="EK22" t="e">
        <f>AND(#REF!,"AAAAAF973ow=")</f>
        <v>#REF!</v>
      </c>
      <c r="EL22" t="e">
        <f>AND(#REF!,"AAAAAF973o0=")</f>
        <v>#REF!</v>
      </c>
      <c r="EM22" t="e">
        <f>AND(#REF!,"AAAAAF973o4=")</f>
        <v>#REF!</v>
      </c>
      <c r="EN22" t="e">
        <f>AND(#REF!,"AAAAAF973o8=")</f>
        <v>#REF!</v>
      </c>
      <c r="EO22" t="e">
        <f>AND(#REF!,"AAAAAF973pA=")</f>
        <v>#REF!</v>
      </c>
      <c r="EP22" t="e">
        <f>AND(#REF!,"AAAAAF973pE=")</f>
        <v>#REF!</v>
      </c>
      <c r="EQ22" t="e">
        <f>AND(#REF!,"AAAAAF973pI=")</f>
        <v>#REF!</v>
      </c>
      <c r="ER22" t="e">
        <f>AND(#REF!,"AAAAAF973pM=")</f>
        <v>#REF!</v>
      </c>
      <c r="ES22" t="e">
        <f>AND(#REF!,"AAAAAF973pQ=")</f>
        <v>#REF!</v>
      </c>
      <c r="ET22" t="e">
        <f>AND(#REF!,"AAAAAF973pU=")</f>
        <v>#REF!</v>
      </c>
      <c r="EU22" t="e">
        <f>AND(#REF!,"AAAAAF973pY=")</f>
        <v>#REF!</v>
      </c>
      <c r="EV22" t="e">
        <f>AND(#REF!,"AAAAAF973pc=")</f>
        <v>#REF!</v>
      </c>
      <c r="EW22" t="e">
        <f>AND(#REF!,"AAAAAF973pg=")</f>
        <v>#REF!</v>
      </c>
      <c r="EX22" t="e">
        <f>AND(#REF!,"AAAAAF973pk=")</f>
        <v>#REF!</v>
      </c>
      <c r="EY22" t="e">
        <f>AND(#REF!,"AAAAAF973po=")</f>
        <v>#REF!</v>
      </c>
      <c r="EZ22" t="e">
        <f>AND(#REF!,"AAAAAF973ps=")</f>
        <v>#REF!</v>
      </c>
      <c r="FA22" t="e">
        <f>AND(#REF!,"AAAAAF973pw=")</f>
        <v>#REF!</v>
      </c>
      <c r="FB22" t="e">
        <f>AND(#REF!,"AAAAAF973p0=")</f>
        <v>#REF!</v>
      </c>
      <c r="FC22" t="e">
        <f>AND(#REF!,"AAAAAF973p4=")</f>
        <v>#REF!</v>
      </c>
      <c r="FD22" t="e">
        <f>AND(#REF!,"AAAAAF973p8=")</f>
        <v>#REF!</v>
      </c>
      <c r="FE22" t="e">
        <f>AND(#REF!,"AAAAAF973qA=")</f>
        <v>#REF!</v>
      </c>
      <c r="FF22" t="e">
        <f>AND(#REF!,"AAAAAF973qE=")</f>
        <v>#REF!</v>
      </c>
      <c r="FG22" t="e">
        <f>AND(#REF!,"AAAAAF973qI=")</f>
        <v>#REF!</v>
      </c>
      <c r="FH22" t="e">
        <f>AND(#REF!,"AAAAAF973qM=")</f>
        <v>#REF!</v>
      </c>
      <c r="FI22" t="e">
        <f>AND(#REF!,"AAAAAF973qQ=")</f>
        <v>#REF!</v>
      </c>
      <c r="FJ22" t="e">
        <f>AND(#REF!,"AAAAAF973qU=")</f>
        <v>#REF!</v>
      </c>
      <c r="FK22" t="e">
        <f>AND(#REF!,"AAAAAF973qY=")</f>
        <v>#REF!</v>
      </c>
      <c r="FL22" t="e">
        <f>AND(#REF!,"AAAAAF973qc=")</f>
        <v>#REF!</v>
      </c>
      <c r="FM22" t="e">
        <f>AND(#REF!,"AAAAAF973qg=")</f>
        <v>#REF!</v>
      </c>
      <c r="FN22" t="e">
        <f>AND(#REF!,"AAAAAF973qk=")</f>
        <v>#REF!</v>
      </c>
      <c r="FO22" t="e">
        <f>AND(#REF!,"AAAAAF973qo=")</f>
        <v>#REF!</v>
      </c>
      <c r="FP22" t="e">
        <f>AND(#REF!,"AAAAAF973qs=")</f>
        <v>#REF!</v>
      </c>
      <c r="FQ22" t="e">
        <f>AND(#REF!,"AAAAAF973qw=")</f>
        <v>#REF!</v>
      </c>
      <c r="FR22" t="e">
        <f>AND(#REF!,"AAAAAF973q0=")</f>
        <v>#REF!</v>
      </c>
      <c r="FS22" t="e">
        <f>AND(#REF!,"AAAAAF973q4=")</f>
        <v>#REF!</v>
      </c>
      <c r="FT22" t="e">
        <f>AND(#REF!,"AAAAAF973q8=")</f>
        <v>#REF!</v>
      </c>
      <c r="FU22" t="e">
        <f>AND(#REF!,"AAAAAF973rA=")</f>
        <v>#REF!</v>
      </c>
      <c r="FV22" t="e">
        <f>AND(#REF!,"AAAAAF973rE=")</f>
        <v>#REF!</v>
      </c>
      <c r="FW22" t="e">
        <f>AND(#REF!,"AAAAAF973rI=")</f>
        <v>#REF!</v>
      </c>
      <c r="FX22" t="e">
        <f>AND(#REF!,"AAAAAF973rM=")</f>
        <v>#REF!</v>
      </c>
      <c r="FY22" t="e">
        <f>AND(#REF!,"AAAAAF973rQ=")</f>
        <v>#REF!</v>
      </c>
      <c r="FZ22" t="e">
        <f>AND(#REF!,"AAAAAF973rU=")</f>
        <v>#REF!</v>
      </c>
      <c r="GA22" t="e">
        <f>AND(#REF!,"AAAAAF973rY=")</f>
        <v>#REF!</v>
      </c>
      <c r="GB22" t="e">
        <f>AND(#REF!,"AAAAAF973rc=")</f>
        <v>#REF!</v>
      </c>
      <c r="GC22" t="e">
        <f>AND(#REF!,"AAAAAF973rg=")</f>
        <v>#REF!</v>
      </c>
      <c r="GD22" t="e">
        <f>AND(#REF!,"AAAAAF973rk=")</f>
        <v>#REF!</v>
      </c>
      <c r="GE22" t="e">
        <f>AND(#REF!,"AAAAAF973ro=")</f>
        <v>#REF!</v>
      </c>
      <c r="GF22" t="e">
        <f>AND(#REF!,"AAAAAF973rs=")</f>
        <v>#REF!</v>
      </c>
      <c r="GG22" t="e">
        <f>AND(#REF!,"AAAAAF973rw=")</f>
        <v>#REF!</v>
      </c>
      <c r="GH22" t="e">
        <f>AND(#REF!,"AAAAAF973r0=")</f>
        <v>#REF!</v>
      </c>
      <c r="GI22" t="e">
        <f>AND(#REF!,"AAAAAF973r4=")</f>
        <v>#REF!</v>
      </c>
      <c r="GJ22" t="e">
        <f>AND(#REF!,"AAAAAF973r8=")</f>
        <v>#REF!</v>
      </c>
      <c r="GK22" t="e">
        <f>AND(#REF!,"AAAAAF973sA=")</f>
        <v>#REF!</v>
      </c>
      <c r="GL22" t="e">
        <f>AND(#REF!,"AAAAAF973sE=")</f>
        <v>#REF!</v>
      </c>
      <c r="GM22" t="e">
        <f>AND(#REF!,"AAAAAF973sI=")</f>
        <v>#REF!</v>
      </c>
      <c r="GN22" t="e">
        <f>AND(#REF!,"AAAAAF973sM=")</f>
        <v>#REF!</v>
      </c>
      <c r="GO22" t="e">
        <f>AND(#REF!,"AAAAAF973sQ=")</f>
        <v>#REF!</v>
      </c>
      <c r="GP22" t="e">
        <f>AND(#REF!,"AAAAAF973sU=")</f>
        <v>#REF!</v>
      </c>
      <c r="GQ22" t="e">
        <f>AND(#REF!,"AAAAAF973sY=")</f>
        <v>#REF!</v>
      </c>
      <c r="GR22" t="e">
        <f>AND(#REF!,"AAAAAF973sc=")</f>
        <v>#REF!</v>
      </c>
      <c r="GS22" t="e">
        <f>AND(#REF!,"AAAAAF973sg=")</f>
        <v>#REF!</v>
      </c>
      <c r="GT22" t="e">
        <f>AND(#REF!,"AAAAAF973sk=")</f>
        <v>#REF!</v>
      </c>
      <c r="GU22" t="e">
        <f>AND(#REF!,"AAAAAF973so=")</f>
        <v>#REF!</v>
      </c>
      <c r="GV22" t="e">
        <f>AND(#REF!,"AAAAAF973ss=")</f>
        <v>#REF!</v>
      </c>
      <c r="GW22" t="e">
        <f>AND(#REF!,"AAAAAF973sw=")</f>
        <v>#REF!</v>
      </c>
      <c r="GX22" t="e">
        <f>AND(#REF!,"AAAAAF973s0=")</f>
        <v>#REF!</v>
      </c>
      <c r="GY22" t="e">
        <f>AND(#REF!,"AAAAAF973s4=")</f>
        <v>#REF!</v>
      </c>
      <c r="GZ22" t="e">
        <f>AND(#REF!,"AAAAAF973s8=")</f>
        <v>#REF!</v>
      </c>
      <c r="HA22" t="e">
        <f>AND(#REF!,"AAAAAF973tA=")</f>
        <v>#REF!</v>
      </c>
      <c r="HB22" t="e">
        <f>AND(#REF!,"AAAAAF973tE=")</f>
        <v>#REF!</v>
      </c>
      <c r="HC22" t="e">
        <f>AND(#REF!,"AAAAAF973tI=")</f>
        <v>#REF!</v>
      </c>
      <c r="HD22" t="e">
        <f>AND(#REF!,"AAAAAF973tM=")</f>
        <v>#REF!</v>
      </c>
      <c r="HE22" t="e">
        <f>AND(#REF!,"AAAAAF973tQ=")</f>
        <v>#REF!</v>
      </c>
      <c r="HF22" t="e">
        <f>AND(#REF!,"AAAAAF973tU=")</f>
        <v>#REF!</v>
      </c>
      <c r="HG22" t="e">
        <f>AND(#REF!,"AAAAAF973tY=")</f>
        <v>#REF!</v>
      </c>
      <c r="HH22" t="e">
        <f>AND(#REF!,"AAAAAF973tc=")</f>
        <v>#REF!</v>
      </c>
      <c r="HI22" t="e">
        <f>AND(#REF!,"AAAAAF973tg=")</f>
        <v>#REF!</v>
      </c>
      <c r="HJ22" t="e">
        <f>AND(#REF!,"AAAAAF973tk=")</f>
        <v>#REF!</v>
      </c>
      <c r="HK22" t="e">
        <f>AND(#REF!,"AAAAAF973to=")</f>
        <v>#REF!</v>
      </c>
      <c r="HL22" t="e">
        <f>AND(#REF!,"AAAAAF973ts=")</f>
        <v>#REF!</v>
      </c>
      <c r="HM22" t="e">
        <f>AND(#REF!,"AAAAAF973tw=")</f>
        <v>#REF!</v>
      </c>
      <c r="HN22" t="e">
        <f>AND(#REF!,"AAAAAF973t0=")</f>
        <v>#REF!</v>
      </c>
      <c r="HO22" t="e">
        <f>AND(#REF!,"AAAAAF973t4=")</f>
        <v>#REF!</v>
      </c>
      <c r="HP22" t="e">
        <f>AND(#REF!,"AAAAAF973t8=")</f>
        <v>#REF!</v>
      </c>
      <c r="HQ22" t="e">
        <f>AND(#REF!,"AAAAAF973uA=")</f>
        <v>#REF!</v>
      </c>
      <c r="HR22" t="e">
        <f>AND(#REF!,"AAAAAF973uE=")</f>
        <v>#REF!</v>
      </c>
      <c r="HS22" t="e">
        <f>AND(#REF!,"AAAAAF973uI=")</f>
        <v>#REF!</v>
      </c>
      <c r="HT22" t="e">
        <f>AND(#REF!,"AAAAAF973uM=")</f>
        <v>#REF!</v>
      </c>
      <c r="HU22" t="e">
        <f>AND(#REF!,"AAAAAF973uQ=")</f>
        <v>#REF!</v>
      </c>
      <c r="HV22" t="e">
        <f>AND(#REF!,"AAAAAF973uU=")</f>
        <v>#REF!</v>
      </c>
      <c r="HW22" t="e">
        <f>AND(#REF!,"AAAAAF973uY=")</f>
        <v>#REF!</v>
      </c>
      <c r="HX22" t="e">
        <f>AND(#REF!,"AAAAAF973uc=")</f>
        <v>#REF!</v>
      </c>
      <c r="HY22" t="e">
        <f>AND(#REF!,"AAAAAF973ug=")</f>
        <v>#REF!</v>
      </c>
      <c r="HZ22" t="e">
        <f>AND(#REF!,"AAAAAF973uk=")</f>
        <v>#REF!</v>
      </c>
      <c r="IA22" t="e">
        <f>AND(#REF!,"AAAAAF973uo=")</f>
        <v>#REF!</v>
      </c>
      <c r="IB22" t="e">
        <f>AND(#REF!,"AAAAAF973us=")</f>
        <v>#REF!</v>
      </c>
      <c r="IC22" t="e">
        <f>AND(#REF!,"AAAAAF973uw=")</f>
        <v>#REF!</v>
      </c>
      <c r="ID22" t="e">
        <f>AND(#REF!,"AAAAAF973u0=")</f>
        <v>#REF!</v>
      </c>
      <c r="IE22" t="e">
        <f>AND(#REF!,"AAAAAF973u4=")</f>
        <v>#REF!</v>
      </c>
      <c r="IF22" t="e">
        <f>AND(#REF!,"AAAAAF973u8=")</f>
        <v>#REF!</v>
      </c>
      <c r="IG22" t="e">
        <f>AND(#REF!,"AAAAAF973vA=")</f>
        <v>#REF!</v>
      </c>
      <c r="IH22" t="e">
        <f>AND(#REF!,"AAAAAF973vE=")</f>
        <v>#REF!</v>
      </c>
      <c r="II22" t="e">
        <f>AND(#REF!,"AAAAAF973vI=")</f>
        <v>#REF!</v>
      </c>
      <c r="IJ22" t="e">
        <f>AND(#REF!,"AAAAAF973vM=")</f>
        <v>#REF!</v>
      </c>
      <c r="IK22" t="e">
        <f>AND(#REF!,"AAAAAF973vQ=")</f>
        <v>#REF!</v>
      </c>
      <c r="IL22" t="e">
        <f>AND(#REF!,"AAAAAF973vU=")</f>
        <v>#REF!</v>
      </c>
      <c r="IM22" t="e">
        <f>AND(#REF!,"AAAAAF973vY=")</f>
        <v>#REF!</v>
      </c>
      <c r="IN22" t="e">
        <f>AND(#REF!,"AAAAAF973vc=")</f>
        <v>#REF!</v>
      </c>
      <c r="IO22" t="e">
        <f>AND(#REF!,"AAAAAF973vg=")</f>
        <v>#REF!</v>
      </c>
      <c r="IP22" t="e">
        <f>AND(#REF!,"AAAAAF973vk=")</f>
        <v>#REF!</v>
      </c>
      <c r="IQ22" t="e">
        <f>AND(#REF!,"AAAAAF973vo=")</f>
        <v>#REF!</v>
      </c>
      <c r="IR22" t="e">
        <f>AND(#REF!,"AAAAAF973vs=")</f>
        <v>#REF!</v>
      </c>
      <c r="IS22" t="e">
        <f>IF(#REF!,"AAAAAF973vw=",0)</f>
        <v>#REF!</v>
      </c>
      <c r="IT22" t="e">
        <f>AND(#REF!,"AAAAAF973v0=")</f>
        <v>#REF!</v>
      </c>
      <c r="IU22" t="e">
        <f>AND(#REF!,"AAAAAF973v4=")</f>
        <v>#REF!</v>
      </c>
      <c r="IV22" t="e">
        <f>AND(#REF!,"AAAAAF973v8=")</f>
        <v>#REF!</v>
      </c>
    </row>
    <row r="23" spans="1:256" x14ac:dyDescent="0.2">
      <c r="A23" t="e">
        <f>AND(#REF!,"AAAAAGP/jwA=")</f>
        <v>#REF!</v>
      </c>
      <c r="B23" t="e">
        <f>AND(#REF!,"AAAAAGP/jwE=")</f>
        <v>#REF!</v>
      </c>
      <c r="C23" t="e">
        <f>AND(#REF!,"AAAAAGP/jwI=")</f>
        <v>#REF!</v>
      </c>
      <c r="D23" t="e">
        <f>AND(#REF!,"AAAAAGP/jwM=")</f>
        <v>#REF!</v>
      </c>
      <c r="E23" t="e">
        <f>AND(#REF!,"AAAAAGP/jwQ=")</f>
        <v>#REF!</v>
      </c>
      <c r="F23" t="e">
        <f>AND(#REF!,"AAAAAGP/jwU=")</f>
        <v>#REF!</v>
      </c>
      <c r="G23" t="e">
        <f>AND(#REF!,"AAAAAGP/jwY=")</f>
        <v>#REF!</v>
      </c>
      <c r="H23" t="e">
        <f>AND(#REF!,"AAAAAGP/jwc=")</f>
        <v>#REF!</v>
      </c>
      <c r="I23" t="e">
        <f>AND(#REF!,"AAAAAGP/jwg=")</f>
        <v>#REF!</v>
      </c>
      <c r="J23" t="e">
        <f>AND(#REF!,"AAAAAGP/jwk=")</f>
        <v>#REF!</v>
      </c>
      <c r="K23" t="e">
        <f>AND(#REF!,"AAAAAGP/jwo=")</f>
        <v>#REF!</v>
      </c>
      <c r="L23" t="e">
        <f>AND(#REF!,"AAAAAGP/jws=")</f>
        <v>#REF!</v>
      </c>
      <c r="M23" t="e">
        <f>AND(#REF!,"AAAAAGP/jww=")</f>
        <v>#REF!</v>
      </c>
      <c r="N23" t="e">
        <f>AND(#REF!,"AAAAAGP/jw0=")</f>
        <v>#REF!</v>
      </c>
      <c r="O23" t="e">
        <f>AND(#REF!,"AAAAAGP/jw4=")</f>
        <v>#REF!</v>
      </c>
      <c r="P23" t="e">
        <f>AND(#REF!,"AAAAAGP/jw8=")</f>
        <v>#REF!</v>
      </c>
      <c r="Q23" t="e">
        <f>AND(#REF!,"AAAAAGP/jxA=")</f>
        <v>#REF!</v>
      </c>
      <c r="R23" t="e">
        <f>AND(#REF!,"AAAAAGP/jxE=")</f>
        <v>#REF!</v>
      </c>
      <c r="S23" t="e">
        <f>AND(#REF!,"AAAAAGP/jxI=")</f>
        <v>#REF!</v>
      </c>
      <c r="T23" t="e">
        <f>AND(#REF!,"AAAAAGP/jxM=")</f>
        <v>#REF!</v>
      </c>
      <c r="U23" t="e">
        <f>AND(#REF!,"AAAAAGP/jxQ=")</f>
        <v>#REF!</v>
      </c>
      <c r="V23" t="e">
        <f>AND(#REF!,"AAAAAGP/jxU=")</f>
        <v>#REF!</v>
      </c>
      <c r="W23" t="e">
        <f>AND(#REF!,"AAAAAGP/jxY=")</f>
        <v>#REF!</v>
      </c>
      <c r="X23" t="e">
        <f>AND(#REF!,"AAAAAGP/jxc=")</f>
        <v>#REF!</v>
      </c>
      <c r="Y23" t="e">
        <f>AND(#REF!,"AAAAAGP/jxg=")</f>
        <v>#REF!</v>
      </c>
      <c r="Z23" t="e">
        <f>AND(#REF!,"AAAAAGP/jxk=")</f>
        <v>#REF!</v>
      </c>
      <c r="AA23" t="e">
        <f>AND(#REF!,"AAAAAGP/jxo=")</f>
        <v>#REF!</v>
      </c>
      <c r="AB23" t="e">
        <f>AND(#REF!,"AAAAAGP/jxs=")</f>
        <v>#REF!</v>
      </c>
      <c r="AC23" t="e">
        <f>AND(#REF!,"AAAAAGP/jxw=")</f>
        <v>#REF!</v>
      </c>
      <c r="AD23" t="e">
        <f>AND(#REF!,"AAAAAGP/jx0=")</f>
        <v>#REF!</v>
      </c>
      <c r="AE23" t="e">
        <f>AND(#REF!,"AAAAAGP/jx4=")</f>
        <v>#REF!</v>
      </c>
      <c r="AF23" t="e">
        <f>AND(#REF!,"AAAAAGP/jx8=")</f>
        <v>#REF!</v>
      </c>
      <c r="AG23" t="e">
        <f>AND(#REF!,"AAAAAGP/jyA=")</f>
        <v>#REF!</v>
      </c>
      <c r="AH23" t="e">
        <f>AND(#REF!,"AAAAAGP/jyE=")</f>
        <v>#REF!</v>
      </c>
      <c r="AI23" t="e">
        <f>AND(#REF!,"AAAAAGP/jyI=")</f>
        <v>#REF!</v>
      </c>
      <c r="AJ23" t="e">
        <f>AND(#REF!,"AAAAAGP/jyM=")</f>
        <v>#REF!</v>
      </c>
      <c r="AK23" t="e">
        <f>AND(#REF!,"AAAAAGP/jyQ=")</f>
        <v>#REF!</v>
      </c>
      <c r="AL23" t="e">
        <f>AND(#REF!,"AAAAAGP/jyU=")</f>
        <v>#REF!</v>
      </c>
      <c r="AM23" t="e">
        <f>AND(#REF!,"AAAAAGP/jyY=")</f>
        <v>#REF!</v>
      </c>
      <c r="AN23" t="e">
        <f>AND(#REF!,"AAAAAGP/jyc=")</f>
        <v>#REF!</v>
      </c>
      <c r="AO23" t="e">
        <f>AND(#REF!,"AAAAAGP/jyg=")</f>
        <v>#REF!</v>
      </c>
      <c r="AP23" t="e">
        <f>AND(#REF!,"AAAAAGP/jyk=")</f>
        <v>#REF!</v>
      </c>
      <c r="AQ23" t="e">
        <f>AND(#REF!,"AAAAAGP/jyo=")</f>
        <v>#REF!</v>
      </c>
      <c r="AR23" t="e">
        <f>AND(#REF!,"AAAAAGP/jys=")</f>
        <v>#REF!</v>
      </c>
      <c r="AS23" t="e">
        <f>AND(#REF!,"AAAAAGP/jyw=")</f>
        <v>#REF!</v>
      </c>
      <c r="AT23" t="e">
        <f>AND(#REF!,"AAAAAGP/jy0=")</f>
        <v>#REF!</v>
      </c>
      <c r="AU23" t="e">
        <f>AND(#REF!,"AAAAAGP/jy4=")</f>
        <v>#REF!</v>
      </c>
      <c r="AV23" t="e">
        <f>AND(#REF!,"AAAAAGP/jy8=")</f>
        <v>#REF!</v>
      </c>
      <c r="AW23" t="e">
        <f>AND(#REF!,"AAAAAGP/jzA=")</f>
        <v>#REF!</v>
      </c>
      <c r="AX23" t="e">
        <f>AND(#REF!,"AAAAAGP/jzE=")</f>
        <v>#REF!</v>
      </c>
      <c r="AY23" t="e">
        <f>AND(#REF!,"AAAAAGP/jzI=")</f>
        <v>#REF!</v>
      </c>
      <c r="AZ23" t="e">
        <f>AND(#REF!,"AAAAAGP/jzM=")</f>
        <v>#REF!</v>
      </c>
      <c r="BA23" t="e">
        <f>AND(#REF!,"AAAAAGP/jzQ=")</f>
        <v>#REF!</v>
      </c>
      <c r="BB23" t="e">
        <f>AND(#REF!,"AAAAAGP/jzU=")</f>
        <v>#REF!</v>
      </c>
      <c r="BC23" t="e">
        <f>AND(#REF!,"AAAAAGP/jzY=")</f>
        <v>#REF!</v>
      </c>
      <c r="BD23" t="e">
        <f>AND(#REF!,"AAAAAGP/jzc=")</f>
        <v>#REF!</v>
      </c>
      <c r="BE23" t="e">
        <f>AND(#REF!,"AAAAAGP/jzg=")</f>
        <v>#REF!</v>
      </c>
      <c r="BF23" t="e">
        <f>AND(#REF!,"AAAAAGP/jzk=")</f>
        <v>#REF!</v>
      </c>
      <c r="BG23" t="e">
        <f>AND(#REF!,"AAAAAGP/jzo=")</f>
        <v>#REF!</v>
      </c>
      <c r="BH23" t="e">
        <f>AND(#REF!,"AAAAAGP/jzs=")</f>
        <v>#REF!</v>
      </c>
      <c r="BI23" t="e">
        <f>AND(#REF!,"AAAAAGP/jzw=")</f>
        <v>#REF!</v>
      </c>
      <c r="BJ23" t="e">
        <f>AND(#REF!,"AAAAAGP/jz0=")</f>
        <v>#REF!</v>
      </c>
      <c r="BK23" t="e">
        <f>AND(#REF!,"AAAAAGP/jz4=")</f>
        <v>#REF!</v>
      </c>
      <c r="BL23" t="e">
        <f>AND(#REF!,"AAAAAGP/jz8=")</f>
        <v>#REF!</v>
      </c>
      <c r="BM23" t="e">
        <f>AND(#REF!,"AAAAAGP/j0A=")</f>
        <v>#REF!</v>
      </c>
      <c r="BN23" t="e">
        <f>AND(#REF!,"AAAAAGP/j0E=")</f>
        <v>#REF!</v>
      </c>
      <c r="BO23" t="e">
        <f>AND(#REF!,"AAAAAGP/j0I=")</f>
        <v>#REF!</v>
      </c>
      <c r="BP23" t="e">
        <f>AND(#REF!,"AAAAAGP/j0M=")</f>
        <v>#REF!</v>
      </c>
      <c r="BQ23" t="e">
        <f>AND(#REF!,"AAAAAGP/j0Q=")</f>
        <v>#REF!</v>
      </c>
      <c r="BR23" t="e">
        <f>AND(#REF!,"AAAAAGP/j0U=")</f>
        <v>#REF!</v>
      </c>
      <c r="BS23" t="e">
        <f>AND(#REF!,"AAAAAGP/j0Y=")</f>
        <v>#REF!</v>
      </c>
      <c r="BT23" t="e">
        <f>AND(#REF!,"AAAAAGP/j0c=")</f>
        <v>#REF!</v>
      </c>
      <c r="BU23" t="e">
        <f>AND(#REF!,"AAAAAGP/j0g=")</f>
        <v>#REF!</v>
      </c>
      <c r="BV23" t="e">
        <f>AND(#REF!,"AAAAAGP/j0k=")</f>
        <v>#REF!</v>
      </c>
      <c r="BW23" t="e">
        <f>AND(#REF!,"AAAAAGP/j0o=")</f>
        <v>#REF!</v>
      </c>
      <c r="BX23" t="e">
        <f>AND(#REF!,"AAAAAGP/j0s=")</f>
        <v>#REF!</v>
      </c>
      <c r="BY23" t="e">
        <f>AND(#REF!,"AAAAAGP/j0w=")</f>
        <v>#REF!</v>
      </c>
      <c r="BZ23" t="e">
        <f>AND(#REF!,"AAAAAGP/j00=")</f>
        <v>#REF!</v>
      </c>
      <c r="CA23" t="e">
        <f>AND(#REF!,"AAAAAGP/j04=")</f>
        <v>#REF!</v>
      </c>
      <c r="CB23" t="e">
        <f>AND(#REF!,"AAAAAGP/j08=")</f>
        <v>#REF!</v>
      </c>
      <c r="CC23" t="e">
        <f>AND(#REF!,"AAAAAGP/j1A=")</f>
        <v>#REF!</v>
      </c>
      <c r="CD23" t="e">
        <f>AND(#REF!,"AAAAAGP/j1E=")</f>
        <v>#REF!</v>
      </c>
      <c r="CE23" t="e">
        <f>AND(#REF!,"AAAAAGP/j1I=")</f>
        <v>#REF!</v>
      </c>
      <c r="CF23" t="e">
        <f>AND(#REF!,"AAAAAGP/j1M=")</f>
        <v>#REF!</v>
      </c>
      <c r="CG23" t="e">
        <f>AND(#REF!,"AAAAAGP/j1Q=")</f>
        <v>#REF!</v>
      </c>
      <c r="CH23" t="e">
        <f>AND(#REF!,"AAAAAGP/j1U=")</f>
        <v>#REF!</v>
      </c>
      <c r="CI23" t="e">
        <f>AND(#REF!,"AAAAAGP/j1Y=")</f>
        <v>#REF!</v>
      </c>
      <c r="CJ23" t="e">
        <f>AND(#REF!,"AAAAAGP/j1c=")</f>
        <v>#REF!</v>
      </c>
      <c r="CK23" t="e">
        <f>AND(#REF!,"AAAAAGP/j1g=")</f>
        <v>#REF!</v>
      </c>
      <c r="CL23" t="e">
        <f>AND(#REF!,"AAAAAGP/j1k=")</f>
        <v>#REF!</v>
      </c>
      <c r="CM23" t="e">
        <f>AND(#REF!,"AAAAAGP/j1o=")</f>
        <v>#REF!</v>
      </c>
      <c r="CN23" t="e">
        <f>AND(#REF!,"AAAAAGP/j1s=")</f>
        <v>#REF!</v>
      </c>
      <c r="CO23" t="e">
        <f>AND(#REF!,"AAAAAGP/j1w=")</f>
        <v>#REF!</v>
      </c>
      <c r="CP23" t="e">
        <f>AND(#REF!,"AAAAAGP/j10=")</f>
        <v>#REF!</v>
      </c>
      <c r="CQ23" t="e">
        <f>AND(#REF!,"AAAAAGP/j14=")</f>
        <v>#REF!</v>
      </c>
      <c r="CR23" t="e">
        <f>AND(#REF!,"AAAAAGP/j18=")</f>
        <v>#REF!</v>
      </c>
      <c r="CS23" t="e">
        <f>AND(#REF!,"AAAAAGP/j2A=")</f>
        <v>#REF!</v>
      </c>
      <c r="CT23" t="e">
        <f>AND(#REF!,"AAAAAGP/j2E=")</f>
        <v>#REF!</v>
      </c>
      <c r="CU23" t="e">
        <f>AND(#REF!,"AAAAAGP/j2I=")</f>
        <v>#REF!</v>
      </c>
      <c r="CV23" t="e">
        <f>AND(#REF!,"AAAAAGP/j2M=")</f>
        <v>#REF!</v>
      </c>
      <c r="CW23" t="e">
        <f>AND(#REF!,"AAAAAGP/j2Q=")</f>
        <v>#REF!</v>
      </c>
      <c r="CX23" t="e">
        <f>AND(#REF!,"AAAAAGP/j2U=")</f>
        <v>#REF!</v>
      </c>
      <c r="CY23" t="e">
        <f>AND(#REF!,"AAAAAGP/j2Y=")</f>
        <v>#REF!</v>
      </c>
      <c r="CZ23" t="e">
        <f>AND(#REF!,"AAAAAGP/j2c=")</f>
        <v>#REF!</v>
      </c>
      <c r="DA23" t="e">
        <f>AND(#REF!,"AAAAAGP/j2g=")</f>
        <v>#REF!</v>
      </c>
      <c r="DB23" t="e">
        <f>AND(#REF!,"AAAAAGP/j2k=")</f>
        <v>#REF!</v>
      </c>
      <c r="DC23" t="e">
        <f>AND(#REF!,"AAAAAGP/j2o=")</f>
        <v>#REF!</v>
      </c>
      <c r="DD23" t="e">
        <f>AND(#REF!,"AAAAAGP/j2s=")</f>
        <v>#REF!</v>
      </c>
      <c r="DE23" t="e">
        <f>AND(#REF!,"AAAAAGP/j2w=")</f>
        <v>#REF!</v>
      </c>
      <c r="DF23" t="e">
        <f>AND(#REF!,"AAAAAGP/j20=")</f>
        <v>#REF!</v>
      </c>
      <c r="DG23" t="e">
        <f>AND(#REF!,"AAAAAGP/j24=")</f>
        <v>#REF!</v>
      </c>
      <c r="DH23" t="e">
        <f>AND(#REF!,"AAAAAGP/j28=")</f>
        <v>#REF!</v>
      </c>
      <c r="DI23" t="e">
        <f>AND(#REF!,"AAAAAGP/j3A=")</f>
        <v>#REF!</v>
      </c>
      <c r="DJ23" t="e">
        <f>AND(#REF!,"AAAAAGP/j3E=")</f>
        <v>#REF!</v>
      </c>
      <c r="DK23" t="e">
        <f>AND(#REF!,"AAAAAGP/j3I=")</f>
        <v>#REF!</v>
      </c>
      <c r="DL23" t="e">
        <f>AND(#REF!,"AAAAAGP/j3M=")</f>
        <v>#REF!</v>
      </c>
      <c r="DM23" t="e">
        <f>AND(#REF!,"AAAAAGP/j3Q=")</f>
        <v>#REF!</v>
      </c>
      <c r="DN23" t="e">
        <f>AND(#REF!,"AAAAAGP/j3U=")</f>
        <v>#REF!</v>
      </c>
      <c r="DO23" t="e">
        <f>AND(#REF!,"AAAAAGP/j3Y=")</f>
        <v>#REF!</v>
      </c>
      <c r="DP23" t="e">
        <f>AND(#REF!,"AAAAAGP/j3c=")</f>
        <v>#REF!</v>
      </c>
      <c r="DQ23" t="e">
        <f>AND(#REF!,"AAAAAGP/j3g=")</f>
        <v>#REF!</v>
      </c>
      <c r="DR23" t="e">
        <f>AND(#REF!,"AAAAAGP/j3k=")</f>
        <v>#REF!</v>
      </c>
      <c r="DS23" t="e">
        <f>AND(#REF!,"AAAAAGP/j3o=")</f>
        <v>#REF!</v>
      </c>
      <c r="DT23" t="e">
        <f>AND(#REF!,"AAAAAGP/j3s=")</f>
        <v>#REF!</v>
      </c>
      <c r="DU23" t="e">
        <f>AND(#REF!,"AAAAAGP/j3w=")</f>
        <v>#REF!</v>
      </c>
      <c r="DV23" t="e">
        <f>AND(#REF!,"AAAAAGP/j30=")</f>
        <v>#REF!</v>
      </c>
      <c r="DW23" t="e">
        <f>AND(#REF!,"AAAAAGP/j34=")</f>
        <v>#REF!</v>
      </c>
      <c r="DX23" t="e">
        <f>AND(#REF!,"AAAAAGP/j38=")</f>
        <v>#REF!</v>
      </c>
      <c r="DY23" t="e">
        <f>AND(#REF!,"AAAAAGP/j4A=")</f>
        <v>#REF!</v>
      </c>
      <c r="DZ23" t="e">
        <f>AND(#REF!,"AAAAAGP/j4E=")</f>
        <v>#REF!</v>
      </c>
      <c r="EA23" t="e">
        <f>AND(#REF!,"AAAAAGP/j4I=")</f>
        <v>#REF!</v>
      </c>
      <c r="EB23" t="e">
        <f>AND(#REF!,"AAAAAGP/j4M=")</f>
        <v>#REF!</v>
      </c>
      <c r="EC23" t="e">
        <f>AND(#REF!,"AAAAAGP/j4Q=")</f>
        <v>#REF!</v>
      </c>
      <c r="ED23" t="e">
        <f>AND(#REF!,"AAAAAGP/j4U=")</f>
        <v>#REF!</v>
      </c>
      <c r="EE23" t="e">
        <f>AND(#REF!,"AAAAAGP/j4Y=")</f>
        <v>#REF!</v>
      </c>
      <c r="EF23" t="e">
        <f>AND(#REF!,"AAAAAGP/j4c=")</f>
        <v>#REF!</v>
      </c>
      <c r="EG23" t="e">
        <f>AND(#REF!,"AAAAAGP/j4g=")</f>
        <v>#REF!</v>
      </c>
      <c r="EH23" t="e">
        <f>AND(#REF!,"AAAAAGP/j4k=")</f>
        <v>#REF!</v>
      </c>
      <c r="EI23" t="e">
        <f>AND(#REF!,"AAAAAGP/j4o=")</f>
        <v>#REF!</v>
      </c>
      <c r="EJ23" t="e">
        <f>AND(#REF!,"AAAAAGP/j4s=")</f>
        <v>#REF!</v>
      </c>
      <c r="EK23" t="e">
        <f>AND(#REF!,"AAAAAGP/j4w=")</f>
        <v>#REF!</v>
      </c>
      <c r="EL23" t="e">
        <f>AND(#REF!,"AAAAAGP/j40=")</f>
        <v>#REF!</v>
      </c>
      <c r="EM23" t="e">
        <f>AND(#REF!,"AAAAAGP/j44=")</f>
        <v>#REF!</v>
      </c>
      <c r="EN23" t="e">
        <f>AND(#REF!,"AAAAAGP/j48=")</f>
        <v>#REF!</v>
      </c>
      <c r="EO23" t="e">
        <f>AND(#REF!,"AAAAAGP/j5A=")</f>
        <v>#REF!</v>
      </c>
      <c r="EP23" t="e">
        <f>AND(#REF!,"AAAAAGP/j5E=")</f>
        <v>#REF!</v>
      </c>
      <c r="EQ23" t="e">
        <f>AND(#REF!,"AAAAAGP/j5I=")</f>
        <v>#REF!</v>
      </c>
      <c r="ER23" t="e">
        <f>AND(#REF!,"AAAAAGP/j5M=")</f>
        <v>#REF!</v>
      </c>
      <c r="ES23" t="e">
        <f>AND(#REF!,"AAAAAGP/j5Q=")</f>
        <v>#REF!</v>
      </c>
      <c r="ET23" t="e">
        <f>AND(#REF!,"AAAAAGP/j5U=")</f>
        <v>#REF!</v>
      </c>
      <c r="EU23" t="e">
        <f>AND(#REF!,"AAAAAGP/j5Y=")</f>
        <v>#REF!</v>
      </c>
      <c r="EV23" t="e">
        <f>AND(#REF!,"AAAAAGP/j5c=")</f>
        <v>#REF!</v>
      </c>
      <c r="EW23" t="e">
        <f>AND(#REF!,"AAAAAGP/j5g=")</f>
        <v>#REF!</v>
      </c>
      <c r="EX23" t="e">
        <f>AND(#REF!,"AAAAAGP/j5k=")</f>
        <v>#REF!</v>
      </c>
      <c r="EY23" t="e">
        <f>AND(#REF!,"AAAAAGP/j5o=")</f>
        <v>#REF!</v>
      </c>
      <c r="EZ23" t="e">
        <f>AND(#REF!,"AAAAAGP/j5s=")</f>
        <v>#REF!</v>
      </c>
      <c r="FA23" t="e">
        <f>AND(#REF!,"AAAAAGP/j5w=")</f>
        <v>#REF!</v>
      </c>
      <c r="FB23" t="e">
        <f>AND(#REF!,"AAAAAGP/j50=")</f>
        <v>#REF!</v>
      </c>
      <c r="FC23" t="e">
        <f>AND(#REF!,"AAAAAGP/j54=")</f>
        <v>#REF!</v>
      </c>
      <c r="FD23" t="e">
        <f>AND(#REF!,"AAAAAGP/j58=")</f>
        <v>#REF!</v>
      </c>
      <c r="FE23" t="e">
        <f>AND(#REF!,"AAAAAGP/j6A=")</f>
        <v>#REF!</v>
      </c>
      <c r="FF23" t="e">
        <f>AND(#REF!,"AAAAAGP/j6E=")</f>
        <v>#REF!</v>
      </c>
      <c r="FG23" t="e">
        <f>AND(#REF!,"AAAAAGP/j6I=")</f>
        <v>#REF!</v>
      </c>
      <c r="FH23" t="e">
        <f>AND(#REF!,"AAAAAGP/j6M=")</f>
        <v>#REF!</v>
      </c>
      <c r="FI23" t="e">
        <f>AND(#REF!,"AAAAAGP/j6Q=")</f>
        <v>#REF!</v>
      </c>
      <c r="FJ23" t="e">
        <f>AND(#REF!,"AAAAAGP/j6U=")</f>
        <v>#REF!</v>
      </c>
      <c r="FK23" t="e">
        <f>AND(#REF!,"AAAAAGP/j6Y=")</f>
        <v>#REF!</v>
      </c>
      <c r="FL23" t="e">
        <f>AND(#REF!,"AAAAAGP/j6c=")</f>
        <v>#REF!</v>
      </c>
      <c r="FM23" t="e">
        <f>AND(#REF!,"AAAAAGP/j6g=")</f>
        <v>#REF!</v>
      </c>
      <c r="FN23" t="e">
        <f>AND(#REF!,"AAAAAGP/j6k=")</f>
        <v>#REF!</v>
      </c>
      <c r="FO23" t="e">
        <f>AND(#REF!,"AAAAAGP/j6o=")</f>
        <v>#REF!</v>
      </c>
      <c r="FP23" t="e">
        <f>AND(#REF!,"AAAAAGP/j6s=")</f>
        <v>#REF!</v>
      </c>
      <c r="FQ23" t="e">
        <f>AND(#REF!,"AAAAAGP/j6w=")</f>
        <v>#REF!</v>
      </c>
      <c r="FR23" t="e">
        <f>AND(#REF!,"AAAAAGP/j60=")</f>
        <v>#REF!</v>
      </c>
      <c r="FS23" t="e">
        <f>AND(#REF!,"AAAAAGP/j64=")</f>
        <v>#REF!</v>
      </c>
      <c r="FT23" t="e">
        <f>AND(#REF!,"AAAAAGP/j68=")</f>
        <v>#REF!</v>
      </c>
      <c r="FU23" t="e">
        <f>AND(#REF!,"AAAAAGP/j7A=")</f>
        <v>#REF!</v>
      </c>
      <c r="FV23" t="e">
        <f>IF(#REF!,"AAAAAGP/j7E=",0)</f>
        <v>#REF!</v>
      </c>
      <c r="FW23" t="e">
        <f>AND(#REF!,"AAAAAGP/j7I=")</f>
        <v>#REF!</v>
      </c>
      <c r="FX23" t="e">
        <f>AND(#REF!,"AAAAAGP/j7M=")</f>
        <v>#REF!</v>
      </c>
      <c r="FY23" t="e">
        <f>AND(#REF!,"AAAAAGP/j7Q=")</f>
        <v>#REF!</v>
      </c>
      <c r="FZ23" t="e">
        <f>AND(#REF!,"AAAAAGP/j7U=")</f>
        <v>#REF!</v>
      </c>
      <c r="GA23" t="e">
        <f>AND(#REF!,"AAAAAGP/j7Y=")</f>
        <v>#REF!</v>
      </c>
      <c r="GB23" t="e">
        <f>AND(#REF!,"AAAAAGP/j7c=")</f>
        <v>#REF!</v>
      </c>
      <c r="GC23" t="e">
        <f>AND(#REF!,"AAAAAGP/j7g=")</f>
        <v>#REF!</v>
      </c>
      <c r="GD23" t="e">
        <f>AND(#REF!,"AAAAAGP/j7k=")</f>
        <v>#REF!</v>
      </c>
      <c r="GE23" t="e">
        <f>AND(#REF!,"AAAAAGP/j7o=")</f>
        <v>#REF!</v>
      </c>
      <c r="GF23" t="e">
        <f>AND(#REF!,"AAAAAGP/j7s=")</f>
        <v>#REF!</v>
      </c>
      <c r="GG23" t="e">
        <f>AND(#REF!,"AAAAAGP/j7w=")</f>
        <v>#REF!</v>
      </c>
      <c r="GH23" t="e">
        <f>AND(#REF!,"AAAAAGP/j70=")</f>
        <v>#REF!</v>
      </c>
      <c r="GI23" t="e">
        <f>AND(#REF!,"AAAAAGP/j74=")</f>
        <v>#REF!</v>
      </c>
      <c r="GJ23" t="e">
        <f>AND(#REF!,"AAAAAGP/j78=")</f>
        <v>#REF!</v>
      </c>
      <c r="GK23" t="e">
        <f>AND(#REF!,"AAAAAGP/j8A=")</f>
        <v>#REF!</v>
      </c>
      <c r="GL23" t="e">
        <f>AND(#REF!,"AAAAAGP/j8E=")</f>
        <v>#REF!</v>
      </c>
      <c r="GM23" t="e">
        <f>AND(#REF!,"AAAAAGP/j8I=")</f>
        <v>#REF!</v>
      </c>
      <c r="GN23" t="e">
        <f>AND(#REF!,"AAAAAGP/j8M=")</f>
        <v>#REF!</v>
      </c>
      <c r="GO23" t="e">
        <f>AND(#REF!,"AAAAAGP/j8Q=")</f>
        <v>#REF!</v>
      </c>
      <c r="GP23" t="e">
        <f>AND(#REF!,"AAAAAGP/j8U=")</f>
        <v>#REF!</v>
      </c>
      <c r="GQ23" t="e">
        <f>AND(#REF!,"AAAAAGP/j8Y=")</f>
        <v>#REF!</v>
      </c>
      <c r="GR23" t="e">
        <f>AND(#REF!,"AAAAAGP/j8c=")</f>
        <v>#REF!</v>
      </c>
      <c r="GS23" t="e">
        <f>AND(#REF!,"AAAAAGP/j8g=")</f>
        <v>#REF!</v>
      </c>
      <c r="GT23" t="e">
        <f>AND(#REF!,"AAAAAGP/j8k=")</f>
        <v>#REF!</v>
      </c>
      <c r="GU23" t="e">
        <f>AND(#REF!,"AAAAAGP/j8o=")</f>
        <v>#REF!</v>
      </c>
      <c r="GV23" t="e">
        <f>AND(#REF!,"AAAAAGP/j8s=")</f>
        <v>#REF!</v>
      </c>
      <c r="GW23" t="e">
        <f>AND(#REF!,"AAAAAGP/j8w=")</f>
        <v>#REF!</v>
      </c>
      <c r="GX23" t="e">
        <f>AND(#REF!,"AAAAAGP/j80=")</f>
        <v>#REF!</v>
      </c>
      <c r="GY23" t="e">
        <f>AND(#REF!,"AAAAAGP/j84=")</f>
        <v>#REF!</v>
      </c>
      <c r="GZ23" t="e">
        <f>AND(#REF!,"AAAAAGP/j88=")</f>
        <v>#REF!</v>
      </c>
      <c r="HA23" t="e">
        <f>AND(#REF!,"AAAAAGP/j9A=")</f>
        <v>#REF!</v>
      </c>
      <c r="HB23" t="e">
        <f>AND(#REF!,"AAAAAGP/j9E=")</f>
        <v>#REF!</v>
      </c>
      <c r="HC23" t="e">
        <f>AND(#REF!,"AAAAAGP/j9I=")</f>
        <v>#REF!</v>
      </c>
      <c r="HD23" t="e">
        <f>AND(#REF!,"AAAAAGP/j9M=")</f>
        <v>#REF!</v>
      </c>
      <c r="HE23" t="e">
        <f>AND(#REF!,"AAAAAGP/j9Q=")</f>
        <v>#REF!</v>
      </c>
      <c r="HF23" t="e">
        <f>AND(#REF!,"AAAAAGP/j9U=")</f>
        <v>#REF!</v>
      </c>
      <c r="HG23" t="e">
        <f>AND(#REF!,"AAAAAGP/j9Y=")</f>
        <v>#REF!</v>
      </c>
      <c r="HH23" t="e">
        <f>AND(#REF!,"AAAAAGP/j9c=")</f>
        <v>#REF!</v>
      </c>
      <c r="HI23" t="e">
        <f>AND(#REF!,"AAAAAGP/j9g=")</f>
        <v>#REF!</v>
      </c>
      <c r="HJ23" t="e">
        <f>AND(#REF!,"AAAAAGP/j9k=")</f>
        <v>#REF!</v>
      </c>
      <c r="HK23" t="e">
        <f>AND(#REF!,"AAAAAGP/j9o=")</f>
        <v>#REF!</v>
      </c>
      <c r="HL23" t="e">
        <f>AND(#REF!,"AAAAAGP/j9s=")</f>
        <v>#REF!</v>
      </c>
      <c r="HM23" t="e">
        <f>AND(#REF!,"AAAAAGP/j9w=")</f>
        <v>#REF!</v>
      </c>
      <c r="HN23" t="e">
        <f>AND(#REF!,"AAAAAGP/j90=")</f>
        <v>#REF!</v>
      </c>
      <c r="HO23" t="e">
        <f>AND(#REF!,"AAAAAGP/j94=")</f>
        <v>#REF!</v>
      </c>
      <c r="HP23" t="e">
        <f>AND(#REF!,"AAAAAGP/j98=")</f>
        <v>#REF!</v>
      </c>
      <c r="HQ23" t="e">
        <f>AND(#REF!,"AAAAAGP/j+A=")</f>
        <v>#REF!</v>
      </c>
      <c r="HR23" t="e">
        <f>AND(#REF!,"AAAAAGP/j+E=")</f>
        <v>#REF!</v>
      </c>
      <c r="HS23" t="e">
        <f>AND(#REF!,"AAAAAGP/j+I=")</f>
        <v>#REF!</v>
      </c>
      <c r="HT23" t="e">
        <f>AND(#REF!,"AAAAAGP/j+M=")</f>
        <v>#REF!</v>
      </c>
      <c r="HU23" t="e">
        <f>AND(#REF!,"AAAAAGP/j+Q=")</f>
        <v>#REF!</v>
      </c>
      <c r="HV23" t="e">
        <f>AND(#REF!,"AAAAAGP/j+U=")</f>
        <v>#REF!</v>
      </c>
      <c r="HW23" t="e">
        <f>AND(#REF!,"AAAAAGP/j+Y=")</f>
        <v>#REF!</v>
      </c>
      <c r="HX23" t="e">
        <f>AND(#REF!,"AAAAAGP/j+c=")</f>
        <v>#REF!</v>
      </c>
      <c r="HY23" t="e">
        <f>AND(#REF!,"AAAAAGP/j+g=")</f>
        <v>#REF!</v>
      </c>
      <c r="HZ23" t="e">
        <f>AND(#REF!,"AAAAAGP/j+k=")</f>
        <v>#REF!</v>
      </c>
      <c r="IA23" t="e">
        <f>AND(#REF!,"AAAAAGP/j+o=")</f>
        <v>#REF!</v>
      </c>
      <c r="IB23" t="e">
        <f>AND(#REF!,"AAAAAGP/j+s=")</f>
        <v>#REF!</v>
      </c>
      <c r="IC23" t="e">
        <f>AND(#REF!,"AAAAAGP/j+w=")</f>
        <v>#REF!</v>
      </c>
      <c r="ID23" t="e">
        <f>AND(#REF!,"AAAAAGP/j+0=")</f>
        <v>#REF!</v>
      </c>
      <c r="IE23" t="e">
        <f>AND(#REF!,"AAAAAGP/j+4=")</f>
        <v>#REF!</v>
      </c>
      <c r="IF23" t="e">
        <f>AND(#REF!,"AAAAAGP/j+8=")</f>
        <v>#REF!</v>
      </c>
      <c r="IG23" t="e">
        <f>AND(#REF!,"AAAAAGP/j/A=")</f>
        <v>#REF!</v>
      </c>
      <c r="IH23" t="e">
        <f>AND(#REF!,"AAAAAGP/j/E=")</f>
        <v>#REF!</v>
      </c>
      <c r="II23" t="e">
        <f>AND(#REF!,"AAAAAGP/j/I=")</f>
        <v>#REF!</v>
      </c>
      <c r="IJ23" t="e">
        <f>AND(#REF!,"AAAAAGP/j/M=")</f>
        <v>#REF!</v>
      </c>
      <c r="IK23" t="e">
        <f>AND(#REF!,"AAAAAGP/j/Q=")</f>
        <v>#REF!</v>
      </c>
      <c r="IL23" t="e">
        <f>AND(#REF!,"AAAAAGP/j/U=")</f>
        <v>#REF!</v>
      </c>
      <c r="IM23" t="e">
        <f>AND(#REF!,"AAAAAGP/j/Y=")</f>
        <v>#REF!</v>
      </c>
      <c r="IN23" t="e">
        <f>AND(#REF!,"AAAAAGP/j/c=")</f>
        <v>#REF!</v>
      </c>
      <c r="IO23" t="e">
        <f>AND(#REF!,"AAAAAGP/j/g=")</f>
        <v>#REF!</v>
      </c>
      <c r="IP23" t="e">
        <f>AND(#REF!,"AAAAAGP/j/k=")</f>
        <v>#REF!</v>
      </c>
      <c r="IQ23" t="e">
        <f>AND(#REF!,"AAAAAGP/j/o=")</f>
        <v>#REF!</v>
      </c>
      <c r="IR23" t="e">
        <f>AND(#REF!,"AAAAAGP/j/s=")</f>
        <v>#REF!</v>
      </c>
      <c r="IS23" t="e">
        <f>AND(#REF!,"AAAAAGP/j/w=")</f>
        <v>#REF!</v>
      </c>
      <c r="IT23" t="e">
        <f>AND(#REF!,"AAAAAGP/j/0=")</f>
        <v>#REF!</v>
      </c>
      <c r="IU23" t="e">
        <f>AND(#REF!,"AAAAAGP/j/4=")</f>
        <v>#REF!</v>
      </c>
      <c r="IV23" t="e">
        <f>AND(#REF!,"AAAAAGP/j/8=")</f>
        <v>#REF!</v>
      </c>
    </row>
    <row r="24" spans="1:256" x14ac:dyDescent="0.2">
      <c r="A24" t="e">
        <f>AND(#REF!,"AAAAAH7e/wA=")</f>
        <v>#REF!</v>
      </c>
      <c r="B24" t="e">
        <f>AND(#REF!,"AAAAAH7e/wE=")</f>
        <v>#REF!</v>
      </c>
      <c r="C24" t="e">
        <f>AND(#REF!,"AAAAAH7e/wI=")</f>
        <v>#REF!</v>
      </c>
      <c r="D24" t="e">
        <f>AND(#REF!,"AAAAAH7e/wM=")</f>
        <v>#REF!</v>
      </c>
      <c r="E24" t="e">
        <f>AND(#REF!,"AAAAAH7e/wQ=")</f>
        <v>#REF!</v>
      </c>
      <c r="F24" t="e">
        <f>AND(#REF!,"AAAAAH7e/wU=")</f>
        <v>#REF!</v>
      </c>
      <c r="G24" t="e">
        <f>AND(#REF!,"AAAAAH7e/wY=")</f>
        <v>#REF!</v>
      </c>
      <c r="H24" t="e">
        <f>AND(#REF!,"AAAAAH7e/wc=")</f>
        <v>#REF!</v>
      </c>
      <c r="I24" t="e">
        <f>AND(#REF!,"AAAAAH7e/wg=")</f>
        <v>#REF!</v>
      </c>
      <c r="J24" t="e">
        <f>AND(#REF!,"AAAAAH7e/wk=")</f>
        <v>#REF!</v>
      </c>
      <c r="K24" t="e">
        <f>AND(#REF!,"AAAAAH7e/wo=")</f>
        <v>#REF!</v>
      </c>
      <c r="L24" t="e">
        <f>AND(#REF!,"AAAAAH7e/ws=")</f>
        <v>#REF!</v>
      </c>
      <c r="M24" t="e">
        <f>AND(#REF!,"AAAAAH7e/ww=")</f>
        <v>#REF!</v>
      </c>
      <c r="N24" t="e">
        <f>AND(#REF!,"AAAAAH7e/w0=")</f>
        <v>#REF!</v>
      </c>
      <c r="O24" t="e">
        <f>AND(#REF!,"AAAAAH7e/w4=")</f>
        <v>#REF!</v>
      </c>
      <c r="P24" t="e">
        <f>AND(#REF!,"AAAAAH7e/w8=")</f>
        <v>#REF!</v>
      </c>
      <c r="Q24" t="e">
        <f>AND(#REF!,"AAAAAH7e/xA=")</f>
        <v>#REF!</v>
      </c>
      <c r="R24" t="e">
        <f>AND(#REF!,"AAAAAH7e/xE=")</f>
        <v>#REF!</v>
      </c>
      <c r="S24" t="e">
        <f>AND(#REF!,"AAAAAH7e/xI=")</f>
        <v>#REF!</v>
      </c>
      <c r="T24" t="e">
        <f>AND(#REF!,"AAAAAH7e/xM=")</f>
        <v>#REF!</v>
      </c>
      <c r="U24" t="e">
        <f>AND(#REF!,"AAAAAH7e/xQ=")</f>
        <v>#REF!</v>
      </c>
      <c r="V24" t="e">
        <f>AND(#REF!,"AAAAAH7e/xU=")</f>
        <v>#REF!</v>
      </c>
      <c r="W24" t="e">
        <f>AND(#REF!,"AAAAAH7e/xY=")</f>
        <v>#REF!</v>
      </c>
      <c r="X24" t="e">
        <f>AND(#REF!,"AAAAAH7e/xc=")</f>
        <v>#REF!</v>
      </c>
      <c r="Y24" t="e">
        <f>AND(#REF!,"AAAAAH7e/xg=")</f>
        <v>#REF!</v>
      </c>
      <c r="Z24" t="e">
        <f>AND(#REF!,"AAAAAH7e/xk=")</f>
        <v>#REF!</v>
      </c>
      <c r="AA24" t="e">
        <f>AND(#REF!,"AAAAAH7e/xo=")</f>
        <v>#REF!</v>
      </c>
      <c r="AB24" t="e">
        <f>AND(#REF!,"AAAAAH7e/xs=")</f>
        <v>#REF!</v>
      </c>
      <c r="AC24" t="e">
        <f>AND(#REF!,"AAAAAH7e/xw=")</f>
        <v>#REF!</v>
      </c>
      <c r="AD24" t="e">
        <f>AND(#REF!,"AAAAAH7e/x0=")</f>
        <v>#REF!</v>
      </c>
      <c r="AE24" t="e">
        <f>AND(#REF!,"AAAAAH7e/x4=")</f>
        <v>#REF!</v>
      </c>
      <c r="AF24" t="e">
        <f>AND(#REF!,"AAAAAH7e/x8=")</f>
        <v>#REF!</v>
      </c>
      <c r="AG24" t="e">
        <f>AND(#REF!,"AAAAAH7e/yA=")</f>
        <v>#REF!</v>
      </c>
      <c r="AH24" t="e">
        <f>AND(#REF!,"AAAAAH7e/yE=")</f>
        <v>#REF!</v>
      </c>
      <c r="AI24" t="e">
        <f>AND(#REF!,"AAAAAH7e/yI=")</f>
        <v>#REF!</v>
      </c>
      <c r="AJ24" t="e">
        <f>AND(#REF!,"AAAAAH7e/yM=")</f>
        <v>#REF!</v>
      </c>
      <c r="AK24" t="e">
        <f>AND(#REF!,"AAAAAH7e/yQ=")</f>
        <v>#REF!</v>
      </c>
      <c r="AL24" t="e">
        <f>AND(#REF!,"AAAAAH7e/yU=")</f>
        <v>#REF!</v>
      </c>
      <c r="AM24" t="e">
        <f>AND(#REF!,"AAAAAH7e/yY=")</f>
        <v>#REF!</v>
      </c>
      <c r="AN24" t="e">
        <f>AND(#REF!,"AAAAAH7e/yc=")</f>
        <v>#REF!</v>
      </c>
      <c r="AO24" t="e">
        <f>AND(#REF!,"AAAAAH7e/yg=")</f>
        <v>#REF!</v>
      </c>
      <c r="AP24" t="e">
        <f>AND(#REF!,"AAAAAH7e/yk=")</f>
        <v>#REF!</v>
      </c>
      <c r="AQ24" t="e">
        <f>AND(#REF!,"AAAAAH7e/yo=")</f>
        <v>#REF!</v>
      </c>
      <c r="AR24" t="e">
        <f>AND(#REF!,"AAAAAH7e/ys=")</f>
        <v>#REF!</v>
      </c>
      <c r="AS24" t="e">
        <f>AND(#REF!,"AAAAAH7e/yw=")</f>
        <v>#REF!</v>
      </c>
      <c r="AT24" t="e">
        <f>AND(#REF!,"AAAAAH7e/y0=")</f>
        <v>#REF!</v>
      </c>
      <c r="AU24" t="e">
        <f>AND(#REF!,"AAAAAH7e/y4=")</f>
        <v>#REF!</v>
      </c>
      <c r="AV24" t="e">
        <f>AND(#REF!,"AAAAAH7e/y8=")</f>
        <v>#REF!</v>
      </c>
      <c r="AW24" t="e">
        <f>AND(#REF!,"AAAAAH7e/zA=")</f>
        <v>#REF!</v>
      </c>
      <c r="AX24" t="e">
        <f>AND(#REF!,"AAAAAH7e/zE=")</f>
        <v>#REF!</v>
      </c>
      <c r="AY24" t="e">
        <f>AND(#REF!,"AAAAAH7e/zI=")</f>
        <v>#REF!</v>
      </c>
      <c r="AZ24" t="e">
        <f>AND(#REF!,"AAAAAH7e/zM=")</f>
        <v>#REF!</v>
      </c>
      <c r="BA24" t="e">
        <f>AND(#REF!,"AAAAAH7e/zQ=")</f>
        <v>#REF!</v>
      </c>
      <c r="BB24" t="e">
        <f>AND(#REF!,"AAAAAH7e/zU=")</f>
        <v>#REF!</v>
      </c>
      <c r="BC24" t="e">
        <f>AND(#REF!,"AAAAAH7e/zY=")</f>
        <v>#REF!</v>
      </c>
      <c r="BD24" t="e">
        <f>AND(#REF!,"AAAAAH7e/zc=")</f>
        <v>#REF!</v>
      </c>
      <c r="BE24" t="e">
        <f>AND(#REF!,"AAAAAH7e/zg=")</f>
        <v>#REF!</v>
      </c>
      <c r="BF24" t="e">
        <f>AND(#REF!,"AAAAAH7e/zk=")</f>
        <v>#REF!</v>
      </c>
      <c r="BG24" t="e">
        <f>AND(#REF!,"AAAAAH7e/zo=")</f>
        <v>#REF!</v>
      </c>
      <c r="BH24" t="e">
        <f>AND(#REF!,"AAAAAH7e/zs=")</f>
        <v>#REF!</v>
      </c>
      <c r="BI24" t="e">
        <f>AND(#REF!,"AAAAAH7e/zw=")</f>
        <v>#REF!</v>
      </c>
      <c r="BJ24" t="e">
        <f>AND(#REF!,"AAAAAH7e/z0=")</f>
        <v>#REF!</v>
      </c>
      <c r="BK24" t="e">
        <f>AND(#REF!,"AAAAAH7e/z4=")</f>
        <v>#REF!</v>
      </c>
      <c r="BL24" t="e">
        <f>AND(#REF!,"AAAAAH7e/z8=")</f>
        <v>#REF!</v>
      </c>
      <c r="BM24" t="e">
        <f>AND(#REF!,"AAAAAH7e/0A=")</f>
        <v>#REF!</v>
      </c>
      <c r="BN24" t="e">
        <f>AND(#REF!,"AAAAAH7e/0E=")</f>
        <v>#REF!</v>
      </c>
      <c r="BO24" t="e">
        <f>AND(#REF!,"AAAAAH7e/0I=")</f>
        <v>#REF!</v>
      </c>
      <c r="BP24" t="e">
        <f>AND(#REF!,"AAAAAH7e/0M=")</f>
        <v>#REF!</v>
      </c>
      <c r="BQ24" t="e">
        <f>AND(#REF!,"AAAAAH7e/0Q=")</f>
        <v>#REF!</v>
      </c>
      <c r="BR24" t="e">
        <f>AND(#REF!,"AAAAAH7e/0U=")</f>
        <v>#REF!</v>
      </c>
      <c r="BS24" t="e">
        <f>AND(#REF!,"AAAAAH7e/0Y=")</f>
        <v>#REF!</v>
      </c>
      <c r="BT24" t="e">
        <f>AND(#REF!,"AAAAAH7e/0c=")</f>
        <v>#REF!</v>
      </c>
      <c r="BU24" t="e">
        <f>AND(#REF!,"AAAAAH7e/0g=")</f>
        <v>#REF!</v>
      </c>
      <c r="BV24" t="e">
        <f>AND(#REF!,"AAAAAH7e/0k=")</f>
        <v>#REF!</v>
      </c>
      <c r="BW24" t="e">
        <f>AND(#REF!,"AAAAAH7e/0o=")</f>
        <v>#REF!</v>
      </c>
      <c r="BX24" t="e">
        <f>AND(#REF!,"AAAAAH7e/0s=")</f>
        <v>#REF!</v>
      </c>
      <c r="BY24" t="e">
        <f>AND(#REF!,"AAAAAH7e/0w=")</f>
        <v>#REF!</v>
      </c>
      <c r="BZ24" t="e">
        <f>AND(#REF!,"AAAAAH7e/00=")</f>
        <v>#REF!</v>
      </c>
      <c r="CA24" t="e">
        <f>AND(#REF!,"AAAAAH7e/04=")</f>
        <v>#REF!</v>
      </c>
      <c r="CB24" t="e">
        <f>AND(#REF!,"AAAAAH7e/08=")</f>
        <v>#REF!</v>
      </c>
      <c r="CC24" t="e">
        <f>AND(#REF!,"AAAAAH7e/1A=")</f>
        <v>#REF!</v>
      </c>
      <c r="CD24" t="e">
        <f>AND(#REF!,"AAAAAH7e/1E=")</f>
        <v>#REF!</v>
      </c>
      <c r="CE24" t="e">
        <f>AND(#REF!,"AAAAAH7e/1I=")</f>
        <v>#REF!</v>
      </c>
      <c r="CF24" t="e">
        <f>AND(#REF!,"AAAAAH7e/1M=")</f>
        <v>#REF!</v>
      </c>
      <c r="CG24" t="e">
        <f>AND(#REF!,"AAAAAH7e/1Q=")</f>
        <v>#REF!</v>
      </c>
      <c r="CH24" t="e">
        <f>AND(#REF!,"AAAAAH7e/1U=")</f>
        <v>#REF!</v>
      </c>
      <c r="CI24" t="e">
        <f>AND(#REF!,"AAAAAH7e/1Y=")</f>
        <v>#REF!</v>
      </c>
      <c r="CJ24" t="e">
        <f>AND(#REF!,"AAAAAH7e/1c=")</f>
        <v>#REF!</v>
      </c>
      <c r="CK24" t="e">
        <f>AND(#REF!,"AAAAAH7e/1g=")</f>
        <v>#REF!</v>
      </c>
      <c r="CL24" t="e">
        <f>AND(#REF!,"AAAAAH7e/1k=")</f>
        <v>#REF!</v>
      </c>
      <c r="CM24" t="e">
        <f>AND(#REF!,"AAAAAH7e/1o=")</f>
        <v>#REF!</v>
      </c>
      <c r="CN24" t="e">
        <f>AND(#REF!,"AAAAAH7e/1s=")</f>
        <v>#REF!</v>
      </c>
      <c r="CO24" t="e">
        <f>AND(#REF!,"AAAAAH7e/1w=")</f>
        <v>#REF!</v>
      </c>
      <c r="CP24" t="e">
        <f>AND(#REF!,"AAAAAH7e/10=")</f>
        <v>#REF!</v>
      </c>
      <c r="CQ24" t="e">
        <f>AND(#REF!,"AAAAAH7e/14=")</f>
        <v>#REF!</v>
      </c>
      <c r="CR24" t="e">
        <f>AND(#REF!,"AAAAAH7e/18=")</f>
        <v>#REF!</v>
      </c>
      <c r="CS24" t="e">
        <f>AND(#REF!,"AAAAAH7e/2A=")</f>
        <v>#REF!</v>
      </c>
      <c r="CT24" t="e">
        <f>AND(#REF!,"AAAAAH7e/2E=")</f>
        <v>#REF!</v>
      </c>
      <c r="CU24" t="e">
        <f>AND(#REF!,"AAAAAH7e/2I=")</f>
        <v>#REF!</v>
      </c>
      <c r="CV24" t="e">
        <f>AND(#REF!,"AAAAAH7e/2M=")</f>
        <v>#REF!</v>
      </c>
      <c r="CW24" t="e">
        <f>AND(#REF!,"AAAAAH7e/2Q=")</f>
        <v>#REF!</v>
      </c>
      <c r="CX24" t="e">
        <f>AND(#REF!,"AAAAAH7e/2U=")</f>
        <v>#REF!</v>
      </c>
      <c r="CY24" t="e">
        <f>IF(#REF!,"AAAAAH7e/2Y=",0)</f>
        <v>#REF!</v>
      </c>
      <c r="CZ24" t="e">
        <f>AND(#REF!,"AAAAAH7e/2c=")</f>
        <v>#REF!</v>
      </c>
      <c r="DA24" t="e">
        <f>AND(#REF!,"AAAAAH7e/2g=")</f>
        <v>#REF!</v>
      </c>
      <c r="DB24" t="e">
        <f>AND(#REF!,"AAAAAH7e/2k=")</f>
        <v>#REF!</v>
      </c>
      <c r="DC24" t="e">
        <f>AND(#REF!,"AAAAAH7e/2o=")</f>
        <v>#REF!</v>
      </c>
      <c r="DD24" t="e">
        <f>AND(#REF!,"AAAAAH7e/2s=")</f>
        <v>#REF!</v>
      </c>
      <c r="DE24" t="e">
        <f>AND(#REF!,"AAAAAH7e/2w=")</f>
        <v>#REF!</v>
      </c>
      <c r="DF24" t="e">
        <f>AND(#REF!,"AAAAAH7e/20=")</f>
        <v>#REF!</v>
      </c>
      <c r="DG24" t="e">
        <f>AND(#REF!,"AAAAAH7e/24=")</f>
        <v>#REF!</v>
      </c>
      <c r="DH24" t="e">
        <f>AND(#REF!,"AAAAAH7e/28=")</f>
        <v>#REF!</v>
      </c>
      <c r="DI24" t="e">
        <f>AND(#REF!,"AAAAAH7e/3A=")</f>
        <v>#REF!</v>
      </c>
      <c r="DJ24" t="e">
        <f>AND(#REF!,"AAAAAH7e/3E=")</f>
        <v>#REF!</v>
      </c>
      <c r="DK24" t="e">
        <f>AND(#REF!,"AAAAAH7e/3I=")</f>
        <v>#REF!</v>
      </c>
      <c r="DL24" t="e">
        <f>AND(#REF!,"AAAAAH7e/3M=")</f>
        <v>#REF!</v>
      </c>
      <c r="DM24" t="e">
        <f>AND(#REF!,"AAAAAH7e/3Q=")</f>
        <v>#REF!</v>
      </c>
      <c r="DN24" t="e">
        <f>AND(#REF!,"AAAAAH7e/3U=")</f>
        <v>#REF!</v>
      </c>
      <c r="DO24" t="e">
        <f>AND(#REF!,"AAAAAH7e/3Y=")</f>
        <v>#REF!</v>
      </c>
      <c r="DP24" t="e">
        <f>AND(#REF!,"AAAAAH7e/3c=")</f>
        <v>#REF!</v>
      </c>
      <c r="DQ24" t="e">
        <f>AND(#REF!,"AAAAAH7e/3g=")</f>
        <v>#REF!</v>
      </c>
      <c r="DR24" t="e">
        <f>AND(#REF!,"AAAAAH7e/3k=")</f>
        <v>#REF!</v>
      </c>
      <c r="DS24" t="e">
        <f>AND(#REF!,"AAAAAH7e/3o=")</f>
        <v>#REF!</v>
      </c>
      <c r="DT24" t="e">
        <f>AND(#REF!,"AAAAAH7e/3s=")</f>
        <v>#REF!</v>
      </c>
      <c r="DU24" t="e">
        <f>AND(#REF!,"AAAAAH7e/3w=")</f>
        <v>#REF!</v>
      </c>
      <c r="DV24" t="e">
        <f>AND(#REF!,"AAAAAH7e/30=")</f>
        <v>#REF!</v>
      </c>
      <c r="DW24" t="e">
        <f>AND(#REF!,"AAAAAH7e/34=")</f>
        <v>#REF!</v>
      </c>
      <c r="DX24" t="e">
        <f>AND(#REF!,"AAAAAH7e/38=")</f>
        <v>#REF!</v>
      </c>
      <c r="DY24" t="e">
        <f>AND(#REF!,"AAAAAH7e/4A=")</f>
        <v>#REF!</v>
      </c>
      <c r="DZ24" t="e">
        <f>AND(#REF!,"AAAAAH7e/4E=")</f>
        <v>#REF!</v>
      </c>
      <c r="EA24" t="e">
        <f>AND(#REF!,"AAAAAH7e/4I=")</f>
        <v>#REF!</v>
      </c>
      <c r="EB24" t="e">
        <f>AND(#REF!,"AAAAAH7e/4M=")</f>
        <v>#REF!</v>
      </c>
      <c r="EC24" t="e">
        <f>AND(#REF!,"AAAAAH7e/4Q=")</f>
        <v>#REF!</v>
      </c>
      <c r="ED24" t="e">
        <f>AND(#REF!,"AAAAAH7e/4U=")</f>
        <v>#REF!</v>
      </c>
      <c r="EE24" t="e">
        <f>AND(#REF!,"AAAAAH7e/4Y=")</f>
        <v>#REF!</v>
      </c>
      <c r="EF24" t="e">
        <f>AND(#REF!,"AAAAAH7e/4c=")</f>
        <v>#REF!</v>
      </c>
      <c r="EG24" t="e">
        <f>AND(#REF!,"AAAAAH7e/4g=")</f>
        <v>#REF!</v>
      </c>
      <c r="EH24" t="e">
        <f>AND(#REF!,"AAAAAH7e/4k=")</f>
        <v>#REF!</v>
      </c>
      <c r="EI24" t="e">
        <f>AND(#REF!,"AAAAAH7e/4o=")</f>
        <v>#REF!</v>
      </c>
      <c r="EJ24" t="e">
        <f>AND(#REF!,"AAAAAH7e/4s=")</f>
        <v>#REF!</v>
      </c>
      <c r="EK24" t="e">
        <f>AND(#REF!,"AAAAAH7e/4w=")</f>
        <v>#REF!</v>
      </c>
      <c r="EL24" t="e">
        <f>AND(#REF!,"AAAAAH7e/40=")</f>
        <v>#REF!</v>
      </c>
      <c r="EM24" t="e">
        <f>AND(#REF!,"AAAAAH7e/44=")</f>
        <v>#REF!</v>
      </c>
      <c r="EN24" t="e">
        <f>AND(#REF!,"AAAAAH7e/48=")</f>
        <v>#REF!</v>
      </c>
      <c r="EO24" t="e">
        <f>AND(#REF!,"AAAAAH7e/5A=")</f>
        <v>#REF!</v>
      </c>
      <c r="EP24" t="e">
        <f>AND(#REF!,"AAAAAH7e/5E=")</f>
        <v>#REF!</v>
      </c>
      <c r="EQ24" t="e">
        <f>AND(#REF!,"AAAAAH7e/5I=")</f>
        <v>#REF!</v>
      </c>
      <c r="ER24" t="e">
        <f>AND(#REF!,"AAAAAH7e/5M=")</f>
        <v>#REF!</v>
      </c>
      <c r="ES24" t="e">
        <f>AND(#REF!,"AAAAAH7e/5Q=")</f>
        <v>#REF!</v>
      </c>
      <c r="ET24" t="e">
        <f>AND(#REF!,"AAAAAH7e/5U=")</f>
        <v>#REF!</v>
      </c>
      <c r="EU24" t="e">
        <f>AND(#REF!,"AAAAAH7e/5Y=")</f>
        <v>#REF!</v>
      </c>
      <c r="EV24" t="e">
        <f>AND(#REF!,"AAAAAH7e/5c=")</f>
        <v>#REF!</v>
      </c>
      <c r="EW24" t="e">
        <f>AND(#REF!,"AAAAAH7e/5g=")</f>
        <v>#REF!</v>
      </c>
      <c r="EX24" t="e">
        <f>AND(#REF!,"AAAAAH7e/5k=")</f>
        <v>#REF!</v>
      </c>
      <c r="EY24" t="e">
        <f>AND(#REF!,"AAAAAH7e/5o=")</f>
        <v>#REF!</v>
      </c>
      <c r="EZ24" t="e">
        <f>AND(#REF!,"AAAAAH7e/5s=")</f>
        <v>#REF!</v>
      </c>
      <c r="FA24" t="e">
        <f>AND(#REF!,"AAAAAH7e/5w=")</f>
        <v>#REF!</v>
      </c>
      <c r="FB24" t="e">
        <f>AND(#REF!,"AAAAAH7e/50=")</f>
        <v>#REF!</v>
      </c>
      <c r="FC24" t="e">
        <f>AND(#REF!,"AAAAAH7e/54=")</f>
        <v>#REF!</v>
      </c>
      <c r="FD24" t="e">
        <f>AND(#REF!,"AAAAAH7e/58=")</f>
        <v>#REF!</v>
      </c>
      <c r="FE24" t="e">
        <f>AND(#REF!,"AAAAAH7e/6A=")</f>
        <v>#REF!</v>
      </c>
      <c r="FF24" t="e">
        <f>AND(#REF!,"AAAAAH7e/6E=")</f>
        <v>#REF!</v>
      </c>
      <c r="FG24" t="e">
        <f>AND(#REF!,"AAAAAH7e/6I=")</f>
        <v>#REF!</v>
      </c>
      <c r="FH24" t="e">
        <f>AND(#REF!,"AAAAAH7e/6M=")</f>
        <v>#REF!</v>
      </c>
      <c r="FI24" t="e">
        <f>AND(#REF!,"AAAAAH7e/6Q=")</f>
        <v>#REF!</v>
      </c>
      <c r="FJ24" t="e">
        <f>AND(#REF!,"AAAAAH7e/6U=")</f>
        <v>#REF!</v>
      </c>
      <c r="FK24" t="e">
        <f>AND(#REF!,"AAAAAH7e/6Y=")</f>
        <v>#REF!</v>
      </c>
      <c r="FL24" t="e">
        <f>AND(#REF!,"AAAAAH7e/6c=")</f>
        <v>#REF!</v>
      </c>
      <c r="FM24" t="e">
        <f>AND(#REF!,"AAAAAH7e/6g=")</f>
        <v>#REF!</v>
      </c>
      <c r="FN24" t="e">
        <f>AND(#REF!,"AAAAAH7e/6k=")</f>
        <v>#REF!</v>
      </c>
      <c r="FO24" t="e">
        <f>AND(#REF!,"AAAAAH7e/6o=")</f>
        <v>#REF!</v>
      </c>
      <c r="FP24" t="e">
        <f>AND(#REF!,"AAAAAH7e/6s=")</f>
        <v>#REF!</v>
      </c>
      <c r="FQ24" t="e">
        <f>AND(#REF!,"AAAAAH7e/6w=")</f>
        <v>#REF!</v>
      </c>
      <c r="FR24" t="e">
        <f>AND(#REF!,"AAAAAH7e/60=")</f>
        <v>#REF!</v>
      </c>
      <c r="FS24" t="e">
        <f>AND(#REF!,"AAAAAH7e/64=")</f>
        <v>#REF!</v>
      </c>
      <c r="FT24" t="e">
        <f>AND(#REF!,"AAAAAH7e/68=")</f>
        <v>#REF!</v>
      </c>
      <c r="FU24" t="e">
        <f>AND(#REF!,"AAAAAH7e/7A=")</f>
        <v>#REF!</v>
      </c>
      <c r="FV24" t="e">
        <f>AND(#REF!,"AAAAAH7e/7E=")</f>
        <v>#REF!</v>
      </c>
      <c r="FW24" t="e">
        <f>AND(#REF!,"AAAAAH7e/7I=")</f>
        <v>#REF!</v>
      </c>
      <c r="FX24" t="e">
        <f>AND(#REF!,"AAAAAH7e/7M=")</f>
        <v>#REF!</v>
      </c>
      <c r="FY24" t="e">
        <f>AND(#REF!,"AAAAAH7e/7Q=")</f>
        <v>#REF!</v>
      </c>
      <c r="FZ24" t="e">
        <f>AND(#REF!,"AAAAAH7e/7U=")</f>
        <v>#REF!</v>
      </c>
      <c r="GA24" t="e">
        <f>AND(#REF!,"AAAAAH7e/7Y=")</f>
        <v>#REF!</v>
      </c>
      <c r="GB24" t="e">
        <f>AND(#REF!,"AAAAAH7e/7c=")</f>
        <v>#REF!</v>
      </c>
      <c r="GC24" t="e">
        <f>AND(#REF!,"AAAAAH7e/7g=")</f>
        <v>#REF!</v>
      </c>
      <c r="GD24" t="e">
        <f>AND(#REF!,"AAAAAH7e/7k=")</f>
        <v>#REF!</v>
      </c>
      <c r="GE24" t="e">
        <f>AND(#REF!,"AAAAAH7e/7o=")</f>
        <v>#REF!</v>
      </c>
      <c r="GF24" t="e">
        <f>AND(#REF!,"AAAAAH7e/7s=")</f>
        <v>#REF!</v>
      </c>
      <c r="GG24" t="e">
        <f>AND(#REF!,"AAAAAH7e/7w=")</f>
        <v>#REF!</v>
      </c>
      <c r="GH24" t="e">
        <f>AND(#REF!,"AAAAAH7e/70=")</f>
        <v>#REF!</v>
      </c>
      <c r="GI24" t="e">
        <f>AND(#REF!,"AAAAAH7e/74=")</f>
        <v>#REF!</v>
      </c>
      <c r="GJ24" t="e">
        <f>AND(#REF!,"AAAAAH7e/78=")</f>
        <v>#REF!</v>
      </c>
      <c r="GK24" t="e">
        <f>AND(#REF!,"AAAAAH7e/8A=")</f>
        <v>#REF!</v>
      </c>
      <c r="GL24" t="e">
        <f>AND(#REF!,"AAAAAH7e/8E=")</f>
        <v>#REF!</v>
      </c>
      <c r="GM24" t="e">
        <f>AND(#REF!,"AAAAAH7e/8I=")</f>
        <v>#REF!</v>
      </c>
      <c r="GN24" t="e">
        <f>AND(#REF!,"AAAAAH7e/8M=")</f>
        <v>#REF!</v>
      </c>
      <c r="GO24" t="e">
        <f>AND(#REF!,"AAAAAH7e/8Q=")</f>
        <v>#REF!</v>
      </c>
      <c r="GP24" t="e">
        <f>AND(#REF!,"AAAAAH7e/8U=")</f>
        <v>#REF!</v>
      </c>
      <c r="GQ24" t="e">
        <f>AND(#REF!,"AAAAAH7e/8Y=")</f>
        <v>#REF!</v>
      </c>
      <c r="GR24" t="e">
        <f>AND(#REF!,"AAAAAH7e/8c=")</f>
        <v>#REF!</v>
      </c>
      <c r="GS24" t="e">
        <f>AND(#REF!,"AAAAAH7e/8g=")</f>
        <v>#REF!</v>
      </c>
      <c r="GT24" t="e">
        <f>AND(#REF!,"AAAAAH7e/8k=")</f>
        <v>#REF!</v>
      </c>
      <c r="GU24" t="e">
        <f>AND(#REF!,"AAAAAH7e/8o=")</f>
        <v>#REF!</v>
      </c>
      <c r="GV24" t="e">
        <f>AND(#REF!,"AAAAAH7e/8s=")</f>
        <v>#REF!</v>
      </c>
      <c r="GW24" t="e">
        <f>AND(#REF!,"AAAAAH7e/8w=")</f>
        <v>#REF!</v>
      </c>
      <c r="GX24" t="e">
        <f>AND(#REF!,"AAAAAH7e/80=")</f>
        <v>#REF!</v>
      </c>
      <c r="GY24" t="e">
        <f>AND(#REF!,"AAAAAH7e/84=")</f>
        <v>#REF!</v>
      </c>
      <c r="GZ24" t="e">
        <f>AND(#REF!,"AAAAAH7e/88=")</f>
        <v>#REF!</v>
      </c>
      <c r="HA24" t="e">
        <f>AND(#REF!,"AAAAAH7e/9A=")</f>
        <v>#REF!</v>
      </c>
      <c r="HB24" t="e">
        <f>AND(#REF!,"AAAAAH7e/9E=")</f>
        <v>#REF!</v>
      </c>
      <c r="HC24" t="e">
        <f>AND(#REF!,"AAAAAH7e/9I=")</f>
        <v>#REF!</v>
      </c>
      <c r="HD24" t="e">
        <f>AND(#REF!,"AAAAAH7e/9M=")</f>
        <v>#REF!</v>
      </c>
      <c r="HE24" t="e">
        <f>AND(#REF!,"AAAAAH7e/9Q=")</f>
        <v>#REF!</v>
      </c>
      <c r="HF24" t="e">
        <f>AND(#REF!,"AAAAAH7e/9U=")</f>
        <v>#REF!</v>
      </c>
      <c r="HG24" t="e">
        <f>AND(#REF!,"AAAAAH7e/9Y=")</f>
        <v>#REF!</v>
      </c>
      <c r="HH24" t="e">
        <f>AND(#REF!,"AAAAAH7e/9c=")</f>
        <v>#REF!</v>
      </c>
      <c r="HI24" t="e">
        <f>AND(#REF!,"AAAAAH7e/9g=")</f>
        <v>#REF!</v>
      </c>
      <c r="HJ24" t="e">
        <f>AND(#REF!,"AAAAAH7e/9k=")</f>
        <v>#REF!</v>
      </c>
      <c r="HK24" t="e">
        <f>AND(#REF!,"AAAAAH7e/9o=")</f>
        <v>#REF!</v>
      </c>
      <c r="HL24" t="e">
        <f>AND(#REF!,"AAAAAH7e/9s=")</f>
        <v>#REF!</v>
      </c>
      <c r="HM24" t="e">
        <f>AND(#REF!,"AAAAAH7e/9w=")</f>
        <v>#REF!</v>
      </c>
      <c r="HN24" t="e">
        <f>AND(#REF!,"AAAAAH7e/90=")</f>
        <v>#REF!</v>
      </c>
      <c r="HO24" t="e">
        <f>AND(#REF!,"AAAAAH7e/94=")</f>
        <v>#REF!</v>
      </c>
      <c r="HP24" t="e">
        <f>AND(#REF!,"AAAAAH7e/98=")</f>
        <v>#REF!</v>
      </c>
      <c r="HQ24" t="e">
        <f>AND(#REF!,"AAAAAH7e/+A=")</f>
        <v>#REF!</v>
      </c>
      <c r="HR24" t="e">
        <f>AND(#REF!,"AAAAAH7e/+E=")</f>
        <v>#REF!</v>
      </c>
      <c r="HS24" t="e">
        <f>AND(#REF!,"AAAAAH7e/+I=")</f>
        <v>#REF!</v>
      </c>
      <c r="HT24" t="e">
        <f>AND(#REF!,"AAAAAH7e/+M=")</f>
        <v>#REF!</v>
      </c>
      <c r="HU24" t="e">
        <f>AND(#REF!,"AAAAAH7e/+Q=")</f>
        <v>#REF!</v>
      </c>
      <c r="HV24" t="e">
        <f>AND(#REF!,"AAAAAH7e/+U=")</f>
        <v>#REF!</v>
      </c>
      <c r="HW24" t="e">
        <f>AND(#REF!,"AAAAAH7e/+Y=")</f>
        <v>#REF!</v>
      </c>
      <c r="HX24" t="e">
        <f>AND(#REF!,"AAAAAH7e/+c=")</f>
        <v>#REF!</v>
      </c>
      <c r="HY24" t="e">
        <f>AND(#REF!,"AAAAAH7e/+g=")</f>
        <v>#REF!</v>
      </c>
      <c r="HZ24" t="e">
        <f>AND(#REF!,"AAAAAH7e/+k=")</f>
        <v>#REF!</v>
      </c>
      <c r="IA24" t="e">
        <f>AND(#REF!,"AAAAAH7e/+o=")</f>
        <v>#REF!</v>
      </c>
      <c r="IB24" t="e">
        <f>AND(#REF!,"AAAAAH7e/+s=")</f>
        <v>#REF!</v>
      </c>
      <c r="IC24" t="e">
        <f>AND(#REF!,"AAAAAH7e/+w=")</f>
        <v>#REF!</v>
      </c>
      <c r="ID24" t="e">
        <f>AND(#REF!,"AAAAAH7e/+0=")</f>
        <v>#REF!</v>
      </c>
      <c r="IE24" t="e">
        <f>AND(#REF!,"AAAAAH7e/+4=")</f>
        <v>#REF!</v>
      </c>
      <c r="IF24" t="e">
        <f>AND(#REF!,"AAAAAH7e/+8=")</f>
        <v>#REF!</v>
      </c>
      <c r="IG24" t="e">
        <f>AND(#REF!,"AAAAAH7e//A=")</f>
        <v>#REF!</v>
      </c>
      <c r="IH24" t="e">
        <f>AND(#REF!,"AAAAAH7e//E=")</f>
        <v>#REF!</v>
      </c>
      <c r="II24" t="e">
        <f>AND(#REF!,"AAAAAH7e//I=")</f>
        <v>#REF!</v>
      </c>
      <c r="IJ24" t="e">
        <f>AND(#REF!,"AAAAAH7e//M=")</f>
        <v>#REF!</v>
      </c>
      <c r="IK24" t="e">
        <f>AND(#REF!,"AAAAAH7e//Q=")</f>
        <v>#REF!</v>
      </c>
      <c r="IL24" t="e">
        <f>AND(#REF!,"AAAAAH7e//U=")</f>
        <v>#REF!</v>
      </c>
      <c r="IM24" t="e">
        <f>AND(#REF!,"AAAAAH7e//Y=")</f>
        <v>#REF!</v>
      </c>
      <c r="IN24" t="e">
        <f>AND(#REF!,"AAAAAH7e//c=")</f>
        <v>#REF!</v>
      </c>
      <c r="IO24" t="e">
        <f>AND(#REF!,"AAAAAH7e//g=")</f>
        <v>#REF!</v>
      </c>
      <c r="IP24" t="e">
        <f>AND(#REF!,"AAAAAH7e//k=")</f>
        <v>#REF!</v>
      </c>
      <c r="IQ24" t="e">
        <f>AND(#REF!,"AAAAAH7e//o=")</f>
        <v>#REF!</v>
      </c>
      <c r="IR24" t="e">
        <f>AND(#REF!,"AAAAAH7e//s=")</f>
        <v>#REF!</v>
      </c>
      <c r="IS24" t="e">
        <f>AND(#REF!,"AAAAAH7e//w=")</f>
        <v>#REF!</v>
      </c>
      <c r="IT24" t="e">
        <f>AND(#REF!,"AAAAAH7e//0=")</f>
        <v>#REF!</v>
      </c>
      <c r="IU24" t="e">
        <f>AND(#REF!,"AAAAAH7e//4=")</f>
        <v>#REF!</v>
      </c>
      <c r="IV24" t="e">
        <f>AND(#REF!,"AAAAAH7e//8=")</f>
        <v>#REF!</v>
      </c>
    </row>
    <row r="25" spans="1:256" x14ac:dyDescent="0.2">
      <c r="A25" t="e">
        <f>AND(#REF!,"AAAAAH/+rgA=")</f>
        <v>#REF!</v>
      </c>
      <c r="B25" t="e">
        <f>AND(#REF!,"AAAAAH/+rgE=")</f>
        <v>#REF!</v>
      </c>
      <c r="C25" t="e">
        <f>AND(#REF!,"AAAAAH/+rgI=")</f>
        <v>#REF!</v>
      </c>
      <c r="D25" t="e">
        <f>AND(#REF!,"AAAAAH/+rgM=")</f>
        <v>#REF!</v>
      </c>
      <c r="E25" t="e">
        <f>AND(#REF!,"AAAAAH/+rgQ=")</f>
        <v>#REF!</v>
      </c>
      <c r="F25" t="e">
        <f>AND(#REF!,"AAAAAH/+rgU=")</f>
        <v>#REF!</v>
      </c>
      <c r="G25" t="e">
        <f>AND(#REF!,"AAAAAH/+rgY=")</f>
        <v>#REF!</v>
      </c>
      <c r="H25" t="e">
        <f>AND(#REF!,"AAAAAH/+rgc=")</f>
        <v>#REF!</v>
      </c>
      <c r="I25" t="e">
        <f>AND(#REF!,"AAAAAH/+rgg=")</f>
        <v>#REF!</v>
      </c>
      <c r="J25" t="e">
        <f>AND(#REF!,"AAAAAH/+rgk=")</f>
        <v>#REF!</v>
      </c>
      <c r="K25" t="e">
        <f>AND(#REF!,"AAAAAH/+rgo=")</f>
        <v>#REF!</v>
      </c>
      <c r="L25" t="e">
        <f>AND(#REF!,"AAAAAH/+rgs=")</f>
        <v>#REF!</v>
      </c>
      <c r="M25" t="e">
        <f>AND(#REF!,"AAAAAH/+rgw=")</f>
        <v>#REF!</v>
      </c>
      <c r="N25" t="e">
        <f>AND(#REF!,"AAAAAH/+rg0=")</f>
        <v>#REF!</v>
      </c>
      <c r="O25" t="e">
        <f>AND(#REF!,"AAAAAH/+rg4=")</f>
        <v>#REF!</v>
      </c>
      <c r="P25" t="e">
        <f>AND(#REF!,"AAAAAH/+rg8=")</f>
        <v>#REF!</v>
      </c>
      <c r="Q25" t="e">
        <f>AND(#REF!,"AAAAAH/+rhA=")</f>
        <v>#REF!</v>
      </c>
      <c r="R25" t="e">
        <f>AND(#REF!,"AAAAAH/+rhE=")</f>
        <v>#REF!</v>
      </c>
      <c r="S25" t="e">
        <f>AND(#REF!,"AAAAAH/+rhI=")</f>
        <v>#REF!</v>
      </c>
      <c r="T25" t="e">
        <f>AND(#REF!,"AAAAAH/+rhM=")</f>
        <v>#REF!</v>
      </c>
      <c r="U25" t="e">
        <f>AND(#REF!,"AAAAAH/+rhQ=")</f>
        <v>#REF!</v>
      </c>
      <c r="V25" t="e">
        <f>AND(#REF!,"AAAAAH/+rhU=")</f>
        <v>#REF!</v>
      </c>
      <c r="W25" t="e">
        <f>AND(#REF!,"AAAAAH/+rhY=")</f>
        <v>#REF!</v>
      </c>
      <c r="X25" t="e">
        <f>AND(#REF!,"AAAAAH/+rhc=")</f>
        <v>#REF!</v>
      </c>
      <c r="Y25" t="e">
        <f>AND(#REF!,"AAAAAH/+rhg=")</f>
        <v>#REF!</v>
      </c>
      <c r="Z25" t="e">
        <f>AND(#REF!,"AAAAAH/+rhk=")</f>
        <v>#REF!</v>
      </c>
      <c r="AA25" t="e">
        <f>AND(#REF!,"AAAAAH/+rho=")</f>
        <v>#REF!</v>
      </c>
      <c r="AB25" t="e">
        <f>IF(#REF!,"AAAAAH/+rhs=",0)</f>
        <v>#REF!</v>
      </c>
      <c r="AC25" t="e">
        <f>AND(#REF!,"AAAAAH/+rhw=")</f>
        <v>#REF!</v>
      </c>
      <c r="AD25" t="e">
        <f>AND(#REF!,"AAAAAH/+rh0=")</f>
        <v>#REF!</v>
      </c>
      <c r="AE25" t="e">
        <f>AND(#REF!,"AAAAAH/+rh4=")</f>
        <v>#REF!</v>
      </c>
      <c r="AF25" t="e">
        <f>AND(#REF!,"AAAAAH/+rh8=")</f>
        <v>#REF!</v>
      </c>
      <c r="AG25" t="e">
        <f>AND(#REF!,"AAAAAH/+riA=")</f>
        <v>#REF!</v>
      </c>
      <c r="AH25" t="e">
        <f>AND(#REF!,"AAAAAH/+riE=")</f>
        <v>#REF!</v>
      </c>
      <c r="AI25" t="e">
        <f>AND(#REF!,"AAAAAH/+riI=")</f>
        <v>#REF!</v>
      </c>
      <c r="AJ25" t="e">
        <f>AND(#REF!,"AAAAAH/+riM=")</f>
        <v>#REF!</v>
      </c>
      <c r="AK25" t="e">
        <f>AND(#REF!,"AAAAAH/+riQ=")</f>
        <v>#REF!</v>
      </c>
      <c r="AL25" t="e">
        <f>AND(#REF!,"AAAAAH/+riU=")</f>
        <v>#REF!</v>
      </c>
      <c r="AM25" t="e">
        <f>AND(#REF!,"AAAAAH/+riY=")</f>
        <v>#REF!</v>
      </c>
      <c r="AN25" t="e">
        <f>AND(#REF!,"AAAAAH/+ric=")</f>
        <v>#REF!</v>
      </c>
      <c r="AO25" t="e">
        <f>AND(#REF!,"AAAAAH/+rig=")</f>
        <v>#REF!</v>
      </c>
      <c r="AP25" t="e">
        <f>AND(#REF!,"AAAAAH/+rik=")</f>
        <v>#REF!</v>
      </c>
      <c r="AQ25" t="e">
        <f>AND(#REF!,"AAAAAH/+rio=")</f>
        <v>#REF!</v>
      </c>
      <c r="AR25" t="e">
        <f>AND(#REF!,"AAAAAH/+ris=")</f>
        <v>#REF!</v>
      </c>
      <c r="AS25" t="e">
        <f>AND(#REF!,"AAAAAH/+riw=")</f>
        <v>#REF!</v>
      </c>
      <c r="AT25" t="e">
        <f>AND(#REF!,"AAAAAH/+ri0=")</f>
        <v>#REF!</v>
      </c>
      <c r="AU25" t="e">
        <f>AND(#REF!,"AAAAAH/+ri4=")</f>
        <v>#REF!</v>
      </c>
      <c r="AV25" t="e">
        <f>AND(#REF!,"AAAAAH/+ri8=")</f>
        <v>#REF!</v>
      </c>
      <c r="AW25" t="e">
        <f>AND(#REF!,"AAAAAH/+rjA=")</f>
        <v>#REF!</v>
      </c>
      <c r="AX25" t="e">
        <f>AND(#REF!,"AAAAAH/+rjE=")</f>
        <v>#REF!</v>
      </c>
      <c r="AY25" t="e">
        <f>AND(#REF!,"AAAAAH/+rjI=")</f>
        <v>#REF!</v>
      </c>
      <c r="AZ25" t="e">
        <f>AND(#REF!,"AAAAAH/+rjM=")</f>
        <v>#REF!</v>
      </c>
      <c r="BA25" t="e">
        <f>AND(#REF!,"AAAAAH/+rjQ=")</f>
        <v>#REF!</v>
      </c>
      <c r="BB25" t="e">
        <f>AND(#REF!,"AAAAAH/+rjU=")</f>
        <v>#REF!</v>
      </c>
      <c r="BC25" t="e">
        <f>AND(#REF!,"AAAAAH/+rjY=")</f>
        <v>#REF!</v>
      </c>
      <c r="BD25" t="e">
        <f>AND(#REF!,"AAAAAH/+rjc=")</f>
        <v>#REF!</v>
      </c>
      <c r="BE25" t="e">
        <f>AND(#REF!,"AAAAAH/+rjg=")</f>
        <v>#REF!</v>
      </c>
      <c r="BF25" t="e">
        <f>AND(#REF!,"AAAAAH/+rjk=")</f>
        <v>#REF!</v>
      </c>
      <c r="BG25" t="e">
        <f>AND(#REF!,"AAAAAH/+rjo=")</f>
        <v>#REF!</v>
      </c>
      <c r="BH25" t="e">
        <f>AND(#REF!,"AAAAAH/+rjs=")</f>
        <v>#REF!</v>
      </c>
      <c r="BI25" t="e">
        <f>AND(#REF!,"AAAAAH/+rjw=")</f>
        <v>#REF!</v>
      </c>
      <c r="BJ25" t="e">
        <f>AND(#REF!,"AAAAAH/+rj0=")</f>
        <v>#REF!</v>
      </c>
      <c r="BK25" t="e">
        <f>AND(#REF!,"AAAAAH/+rj4=")</f>
        <v>#REF!</v>
      </c>
      <c r="BL25" t="e">
        <f>AND(#REF!,"AAAAAH/+rj8=")</f>
        <v>#REF!</v>
      </c>
      <c r="BM25" t="e">
        <f>AND(#REF!,"AAAAAH/+rkA=")</f>
        <v>#REF!</v>
      </c>
      <c r="BN25" t="e">
        <f>AND(#REF!,"AAAAAH/+rkE=")</f>
        <v>#REF!</v>
      </c>
      <c r="BO25" t="e">
        <f>AND(#REF!,"AAAAAH/+rkI=")</f>
        <v>#REF!</v>
      </c>
      <c r="BP25" t="e">
        <f>AND(#REF!,"AAAAAH/+rkM=")</f>
        <v>#REF!</v>
      </c>
      <c r="BQ25" t="e">
        <f>AND(#REF!,"AAAAAH/+rkQ=")</f>
        <v>#REF!</v>
      </c>
      <c r="BR25" t="e">
        <f>AND(#REF!,"AAAAAH/+rkU=")</f>
        <v>#REF!</v>
      </c>
      <c r="BS25" t="e">
        <f>AND(#REF!,"AAAAAH/+rkY=")</f>
        <v>#REF!</v>
      </c>
      <c r="BT25" t="e">
        <f>AND(#REF!,"AAAAAH/+rkc=")</f>
        <v>#REF!</v>
      </c>
      <c r="BU25" t="e">
        <f>AND(#REF!,"AAAAAH/+rkg=")</f>
        <v>#REF!</v>
      </c>
      <c r="BV25" t="e">
        <f>AND(#REF!,"AAAAAH/+rkk=")</f>
        <v>#REF!</v>
      </c>
      <c r="BW25" t="e">
        <f>AND(#REF!,"AAAAAH/+rko=")</f>
        <v>#REF!</v>
      </c>
      <c r="BX25" t="e">
        <f>AND(#REF!,"AAAAAH/+rks=")</f>
        <v>#REF!</v>
      </c>
      <c r="BY25" t="e">
        <f>AND(#REF!,"AAAAAH/+rkw=")</f>
        <v>#REF!</v>
      </c>
      <c r="BZ25" t="e">
        <f>AND(#REF!,"AAAAAH/+rk0=")</f>
        <v>#REF!</v>
      </c>
      <c r="CA25" t="e">
        <f>AND(#REF!,"AAAAAH/+rk4=")</f>
        <v>#REF!</v>
      </c>
      <c r="CB25" t="e">
        <f>AND(#REF!,"AAAAAH/+rk8=")</f>
        <v>#REF!</v>
      </c>
      <c r="CC25" t="e">
        <f>AND(#REF!,"AAAAAH/+rlA=")</f>
        <v>#REF!</v>
      </c>
      <c r="CD25" t="e">
        <f>AND(#REF!,"AAAAAH/+rlE=")</f>
        <v>#REF!</v>
      </c>
      <c r="CE25" t="e">
        <f>AND(#REF!,"AAAAAH/+rlI=")</f>
        <v>#REF!</v>
      </c>
      <c r="CF25" t="e">
        <f>AND(#REF!,"AAAAAH/+rlM=")</f>
        <v>#REF!</v>
      </c>
      <c r="CG25" t="e">
        <f>AND(#REF!,"AAAAAH/+rlQ=")</f>
        <v>#REF!</v>
      </c>
      <c r="CH25" t="e">
        <f>AND(#REF!,"AAAAAH/+rlU=")</f>
        <v>#REF!</v>
      </c>
      <c r="CI25" t="e">
        <f>AND(#REF!,"AAAAAH/+rlY=")</f>
        <v>#REF!</v>
      </c>
      <c r="CJ25" t="e">
        <f>AND(#REF!,"AAAAAH/+rlc=")</f>
        <v>#REF!</v>
      </c>
      <c r="CK25" t="e">
        <f>AND(#REF!,"AAAAAH/+rlg=")</f>
        <v>#REF!</v>
      </c>
      <c r="CL25" t="e">
        <f>AND(#REF!,"AAAAAH/+rlk=")</f>
        <v>#REF!</v>
      </c>
      <c r="CM25" t="e">
        <f>AND(#REF!,"AAAAAH/+rlo=")</f>
        <v>#REF!</v>
      </c>
      <c r="CN25" t="e">
        <f>AND(#REF!,"AAAAAH/+rls=")</f>
        <v>#REF!</v>
      </c>
      <c r="CO25" t="e">
        <f>AND(#REF!,"AAAAAH/+rlw=")</f>
        <v>#REF!</v>
      </c>
      <c r="CP25" t="e">
        <f>AND(#REF!,"AAAAAH/+rl0=")</f>
        <v>#REF!</v>
      </c>
      <c r="CQ25" t="e">
        <f>AND(#REF!,"AAAAAH/+rl4=")</f>
        <v>#REF!</v>
      </c>
      <c r="CR25" t="e">
        <f>AND(#REF!,"AAAAAH/+rl8=")</f>
        <v>#REF!</v>
      </c>
      <c r="CS25" t="e">
        <f>AND(#REF!,"AAAAAH/+rmA=")</f>
        <v>#REF!</v>
      </c>
      <c r="CT25" t="e">
        <f>AND(#REF!,"AAAAAH/+rmE=")</f>
        <v>#REF!</v>
      </c>
      <c r="CU25" t="e">
        <f>AND(#REF!,"AAAAAH/+rmI=")</f>
        <v>#REF!</v>
      </c>
      <c r="CV25" t="e">
        <f>AND(#REF!,"AAAAAH/+rmM=")</f>
        <v>#REF!</v>
      </c>
      <c r="CW25" t="e">
        <f>AND(#REF!,"AAAAAH/+rmQ=")</f>
        <v>#REF!</v>
      </c>
      <c r="CX25" t="e">
        <f>AND(#REF!,"AAAAAH/+rmU=")</f>
        <v>#REF!</v>
      </c>
      <c r="CY25" t="e">
        <f>AND(#REF!,"AAAAAH/+rmY=")</f>
        <v>#REF!</v>
      </c>
      <c r="CZ25" t="e">
        <f>AND(#REF!,"AAAAAH/+rmc=")</f>
        <v>#REF!</v>
      </c>
      <c r="DA25" t="e">
        <f>AND(#REF!,"AAAAAH/+rmg=")</f>
        <v>#REF!</v>
      </c>
      <c r="DB25" t="e">
        <f>AND(#REF!,"AAAAAH/+rmk=")</f>
        <v>#REF!</v>
      </c>
      <c r="DC25" t="e">
        <f>AND(#REF!,"AAAAAH/+rmo=")</f>
        <v>#REF!</v>
      </c>
      <c r="DD25" t="e">
        <f>AND(#REF!,"AAAAAH/+rms=")</f>
        <v>#REF!</v>
      </c>
      <c r="DE25" t="e">
        <f>AND(#REF!,"AAAAAH/+rmw=")</f>
        <v>#REF!</v>
      </c>
      <c r="DF25" t="e">
        <f>AND(#REF!,"AAAAAH/+rm0=")</f>
        <v>#REF!</v>
      </c>
      <c r="DG25" t="e">
        <f>AND(#REF!,"AAAAAH/+rm4=")</f>
        <v>#REF!</v>
      </c>
      <c r="DH25" t="e">
        <f>AND(#REF!,"AAAAAH/+rm8=")</f>
        <v>#REF!</v>
      </c>
      <c r="DI25" t="e">
        <f>AND(#REF!,"AAAAAH/+rnA=")</f>
        <v>#REF!</v>
      </c>
      <c r="DJ25" t="e">
        <f>AND(#REF!,"AAAAAH/+rnE=")</f>
        <v>#REF!</v>
      </c>
      <c r="DK25" t="e">
        <f>AND(#REF!,"AAAAAH/+rnI=")</f>
        <v>#REF!</v>
      </c>
      <c r="DL25" t="e">
        <f>AND(#REF!,"AAAAAH/+rnM=")</f>
        <v>#REF!</v>
      </c>
      <c r="DM25" t="e">
        <f>AND(#REF!,"AAAAAH/+rnQ=")</f>
        <v>#REF!</v>
      </c>
      <c r="DN25" t="e">
        <f>AND(#REF!,"AAAAAH/+rnU=")</f>
        <v>#REF!</v>
      </c>
      <c r="DO25" t="e">
        <f>AND(#REF!,"AAAAAH/+rnY=")</f>
        <v>#REF!</v>
      </c>
      <c r="DP25" t="e">
        <f>AND(#REF!,"AAAAAH/+rnc=")</f>
        <v>#REF!</v>
      </c>
      <c r="DQ25" t="e">
        <f>AND(#REF!,"AAAAAH/+rng=")</f>
        <v>#REF!</v>
      </c>
      <c r="DR25" t="e">
        <f>AND(#REF!,"AAAAAH/+rnk=")</f>
        <v>#REF!</v>
      </c>
      <c r="DS25" t="e">
        <f>AND(#REF!,"AAAAAH/+rno=")</f>
        <v>#REF!</v>
      </c>
      <c r="DT25" t="e">
        <f>AND(#REF!,"AAAAAH/+rns=")</f>
        <v>#REF!</v>
      </c>
      <c r="DU25" t="e">
        <f>AND(#REF!,"AAAAAH/+rnw=")</f>
        <v>#REF!</v>
      </c>
      <c r="DV25" t="e">
        <f>AND(#REF!,"AAAAAH/+rn0=")</f>
        <v>#REF!</v>
      </c>
      <c r="DW25" t="e">
        <f>AND(#REF!,"AAAAAH/+rn4=")</f>
        <v>#REF!</v>
      </c>
      <c r="DX25" t="e">
        <f>AND(#REF!,"AAAAAH/+rn8=")</f>
        <v>#REF!</v>
      </c>
      <c r="DY25" t="e">
        <f>AND(#REF!,"AAAAAH/+roA=")</f>
        <v>#REF!</v>
      </c>
      <c r="DZ25" t="e">
        <f>AND(#REF!,"AAAAAH/+roE=")</f>
        <v>#REF!</v>
      </c>
      <c r="EA25" t="e">
        <f>AND(#REF!,"AAAAAH/+roI=")</f>
        <v>#REF!</v>
      </c>
      <c r="EB25" t="e">
        <f>AND(#REF!,"AAAAAH/+roM=")</f>
        <v>#REF!</v>
      </c>
      <c r="EC25" t="e">
        <f>AND(#REF!,"AAAAAH/+roQ=")</f>
        <v>#REF!</v>
      </c>
      <c r="ED25" t="e">
        <f>AND(#REF!,"AAAAAH/+roU=")</f>
        <v>#REF!</v>
      </c>
      <c r="EE25" t="e">
        <f>AND(#REF!,"AAAAAH/+roY=")</f>
        <v>#REF!</v>
      </c>
      <c r="EF25" t="e">
        <f>AND(#REF!,"AAAAAH/+roc=")</f>
        <v>#REF!</v>
      </c>
      <c r="EG25" t="e">
        <f>AND(#REF!,"AAAAAH/+rog=")</f>
        <v>#REF!</v>
      </c>
      <c r="EH25" t="e">
        <f>AND(#REF!,"AAAAAH/+rok=")</f>
        <v>#REF!</v>
      </c>
      <c r="EI25" t="e">
        <f>AND(#REF!,"AAAAAH/+roo=")</f>
        <v>#REF!</v>
      </c>
      <c r="EJ25" t="e">
        <f>AND(#REF!,"AAAAAH/+ros=")</f>
        <v>#REF!</v>
      </c>
      <c r="EK25" t="e">
        <f>AND(#REF!,"AAAAAH/+row=")</f>
        <v>#REF!</v>
      </c>
      <c r="EL25" t="e">
        <f>AND(#REF!,"AAAAAH/+ro0=")</f>
        <v>#REF!</v>
      </c>
      <c r="EM25" t="e">
        <f>AND(#REF!,"AAAAAH/+ro4=")</f>
        <v>#REF!</v>
      </c>
      <c r="EN25" t="e">
        <f>AND(#REF!,"AAAAAH/+ro8=")</f>
        <v>#REF!</v>
      </c>
      <c r="EO25" t="e">
        <f>AND(#REF!,"AAAAAH/+rpA=")</f>
        <v>#REF!</v>
      </c>
      <c r="EP25" t="e">
        <f>AND(#REF!,"AAAAAH/+rpE=")</f>
        <v>#REF!</v>
      </c>
      <c r="EQ25" t="e">
        <f>AND(#REF!,"AAAAAH/+rpI=")</f>
        <v>#REF!</v>
      </c>
      <c r="ER25" t="e">
        <f>AND(#REF!,"AAAAAH/+rpM=")</f>
        <v>#REF!</v>
      </c>
      <c r="ES25" t="e">
        <f>AND(#REF!,"AAAAAH/+rpQ=")</f>
        <v>#REF!</v>
      </c>
      <c r="ET25" t="e">
        <f>AND(#REF!,"AAAAAH/+rpU=")</f>
        <v>#REF!</v>
      </c>
      <c r="EU25" t="e">
        <f>AND(#REF!,"AAAAAH/+rpY=")</f>
        <v>#REF!</v>
      </c>
      <c r="EV25" t="e">
        <f>AND(#REF!,"AAAAAH/+rpc=")</f>
        <v>#REF!</v>
      </c>
      <c r="EW25" t="e">
        <f>AND(#REF!,"AAAAAH/+rpg=")</f>
        <v>#REF!</v>
      </c>
      <c r="EX25" t="e">
        <f>AND(#REF!,"AAAAAH/+rpk=")</f>
        <v>#REF!</v>
      </c>
      <c r="EY25" t="e">
        <f>AND(#REF!,"AAAAAH/+rpo=")</f>
        <v>#REF!</v>
      </c>
      <c r="EZ25" t="e">
        <f>AND(#REF!,"AAAAAH/+rps=")</f>
        <v>#REF!</v>
      </c>
      <c r="FA25" t="e">
        <f>AND(#REF!,"AAAAAH/+rpw=")</f>
        <v>#REF!</v>
      </c>
      <c r="FB25" t="e">
        <f>AND(#REF!,"AAAAAH/+rp0=")</f>
        <v>#REF!</v>
      </c>
      <c r="FC25" t="e">
        <f>AND(#REF!,"AAAAAH/+rp4=")</f>
        <v>#REF!</v>
      </c>
      <c r="FD25" t="e">
        <f>AND(#REF!,"AAAAAH/+rp8=")</f>
        <v>#REF!</v>
      </c>
      <c r="FE25" t="e">
        <f>AND(#REF!,"AAAAAH/+rqA=")</f>
        <v>#REF!</v>
      </c>
      <c r="FF25" t="e">
        <f>AND(#REF!,"AAAAAH/+rqE=")</f>
        <v>#REF!</v>
      </c>
      <c r="FG25" t="e">
        <f>AND(#REF!,"AAAAAH/+rqI=")</f>
        <v>#REF!</v>
      </c>
      <c r="FH25" t="e">
        <f>AND(#REF!,"AAAAAH/+rqM=")</f>
        <v>#REF!</v>
      </c>
      <c r="FI25" t="e">
        <f>AND(#REF!,"AAAAAH/+rqQ=")</f>
        <v>#REF!</v>
      </c>
      <c r="FJ25" t="e">
        <f>AND(#REF!,"AAAAAH/+rqU=")</f>
        <v>#REF!</v>
      </c>
      <c r="FK25" t="e">
        <f>AND(#REF!,"AAAAAH/+rqY=")</f>
        <v>#REF!</v>
      </c>
      <c r="FL25" t="e">
        <f>AND(#REF!,"AAAAAH/+rqc=")</f>
        <v>#REF!</v>
      </c>
      <c r="FM25" t="e">
        <f>AND(#REF!,"AAAAAH/+rqg=")</f>
        <v>#REF!</v>
      </c>
      <c r="FN25" t="e">
        <f>AND(#REF!,"AAAAAH/+rqk=")</f>
        <v>#REF!</v>
      </c>
      <c r="FO25" t="e">
        <f>AND(#REF!,"AAAAAH/+rqo=")</f>
        <v>#REF!</v>
      </c>
      <c r="FP25" t="e">
        <f>AND(#REF!,"AAAAAH/+rqs=")</f>
        <v>#REF!</v>
      </c>
      <c r="FQ25" t="e">
        <f>AND(#REF!,"AAAAAH/+rqw=")</f>
        <v>#REF!</v>
      </c>
      <c r="FR25" t="e">
        <f>AND(#REF!,"AAAAAH/+rq0=")</f>
        <v>#REF!</v>
      </c>
      <c r="FS25" t="e">
        <f>AND(#REF!,"AAAAAH/+rq4=")</f>
        <v>#REF!</v>
      </c>
      <c r="FT25" t="e">
        <f>AND(#REF!,"AAAAAH/+rq8=")</f>
        <v>#REF!</v>
      </c>
      <c r="FU25" t="e">
        <f>AND(#REF!,"AAAAAH/+rrA=")</f>
        <v>#REF!</v>
      </c>
      <c r="FV25" t="e">
        <f>AND(#REF!,"AAAAAH/+rrE=")</f>
        <v>#REF!</v>
      </c>
      <c r="FW25" t="e">
        <f>AND(#REF!,"AAAAAH/+rrI=")</f>
        <v>#REF!</v>
      </c>
      <c r="FX25" t="e">
        <f>AND(#REF!,"AAAAAH/+rrM=")</f>
        <v>#REF!</v>
      </c>
      <c r="FY25" t="e">
        <f>AND(#REF!,"AAAAAH/+rrQ=")</f>
        <v>#REF!</v>
      </c>
      <c r="FZ25" t="e">
        <f>AND(#REF!,"AAAAAH/+rrU=")</f>
        <v>#REF!</v>
      </c>
      <c r="GA25" t="e">
        <f>AND(#REF!,"AAAAAH/+rrY=")</f>
        <v>#REF!</v>
      </c>
      <c r="GB25" t="e">
        <f>AND(#REF!,"AAAAAH/+rrc=")</f>
        <v>#REF!</v>
      </c>
      <c r="GC25" t="e">
        <f>AND(#REF!,"AAAAAH/+rrg=")</f>
        <v>#REF!</v>
      </c>
      <c r="GD25" t="e">
        <f>AND(#REF!,"AAAAAH/+rrk=")</f>
        <v>#REF!</v>
      </c>
      <c r="GE25" t="e">
        <f>AND(#REF!,"AAAAAH/+rro=")</f>
        <v>#REF!</v>
      </c>
      <c r="GF25" t="e">
        <f>AND(#REF!,"AAAAAH/+rrs=")</f>
        <v>#REF!</v>
      </c>
      <c r="GG25" t="e">
        <f>AND(#REF!,"AAAAAH/+rrw=")</f>
        <v>#REF!</v>
      </c>
      <c r="GH25" t="e">
        <f>AND(#REF!,"AAAAAH/+rr0=")</f>
        <v>#REF!</v>
      </c>
      <c r="GI25" t="e">
        <f>AND(#REF!,"AAAAAH/+rr4=")</f>
        <v>#REF!</v>
      </c>
      <c r="GJ25" t="e">
        <f>AND(#REF!,"AAAAAH/+rr8=")</f>
        <v>#REF!</v>
      </c>
      <c r="GK25" t="e">
        <f>AND(#REF!,"AAAAAH/+rsA=")</f>
        <v>#REF!</v>
      </c>
      <c r="GL25" t="e">
        <f>AND(#REF!,"AAAAAH/+rsE=")</f>
        <v>#REF!</v>
      </c>
      <c r="GM25" t="e">
        <f>AND(#REF!,"AAAAAH/+rsI=")</f>
        <v>#REF!</v>
      </c>
      <c r="GN25" t="e">
        <f>AND(#REF!,"AAAAAH/+rsM=")</f>
        <v>#REF!</v>
      </c>
      <c r="GO25" t="e">
        <f>AND(#REF!,"AAAAAH/+rsQ=")</f>
        <v>#REF!</v>
      </c>
      <c r="GP25" t="e">
        <f>AND(#REF!,"AAAAAH/+rsU=")</f>
        <v>#REF!</v>
      </c>
      <c r="GQ25" t="e">
        <f>AND(#REF!,"AAAAAH/+rsY=")</f>
        <v>#REF!</v>
      </c>
      <c r="GR25" t="e">
        <f>AND(#REF!,"AAAAAH/+rsc=")</f>
        <v>#REF!</v>
      </c>
      <c r="GS25" t="e">
        <f>AND(#REF!,"AAAAAH/+rsg=")</f>
        <v>#REF!</v>
      </c>
      <c r="GT25" t="e">
        <f>AND(#REF!,"AAAAAH/+rsk=")</f>
        <v>#REF!</v>
      </c>
      <c r="GU25" t="e">
        <f>AND(#REF!,"AAAAAH/+rso=")</f>
        <v>#REF!</v>
      </c>
      <c r="GV25" t="e">
        <f>AND(#REF!,"AAAAAH/+rss=")</f>
        <v>#REF!</v>
      </c>
      <c r="GW25" t="e">
        <f>AND(#REF!,"AAAAAH/+rsw=")</f>
        <v>#REF!</v>
      </c>
      <c r="GX25" t="e">
        <f>AND(#REF!,"AAAAAH/+rs0=")</f>
        <v>#REF!</v>
      </c>
      <c r="GY25" t="e">
        <f>AND(#REF!,"AAAAAH/+rs4=")</f>
        <v>#REF!</v>
      </c>
      <c r="GZ25" t="e">
        <f>AND(#REF!,"AAAAAH/+rs8=")</f>
        <v>#REF!</v>
      </c>
      <c r="HA25" t="e">
        <f>IF(#REF!,"AAAAAH/+rtA=",0)</f>
        <v>#REF!</v>
      </c>
      <c r="HB25" t="e">
        <f>AND(#REF!,"AAAAAH/+rtE=")</f>
        <v>#REF!</v>
      </c>
      <c r="HC25" t="e">
        <f>AND(#REF!,"AAAAAH/+rtI=")</f>
        <v>#REF!</v>
      </c>
      <c r="HD25" t="e">
        <f>AND(#REF!,"AAAAAH/+rtM=")</f>
        <v>#REF!</v>
      </c>
      <c r="HE25" t="e">
        <f>AND(#REF!,"AAAAAH/+rtQ=")</f>
        <v>#REF!</v>
      </c>
      <c r="HF25" t="e">
        <f>AND(#REF!,"AAAAAH/+rtU=")</f>
        <v>#REF!</v>
      </c>
      <c r="HG25" t="e">
        <f>AND(#REF!,"AAAAAH/+rtY=")</f>
        <v>#REF!</v>
      </c>
      <c r="HH25" t="e">
        <f>AND(#REF!,"AAAAAH/+rtc=")</f>
        <v>#REF!</v>
      </c>
      <c r="HI25" t="e">
        <f>AND(#REF!,"AAAAAH/+rtg=")</f>
        <v>#REF!</v>
      </c>
      <c r="HJ25" t="e">
        <f>AND(#REF!,"AAAAAH/+rtk=")</f>
        <v>#REF!</v>
      </c>
      <c r="HK25" t="e">
        <f>AND(#REF!,"AAAAAH/+rto=")</f>
        <v>#REF!</v>
      </c>
      <c r="HL25" t="e">
        <f>AND(#REF!,"AAAAAH/+rts=")</f>
        <v>#REF!</v>
      </c>
      <c r="HM25" t="e">
        <f>AND(#REF!,"AAAAAH/+rtw=")</f>
        <v>#REF!</v>
      </c>
      <c r="HN25" t="e">
        <f>AND(#REF!,"AAAAAH/+rt0=")</f>
        <v>#REF!</v>
      </c>
      <c r="HO25" t="e">
        <f>AND(#REF!,"AAAAAH/+rt4=")</f>
        <v>#REF!</v>
      </c>
      <c r="HP25" t="e">
        <f>AND(#REF!,"AAAAAH/+rt8=")</f>
        <v>#REF!</v>
      </c>
      <c r="HQ25" t="e">
        <f>AND(#REF!,"AAAAAH/+ruA=")</f>
        <v>#REF!</v>
      </c>
      <c r="HR25" t="e">
        <f>AND(#REF!,"AAAAAH/+ruE=")</f>
        <v>#REF!</v>
      </c>
      <c r="HS25" t="e">
        <f>AND(#REF!,"AAAAAH/+ruI=")</f>
        <v>#REF!</v>
      </c>
      <c r="HT25" t="e">
        <f>AND(#REF!,"AAAAAH/+ruM=")</f>
        <v>#REF!</v>
      </c>
      <c r="HU25" t="e">
        <f>AND(#REF!,"AAAAAH/+ruQ=")</f>
        <v>#REF!</v>
      </c>
      <c r="HV25" t="e">
        <f>AND(#REF!,"AAAAAH/+ruU=")</f>
        <v>#REF!</v>
      </c>
      <c r="HW25" t="e">
        <f>AND(#REF!,"AAAAAH/+ruY=")</f>
        <v>#REF!</v>
      </c>
      <c r="HX25" t="e">
        <f>AND(#REF!,"AAAAAH/+ruc=")</f>
        <v>#REF!</v>
      </c>
      <c r="HY25" t="e">
        <f>AND(#REF!,"AAAAAH/+rug=")</f>
        <v>#REF!</v>
      </c>
      <c r="HZ25" t="e">
        <f>AND(#REF!,"AAAAAH/+ruk=")</f>
        <v>#REF!</v>
      </c>
      <c r="IA25" t="e">
        <f>AND(#REF!,"AAAAAH/+ruo=")</f>
        <v>#REF!</v>
      </c>
      <c r="IB25" t="e">
        <f>AND(#REF!,"AAAAAH/+rus=")</f>
        <v>#REF!</v>
      </c>
      <c r="IC25" t="e">
        <f>AND(#REF!,"AAAAAH/+ruw=")</f>
        <v>#REF!</v>
      </c>
      <c r="ID25" t="e">
        <f>AND(#REF!,"AAAAAH/+ru0=")</f>
        <v>#REF!</v>
      </c>
      <c r="IE25" t="e">
        <f>AND(#REF!,"AAAAAH/+ru4=")</f>
        <v>#REF!</v>
      </c>
      <c r="IF25" t="e">
        <f>AND(#REF!,"AAAAAH/+ru8=")</f>
        <v>#REF!</v>
      </c>
      <c r="IG25" t="e">
        <f>AND(#REF!,"AAAAAH/+rvA=")</f>
        <v>#REF!</v>
      </c>
      <c r="IH25" t="e">
        <f>AND(#REF!,"AAAAAH/+rvE=")</f>
        <v>#REF!</v>
      </c>
      <c r="II25" t="e">
        <f>AND(#REF!,"AAAAAH/+rvI=")</f>
        <v>#REF!</v>
      </c>
      <c r="IJ25" t="e">
        <f>AND(#REF!,"AAAAAH/+rvM=")</f>
        <v>#REF!</v>
      </c>
      <c r="IK25" t="e">
        <f>AND(#REF!,"AAAAAH/+rvQ=")</f>
        <v>#REF!</v>
      </c>
      <c r="IL25" t="e">
        <f>AND(#REF!,"AAAAAH/+rvU=")</f>
        <v>#REF!</v>
      </c>
      <c r="IM25" t="e">
        <f>AND(#REF!,"AAAAAH/+rvY=")</f>
        <v>#REF!</v>
      </c>
      <c r="IN25" t="e">
        <f>AND(#REF!,"AAAAAH/+rvc=")</f>
        <v>#REF!</v>
      </c>
      <c r="IO25" t="e">
        <f>AND(#REF!,"AAAAAH/+rvg=")</f>
        <v>#REF!</v>
      </c>
      <c r="IP25" t="e">
        <f>AND(#REF!,"AAAAAH/+rvk=")</f>
        <v>#REF!</v>
      </c>
      <c r="IQ25" t="e">
        <f>AND(#REF!,"AAAAAH/+rvo=")</f>
        <v>#REF!</v>
      </c>
      <c r="IR25" t="e">
        <f>AND(#REF!,"AAAAAH/+rvs=")</f>
        <v>#REF!</v>
      </c>
      <c r="IS25" t="e">
        <f>AND(#REF!,"AAAAAH/+rvw=")</f>
        <v>#REF!</v>
      </c>
      <c r="IT25" t="e">
        <f>AND(#REF!,"AAAAAH/+rv0=")</f>
        <v>#REF!</v>
      </c>
      <c r="IU25" t="e">
        <f>AND(#REF!,"AAAAAH/+rv4=")</f>
        <v>#REF!</v>
      </c>
      <c r="IV25" t="e">
        <f>AND(#REF!,"AAAAAH/+rv8=")</f>
        <v>#REF!</v>
      </c>
    </row>
    <row r="26" spans="1:256" x14ac:dyDescent="0.2">
      <c r="A26" t="e">
        <f>AND(#REF!,"AAAAAC/xbQA=")</f>
        <v>#REF!</v>
      </c>
      <c r="B26" t="e">
        <f>AND(#REF!,"AAAAAC/xbQE=")</f>
        <v>#REF!</v>
      </c>
      <c r="C26" t="e">
        <f>AND(#REF!,"AAAAAC/xbQI=")</f>
        <v>#REF!</v>
      </c>
      <c r="D26" t="e">
        <f>AND(#REF!,"AAAAAC/xbQM=")</f>
        <v>#REF!</v>
      </c>
      <c r="E26" t="e">
        <f>AND(#REF!,"AAAAAC/xbQQ=")</f>
        <v>#REF!</v>
      </c>
      <c r="F26" t="e">
        <f>AND(#REF!,"AAAAAC/xbQU=")</f>
        <v>#REF!</v>
      </c>
      <c r="G26" t="e">
        <f>AND(#REF!,"AAAAAC/xbQY=")</f>
        <v>#REF!</v>
      </c>
      <c r="H26" t="e">
        <f>AND(#REF!,"AAAAAC/xbQc=")</f>
        <v>#REF!</v>
      </c>
      <c r="I26" t="e">
        <f>AND(#REF!,"AAAAAC/xbQg=")</f>
        <v>#REF!</v>
      </c>
      <c r="J26" t="e">
        <f>AND(#REF!,"AAAAAC/xbQk=")</f>
        <v>#REF!</v>
      </c>
      <c r="K26" t="e">
        <f>AND(#REF!,"AAAAAC/xbQo=")</f>
        <v>#REF!</v>
      </c>
      <c r="L26" t="e">
        <f>AND(#REF!,"AAAAAC/xbQs=")</f>
        <v>#REF!</v>
      </c>
      <c r="M26" t="e">
        <f>AND(#REF!,"AAAAAC/xbQw=")</f>
        <v>#REF!</v>
      </c>
      <c r="N26" t="e">
        <f>AND(#REF!,"AAAAAC/xbQ0=")</f>
        <v>#REF!</v>
      </c>
      <c r="O26" t="e">
        <f>AND(#REF!,"AAAAAC/xbQ4=")</f>
        <v>#REF!</v>
      </c>
      <c r="P26" t="e">
        <f>AND(#REF!,"AAAAAC/xbQ8=")</f>
        <v>#REF!</v>
      </c>
      <c r="Q26" t="e">
        <f>AND(#REF!,"AAAAAC/xbRA=")</f>
        <v>#REF!</v>
      </c>
      <c r="R26" t="e">
        <f>AND(#REF!,"AAAAAC/xbRE=")</f>
        <v>#REF!</v>
      </c>
      <c r="S26" t="e">
        <f>AND(#REF!,"AAAAAC/xbRI=")</f>
        <v>#REF!</v>
      </c>
      <c r="T26" t="e">
        <f>AND(#REF!,"AAAAAC/xbRM=")</f>
        <v>#REF!</v>
      </c>
      <c r="U26" t="e">
        <f>AND(#REF!,"AAAAAC/xbRQ=")</f>
        <v>#REF!</v>
      </c>
      <c r="V26" t="e">
        <f>AND(#REF!,"AAAAAC/xbRU=")</f>
        <v>#REF!</v>
      </c>
      <c r="W26" t="e">
        <f>AND(#REF!,"AAAAAC/xbRY=")</f>
        <v>#REF!</v>
      </c>
      <c r="X26" t="e">
        <f>AND(#REF!,"AAAAAC/xbRc=")</f>
        <v>#REF!</v>
      </c>
      <c r="Y26" t="e">
        <f>AND(#REF!,"AAAAAC/xbRg=")</f>
        <v>#REF!</v>
      </c>
      <c r="Z26" t="e">
        <f>AND(#REF!,"AAAAAC/xbRk=")</f>
        <v>#REF!</v>
      </c>
      <c r="AA26" t="e">
        <f>AND(#REF!,"AAAAAC/xbRo=")</f>
        <v>#REF!</v>
      </c>
      <c r="AB26" t="e">
        <f>AND(#REF!,"AAAAAC/xbRs=")</f>
        <v>#REF!</v>
      </c>
      <c r="AC26" t="e">
        <f>AND(#REF!,"AAAAAC/xbRw=")</f>
        <v>#REF!</v>
      </c>
      <c r="AD26" t="e">
        <f>AND(#REF!,"AAAAAC/xbR0=")</f>
        <v>#REF!</v>
      </c>
      <c r="AE26" t="e">
        <f>AND(#REF!,"AAAAAC/xbR4=")</f>
        <v>#REF!</v>
      </c>
      <c r="AF26" t="e">
        <f>AND(#REF!,"AAAAAC/xbR8=")</f>
        <v>#REF!</v>
      </c>
      <c r="AG26" t="e">
        <f>AND(#REF!,"AAAAAC/xbSA=")</f>
        <v>#REF!</v>
      </c>
      <c r="AH26" t="e">
        <f>AND(#REF!,"AAAAAC/xbSE=")</f>
        <v>#REF!</v>
      </c>
      <c r="AI26" t="e">
        <f>AND(#REF!,"AAAAAC/xbSI=")</f>
        <v>#REF!</v>
      </c>
      <c r="AJ26" t="e">
        <f>AND(#REF!,"AAAAAC/xbSM=")</f>
        <v>#REF!</v>
      </c>
      <c r="AK26" t="e">
        <f>AND(#REF!,"AAAAAC/xbSQ=")</f>
        <v>#REF!</v>
      </c>
      <c r="AL26" t="e">
        <f>AND(#REF!,"AAAAAC/xbSU=")</f>
        <v>#REF!</v>
      </c>
      <c r="AM26" t="e">
        <f>AND(#REF!,"AAAAAC/xbSY=")</f>
        <v>#REF!</v>
      </c>
      <c r="AN26" t="e">
        <f>AND(#REF!,"AAAAAC/xbSc=")</f>
        <v>#REF!</v>
      </c>
      <c r="AO26" t="e">
        <f>AND(#REF!,"AAAAAC/xbSg=")</f>
        <v>#REF!</v>
      </c>
      <c r="AP26" t="e">
        <f>AND(#REF!,"AAAAAC/xbSk=")</f>
        <v>#REF!</v>
      </c>
      <c r="AQ26" t="e">
        <f>AND(#REF!,"AAAAAC/xbSo=")</f>
        <v>#REF!</v>
      </c>
      <c r="AR26" t="e">
        <f>AND(#REF!,"AAAAAC/xbSs=")</f>
        <v>#REF!</v>
      </c>
      <c r="AS26" t="e">
        <f>AND(#REF!,"AAAAAC/xbSw=")</f>
        <v>#REF!</v>
      </c>
      <c r="AT26" t="e">
        <f>AND(#REF!,"AAAAAC/xbS0=")</f>
        <v>#REF!</v>
      </c>
      <c r="AU26" t="e">
        <f>AND(#REF!,"AAAAAC/xbS4=")</f>
        <v>#REF!</v>
      </c>
      <c r="AV26" t="e">
        <f>AND(#REF!,"AAAAAC/xbS8=")</f>
        <v>#REF!</v>
      </c>
      <c r="AW26" t="e">
        <f>AND(#REF!,"AAAAAC/xbTA=")</f>
        <v>#REF!</v>
      </c>
      <c r="AX26" t="e">
        <f>AND(#REF!,"AAAAAC/xbTE=")</f>
        <v>#REF!</v>
      </c>
      <c r="AY26" t="e">
        <f>AND(#REF!,"AAAAAC/xbTI=")</f>
        <v>#REF!</v>
      </c>
      <c r="AZ26" t="e">
        <f>AND(#REF!,"AAAAAC/xbTM=")</f>
        <v>#REF!</v>
      </c>
      <c r="BA26" t="e">
        <f>AND(#REF!,"AAAAAC/xbTQ=")</f>
        <v>#REF!</v>
      </c>
      <c r="BB26" t="e">
        <f>AND(#REF!,"AAAAAC/xbTU=")</f>
        <v>#REF!</v>
      </c>
      <c r="BC26" t="e">
        <f>AND(#REF!,"AAAAAC/xbTY=")</f>
        <v>#REF!</v>
      </c>
      <c r="BD26" t="e">
        <f>AND(#REF!,"AAAAAC/xbTc=")</f>
        <v>#REF!</v>
      </c>
      <c r="BE26" t="e">
        <f>AND(#REF!,"AAAAAC/xbTg=")</f>
        <v>#REF!</v>
      </c>
      <c r="BF26" t="e">
        <f>AND(#REF!,"AAAAAC/xbTk=")</f>
        <v>#REF!</v>
      </c>
      <c r="BG26" t="e">
        <f>AND(#REF!,"AAAAAC/xbTo=")</f>
        <v>#REF!</v>
      </c>
      <c r="BH26" t="e">
        <f>AND(#REF!,"AAAAAC/xbTs=")</f>
        <v>#REF!</v>
      </c>
      <c r="BI26" t="e">
        <f>AND(#REF!,"AAAAAC/xbTw=")</f>
        <v>#REF!</v>
      </c>
      <c r="BJ26" t="e">
        <f>AND(#REF!,"AAAAAC/xbT0=")</f>
        <v>#REF!</v>
      </c>
      <c r="BK26" t="e">
        <f>AND(#REF!,"AAAAAC/xbT4=")</f>
        <v>#REF!</v>
      </c>
      <c r="BL26" t="e">
        <f>AND(#REF!,"AAAAAC/xbT8=")</f>
        <v>#REF!</v>
      </c>
      <c r="BM26" t="e">
        <f>AND(#REF!,"AAAAAC/xbUA=")</f>
        <v>#REF!</v>
      </c>
      <c r="BN26" t="e">
        <f>AND(#REF!,"AAAAAC/xbUE=")</f>
        <v>#REF!</v>
      </c>
      <c r="BO26" t="e">
        <f>AND(#REF!,"AAAAAC/xbUI=")</f>
        <v>#REF!</v>
      </c>
      <c r="BP26" t="e">
        <f>AND(#REF!,"AAAAAC/xbUM=")</f>
        <v>#REF!</v>
      </c>
      <c r="BQ26" t="e">
        <f>AND(#REF!,"AAAAAC/xbUQ=")</f>
        <v>#REF!</v>
      </c>
      <c r="BR26" t="e">
        <f>AND(#REF!,"AAAAAC/xbUU=")</f>
        <v>#REF!</v>
      </c>
      <c r="BS26" t="e">
        <f>AND(#REF!,"AAAAAC/xbUY=")</f>
        <v>#REF!</v>
      </c>
      <c r="BT26" t="e">
        <f>AND(#REF!,"AAAAAC/xbUc=")</f>
        <v>#REF!</v>
      </c>
      <c r="BU26" t="e">
        <f>AND(#REF!,"AAAAAC/xbUg=")</f>
        <v>#REF!</v>
      </c>
      <c r="BV26" t="e">
        <f>AND(#REF!,"AAAAAC/xbUk=")</f>
        <v>#REF!</v>
      </c>
      <c r="BW26" t="e">
        <f>AND(#REF!,"AAAAAC/xbUo=")</f>
        <v>#REF!</v>
      </c>
      <c r="BX26" t="e">
        <f>AND(#REF!,"AAAAAC/xbUs=")</f>
        <v>#REF!</v>
      </c>
      <c r="BY26" t="e">
        <f>AND(#REF!,"AAAAAC/xbUw=")</f>
        <v>#REF!</v>
      </c>
      <c r="BZ26" t="e">
        <f>AND(#REF!,"AAAAAC/xbU0=")</f>
        <v>#REF!</v>
      </c>
      <c r="CA26" t="e">
        <f>AND(#REF!,"AAAAAC/xbU4=")</f>
        <v>#REF!</v>
      </c>
      <c r="CB26" t="e">
        <f>AND(#REF!,"AAAAAC/xbU8=")</f>
        <v>#REF!</v>
      </c>
      <c r="CC26" t="e">
        <f>AND(#REF!,"AAAAAC/xbVA=")</f>
        <v>#REF!</v>
      </c>
      <c r="CD26" t="e">
        <f>AND(#REF!,"AAAAAC/xbVE=")</f>
        <v>#REF!</v>
      </c>
      <c r="CE26" t="e">
        <f>AND(#REF!,"AAAAAC/xbVI=")</f>
        <v>#REF!</v>
      </c>
      <c r="CF26" t="e">
        <f>AND(#REF!,"AAAAAC/xbVM=")</f>
        <v>#REF!</v>
      </c>
      <c r="CG26" t="e">
        <f>AND(#REF!,"AAAAAC/xbVQ=")</f>
        <v>#REF!</v>
      </c>
      <c r="CH26" t="e">
        <f>AND(#REF!,"AAAAAC/xbVU=")</f>
        <v>#REF!</v>
      </c>
      <c r="CI26" t="e">
        <f>AND(#REF!,"AAAAAC/xbVY=")</f>
        <v>#REF!</v>
      </c>
      <c r="CJ26" t="e">
        <f>AND(#REF!,"AAAAAC/xbVc=")</f>
        <v>#REF!</v>
      </c>
      <c r="CK26" t="e">
        <f>AND(#REF!,"AAAAAC/xbVg=")</f>
        <v>#REF!</v>
      </c>
      <c r="CL26" t="e">
        <f>AND(#REF!,"AAAAAC/xbVk=")</f>
        <v>#REF!</v>
      </c>
      <c r="CM26" t="e">
        <f>AND(#REF!,"AAAAAC/xbVo=")</f>
        <v>#REF!</v>
      </c>
      <c r="CN26" t="e">
        <f>AND(#REF!,"AAAAAC/xbVs=")</f>
        <v>#REF!</v>
      </c>
      <c r="CO26" t="e">
        <f>AND(#REF!,"AAAAAC/xbVw=")</f>
        <v>#REF!</v>
      </c>
      <c r="CP26" t="e">
        <f>AND(#REF!,"AAAAAC/xbV0=")</f>
        <v>#REF!</v>
      </c>
      <c r="CQ26" t="e">
        <f>AND(#REF!,"AAAAAC/xbV4=")</f>
        <v>#REF!</v>
      </c>
      <c r="CR26" t="e">
        <f>AND(#REF!,"AAAAAC/xbV8=")</f>
        <v>#REF!</v>
      </c>
      <c r="CS26" t="e">
        <f>AND(#REF!,"AAAAAC/xbWA=")</f>
        <v>#REF!</v>
      </c>
      <c r="CT26" t="e">
        <f>AND(#REF!,"AAAAAC/xbWE=")</f>
        <v>#REF!</v>
      </c>
      <c r="CU26" t="e">
        <f>AND(#REF!,"AAAAAC/xbWI=")</f>
        <v>#REF!</v>
      </c>
      <c r="CV26" t="e">
        <f>AND(#REF!,"AAAAAC/xbWM=")</f>
        <v>#REF!</v>
      </c>
      <c r="CW26" t="e">
        <f>AND(#REF!,"AAAAAC/xbWQ=")</f>
        <v>#REF!</v>
      </c>
      <c r="CX26" t="e">
        <f>AND(#REF!,"AAAAAC/xbWU=")</f>
        <v>#REF!</v>
      </c>
      <c r="CY26" t="e">
        <f>AND(#REF!,"AAAAAC/xbWY=")</f>
        <v>#REF!</v>
      </c>
      <c r="CZ26" t="e">
        <f>AND(#REF!,"AAAAAC/xbWc=")</f>
        <v>#REF!</v>
      </c>
      <c r="DA26" t="e">
        <f>AND(#REF!,"AAAAAC/xbWg=")</f>
        <v>#REF!</v>
      </c>
      <c r="DB26" t="e">
        <f>AND(#REF!,"AAAAAC/xbWk=")</f>
        <v>#REF!</v>
      </c>
      <c r="DC26" t="e">
        <f>AND(#REF!,"AAAAAC/xbWo=")</f>
        <v>#REF!</v>
      </c>
      <c r="DD26" t="e">
        <f>AND(#REF!,"AAAAAC/xbWs=")</f>
        <v>#REF!</v>
      </c>
      <c r="DE26" t="e">
        <f>AND(#REF!,"AAAAAC/xbWw=")</f>
        <v>#REF!</v>
      </c>
      <c r="DF26" t="e">
        <f>AND(#REF!,"AAAAAC/xbW0=")</f>
        <v>#REF!</v>
      </c>
      <c r="DG26" t="e">
        <f>AND(#REF!,"AAAAAC/xbW4=")</f>
        <v>#REF!</v>
      </c>
      <c r="DH26" t="e">
        <f>AND(#REF!,"AAAAAC/xbW8=")</f>
        <v>#REF!</v>
      </c>
      <c r="DI26" t="e">
        <f>AND(#REF!,"AAAAAC/xbXA=")</f>
        <v>#REF!</v>
      </c>
      <c r="DJ26" t="e">
        <f>AND(#REF!,"AAAAAC/xbXE=")</f>
        <v>#REF!</v>
      </c>
      <c r="DK26" t="e">
        <f>AND(#REF!,"AAAAAC/xbXI=")</f>
        <v>#REF!</v>
      </c>
      <c r="DL26" t="e">
        <f>AND(#REF!,"AAAAAC/xbXM=")</f>
        <v>#REF!</v>
      </c>
      <c r="DM26" t="e">
        <f>AND(#REF!,"AAAAAC/xbXQ=")</f>
        <v>#REF!</v>
      </c>
      <c r="DN26" t="e">
        <f>AND(#REF!,"AAAAAC/xbXU=")</f>
        <v>#REF!</v>
      </c>
      <c r="DO26" t="e">
        <f>AND(#REF!,"AAAAAC/xbXY=")</f>
        <v>#REF!</v>
      </c>
      <c r="DP26" t="e">
        <f>AND(#REF!,"AAAAAC/xbXc=")</f>
        <v>#REF!</v>
      </c>
      <c r="DQ26" t="e">
        <f>AND(#REF!,"AAAAAC/xbXg=")</f>
        <v>#REF!</v>
      </c>
      <c r="DR26" t="e">
        <f>AND(#REF!,"AAAAAC/xbXk=")</f>
        <v>#REF!</v>
      </c>
      <c r="DS26" t="e">
        <f>AND(#REF!,"AAAAAC/xbXo=")</f>
        <v>#REF!</v>
      </c>
      <c r="DT26" t="e">
        <f>AND(#REF!,"AAAAAC/xbXs=")</f>
        <v>#REF!</v>
      </c>
      <c r="DU26" t="e">
        <f>AND(#REF!,"AAAAAC/xbXw=")</f>
        <v>#REF!</v>
      </c>
      <c r="DV26" t="e">
        <f>AND(#REF!,"AAAAAC/xbX0=")</f>
        <v>#REF!</v>
      </c>
      <c r="DW26" t="e">
        <f>AND(#REF!,"AAAAAC/xbX4=")</f>
        <v>#REF!</v>
      </c>
      <c r="DX26" t="e">
        <f>AND(#REF!,"AAAAAC/xbX8=")</f>
        <v>#REF!</v>
      </c>
      <c r="DY26" t="e">
        <f>AND(#REF!,"AAAAAC/xbYA=")</f>
        <v>#REF!</v>
      </c>
      <c r="DZ26" t="e">
        <f>AND(#REF!,"AAAAAC/xbYE=")</f>
        <v>#REF!</v>
      </c>
      <c r="EA26" t="e">
        <f>AND(#REF!,"AAAAAC/xbYI=")</f>
        <v>#REF!</v>
      </c>
      <c r="EB26" t="e">
        <f>AND(#REF!,"AAAAAC/xbYM=")</f>
        <v>#REF!</v>
      </c>
      <c r="EC26" t="e">
        <f>AND(#REF!,"AAAAAC/xbYQ=")</f>
        <v>#REF!</v>
      </c>
      <c r="ED26" t="e">
        <f>IF(#REF!,"AAAAAC/xbYU=",0)</f>
        <v>#REF!</v>
      </c>
      <c r="EE26" t="e">
        <f>AND(#REF!,"AAAAAC/xbYY=")</f>
        <v>#REF!</v>
      </c>
      <c r="EF26" t="e">
        <f>AND(#REF!,"AAAAAC/xbYc=")</f>
        <v>#REF!</v>
      </c>
      <c r="EG26" t="e">
        <f>AND(#REF!,"AAAAAC/xbYg=")</f>
        <v>#REF!</v>
      </c>
      <c r="EH26" t="e">
        <f>AND(#REF!,"AAAAAC/xbYk=")</f>
        <v>#REF!</v>
      </c>
      <c r="EI26" t="e">
        <f>AND(#REF!,"AAAAAC/xbYo=")</f>
        <v>#REF!</v>
      </c>
      <c r="EJ26" t="e">
        <f>AND(#REF!,"AAAAAC/xbYs=")</f>
        <v>#REF!</v>
      </c>
      <c r="EK26" t="e">
        <f>AND(#REF!,"AAAAAC/xbYw=")</f>
        <v>#REF!</v>
      </c>
      <c r="EL26" t="e">
        <f>AND(#REF!,"AAAAAC/xbY0=")</f>
        <v>#REF!</v>
      </c>
      <c r="EM26" t="e">
        <f>AND(#REF!,"AAAAAC/xbY4=")</f>
        <v>#REF!</v>
      </c>
      <c r="EN26" t="e">
        <f>AND(#REF!,"AAAAAC/xbY8=")</f>
        <v>#REF!</v>
      </c>
      <c r="EO26" t="e">
        <f>AND(#REF!,"AAAAAC/xbZA=")</f>
        <v>#REF!</v>
      </c>
      <c r="EP26" t="e">
        <f>AND(#REF!,"AAAAAC/xbZE=")</f>
        <v>#REF!</v>
      </c>
      <c r="EQ26" t="e">
        <f>AND(#REF!,"AAAAAC/xbZI=")</f>
        <v>#REF!</v>
      </c>
      <c r="ER26" t="e">
        <f>AND(#REF!,"AAAAAC/xbZM=")</f>
        <v>#REF!</v>
      </c>
      <c r="ES26" t="e">
        <f>AND(#REF!,"AAAAAC/xbZQ=")</f>
        <v>#REF!</v>
      </c>
      <c r="ET26" t="e">
        <f>AND(#REF!,"AAAAAC/xbZU=")</f>
        <v>#REF!</v>
      </c>
      <c r="EU26" t="e">
        <f>AND(#REF!,"AAAAAC/xbZY=")</f>
        <v>#REF!</v>
      </c>
      <c r="EV26" t="e">
        <f>AND(#REF!,"AAAAAC/xbZc=")</f>
        <v>#REF!</v>
      </c>
      <c r="EW26" t="e">
        <f>AND(#REF!,"AAAAAC/xbZg=")</f>
        <v>#REF!</v>
      </c>
      <c r="EX26" t="e">
        <f>AND(#REF!,"AAAAAC/xbZk=")</f>
        <v>#REF!</v>
      </c>
      <c r="EY26" t="e">
        <f>AND(#REF!,"AAAAAC/xbZo=")</f>
        <v>#REF!</v>
      </c>
      <c r="EZ26" t="e">
        <f>AND(#REF!,"AAAAAC/xbZs=")</f>
        <v>#REF!</v>
      </c>
      <c r="FA26" t="e">
        <f>AND(#REF!,"AAAAAC/xbZw=")</f>
        <v>#REF!</v>
      </c>
      <c r="FB26" t="e">
        <f>AND(#REF!,"AAAAAC/xbZ0=")</f>
        <v>#REF!</v>
      </c>
      <c r="FC26" t="e">
        <f>AND(#REF!,"AAAAAC/xbZ4=")</f>
        <v>#REF!</v>
      </c>
      <c r="FD26" t="e">
        <f>AND(#REF!,"AAAAAC/xbZ8=")</f>
        <v>#REF!</v>
      </c>
      <c r="FE26" t="e">
        <f>AND(#REF!,"AAAAAC/xbaA=")</f>
        <v>#REF!</v>
      </c>
      <c r="FF26" t="e">
        <f>AND(#REF!,"AAAAAC/xbaE=")</f>
        <v>#REF!</v>
      </c>
      <c r="FG26" t="e">
        <f>AND(#REF!,"AAAAAC/xbaI=")</f>
        <v>#REF!</v>
      </c>
      <c r="FH26" t="e">
        <f>AND(#REF!,"AAAAAC/xbaM=")</f>
        <v>#REF!</v>
      </c>
      <c r="FI26" t="e">
        <f>AND(#REF!,"AAAAAC/xbaQ=")</f>
        <v>#REF!</v>
      </c>
      <c r="FJ26" t="e">
        <f>AND(#REF!,"AAAAAC/xbaU=")</f>
        <v>#REF!</v>
      </c>
      <c r="FK26" t="e">
        <f>AND(#REF!,"AAAAAC/xbaY=")</f>
        <v>#REF!</v>
      </c>
      <c r="FL26" t="e">
        <f>AND(#REF!,"AAAAAC/xbac=")</f>
        <v>#REF!</v>
      </c>
      <c r="FM26" t="e">
        <f>AND(#REF!,"AAAAAC/xbag=")</f>
        <v>#REF!</v>
      </c>
      <c r="FN26" t="e">
        <f>AND(#REF!,"AAAAAC/xbak=")</f>
        <v>#REF!</v>
      </c>
      <c r="FO26" t="e">
        <f>AND(#REF!,"AAAAAC/xbao=")</f>
        <v>#REF!</v>
      </c>
      <c r="FP26" t="e">
        <f>AND(#REF!,"AAAAAC/xbas=")</f>
        <v>#REF!</v>
      </c>
      <c r="FQ26" t="e">
        <f>AND(#REF!,"AAAAAC/xbaw=")</f>
        <v>#REF!</v>
      </c>
      <c r="FR26" t="e">
        <f>AND(#REF!,"AAAAAC/xba0=")</f>
        <v>#REF!</v>
      </c>
      <c r="FS26" t="e">
        <f>AND(#REF!,"AAAAAC/xba4=")</f>
        <v>#REF!</v>
      </c>
      <c r="FT26" t="e">
        <f>AND(#REF!,"AAAAAC/xba8=")</f>
        <v>#REF!</v>
      </c>
      <c r="FU26" t="e">
        <f>AND(#REF!,"AAAAAC/xbbA=")</f>
        <v>#REF!</v>
      </c>
      <c r="FV26" t="e">
        <f>AND(#REF!,"AAAAAC/xbbE=")</f>
        <v>#REF!</v>
      </c>
      <c r="FW26" t="e">
        <f>AND(#REF!,"AAAAAC/xbbI=")</f>
        <v>#REF!</v>
      </c>
      <c r="FX26" t="e">
        <f>AND(#REF!,"AAAAAC/xbbM=")</f>
        <v>#REF!</v>
      </c>
      <c r="FY26" t="e">
        <f>AND(#REF!,"AAAAAC/xbbQ=")</f>
        <v>#REF!</v>
      </c>
      <c r="FZ26" t="e">
        <f>AND(#REF!,"AAAAAC/xbbU=")</f>
        <v>#REF!</v>
      </c>
      <c r="GA26" t="e">
        <f>AND(#REF!,"AAAAAC/xbbY=")</f>
        <v>#REF!</v>
      </c>
      <c r="GB26" t="e">
        <f>AND(#REF!,"AAAAAC/xbbc=")</f>
        <v>#REF!</v>
      </c>
      <c r="GC26" t="e">
        <f>AND(#REF!,"AAAAAC/xbbg=")</f>
        <v>#REF!</v>
      </c>
      <c r="GD26" t="e">
        <f>AND(#REF!,"AAAAAC/xbbk=")</f>
        <v>#REF!</v>
      </c>
      <c r="GE26" t="e">
        <f>AND(#REF!,"AAAAAC/xbbo=")</f>
        <v>#REF!</v>
      </c>
      <c r="GF26" t="e">
        <f>AND(#REF!,"AAAAAC/xbbs=")</f>
        <v>#REF!</v>
      </c>
      <c r="GG26" t="e">
        <f>AND(#REF!,"AAAAAC/xbbw=")</f>
        <v>#REF!</v>
      </c>
      <c r="GH26" t="e">
        <f>AND(#REF!,"AAAAAC/xbb0=")</f>
        <v>#REF!</v>
      </c>
      <c r="GI26" t="e">
        <f>AND(#REF!,"AAAAAC/xbb4=")</f>
        <v>#REF!</v>
      </c>
      <c r="GJ26" t="e">
        <f>AND(#REF!,"AAAAAC/xbb8=")</f>
        <v>#REF!</v>
      </c>
      <c r="GK26" t="e">
        <f>AND(#REF!,"AAAAAC/xbcA=")</f>
        <v>#REF!</v>
      </c>
      <c r="GL26" t="e">
        <f>AND(#REF!,"AAAAAC/xbcE=")</f>
        <v>#REF!</v>
      </c>
      <c r="GM26" t="e">
        <f>AND(#REF!,"AAAAAC/xbcI=")</f>
        <v>#REF!</v>
      </c>
      <c r="GN26" t="e">
        <f>AND(#REF!,"AAAAAC/xbcM=")</f>
        <v>#REF!</v>
      </c>
      <c r="GO26" t="e">
        <f>AND(#REF!,"AAAAAC/xbcQ=")</f>
        <v>#REF!</v>
      </c>
      <c r="GP26" t="e">
        <f>AND(#REF!,"AAAAAC/xbcU=")</f>
        <v>#REF!</v>
      </c>
      <c r="GQ26" t="e">
        <f>AND(#REF!,"AAAAAC/xbcY=")</f>
        <v>#REF!</v>
      </c>
      <c r="GR26" t="e">
        <f>AND(#REF!,"AAAAAC/xbcc=")</f>
        <v>#REF!</v>
      </c>
      <c r="GS26" t="e">
        <f>AND(#REF!,"AAAAAC/xbcg=")</f>
        <v>#REF!</v>
      </c>
      <c r="GT26" t="e">
        <f>AND(#REF!,"AAAAAC/xbck=")</f>
        <v>#REF!</v>
      </c>
      <c r="GU26" t="e">
        <f>AND(#REF!,"AAAAAC/xbco=")</f>
        <v>#REF!</v>
      </c>
      <c r="GV26" t="e">
        <f>AND(#REF!,"AAAAAC/xbcs=")</f>
        <v>#REF!</v>
      </c>
      <c r="GW26" t="e">
        <f>AND(#REF!,"AAAAAC/xbcw=")</f>
        <v>#REF!</v>
      </c>
      <c r="GX26" t="e">
        <f>AND(#REF!,"AAAAAC/xbc0=")</f>
        <v>#REF!</v>
      </c>
      <c r="GY26" t="e">
        <f>AND(#REF!,"AAAAAC/xbc4=")</f>
        <v>#REF!</v>
      </c>
      <c r="GZ26" t="e">
        <f>AND(#REF!,"AAAAAC/xbc8=")</f>
        <v>#REF!</v>
      </c>
      <c r="HA26" t="e">
        <f>AND(#REF!,"AAAAAC/xbdA=")</f>
        <v>#REF!</v>
      </c>
      <c r="HB26" t="e">
        <f>AND(#REF!,"AAAAAC/xbdE=")</f>
        <v>#REF!</v>
      </c>
      <c r="HC26" t="e">
        <f>AND(#REF!,"AAAAAC/xbdI=")</f>
        <v>#REF!</v>
      </c>
      <c r="HD26" t="e">
        <f>AND(#REF!,"AAAAAC/xbdM=")</f>
        <v>#REF!</v>
      </c>
      <c r="HE26" t="e">
        <f>AND(#REF!,"AAAAAC/xbdQ=")</f>
        <v>#REF!</v>
      </c>
      <c r="HF26" t="e">
        <f>AND(#REF!,"AAAAAC/xbdU=")</f>
        <v>#REF!</v>
      </c>
      <c r="HG26" t="e">
        <f>AND(#REF!,"AAAAAC/xbdY=")</f>
        <v>#REF!</v>
      </c>
      <c r="HH26" t="e">
        <f>AND(#REF!,"AAAAAC/xbdc=")</f>
        <v>#REF!</v>
      </c>
      <c r="HI26" t="e">
        <f>AND(#REF!,"AAAAAC/xbdg=")</f>
        <v>#REF!</v>
      </c>
      <c r="HJ26" t="e">
        <f>AND(#REF!,"AAAAAC/xbdk=")</f>
        <v>#REF!</v>
      </c>
      <c r="HK26" t="e">
        <f>AND(#REF!,"AAAAAC/xbdo=")</f>
        <v>#REF!</v>
      </c>
      <c r="HL26" t="e">
        <f>AND(#REF!,"AAAAAC/xbds=")</f>
        <v>#REF!</v>
      </c>
      <c r="HM26" t="e">
        <f>AND(#REF!,"AAAAAC/xbdw=")</f>
        <v>#REF!</v>
      </c>
      <c r="HN26" t="e">
        <f>AND(#REF!,"AAAAAC/xbd0=")</f>
        <v>#REF!</v>
      </c>
      <c r="HO26" t="e">
        <f>AND(#REF!,"AAAAAC/xbd4=")</f>
        <v>#REF!</v>
      </c>
      <c r="HP26" t="e">
        <f>AND(#REF!,"AAAAAC/xbd8=")</f>
        <v>#REF!</v>
      </c>
      <c r="HQ26" t="e">
        <f>AND(#REF!,"AAAAAC/xbeA=")</f>
        <v>#REF!</v>
      </c>
      <c r="HR26" t="e">
        <f>AND(#REF!,"AAAAAC/xbeE=")</f>
        <v>#REF!</v>
      </c>
      <c r="HS26" t="e">
        <f>AND(#REF!,"AAAAAC/xbeI=")</f>
        <v>#REF!</v>
      </c>
      <c r="HT26" t="e">
        <f>AND(#REF!,"AAAAAC/xbeM=")</f>
        <v>#REF!</v>
      </c>
      <c r="HU26" t="e">
        <f>AND(#REF!,"AAAAAC/xbeQ=")</f>
        <v>#REF!</v>
      </c>
      <c r="HV26" t="e">
        <f>AND(#REF!,"AAAAAC/xbeU=")</f>
        <v>#REF!</v>
      </c>
      <c r="HW26" t="e">
        <f>AND(#REF!,"AAAAAC/xbeY=")</f>
        <v>#REF!</v>
      </c>
      <c r="HX26" t="e">
        <f>AND(#REF!,"AAAAAC/xbec=")</f>
        <v>#REF!</v>
      </c>
      <c r="HY26" t="e">
        <f>AND(#REF!,"AAAAAC/xbeg=")</f>
        <v>#REF!</v>
      </c>
      <c r="HZ26" t="e">
        <f>AND(#REF!,"AAAAAC/xbek=")</f>
        <v>#REF!</v>
      </c>
      <c r="IA26" t="e">
        <f>AND(#REF!,"AAAAAC/xbeo=")</f>
        <v>#REF!</v>
      </c>
      <c r="IB26" t="e">
        <f>AND(#REF!,"AAAAAC/xbes=")</f>
        <v>#REF!</v>
      </c>
      <c r="IC26" t="e">
        <f>AND(#REF!,"AAAAAC/xbew=")</f>
        <v>#REF!</v>
      </c>
      <c r="ID26" t="e">
        <f>AND(#REF!,"AAAAAC/xbe0=")</f>
        <v>#REF!</v>
      </c>
      <c r="IE26" t="e">
        <f>AND(#REF!,"AAAAAC/xbe4=")</f>
        <v>#REF!</v>
      </c>
      <c r="IF26" t="e">
        <f>AND(#REF!,"AAAAAC/xbe8=")</f>
        <v>#REF!</v>
      </c>
      <c r="IG26" t="e">
        <f>AND(#REF!,"AAAAAC/xbfA=")</f>
        <v>#REF!</v>
      </c>
      <c r="IH26" t="e">
        <f>AND(#REF!,"AAAAAC/xbfE=")</f>
        <v>#REF!</v>
      </c>
      <c r="II26" t="e">
        <f>AND(#REF!,"AAAAAC/xbfI=")</f>
        <v>#REF!</v>
      </c>
      <c r="IJ26" t="e">
        <f>AND(#REF!,"AAAAAC/xbfM=")</f>
        <v>#REF!</v>
      </c>
      <c r="IK26" t="e">
        <f>AND(#REF!,"AAAAAC/xbfQ=")</f>
        <v>#REF!</v>
      </c>
      <c r="IL26" t="e">
        <f>AND(#REF!,"AAAAAC/xbfU=")</f>
        <v>#REF!</v>
      </c>
      <c r="IM26" t="e">
        <f>AND(#REF!,"AAAAAC/xbfY=")</f>
        <v>#REF!</v>
      </c>
      <c r="IN26" t="e">
        <f>AND(#REF!,"AAAAAC/xbfc=")</f>
        <v>#REF!</v>
      </c>
      <c r="IO26" t="e">
        <f>AND(#REF!,"AAAAAC/xbfg=")</f>
        <v>#REF!</v>
      </c>
      <c r="IP26" t="e">
        <f>AND(#REF!,"AAAAAC/xbfk=")</f>
        <v>#REF!</v>
      </c>
      <c r="IQ26" t="e">
        <f>AND(#REF!,"AAAAAC/xbfo=")</f>
        <v>#REF!</v>
      </c>
      <c r="IR26" t="e">
        <f>AND(#REF!,"AAAAAC/xbfs=")</f>
        <v>#REF!</v>
      </c>
      <c r="IS26" t="e">
        <f>AND(#REF!,"AAAAAC/xbfw=")</f>
        <v>#REF!</v>
      </c>
      <c r="IT26" t="e">
        <f>AND(#REF!,"AAAAAC/xbf0=")</f>
        <v>#REF!</v>
      </c>
      <c r="IU26" t="e">
        <f>AND(#REF!,"AAAAAC/xbf4=")</f>
        <v>#REF!</v>
      </c>
      <c r="IV26" t="e">
        <f>AND(#REF!,"AAAAAC/xbf8=")</f>
        <v>#REF!</v>
      </c>
    </row>
    <row r="27" spans="1:256" x14ac:dyDescent="0.2">
      <c r="A27" t="e">
        <f>AND(#REF!,"AAAAAHNY/wA=")</f>
        <v>#REF!</v>
      </c>
      <c r="B27" t="e">
        <f>AND(#REF!,"AAAAAHNY/wE=")</f>
        <v>#REF!</v>
      </c>
      <c r="C27" t="e">
        <f>AND(#REF!,"AAAAAHNY/wI=")</f>
        <v>#REF!</v>
      </c>
      <c r="D27" t="e">
        <f>AND(#REF!,"AAAAAHNY/wM=")</f>
        <v>#REF!</v>
      </c>
      <c r="E27" t="e">
        <f>AND(#REF!,"AAAAAHNY/wQ=")</f>
        <v>#REF!</v>
      </c>
      <c r="F27" t="e">
        <f>AND(#REF!,"AAAAAHNY/wU=")</f>
        <v>#REF!</v>
      </c>
      <c r="G27" t="e">
        <f>AND(#REF!,"AAAAAHNY/wY=")</f>
        <v>#REF!</v>
      </c>
      <c r="H27" t="e">
        <f>AND(#REF!,"AAAAAHNY/wc=")</f>
        <v>#REF!</v>
      </c>
      <c r="I27" t="e">
        <f>AND(#REF!,"AAAAAHNY/wg=")</f>
        <v>#REF!</v>
      </c>
      <c r="J27" t="e">
        <f>AND(#REF!,"AAAAAHNY/wk=")</f>
        <v>#REF!</v>
      </c>
      <c r="K27" t="e">
        <f>AND(#REF!,"AAAAAHNY/wo=")</f>
        <v>#REF!</v>
      </c>
      <c r="L27" t="e">
        <f>AND(#REF!,"AAAAAHNY/ws=")</f>
        <v>#REF!</v>
      </c>
      <c r="M27" t="e">
        <f>AND(#REF!,"AAAAAHNY/ww=")</f>
        <v>#REF!</v>
      </c>
      <c r="N27" t="e">
        <f>AND(#REF!,"AAAAAHNY/w0=")</f>
        <v>#REF!</v>
      </c>
      <c r="O27" t="e">
        <f>AND(#REF!,"AAAAAHNY/w4=")</f>
        <v>#REF!</v>
      </c>
      <c r="P27" t="e">
        <f>AND(#REF!,"AAAAAHNY/w8=")</f>
        <v>#REF!</v>
      </c>
      <c r="Q27" t="e">
        <f>AND(#REF!,"AAAAAHNY/xA=")</f>
        <v>#REF!</v>
      </c>
      <c r="R27" t="e">
        <f>AND(#REF!,"AAAAAHNY/xE=")</f>
        <v>#REF!</v>
      </c>
      <c r="S27" t="e">
        <f>AND(#REF!,"AAAAAHNY/xI=")</f>
        <v>#REF!</v>
      </c>
      <c r="T27" t="e">
        <f>AND(#REF!,"AAAAAHNY/xM=")</f>
        <v>#REF!</v>
      </c>
      <c r="U27" t="e">
        <f>AND(#REF!,"AAAAAHNY/xQ=")</f>
        <v>#REF!</v>
      </c>
      <c r="V27" t="e">
        <f>AND(#REF!,"AAAAAHNY/xU=")</f>
        <v>#REF!</v>
      </c>
      <c r="W27" t="e">
        <f>AND(#REF!,"AAAAAHNY/xY=")</f>
        <v>#REF!</v>
      </c>
      <c r="X27" t="e">
        <f>AND(#REF!,"AAAAAHNY/xc=")</f>
        <v>#REF!</v>
      </c>
      <c r="Y27" t="e">
        <f>AND(#REF!,"AAAAAHNY/xg=")</f>
        <v>#REF!</v>
      </c>
      <c r="Z27" t="e">
        <f>AND(#REF!,"AAAAAHNY/xk=")</f>
        <v>#REF!</v>
      </c>
      <c r="AA27" t="e">
        <f>AND(#REF!,"AAAAAHNY/xo=")</f>
        <v>#REF!</v>
      </c>
      <c r="AB27" t="e">
        <f>AND(#REF!,"AAAAAHNY/xs=")</f>
        <v>#REF!</v>
      </c>
      <c r="AC27" t="e">
        <f>AND(#REF!,"AAAAAHNY/xw=")</f>
        <v>#REF!</v>
      </c>
      <c r="AD27" t="e">
        <f>AND(#REF!,"AAAAAHNY/x0=")</f>
        <v>#REF!</v>
      </c>
      <c r="AE27" t="e">
        <f>AND(#REF!,"AAAAAHNY/x4=")</f>
        <v>#REF!</v>
      </c>
      <c r="AF27" t="e">
        <f>AND(#REF!,"AAAAAHNY/x8=")</f>
        <v>#REF!</v>
      </c>
      <c r="AG27" t="e">
        <f>AND(#REF!,"AAAAAHNY/yA=")</f>
        <v>#REF!</v>
      </c>
      <c r="AH27" t="e">
        <f>AND(#REF!,"AAAAAHNY/yE=")</f>
        <v>#REF!</v>
      </c>
      <c r="AI27" t="e">
        <f>AND(#REF!,"AAAAAHNY/yI=")</f>
        <v>#REF!</v>
      </c>
      <c r="AJ27" t="e">
        <f>AND(#REF!,"AAAAAHNY/yM=")</f>
        <v>#REF!</v>
      </c>
      <c r="AK27" t="e">
        <f>AND(#REF!,"AAAAAHNY/yQ=")</f>
        <v>#REF!</v>
      </c>
      <c r="AL27" t="e">
        <f>AND(#REF!,"AAAAAHNY/yU=")</f>
        <v>#REF!</v>
      </c>
      <c r="AM27" t="e">
        <f>AND(#REF!,"AAAAAHNY/yY=")</f>
        <v>#REF!</v>
      </c>
      <c r="AN27" t="e">
        <f>AND(#REF!,"AAAAAHNY/yc=")</f>
        <v>#REF!</v>
      </c>
      <c r="AO27" t="e">
        <f>AND(#REF!,"AAAAAHNY/yg=")</f>
        <v>#REF!</v>
      </c>
      <c r="AP27" t="e">
        <f>AND(#REF!,"AAAAAHNY/yk=")</f>
        <v>#REF!</v>
      </c>
      <c r="AQ27" t="e">
        <f>AND(#REF!,"AAAAAHNY/yo=")</f>
        <v>#REF!</v>
      </c>
      <c r="AR27" t="e">
        <f>AND(#REF!,"AAAAAHNY/ys=")</f>
        <v>#REF!</v>
      </c>
      <c r="AS27" t="e">
        <f>AND(#REF!,"AAAAAHNY/yw=")</f>
        <v>#REF!</v>
      </c>
      <c r="AT27" t="e">
        <f>AND(#REF!,"AAAAAHNY/y0=")</f>
        <v>#REF!</v>
      </c>
      <c r="AU27" t="e">
        <f>AND(#REF!,"AAAAAHNY/y4=")</f>
        <v>#REF!</v>
      </c>
      <c r="AV27" t="e">
        <f>AND(#REF!,"AAAAAHNY/y8=")</f>
        <v>#REF!</v>
      </c>
      <c r="AW27" t="e">
        <f>AND(#REF!,"AAAAAHNY/zA=")</f>
        <v>#REF!</v>
      </c>
      <c r="AX27" t="e">
        <f>AND(#REF!,"AAAAAHNY/zE=")</f>
        <v>#REF!</v>
      </c>
      <c r="AY27" t="e">
        <f>AND(#REF!,"AAAAAHNY/zI=")</f>
        <v>#REF!</v>
      </c>
      <c r="AZ27" t="e">
        <f>AND(#REF!,"AAAAAHNY/zM=")</f>
        <v>#REF!</v>
      </c>
      <c r="BA27" t="e">
        <f>AND(#REF!,"AAAAAHNY/zQ=")</f>
        <v>#REF!</v>
      </c>
      <c r="BB27" t="e">
        <f>AND(#REF!,"AAAAAHNY/zU=")</f>
        <v>#REF!</v>
      </c>
      <c r="BC27" t="e">
        <f>AND(#REF!,"AAAAAHNY/zY=")</f>
        <v>#REF!</v>
      </c>
      <c r="BD27" t="e">
        <f>AND(#REF!,"AAAAAHNY/zc=")</f>
        <v>#REF!</v>
      </c>
      <c r="BE27" t="e">
        <f>AND(#REF!,"AAAAAHNY/zg=")</f>
        <v>#REF!</v>
      </c>
      <c r="BF27" t="e">
        <f>AND(#REF!,"AAAAAHNY/zk=")</f>
        <v>#REF!</v>
      </c>
      <c r="BG27" t="e">
        <f>IF(#REF!,"AAAAAHNY/zo=",0)</f>
        <v>#REF!</v>
      </c>
      <c r="BH27" t="e">
        <f>AND(#REF!,"AAAAAHNY/zs=")</f>
        <v>#REF!</v>
      </c>
      <c r="BI27" t="e">
        <f>AND(#REF!,"AAAAAHNY/zw=")</f>
        <v>#REF!</v>
      </c>
      <c r="BJ27" t="e">
        <f>AND(#REF!,"AAAAAHNY/z0=")</f>
        <v>#REF!</v>
      </c>
      <c r="BK27" t="e">
        <f>AND(#REF!,"AAAAAHNY/z4=")</f>
        <v>#REF!</v>
      </c>
      <c r="BL27" t="e">
        <f>AND(#REF!,"AAAAAHNY/z8=")</f>
        <v>#REF!</v>
      </c>
      <c r="BM27" t="e">
        <f>AND(#REF!,"AAAAAHNY/0A=")</f>
        <v>#REF!</v>
      </c>
      <c r="BN27" t="e">
        <f>AND(#REF!,"AAAAAHNY/0E=")</f>
        <v>#REF!</v>
      </c>
      <c r="BO27" t="e">
        <f>AND(#REF!,"AAAAAHNY/0I=")</f>
        <v>#REF!</v>
      </c>
      <c r="BP27" t="e">
        <f>AND(#REF!,"AAAAAHNY/0M=")</f>
        <v>#REF!</v>
      </c>
      <c r="BQ27" t="e">
        <f>AND(#REF!,"AAAAAHNY/0Q=")</f>
        <v>#REF!</v>
      </c>
      <c r="BR27" t="e">
        <f>AND(#REF!,"AAAAAHNY/0U=")</f>
        <v>#REF!</v>
      </c>
      <c r="BS27" t="e">
        <f>AND(#REF!,"AAAAAHNY/0Y=")</f>
        <v>#REF!</v>
      </c>
      <c r="BT27" t="e">
        <f>AND(#REF!,"AAAAAHNY/0c=")</f>
        <v>#REF!</v>
      </c>
      <c r="BU27" t="e">
        <f>AND(#REF!,"AAAAAHNY/0g=")</f>
        <v>#REF!</v>
      </c>
      <c r="BV27" t="e">
        <f>AND(#REF!,"AAAAAHNY/0k=")</f>
        <v>#REF!</v>
      </c>
      <c r="BW27" t="e">
        <f>AND(#REF!,"AAAAAHNY/0o=")</f>
        <v>#REF!</v>
      </c>
      <c r="BX27" t="e">
        <f>AND(#REF!,"AAAAAHNY/0s=")</f>
        <v>#REF!</v>
      </c>
      <c r="BY27" t="e">
        <f>AND(#REF!,"AAAAAHNY/0w=")</f>
        <v>#REF!</v>
      </c>
      <c r="BZ27" t="e">
        <f>AND(#REF!,"AAAAAHNY/00=")</f>
        <v>#REF!</v>
      </c>
      <c r="CA27" t="e">
        <f>AND(#REF!,"AAAAAHNY/04=")</f>
        <v>#REF!</v>
      </c>
      <c r="CB27" t="e">
        <f>AND(#REF!,"AAAAAHNY/08=")</f>
        <v>#REF!</v>
      </c>
      <c r="CC27" t="e">
        <f>AND(#REF!,"AAAAAHNY/1A=")</f>
        <v>#REF!</v>
      </c>
      <c r="CD27" t="e">
        <f>AND(#REF!,"AAAAAHNY/1E=")</f>
        <v>#REF!</v>
      </c>
      <c r="CE27" t="e">
        <f>AND(#REF!,"AAAAAHNY/1I=")</f>
        <v>#REF!</v>
      </c>
      <c r="CF27" t="e">
        <f>AND(#REF!,"AAAAAHNY/1M=")</f>
        <v>#REF!</v>
      </c>
      <c r="CG27" t="e">
        <f>AND(#REF!,"AAAAAHNY/1Q=")</f>
        <v>#REF!</v>
      </c>
      <c r="CH27" t="e">
        <f>AND(#REF!,"AAAAAHNY/1U=")</f>
        <v>#REF!</v>
      </c>
      <c r="CI27" t="e">
        <f>AND(#REF!,"AAAAAHNY/1Y=")</f>
        <v>#REF!</v>
      </c>
      <c r="CJ27" t="e">
        <f>AND(#REF!,"AAAAAHNY/1c=")</f>
        <v>#REF!</v>
      </c>
      <c r="CK27" t="e">
        <f>AND(#REF!,"AAAAAHNY/1g=")</f>
        <v>#REF!</v>
      </c>
      <c r="CL27" t="e">
        <f>AND(#REF!,"AAAAAHNY/1k=")</f>
        <v>#REF!</v>
      </c>
      <c r="CM27" t="e">
        <f>AND(#REF!,"AAAAAHNY/1o=")</f>
        <v>#REF!</v>
      </c>
      <c r="CN27" t="e">
        <f>AND(#REF!,"AAAAAHNY/1s=")</f>
        <v>#REF!</v>
      </c>
      <c r="CO27" t="e">
        <f>AND(#REF!,"AAAAAHNY/1w=")</f>
        <v>#REF!</v>
      </c>
      <c r="CP27" t="e">
        <f>AND(#REF!,"AAAAAHNY/10=")</f>
        <v>#REF!</v>
      </c>
      <c r="CQ27" t="e">
        <f>AND(#REF!,"AAAAAHNY/14=")</f>
        <v>#REF!</v>
      </c>
      <c r="CR27" t="e">
        <f>AND(#REF!,"AAAAAHNY/18=")</f>
        <v>#REF!</v>
      </c>
      <c r="CS27" t="e">
        <f>AND(#REF!,"AAAAAHNY/2A=")</f>
        <v>#REF!</v>
      </c>
      <c r="CT27" t="e">
        <f>AND(#REF!,"AAAAAHNY/2E=")</f>
        <v>#REF!</v>
      </c>
      <c r="CU27" t="e">
        <f>AND(#REF!,"AAAAAHNY/2I=")</f>
        <v>#REF!</v>
      </c>
      <c r="CV27" t="e">
        <f>AND(#REF!,"AAAAAHNY/2M=")</f>
        <v>#REF!</v>
      </c>
      <c r="CW27" t="e">
        <f>AND(#REF!,"AAAAAHNY/2Q=")</f>
        <v>#REF!</v>
      </c>
      <c r="CX27" t="e">
        <f>AND(#REF!,"AAAAAHNY/2U=")</f>
        <v>#REF!</v>
      </c>
      <c r="CY27" t="e">
        <f>AND(#REF!,"AAAAAHNY/2Y=")</f>
        <v>#REF!</v>
      </c>
      <c r="CZ27" t="e">
        <f>AND(#REF!,"AAAAAHNY/2c=")</f>
        <v>#REF!</v>
      </c>
      <c r="DA27" t="e">
        <f>AND(#REF!,"AAAAAHNY/2g=")</f>
        <v>#REF!</v>
      </c>
      <c r="DB27" t="e">
        <f>AND(#REF!,"AAAAAHNY/2k=")</f>
        <v>#REF!</v>
      </c>
      <c r="DC27" t="e">
        <f>AND(#REF!,"AAAAAHNY/2o=")</f>
        <v>#REF!</v>
      </c>
      <c r="DD27" t="e">
        <f>AND(#REF!,"AAAAAHNY/2s=")</f>
        <v>#REF!</v>
      </c>
      <c r="DE27" t="e">
        <f>AND(#REF!,"AAAAAHNY/2w=")</f>
        <v>#REF!</v>
      </c>
      <c r="DF27" t="e">
        <f>AND(#REF!,"AAAAAHNY/20=")</f>
        <v>#REF!</v>
      </c>
      <c r="DG27" t="e">
        <f>AND(#REF!,"AAAAAHNY/24=")</f>
        <v>#REF!</v>
      </c>
      <c r="DH27" t="e">
        <f>AND(#REF!,"AAAAAHNY/28=")</f>
        <v>#REF!</v>
      </c>
      <c r="DI27" t="e">
        <f>AND(#REF!,"AAAAAHNY/3A=")</f>
        <v>#REF!</v>
      </c>
      <c r="DJ27" t="e">
        <f>AND(#REF!,"AAAAAHNY/3E=")</f>
        <v>#REF!</v>
      </c>
      <c r="DK27" t="e">
        <f>AND(#REF!,"AAAAAHNY/3I=")</f>
        <v>#REF!</v>
      </c>
      <c r="DL27" t="e">
        <f>AND(#REF!,"AAAAAHNY/3M=")</f>
        <v>#REF!</v>
      </c>
      <c r="DM27" t="e">
        <f>AND(#REF!,"AAAAAHNY/3Q=")</f>
        <v>#REF!</v>
      </c>
      <c r="DN27" t="e">
        <f>AND(#REF!,"AAAAAHNY/3U=")</f>
        <v>#REF!</v>
      </c>
      <c r="DO27" t="e">
        <f>AND(#REF!,"AAAAAHNY/3Y=")</f>
        <v>#REF!</v>
      </c>
      <c r="DP27" t="e">
        <f>AND(#REF!,"AAAAAHNY/3c=")</f>
        <v>#REF!</v>
      </c>
      <c r="DQ27" t="e">
        <f>AND(#REF!,"AAAAAHNY/3g=")</f>
        <v>#REF!</v>
      </c>
      <c r="DR27" t="e">
        <f>AND(#REF!,"AAAAAHNY/3k=")</f>
        <v>#REF!</v>
      </c>
      <c r="DS27" t="e">
        <f>AND(#REF!,"AAAAAHNY/3o=")</f>
        <v>#REF!</v>
      </c>
      <c r="DT27" t="e">
        <f>AND(#REF!,"AAAAAHNY/3s=")</f>
        <v>#REF!</v>
      </c>
      <c r="DU27" t="e">
        <f>AND(#REF!,"AAAAAHNY/3w=")</f>
        <v>#REF!</v>
      </c>
      <c r="DV27" t="e">
        <f>AND(#REF!,"AAAAAHNY/30=")</f>
        <v>#REF!</v>
      </c>
      <c r="DW27" t="e">
        <f>AND(#REF!,"AAAAAHNY/34=")</f>
        <v>#REF!</v>
      </c>
      <c r="DX27" t="e">
        <f>AND(#REF!,"AAAAAHNY/38=")</f>
        <v>#REF!</v>
      </c>
      <c r="DY27" t="e">
        <f>AND(#REF!,"AAAAAHNY/4A=")</f>
        <v>#REF!</v>
      </c>
      <c r="DZ27" t="e">
        <f>AND(#REF!,"AAAAAHNY/4E=")</f>
        <v>#REF!</v>
      </c>
      <c r="EA27" t="e">
        <f>AND(#REF!,"AAAAAHNY/4I=")</f>
        <v>#REF!</v>
      </c>
      <c r="EB27" t="e">
        <f>AND(#REF!,"AAAAAHNY/4M=")</f>
        <v>#REF!</v>
      </c>
      <c r="EC27" t="e">
        <f>AND(#REF!,"AAAAAHNY/4Q=")</f>
        <v>#REF!</v>
      </c>
      <c r="ED27" t="e">
        <f>AND(#REF!,"AAAAAHNY/4U=")</f>
        <v>#REF!</v>
      </c>
      <c r="EE27" t="e">
        <f>AND(#REF!,"AAAAAHNY/4Y=")</f>
        <v>#REF!</v>
      </c>
      <c r="EF27" t="e">
        <f>AND(#REF!,"AAAAAHNY/4c=")</f>
        <v>#REF!</v>
      </c>
      <c r="EG27" t="e">
        <f>AND(#REF!,"AAAAAHNY/4g=")</f>
        <v>#REF!</v>
      </c>
      <c r="EH27" t="e">
        <f>AND(#REF!,"AAAAAHNY/4k=")</f>
        <v>#REF!</v>
      </c>
      <c r="EI27" t="e">
        <f>AND(#REF!,"AAAAAHNY/4o=")</f>
        <v>#REF!</v>
      </c>
      <c r="EJ27" t="e">
        <f>AND(#REF!,"AAAAAHNY/4s=")</f>
        <v>#REF!</v>
      </c>
      <c r="EK27" t="e">
        <f>AND(#REF!,"AAAAAHNY/4w=")</f>
        <v>#REF!</v>
      </c>
      <c r="EL27" t="e">
        <f>AND(#REF!,"AAAAAHNY/40=")</f>
        <v>#REF!</v>
      </c>
      <c r="EM27" t="e">
        <f>AND(#REF!,"AAAAAHNY/44=")</f>
        <v>#REF!</v>
      </c>
      <c r="EN27" t="e">
        <f>AND(#REF!,"AAAAAHNY/48=")</f>
        <v>#REF!</v>
      </c>
      <c r="EO27" t="e">
        <f>AND(#REF!,"AAAAAHNY/5A=")</f>
        <v>#REF!</v>
      </c>
      <c r="EP27" t="e">
        <f>AND(#REF!,"AAAAAHNY/5E=")</f>
        <v>#REF!</v>
      </c>
      <c r="EQ27" t="e">
        <f>AND(#REF!,"AAAAAHNY/5I=")</f>
        <v>#REF!</v>
      </c>
      <c r="ER27" t="e">
        <f>AND(#REF!,"AAAAAHNY/5M=")</f>
        <v>#REF!</v>
      </c>
      <c r="ES27" t="e">
        <f>AND(#REF!,"AAAAAHNY/5Q=")</f>
        <v>#REF!</v>
      </c>
      <c r="ET27" t="e">
        <f>AND(#REF!,"AAAAAHNY/5U=")</f>
        <v>#REF!</v>
      </c>
      <c r="EU27" t="e">
        <f>AND(#REF!,"AAAAAHNY/5Y=")</f>
        <v>#REF!</v>
      </c>
      <c r="EV27" t="e">
        <f>AND(#REF!,"AAAAAHNY/5c=")</f>
        <v>#REF!</v>
      </c>
      <c r="EW27" t="e">
        <f>AND(#REF!,"AAAAAHNY/5g=")</f>
        <v>#REF!</v>
      </c>
      <c r="EX27" t="e">
        <f>AND(#REF!,"AAAAAHNY/5k=")</f>
        <v>#REF!</v>
      </c>
      <c r="EY27" t="e">
        <f>AND(#REF!,"AAAAAHNY/5o=")</f>
        <v>#REF!</v>
      </c>
      <c r="EZ27" t="e">
        <f>AND(#REF!,"AAAAAHNY/5s=")</f>
        <v>#REF!</v>
      </c>
      <c r="FA27" t="e">
        <f>AND(#REF!,"AAAAAHNY/5w=")</f>
        <v>#REF!</v>
      </c>
      <c r="FB27" t="e">
        <f>AND(#REF!,"AAAAAHNY/50=")</f>
        <v>#REF!</v>
      </c>
      <c r="FC27" t="e">
        <f>AND(#REF!,"AAAAAHNY/54=")</f>
        <v>#REF!</v>
      </c>
      <c r="FD27" t="e">
        <f>AND(#REF!,"AAAAAHNY/58=")</f>
        <v>#REF!</v>
      </c>
      <c r="FE27" t="e">
        <f>AND(#REF!,"AAAAAHNY/6A=")</f>
        <v>#REF!</v>
      </c>
      <c r="FF27" t="e">
        <f>AND(#REF!,"AAAAAHNY/6E=")</f>
        <v>#REF!</v>
      </c>
      <c r="FG27" t="e">
        <f>AND(#REF!,"AAAAAHNY/6I=")</f>
        <v>#REF!</v>
      </c>
      <c r="FH27" t="e">
        <f>AND(#REF!,"AAAAAHNY/6M=")</f>
        <v>#REF!</v>
      </c>
      <c r="FI27" t="e">
        <f>AND(#REF!,"AAAAAHNY/6Q=")</f>
        <v>#REF!</v>
      </c>
      <c r="FJ27" t="e">
        <f>AND(#REF!,"AAAAAHNY/6U=")</f>
        <v>#REF!</v>
      </c>
      <c r="FK27" t="e">
        <f>AND(#REF!,"AAAAAHNY/6Y=")</f>
        <v>#REF!</v>
      </c>
      <c r="FL27" t="e">
        <f>AND(#REF!,"AAAAAHNY/6c=")</f>
        <v>#REF!</v>
      </c>
      <c r="FM27" t="e">
        <f>AND(#REF!,"AAAAAHNY/6g=")</f>
        <v>#REF!</v>
      </c>
      <c r="FN27" t="e">
        <f>AND(#REF!,"AAAAAHNY/6k=")</f>
        <v>#REF!</v>
      </c>
      <c r="FO27" t="e">
        <f>AND(#REF!,"AAAAAHNY/6o=")</f>
        <v>#REF!</v>
      </c>
      <c r="FP27" t="e">
        <f>AND(#REF!,"AAAAAHNY/6s=")</f>
        <v>#REF!</v>
      </c>
      <c r="FQ27" t="e">
        <f>AND(#REF!,"AAAAAHNY/6w=")</f>
        <v>#REF!</v>
      </c>
      <c r="FR27" t="e">
        <f>AND(#REF!,"AAAAAHNY/60=")</f>
        <v>#REF!</v>
      </c>
      <c r="FS27" t="e">
        <f>AND(#REF!,"AAAAAHNY/64=")</f>
        <v>#REF!</v>
      </c>
      <c r="FT27" t="e">
        <f>AND(#REF!,"AAAAAHNY/68=")</f>
        <v>#REF!</v>
      </c>
      <c r="FU27" t="e">
        <f>AND(#REF!,"AAAAAHNY/7A=")</f>
        <v>#REF!</v>
      </c>
      <c r="FV27" t="e">
        <f>AND(#REF!,"AAAAAHNY/7E=")</f>
        <v>#REF!</v>
      </c>
      <c r="FW27" t="e">
        <f>AND(#REF!,"AAAAAHNY/7I=")</f>
        <v>#REF!</v>
      </c>
      <c r="FX27" t="e">
        <f>AND(#REF!,"AAAAAHNY/7M=")</f>
        <v>#REF!</v>
      </c>
      <c r="FY27" t="e">
        <f>AND(#REF!,"AAAAAHNY/7Q=")</f>
        <v>#REF!</v>
      </c>
      <c r="FZ27" t="e">
        <f>AND(#REF!,"AAAAAHNY/7U=")</f>
        <v>#REF!</v>
      </c>
      <c r="GA27" t="e">
        <f>AND(#REF!,"AAAAAHNY/7Y=")</f>
        <v>#REF!</v>
      </c>
      <c r="GB27" t="e">
        <f>AND(#REF!,"AAAAAHNY/7c=")</f>
        <v>#REF!</v>
      </c>
      <c r="GC27" t="e">
        <f>AND(#REF!,"AAAAAHNY/7g=")</f>
        <v>#REF!</v>
      </c>
      <c r="GD27" t="e">
        <f>AND(#REF!,"AAAAAHNY/7k=")</f>
        <v>#REF!</v>
      </c>
      <c r="GE27" t="e">
        <f>AND(#REF!,"AAAAAHNY/7o=")</f>
        <v>#REF!</v>
      </c>
      <c r="GF27" t="e">
        <f>AND(#REF!,"AAAAAHNY/7s=")</f>
        <v>#REF!</v>
      </c>
      <c r="GG27" t="e">
        <f>AND(#REF!,"AAAAAHNY/7w=")</f>
        <v>#REF!</v>
      </c>
      <c r="GH27" t="e">
        <f>AND(#REF!,"AAAAAHNY/70=")</f>
        <v>#REF!</v>
      </c>
      <c r="GI27" t="e">
        <f>AND(#REF!,"AAAAAHNY/74=")</f>
        <v>#REF!</v>
      </c>
      <c r="GJ27" t="e">
        <f>AND(#REF!,"AAAAAHNY/78=")</f>
        <v>#REF!</v>
      </c>
      <c r="GK27" t="e">
        <f>AND(#REF!,"AAAAAHNY/8A=")</f>
        <v>#REF!</v>
      </c>
      <c r="GL27" t="e">
        <f>AND(#REF!,"AAAAAHNY/8E=")</f>
        <v>#REF!</v>
      </c>
      <c r="GM27" t="e">
        <f>AND(#REF!,"AAAAAHNY/8I=")</f>
        <v>#REF!</v>
      </c>
      <c r="GN27" t="e">
        <f>AND(#REF!,"AAAAAHNY/8M=")</f>
        <v>#REF!</v>
      </c>
      <c r="GO27" t="e">
        <f>AND(#REF!,"AAAAAHNY/8Q=")</f>
        <v>#REF!</v>
      </c>
      <c r="GP27" t="e">
        <f>AND(#REF!,"AAAAAHNY/8U=")</f>
        <v>#REF!</v>
      </c>
      <c r="GQ27" t="e">
        <f>AND(#REF!,"AAAAAHNY/8Y=")</f>
        <v>#REF!</v>
      </c>
      <c r="GR27" t="e">
        <f>AND(#REF!,"AAAAAHNY/8c=")</f>
        <v>#REF!</v>
      </c>
      <c r="GS27" t="e">
        <f>AND(#REF!,"AAAAAHNY/8g=")</f>
        <v>#REF!</v>
      </c>
      <c r="GT27" t="e">
        <f>AND(#REF!,"AAAAAHNY/8k=")</f>
        <v>#REF!</v>
      </c>
      <c r="GU27" t="e">
        <f>AND(#REF!,"AAAAAHNY/8o=")</f>
        <v>#REF!</v>
      </c>
      <c r="GV27" t="e">
        <f>AND(#REF!,"AAAAAHNY/8s=")</f>
        <v>#REF!</v>
      </c>
      <c r="GW27" t="e">
        <f>AND(#REF!,"AAAAAHNY/8w=")</f>
        <v>#REF!</v>
      </c>
      <c r="GX27" t="e">
        <f>AND(#REF!,"AAAAAHNY/80=")</f>
        <v>#REF!</v>
      </c>
      <c r="GY27" t="e">
        <f>AND(#REF!,"AAAAAHNY/84=")</f>
        <v>#REF!</v>
      </c>
      <c r="GZ27" t="e">
        <f>AND(#REF!,"AAAAAHNY/88=")</f>
        <v>#REF!</v>
      </c>
      <c r="HA27" t="e">
        <f>AND(#REF!,"AAAAAHNY/9A=")</f>
        <v>#REF!</v>
      </c>
      <c r="HB27" t="e">
        <f>AND(#REF!,"AAAAAHNY/9E=")</f>
        <v>#REF!</v>
      </c>
      <c r="HC27" t="e">
        <f>AND(#REF!,"AAAAAHNY/9I=")</f>
        <v>#REF!</v>
      </c>
      <c r="HD27" t="e">
        <f>AND(#REF!,"AAAAAHNY/9M=")</f>
        <v>#REF!</v>
      </c>
      <c r="HE27" t="e">
        <f>AND(#REF!,"AAAAAHNY/9Q=")</f>
        <v>#REF!</v>
      </c>
      <c r="HF27" t="e">
        <f>AND(#REF!,"AAAAAHNY/9U=")</f>
        <v>#REF!</v>
      </c>
      <c r="HG27" t="e">
        <f>AND(#REF!,"AAAAAHNY/9Y=")</f>
        <v>#REF!</v>
      </c>
      <c r="HH27" t="e">
        <f>AND(#REF!,"AAAAAHNY/9c=")</f>
        <v>#REF!</v>
      </c>
      <c r="HI27" t="e">
        <f>AND(#REF!,"AAAAAHNY/9g=")</f>
        <v>#REF!</v>
      </c>
      <c r="HJ27" t="e">
        <f>AND(#REF!,"AAAAAHNY/9k=")</f>
        <v>#REF!</v>
      </c>
      <c r="HK27" t="e">
        <f>AND(#REF!,"AAAAAHNY/9o=")</f>
        <v>#REF!</v>
      </c>
      <c r="HL27" t="e">
        <f>AND(#REF!,"AAAAAHNY/9s=")</f>
        <v>#REF!</v>
      </c>
      <c r="HM27" t="e">
        <f>AND(#REF!,"AAAAAHNY/9w=")</f>
        <v>#REF!</v>
      </c>
      <c r="HN27" t="e">
        <f>AND(#REF!,"AAAAAHNY/90=")</f>
        <v>#REF!</v>
      </c>
      <c r="HO27" t="e">
        <f>AND(#REF!,"AAAAAHNY/94=")</f>
        <v>#REF!</v>
      </c>
      <c r="HP27" t="e">
        <f>AND(#REF!,"AAAAAHNY/98=")</f>
        <v>#REF!</v>
      </c>
      <c r="HQ27" t="e">
        <f>AND(#REF!,"AAAAAHNY/+A=")</f>
        <v>#REF!</v>
      </c>
      <c r="HR27" t="e">
        <f>AND(#REF!,"AAAAAHNY/+E=")</f>
        <v>#REF!</v>
      </c>
      <c r="HS27" t="e">
        <f>AND(#REF!,"AAAAAHNY/+I=")</f>
        <v>#REF!</v>
      </c>
      <c r="HT27" t="e">
        <f>AND(#REF!,"AAAAAHNY/+M=")</f>
        <v>#REF!</v>
      </c>
      <c r="HU27" t="e">
        <f>AND(#REF!,"AAAAAHNY/+Q=")</f>
        <v>#REF!</v>
      </c>
      <c r="HV27" t="e">
        <f>AND(#REF!,"AAAAAHNY/+U=")</f>
        <v>#REF!</v>
      </c>
      <c r="HW27" t="e">
        <f>AND(#REF!,"AAAAAHNY/+Y=")</f>
        <v>#REF!</v>
      </c>
      <c r="HX27" t="e">
        <f>AND(#REF!,"AAAAAHNY/+c=")</f>
        <v>#REF!</v>
      </c>
      <c r="HY27" t="e">
        <f>AND(#REF!,"AAAAAHNY/+g=")</f>
        <v>#REF!</v>
      </c>
      <c r="HZ27" t="e">
        <f>AND(#REF!,"AAAAAHNY/+k=")</f>
        <v>#REF!</v>
      </c>
      <c r="IA27" t="e">
        <f>AND(#REF!,"AAAAAHNY/+o=")</f>
        <v>#REF!</v>
      </c>
      <c r="IB27" t="e">
        <f>AND(#REF!,"AAAAAHNY/+s=")</f>
        <v>#REF!</v>
      </c>
      <c r="IC27" t="e">
        <f>AND(#REF!,"AAAAAHNY/+w=")</f>
        <v>#REF!</v>
      </c>
      <c r="ID27" t="e">
        <f>AND(#REF!,"AAAAAHNY/+0=")</f>
        <v>#REF!</v>
      </c>
      <c r="IE27" t="e">
        <f>AND(#REF!,"AAAAAHNY/+4=")</f>
        <v>#REF!</v>
      </c>
      <c r="IF27" t="e">
        <f>IF(#REF!,"AAAAAHNY/+8=",0)</f>
        <v>#REF!</v>
      </c>
      <c r="IG27" t="e">
        <f>AND(#REF!,"AAAAAHNY//A=")</f>
        <v>#REF!</v>
      </c>
      <c r="IH27" t="e">
        <f>AND(#REF!,"AAAAAHNY//E=")</f>
        <v>#REF!</v>
      </c>
      <c r="II27" t="e">
        <f>AND(#REF!,"AAAAAHNY//I=")</f>
        <v>#REF!</v>
      </c>
      <c r="IJ27" t="e">
        <f>AND(#REF!,"AAAAAHNY//M=")</f>
        <v>#REF!</v>
      </c>
      <c r="IK27" t="e">
        <f>AND(#REF!,"AAAAAHNY//Q=")</f>
        <v>#REF!</v>
      </c>
      <c r="IL27" t="e">
        <f>AND(#REF!,"AAAAAHNY//U=")</f>
        <v>#REF!</v>
      </c>
      <c r="IM27" t="e">
        <f>AND(#REF!,"AAAAAHNY//Y=")</f>
        <v>#REF!</v>
      </c>
      <c r="IN27" t="e">
        <f>AND(#REF!,"AAAAAHNY//c=")</f>
        <v>#REF!</v>
      </c>
      <c r="IO27" t="e">
        <f>AND(#REF!,"AAAAAHNY//g=")</f>
        <v>#REF!</v>
      </c>
      <c r="IP27" t="e">
        <f>AND(#REF!,"AAAAAHNY//k=")</f>
        <v>#REF!</v>
      </c>
      <c r="IQ27" t="e">
        <f>AND(#REF!,"AAAAAHNY//o=")</f>
        <v>#REF!</v>
      </c>
      <c r="IR27" t="e">
        <f>AND(#REF!,"AAAAAHNY//s=")</f>
        <v>#REF!</v>
      </c>
      <c r="IS27" t="e">
        <f>AND(#REF!,"AAAAAHNY//w=")</f>
        <v>#REF!</v>
      </c>
      <c r="IT27" t="e">
        <f>AND(#REF!,"AAAAAHNY//0=")</f>
        <v>#REF!</v>
      </c>
      <c r="IU27" t="e">
        <f>AND(#REF!,"AAAAAHNY//4=")</f>
        <v>#REF!</v>
      </c>
      <c r="IV27" t="e">
        <f>AND(#REF!,"AAAAAHNY//8=")</f>
        <v>#REF!</v>
      </c>
    </row>
    <row r="28" spans="1:256" x14ac:dyDescent="0.2">
      <c r="A28" t="e">
        <f>AND(#REF!,"AAAAAD53zgA=")</f>
        <v>#REF!</v>
      </c>
      <c r="B28" t="e">
        <f>AND(#REF!,"AAAAAD53zgE=")</f>
        <v>#REF!</v>
      </c>
      <c r="C28" t="e">
        <f>AND(#REF!,"AAAAAD53zgI=")</f>
        <v>#REF!</v>
      </c>
      <c r="D28" t="e">
        <f>AND(#REF!,"AAAAAD53zgM=")</f>
        <v>#REF!</v>
      </c>
      <c r="E28" t="e">
        <f>AND(#REF!,"AAAAAD53zgQ=")</f>
        <v>#REF!</v>
      </c>
      <c r="F28" t="e">
        <f>AND(#REF!,"AAAAAD53zgU=")</f>
        <v>#REF!</v>
      </c>
      <c r="G28" t="e">
        <f>AND(#REF!,"AAAAAD53zgY=")</f>
        <v>#REF!</v>
      </c>
      <c r="H28" t="e">
        <f>AND(#REF!,"AAAAAD53zgc=")</f>
        <v>#REF!</v>
      </c>
      <c r="I28" t="e">
        <f>AND(#REF!,"AAAAAD53zgg=")</f>
        <v>#REF!</v>
      </c>
      <c r="J28" t="e">
        <f>AND(#REF!,"AAAAAD53zgk=")</f>
        <v>#REF!</v>
      </c>
      <c r="K28" t="e">
        <f>AND(#REF!,"AAAAAD53zgo=")</f>
        <v>#REF!</v>
      </c>
      <c r="L28" t="e">
        <f>AND(#REF!,"AAAAAD53zgs=")</f>
        <v>#REF!</v>
      </c>
      <c r="M28" t="e">
        <f>AND(#REF!,"AAAAAD53zgw=")</f>
        <v>#REF!</v>
      </c>
      <c r="N28" t="e">
        <f>AND(#REF!,"AAAAAD53zg0=")</f>
        <v>#REF!</v>
      </c>
      <c r="O28" t="e">
        <f>AND(#REF!,"AAAAAD53zg4=")</f>
        <v>#REF!</v>
      </c>
      <c r="P28" t="e">
        <f>AND(#REF!,"AAAAAD53zg8=")</f>
        <v>#REF!</v>
      </c>
      <c r="Q28" t="e">
        <f>AND(#REF!,"AAAAAD53zhA=")</f>
        <v>#REF!</v>
      </c>
      <c r="R28" t="e">
        <f>AND(#REF!,"AAAAAD53zhE=")</f>
        <v>#REF!</v>
      </c>
      <c r="S28" t="e">
        <f>AND(#REF!,"AAAAAD53zhI=")</f>
        <v>#REF!</v>
      </c>
      <c r="T28" t="e">
        <f>AND(#REF!,"AAAAAD53zhM=")</f>
        <v>#REF!</v>
      </c>
      <c r="U28" t="e">
        <f>AND(#REF!,"AAAAAD53zhQ=")</f>
        <v>#REF!</v>
      </c>
      <c r="V28" t="e">
        <f>AND(#REF!,"AAAAAD53zhU=")</f>
        <v>#REF!</v>
      </c>
      <c r="W28" t="e">
        <f>AND(#REF!,"AAAAAD53zhY=")</f>
        <v>#REF!</v>
      </c>
      <c r="X28" t="e">
        <f>AND(#REF!,"AAAAAD53zhc=")</f>
        <v>#REF!</v>
      </c>
      <c r="Y28" t="e">
        <f>AND(#REF!,"AAAAAD53zhg=")</f>
        <v>#REF!</v>
      </c>
      <c r="Z28" t="e">
        <f>AND(#REF!,"AAAAAD53zhk=")</f>
        <v>#REF!</v>
      </c>
      <c r="AA28" t="e">
        <f>AND(#REF!,"AAAAAD53zho=")</f>
        <v>#REF!</v>
      </c>
      <c r="AB28" t="e">
        <f>AND(#REF!,"AAAAAD53zhs=")</f>
        <v>#REF!</v>
      </c>
      <c r="AC28" t="e">
        <f>AND(#REF!,"AAAAAD53zhw=")</f>
        <v>#REF!</v>
      </c>
      <c r="AD28" t="e">
        <f>AND(#REF!,"AAAAAD53zh0=")</f>
        <v>#REF!</v>
      </c>
      <c r="AE28" t="e">
        <f>AND(#REF!,"AAAAAD53zh4=")</f>
        <v>#REF!</v>
      </c>
      <c r="AF28" t="e">
        <f>AND(#REF!,"AAAAAD53zh8=")</f>
        <v>#REF!</v>
      </c>
      <c r="AG28" t="e">
        <f>AND(#REF!,"AAAAAD53ziA=")</f>
        <v>#REF!</v>
      </c>
      <c r="AH28" t="e">
        <f>AND(#REF!,"AAAAAD53ziE=")</f>
        <v>#REF!</v>
      </c>
      <c r="AI28" t="e">
        <f>AND(#REF!,"AAAAAD53ziI=")</f>
        <v>#REF!</v>
      </c>
      <c r="AJ28" t="e">
        <f>AND(#REF!,"AAAAAD53ziM=")</f>
        <v>#REF!</v>
      </c>
      <c r="AK28" t="e">
        <f>AND(#REF!,"AAAAAD53ziQ=")</f>
        <v>#REF!</v>
      </c>
      <c r="AL28" t="e">
        <f>AND(#REF!,"AAAAAD53ziU=")</f>
        <v>#REF!</v>
      </c>
      <c r="AM28" t="e">
        <f>AND(#REF!,"AAAAAD53ziY=")</f>
        <v>#REF!</v>
      </c>
      <c r="AN28" t="e">
        <f>AND(#REF!,"AAAAAD53zic=")</f>
        <v>#REF!</v>
      </c>
      <c r="AO28" t="e">
        <f>AND(#REF!,"AAAAAD53zig=")</f>
        <v>#REF!</v>
      </c>
      <c r="AP28" t="e">
        <f>AND(#REF!,"AAAAAD53zik=")</f>
        <v>#REF!</v>
      </c>
      <c r="AQ28" t="e">
        <f>AND(#REF!,"AAAAAD53zio=")</f>
        <v>#REF!</v>
      </c>
      <c r="AR28" t="e">
        <f>AND(#REF!,"AAAAAD53zis=")</f>
        <v>#REF!</v>
      </c>
      <c r="AS28" t="e">
        <f>AND(#REF!,"AAAAAD53ziw=")</f>
        <v>#REF!</v>
      </c>
      <c r="AT28" t="e">
        <f>AND(#REF!,"AAAAAD53zi0=")</f>
        <v>#REF!</v>
      </c>
      <c r="AU28" t="e">
        <f>AND(#REF!,"AAAAAD53zi4=")</f>
        <v>#REF!</v>
      </c>
      <c r="AV28" t="e">
        <f>AND(#REF!,"AAAAAD53zi8=")</f>
        <v>#REF!</v>
      </c>
      <c r="AW28" t="e">
        <f>AND(#REF!,"AAAAAD53zjA=")</f>
        <v>#REF!</v>
      </c>
      <c r="AX28" t="e">
        <f>AND(#REF!,"AAAAAD53zjE=")</f>
        <v>#REF!</v>
      </c>
      <c r="AY28" t="e">
        <f>AND(#REF!,"AAAAAD53zjI=")</f>
        <v>#REF!</v>
      </c>
      <c r="AZ28" t="e">
        <f>AND(#REF!,"AAAAAD53zjM=")</f>
        <v>#REF!</v>
      </c>
      <c r="BA28" t="e">
        <f>AND(#REF!,"AAAAAD53zjQ=")</f>
        <v>#REF!</v>
      </c>
      <c r="BB28" t="e">
        <f>AND(#REF!,"AAAAAD53zjU=")</f>
        <v>#REF!</v>
      </c>
      <c r="BC28" t="e">
        <f>AND(#REF!,"AAAAAD53zjY=")</f>
        <v>#REF!</v>
      </c>
      <c r="BD28" t="e">
        <f>AND(#REF!,"AAAAAD53zjc=")</f>
        <v>#REF!</v>
      </c>
      <c r="BE28" t="e">
        <f>AND(#REF!,"AAAAAD53zjg=")</f>
        <v>#REF!</v>
      </c>
      <c r="BF28" t="e">
        <f>AND(#REF!,"AAAAAD53zjk=")</f>
        <v>#REF!</v>
      </c>
      <c r="BG28" t="e">
        <f>AND(#REF!,"AAAAAD53zjo=")</f>
        <v>#REF!</v>
      </c>
      <c r="BH28" t="e">
        <f>AND(#REF!,"AAAAAD53zjs=")</f>
        <v>#REF!</v>
      </c>
      <c r="BI28" t="e">
        <f>AND(#REF!,"AAAAAD53zjw=")</f>
        <v>#REF!</v>
      </c>
      <c r="BJ28" t="e">
        <f>AND(#REF!,"AAAAAD53zj0=")</f>
        <v>#REF!</v>
      </c>
      <c r="BK28" t="e">
        <f>AND(#REF!,"AAAAAD53zj4=")</f>
        <v>#REF!</v>
      </c>
      <c r="BL28" t="e">
        <f>AND(#REF!,"AAAAAD53zj8=")</f>
        <v>#REF!</v>
      </c>
      <c r="BM28" t="e">
        <f>AND(#REF!,"AAAAAD53zkA=")</f>
        <v>#REF!</v>
      </c>
      <c r="BN28" t="e">
        <f>AND(#REF!,"AAAAAD53zkE=")</f>
        <v>#REF!</v>
      </c>
      <c r="BO28" t="e">
        <f>AND(#REF!,"AAAAAD53zkI=")</f>
        <v>#REF!</v>
      </c>
      <c r="BP28" t="e">
        <f>AND(#REF!,"AAAAAD53zkM=")</f>
        <v>#REF!</v>
      </c>
      <c r="BQ28" t="e">
        <f>AND(#REF!,"AAAAAD53zkQ=")</f>
        <v>#REF!</v>
      </c>
      <c r="BR28" t="e">
        <f>AND(#REF!,"AAAAAD53zkU=")</f>
        <v>#REF!</v>
      </c>
      <c r="BS28" t="e">
        <f>AND(#REF!,"AAAAAD53zkY=")</f>
        <v>#REF!</v>
      </c>
      <c r="BT28" t="e">
        <f>AND(#REF!,"AAAAAD53zkc=")</f>
        <v>#REF!</v>
      </c>
      <c r="BU28" t="e">
        <f>AND(#REF!,"AAAAAD53zkg=")</f>
        <v>#REF!</v>
      </c>
      <c r="BV28" t="e">
        <f>AND(#REF!,"AAAAAD53zkk=")</f>
        <v>#REF!</v>
      </c>
      <c r="BW28" t="e">
        <f>AND(#REF!,"AAAAAD53zko=")</f>
        <v>#REF!</v>
      </c>
      <c r="BX28" t="e">
        <f>AND(#REF!,"AAAAAD53zks=")</f>
        <v>#REF!</v>
      </c>
      <c r="BY28" t="e">
        <f>AND(#REF!,"AAAAAD53zkw=")</f>
        <v>#REF!</v>
      </c>
      <c r="BZ28" t="e">
        <f>AND(#REF!,"AAAAAD53zk0=")</f>
        <v>#REF!</v>
      </c>
      <c r="CA28" t="e">
        <f>AND(#REF!,"AAAAAD53zk4=")</f>
        <v>#REF!</v>
      </c>
      <c r="CB28" t="e">
        <f>AND(#REF!,"AAAAAD53zk8=")</f>
        <v>#REF!</v>
      </c>
      <c r="CC28" t="e">
        <f>AND(#REF!,"AAAAAD53zlA=")</f>
        <v>#REF!</v>
      </c>
      <c r="CD28" t="e">
        <f>AND(#REF!,"AAAAAD53zlE=")</f>
        <v>#REF!</v>
      </c>
      <c r="CE28" t="e">
        <f>AND(#REF!,"AAAAAD53zlI=")</f>
        <v>#REF!</v>
      </c>
      <c r="CF28" t="e">
        <f>AND(#REF!,"AAAAAD53zlM=")</f>
        <v>#REF!</v>
      </c>
      <c r="CG28" t="e">
        <f>AND(#REF!,"AAAAAD53zlQ=")</f>
        <v>#REF!</v>
      </c>
      <c r="CH28" t="e">
        <f>AND(#REF!,"AAAAAD53zlU=")</f>
        <v>#REF!</v>
      </c>
      <c r="CI28" t="e">
        <f>AND(#REF!,"AAAAAD53zlY=")</f>
        <v>#REF!</v>
      </c>
      <c r="CJ28" t="e">
        <f>AND(#REF!,"AAAAAD53zlc=")</f>
        <v>#REF!</v>
      </c>
      <c r="CK28" t="e">
        <f>AND(#REF!,"AAAAAD53zlg=")</f>
        <v>#REF!</v>
      </c>
      <c r="CL28" t="e">
        <f>AND(#REF!,"AAAAAD53zlk=")</f>
        <v>#REF!</v>
      </c>
      <c r="CM28" t="e">
        <f>AND(#REF!,"AAAAAD53zlo=")</f>
        <v>#REF!</v>
      </c>
      <c r="CN28" t="e">
        <f>AND(#REF!,"AAAAAD53zls=")</f>
        <v>#REF!</v>
      </c>
      <c r="CO28" t="e">
        <f>AND(#REF!,"AAAAAD53zlw=")</f>
        <v>#REF!</v>
      </c>
      <c r="CP28" t="e">
        <f>AND(#REF!,"AAAAAD53zl0=")</f>
        <v>#REF!</v>
      </c>
      <c r="CQ28" t="e">
        <f>AND(#REF!,"AAAAAD53zl4=")</f>
        <v>#REF!</v>
      </c>
      <c r="CR28" t="e">
        <f>AND(#REF!,"AAAAAD53zl8=")</f>
        <v>#REF!</v>
      </c>
      <c r="CS28" t="e">
        <f>AND(#REF!,"AAAAAD53zmA=")</f>
        <v>#REF!</v>
      </c>
      <c r="CT28" t="e">
        <f>AND(#REF!,"AAAAAD53zmE=")</f>
        <v>#REF!</v>
      </c>
      <c r="CU28" t="e">
        <f>AND(#REF!,"AAAAAD53zmI=")</f>
        <v>#REF!</v>
      </c>
      <c r="CV28" t="e">
        <f>AND(#REF!,"AAAAAD53zmM=")</f>
        <v>#REF!</v>
      </c>
      <c r="CW28" t="e">
        <f>AND(#REF!,"AAAAAD53zmQ=")</f>
        <v>#REF!</v>
      </c>
      <c r="CX28" t="e">
        <f>AND(#REF!,"AAAAAD53zmU=")</f>
        <v>#REF!</v>
      </c>
      <c r="CY28" t="e">
        <f>AND(#REF!,"AAAAAD53zmY=")</f>
        <v>#REF!</v>
      </c>
      <c r="CZ28" t="e">
        <f>AND(#REF!,"AAAAAD53zmc=")</f>
        <v>#REF!</v>
      </c>
      <c r="DA28" t="e">
        <f>AND(#REF!,"AAAAAD53zmg=")</f>
        <v>#REF!</v>
      </c>
      <c r="DB28" t="e">
        <f>AND(#REF!,"AAAAAD53zmk=")</f>
        <v>#REF!</v>
      </c>
      <c r="DC28" t="e">
        <f>AND(#REF!,"AAAAAD53zmo=")</f>
        <v>#REF!</v>
      </c>
      <c r="DD28" t="e">
        <f>AND(#REF!,"AAAAAD53zms=")</f>
        <v>#REF!</v>
      </c>
      <c r="DE28" t="e">
        <f>AND(#REF!,"AAAAAD53zmw=")</f>
        <v>#REF!</v>
      </c>
      <c r="DF28" t="e">
        <f>AND(#REF!,"AAAAAD53zm0=")</f>
        <v>#REF!</v>
      </c>
      <c r="DG28" t="e">
        <f>AND(#REF!,"AAAAAD53zm4=")</f>
        <v>#REF!</v>
      </c>
      <c r="DH28" t="e">
        <f>AND(#REF!,"AAAAAD53zm8=")</f>
        <v>#REF!</v>
      </c>
      <c r="DI28" t="e">
        <f>AND(#REF!,"AAAAAD53znA=")</f>
        <v>#REF!</v>
      </c>
      <c r="DJ28" t="e">
        <f>AND(#REF!,"AAAAAD53znE=")</f>
        <v>#REF!</v>
      </c>
      <c r="DK28" t="e">
        <f>AND(#REF!,"AAAAAD53znI=")</f>
        <v>#REF!</v>
      </c>
      <c r="DL28" t="e">
        <f>AND(#REF!,"AAAAAD53znM=")</f>
        <v>#REF!</v>
      </c>
      <c r="DM28" t="e">
        <f>AND(#REF!,"AAAAAD53znQ=")</f>
        <v>#REF!</v>
      </c>
      <c r="DN28" t="e">
        <f>AND(#REF!,"AAAAAD53znU=")</f>
        <v>#REF!</v>
      </c>
      <c r="DO28" t="e">
        <f>AND(#REF!,"AAAAAD53znY=")</f>
        <v>#REF!</v>
      </c>
      <c r="DP28" t="e">
        <f>AND(#REF!,"AAAAAD53znc=")</f>
        <v>#REF!</v>
      </c>
      <c r="DQ28" t="e">
        <f>AND(#REF!,"AAAAAD53zng=")</f>
        <v>#REF!</v>
      </c>
      <c r="DR28" t="e">
        <f>AND(#REF!,"AAAAAD53znk=")</f>
        <v>#REF!</v>
      </c>
      <c r="DS28" t="e">
        <f>AND(#REF!,"AAAAAD53zno=")</f>
        <v>#REF!</v>
      </c>
      <c r="DT28" t="e">
        <f>AND(#REF!,"AAAAAD53zns=")</f>
        <v>#REF!</v>
      </c>
      <c r="DU28" t="e">
        <f>AND(#REF!,"AAAAAD53znw=")</f>
        <v>#REF!</v>
      </c>
      <c r="DV28" t="e">
        <f>AND(#REF!,"AAAAAD53zn0=")</f>
        <v>#REF!</v>
      </c>
      <c r="DW28" t="e">
        <f>AND(#REF!,"AAAAAD53zn4=")</f>
        <v>#REF!</v>
      </c>
      <c r="DX28" t="e">
        <f>AND(#REF!,"AAAAAD53zn8=")</f>
        <v>#REF!</v>
      </c>
      <c r="DY28" t="e">
        <f>AND(#REF!,"AAAAAD53zoA=")</f>
        <v>#REF!</v>
      </c>
      <c r="DZ28" t="e">
        <f>AND(#REF!,"AAAAAD53zoE=")</f>
        <v>#REF!</v>
      </c>
      <c r="EA28" t="e">
        <f>AND(#REF!,"AAAAAD53zoI=")</f>
        <v>#REF!</v>
      </c>
      <c r="EB28" t="e">
        <f>AND(#REF!,"AAAAAD53zoM=")</f>
        <v>#REF!</v>
      </c>
      <c r="EC28" t="e">
        <f>AND(#REF!,"AAAAAD53zoQ=")</f>
        <v>#REF!</v>
      </c>
      <c r="ED28" t="e">
        <f>AND(#REF!,"AAAAAD53zoU=")</f>
        <v>#REF!</v>
      </c>
      <c r="EE28" t="e">
        <f>AND(#REF!,"AAAAAD53zoY=")</f>
        <v>#REF!</v>
      </c>
      <c r="EF28" t="e">
        <f>AND(#REF!,"AAAAAD53zoc=")</f>
        <v>#REF!</v>
      </c>
      <c r="EG28" t="e">
        <f>AND(#REF!,"AAAAAD53zog=")</f>
        <v>#REF!</v>
      </c>
      <c r="EH28" t="e">
        <f>AND(#REF!,"AAAAAD53zok=")</f>
        <v>#REF!</v>
      </c>
      <c r="EI28" t="e">
        <f>AND(#REF!,"AAAAAD53zoo=")</f>
        <v>#REF!</v>
      </c>
      <c r="EJ28" t="e">
        <f>AND(#REF!,"AAAAAD53zos=")</f>
        <v>#REF!</v>
      </c>
      <c r="EK28" t="e">
        <f>AND(#REF!,"AAAAAD53zow=")</f>
        <v>#REF!</v>
      </c>
      <c r="EL28" t="e">
        <f>AND(#REF!,"AAAAAD53zo0=")</f>
        <v>#REF!</v>
      </c>
      <c r="EM28" t="e">
        <f>AND(#REF!,"AAAAAD53zo4=")</f>
        <v>#REF!</v>
      </c>
      <c r="EN28" t="e">
        <f>AND(#REF!,"AAAAAD53zo8=")</f>
        <v>#REF!</v>
      </c>
      <c r="EO28" t="e">
        <f>AND(#REF!,"AAAAAD53zpA=")</f>
        <v>#REF!</v>
      </c>
      <c r="EP28" t="e">
        <f>AND(#REF!,"AAAAAD53zpE=")</f>
        <v>#REF!</v>
      </c>
      <c r="EQ28" t="e">
        <f>AND(#REF!,"AAAAAD53zpI=")</f>
        <v>#REF!</v>
      </c>
      <c r="ER28" t="e">
        <f>AND(#REF!,"AAAAAD53zpM=")</f>
        <v>#REF!</v>
      </c>
      <c r="ES28" t="e">
        <f>AND(#REF!,"AAAAAD53zpQ=")</f>
        <v>#REF!</v>
      </c>
      <c r="ET28" t="e">
        <f>AND(#REF!,"AAAAAD53zpU=")</f>
        <v>#REF!</v>
      </c>
      <c r="EU28" t="e">
        <f>AND(#REF!,"AAAAAD53zpY=")</f>
        <v>#REF!</v>
      </c>
      <c r="EV28" t="e">
        <f>AND(#REF!,"AAAAAD53zpc=")</f>
        <v>#REF!</v>
      </c>
      <c r="EW28" t="e">
        <f>AND(#REF!,"AAAAAD53zpg=")</f>
        <v>#REF!</v>
      </c>
      <c r="EX28" t="e">
        <f>AND(#REF!,"AAAAAD53zpk=")</f>
        <v>#REF!</v>
      </c>
      <c r="EY28" t="e">
        <f>AND(#REF!,"AAAAAD53zpo=")</f>
        <v>#REF!</v>
      </c>
      <c r="EZ28" t="e">
        <f>AND(#REF!,"AAAAAD53zps=")</f>
        <v>#REF!</v>
      </c>
      <c r="FA28" t="e">
        <f>AND(#REF!,"AAAAAD53zpw=")</f>
        <v>#REF!</v>
      </c>
      <c r="FB28" t="e">
        <f>AND(#REF!,"AAAAAD53zp0=")</f>
        <v>#REF!</v>
      </c>
      <c r="FC28" t="e">
        <f>AND(#REF!,"AAAAAD53zp4=")</f>
        <v>#REF!</v>
      </c>
      <c r="FD28" t="e">
        <f>AND(#REF!,"AAAAAD53zp8=")</f>
        <v>#REF!</v>
      </c>
      <c r="FE28" t="e">
        <f>AND(#REF!,"AAAAAD53zqA=")</f>
        <v>#REF!</v>
      </c>
      <c r="FF28" t="e">
        <f>AND(#REF!,"AAAAAD53zqE=")</f>
        <v>#REF!</v>
      </c>
      <c r="FG28" t="e">
        <f>AND(#REF!,"AAAAAD53zqI=")</f>
        <v>#REF!</v>
      </c>
      <c r="FH28" t="e">
        <f>AND(#REF!,"AAAAAD53zqM=")</f>
        <v>#REF!</v>
      </c>
      <c r="FI28" t="e">
        <f>IF(#REF!,"AAAAAD53zqQ=",0)</f>
        <v>#REF!</v>
      </c>
      <c r="FJ28" t="e">
        <f>AND(#REF!,"AAAAAD53zqU=")</f>
        <v>#REF!</v>
      </c>
      <c r="FK28" t="e">
        <f>AND(#REF!,"AAAAAD53zqY=")</f>
        <v>#REF!</v>
      </c>
      <c r="FL28" t="e">
        <f>AND(#REF!,"AAAAAD53zqc=")</f>
        <v>#REF!</v>
      </c>
      <c r="FM28" t="e">
        <f>AND(#REF!,"AAAAAD53zqg=")</f>
        <v>#REF!</v>
      </c>
      <c r="FN28" t="e">
        <f>AND(#REF!,"AAAAAD53zqk=")</f>
        <v>#REF!</v>
      </c>
      <c r="FO28" t="e">
        <f>AND(#REF!,"AAAAAD53zqo=")</f>
        <v>#REF!</v>
      </c>
      <c r="FP28" t="e">
        <f>AND(#REF!,"AAAAAD53zqs=")</f>
        <v>#REF!</v>
      </c>
      <c r="FQ28" t="e">
        <f>AND(#REF!,"AAAAAD53zqw=")</f>
        <v>#REF!</v>
      </c>
      <c r="FR28" t="e">
        <f>AND(#REF!,"AAAAAD53zq0=")</f>
        <v>#REF!</v>
      </c>
      <c r="FS28" t="e">
        <f>AND(#REF!,"AAAAAD53zq4=")</f>
        <v>#REF!</v>
      </c>
      <c r="FT28" t="e">
        <f>AND(#REF!,"AAAAAD53zq8=")</f>
        <v>#REF!</v>
      </c>
      <c r="FU28" t="e">
        <f>AND(#REF!,"AAAAAD53zrA=")</f>
        <v>#REF!</v>
      </c>
      <c r="FV28" t="e">
        <f>AND(#REF!,"AAAAAD53zrE=")</f>
        <v>#REF!</v>
      </c>
      <c r="FW28" t="e">
        <f>AND(#REF!,"AAAAAD53zrI=")</f>
        <v>#REF!</v>
      </c>
      <c r="FX28" t="e">
        <f>AND(#REF!,"AAAAAD53zrM=")</f>
        <v>#REF!</v>
      </c>
      <c r="FY28" t="e">
        <f>AND(#REF!,"AAAAAD53zrQ=")</f>
        <v>#REF!</v>
      </c>
      <c r="FZ28" t="e">
        <f>AND(#REF!,"AAAAAD53zrU=")</f>
        <v>#REF!</v>
      </c>
      <c r="GA28" t="e">
        <f>AND(#REF!,"AAAAAD53zrY=")</f>
        <v>#REF!</v>
      </c>
      <c r="GB28" t="e">
        <f>AND(#REF!,"AAAAAD53zrc=")</f>
        <v>#REF!</v>
      </c>
      <c r="GC28" t="e">
        <f>AND(#REF!,"AAAAAD53zrg=")</f>
        <v>#REF!</v>
      </c>
      <c r="GD28" t="e">
        <f>AND(#REF!,"AAAAAD53zrk=")</f>
        <v>#REF!</v>
      </c>
      <c r="GE28" t="e">
        <f>AND(#REF!,"AAAAAD53zro=")</f>
        <v>#REF!</v>
      </c>
      <c r="GF28" t="e">
        <f>AND(#REF!,"AAAAAD53zrs=")</f>
        <v>#REF!</v>
      </c>
      <c r="GG28" t="e">
        <f>AND(#REF!,"AAAAAD53zrw=")</f>
        <v>#REF!</v>
      </c>
      <c r="GH28" t="e">
        <f>AND(#REF!,"AAAAAD53zr0=")</f>
        <v>#REF!</v>
      </c>
      <c r="GI28" t="e">
        <f>AND(#REF!,"AAAAAD53zr4=")</f>
        <v>#REF!</v>
      </c>
      <c r="GJ28" t="e">
        <f>AND(#REF!,"AAAAAD53zr8=")</f>
        <v>#REF!</v>
      </c>
      <c r="GK28" t="e">
        <f>AND(#REF!,"AAAAAD53zsA=")</f>
        <v>#REF!</v>
      </c>
      <c r="GL28" t="e">
        <f>AND(#REF!,"AAAAAD53zsE=")</f>
        <v>#REF!</v>
      </c>
      <c r="GM28" t="e">
        <f>AND(#REF!,"AAAAAD53zsI=")</f>
        <v>#REF!</v>
      </c>
      <c r="GN28" t="e">
        <f>AND(#REF!,"AAAAAD53zsM=")</f>
        <v>#REF!</v>
      </c>
      <c r="GO28" t="e">
        <f>AND(#REF!,"AAAAAD53zsQ=")</f>
        <v>#REF!</v>
      </c>
      <c r="GP28" t="e">
        <f>AND(#REF!,"AAAAAD53zsU=")</f>
        <v>#REF!</v>
      </c>
      <c r="GQ28" t="e">
        <f>AND(#REF!,"AAAAAD53zsY=")</f>
        <v>#REF!</v>
      </c>
      <c r="GR28" t="e">
        <f>AND(#REF!,"AAAAAD53zsc=")</f>
        <v>#REF!</v>
      </c>
      <c r="GS28" t="e">
        <f>AND(#REF!,"AAAAAD53zsg=")</f>
        <v>#REF!</v>
      </c>
      <c r="GT28" t="e">
        <f>AND(#REF!,"AAAAAD53zsk=")</f>
        <v>#REF!</v>
      </c>
      <c r="GU28" t="e">
        <f>AND(#REF!,"AAAAAD53zso=")</f>
        <v>#REF!</v>
      </c>
      <c r="GV28" t="e">
        <f>AND(#REF!,"AAAAAD53zss=")</f>
        <v>#REF!</v>
      </c>
      <c r="GW28" t="e">
        <f>AND(#REF!,"AAAAAD53zsw=")</f>
        <v>#REF!</v>
      </c>
      <c r="GX28" t="e">
        <f>AND(#REF!,"AAAAAD53zs0=")</f>
        <v>#REF!</v>
      </c>
      <c r="GY28" t="e">
        <f>AND(#REF!,"AAAAAD53zs4=")</f>
        <v>#REF!</v>
      </c>
      <c r="GZ28" t="e">
        <f>AND(#REF!,"AAAAAD53zs8=")</f>
        <v>#REF!</v>
      </c>
      <c r="HA28" t="e">
        <f>AND(#REF!,"AAAAAD53ztA=")</f>
        <v>#REF!</v>
      </c>
      <c r="HB28" t="e">
        <f>AND(#REF!,"AAAAAD53ztE=")</f>
        <v>#REF!</v>
      </c>
      <c r="HC28" t="e">
        <f>AND(#REF!,"AAAAAD53ztI=")</f>
        <v>#REF!</v>
      </c>
      <c r="HD28" t="e">
        <f>AND(#REF!,"AAAAAD53ztM=")</f>
        <v>#REF!</v>
      </c>
      <c r="HE28" t="e">
        <f>AND(#REF!,"AAAAAD53ztQ=")</f>
        <v>#REF!</v>
      </c>
      <c r="HF28" t="e">
        <f>AND(#REF!,"AAAAAD53ztU=")</f>
        <v>#REF!</v>
      </c>
      <c r="HG28" t="e">
        <f>AND(#REF!,"AAAAAD53ztY=")</f>
        <v>#REF!</v>
      </c>
      <c r="HH28" t="e">
        <f>AND(#REF!,"AAAAAD53ztc=")</f>
        <v>#REF!</v>
      </c>
      <c r="HI28" t="e">
        <f>AND(#REF!,"AAAAAD53ztg=")</f>
        <v>#REF!</v>
      </c>
      <c r="HJ28" t="e">
        <f>AND(#REF!,"AAAAAD53ztk=")</f>
        <v>#REF!</v>
      </c>
      <c r="HK28" t="e">
        <f>AND(#REF!,"AAAAAD53zto=")</f>
        <v>#REF!</v>
      </c>
      <c r="HL28" t="e">
        <f>AND(#REF!,"AAAAAD53zts=")</f>
        <v>#REF!</v>
      </c>
      <c r="HM28" t="e">
        <f>AND(#REF!,"AAAAAD53ztw=")</f>
        <v>#REF!</v>
      </c>
      <c r="HN28" t="e">
        <f>AND(#REF!,"AAAAAD53zt0=")</f>
        <v>#REF!</v>
      </c>
      <c r="HO28" t="e">
        <f>AND(#REF!,"AAAAAD53zt4=")</f>
        <v>#REF!</v>
      </c>
      <c r="HP28" t="e">
        <f>AND(#REF!,"AAAAAD53zt8=")</f>
        <v>#REF!</v>
      </c>
      <c r="HQ28" t="e">
        <f>AND(#REF!,"AAAAAD53zuA=")</f>
        <v>#REF!</v>
      </c>
      <c r="HR28" t="e">
        <f>AND(#REF!,"AAAAAD53zuE=")</f>
        <v>#REF!</v>
      </c>
      <c r="HS28" t="e">
        <f>AND(#REF!,"AAAAAD53zuI=")</f>
        <v>#REF!</v>
      </c>
      <c r="HT28" t="e">
        <f>AND(#REF!,"AAAAAD53zuM=")</f>
        <v>#REF!</v>
      </c>
      <c r="HU28" t="e">
        <f>AND(#REF!,"AAAAAD53zuQ=")</f>
        <v>#REF!</v>
      </c>
      <c r="HV28" t="e">
        <f>AND(#REF!,"AAAAAD53zuU=")</f>
        <v>#REF!</v>
      </c>
      <c r="HW28" t="e">
        <f>AND(#REF!,"AAAAAD53zuY=")</f>
        <v>#REF!</v>
      </c>
      <c r="HX28" t="e">
        <f>AND(#REF!,"AAAAAD53zuc=")</f>
        <v>#REF!</v>
      </c>
      <c r="HY28" t="e">
        <f>AND(#REF!,"AAAAAD53zug=")</f>
        <v>#REF!</v>
      </c>
      <c r="HZ28" t="e">
        <f>AND(#REF!,"AAAAAD53zuk=")</f>
        <v>#REF!</v>
      </c>
      <c r="IA28" t="e">
        <f>AND(#REF!,"AAAAAD53zuo=")</f>
        <v>#REF!</v>
      </c>
      <c r="IB28" t="e">
        <f>AND(#REF!,"AAAAAD53zus=")</f>
        <v>#REF!</v>
      </c>
      <c r="IC28" t="e">
        <f>AND(#REF!,"AAAAAD53zuw=")</f>
        <v>#REF!</v>
      </c>
      <c r="ID28" t="e">
        <f>AND(#REF!,"AAAAAD53zu0=")</f>
        <v>#REF!</v>
      </c>
      <c r="IE28" t="e">
        <f>AND(#REF!,"AAAAAD53zu4=")</f>
        <v>#REF!</v>
      </c>
      <c r="IF28" t="e">
        <f>AND(#REF!,"AAAAAD53zu8=")</f>
        <v>#REF!</v>
      </c>
      <c r="IG28" t="e">
        <f>AND(#REF!,"AAAAAD53zvA=")</f>
        <v>#REF!</v>
      </c>
      <c r="IH28" t="e">
        <f>AND(#REF!,"AAAAAD53zvE=")</f>
        <v>#REF!</v>
      </c>
      <c r="II28" t="e">
        <f>AND(#REF!,"AAAAAD53zvI=")</f>
        <v>#REF!</v>
      </c>
      <c r="IJ28" t="e">
        <f>AND(#REF!,"AAAAAD53zvM=")</f>
        <v>#REF!</v>
      </c>
      <c r="IK28" t="e">
        <f>AND(#REF!,"AAAAAD53zvQ=")</f>
        <v>#REF!</v>
      </c>
      <c r="IL28" t="e">
        <f>AND(#REF!,"AAAAAD53zvU=")</f>
        <v>#REF!</v>
      </c>
      <c r="IM28" t="e">
        <f>AND(#REF!,"AAAAAD53zvY=")</f>
        <v>#REF!</v>
      </c>
      <c r="IN28" t="e">
        <f>AND(#REF!,"AAAAAD53zvc=")</f>
        <v>#REF!</v>
      </c>
      <c r="IO28" t="e">
        <f>AND(#REF!,"AAAAAD53zvg=")</f>
        <v>#REF!</v>
      </c>
      <c r="IP28" t="e">
        <f>AND(#REF!,"AAAAAD53zvk=")</f>
        <v>#REF!</v>
      </c>
      <c r="IQ28" t="e">
        <f>AND(#REF!,"AAAAAD53zvo=")</f>
        <v>#REF!</v>
      </c>
      <c r="IR28" t="e">
        <f>AND(#REF!,"AAAAAD53zvs=")</f>
        <v>#REF!</v>
      </c>
      <c r="IS28" t="e">
        <f>AND(#REF!,"AAAAAD53zvw=")</f>
        <v>#REF!</v>
      </c>
      <c r="IT28" t="e">
        <f>AND(#REF!,"AAAAAD53zv0=")</f>
        <v>#REF!</v>
      </c>
      <c r="IU28" t="e">
        <f>AND(#REF!,"AAAAAD53zv4=")</f>
        <v>#REF!</v>
      </c>
      <c r="IV28" t="e">
        <f>AND(#REF!,"AAAAAD53zv8=")</f>
        <v>#REF!</v>
      </c>
    </row>
    <row r="29" spans="1:256" x14ac:dyDescent="0.2">
      <c r="A29" t="e">
        <f>AND(#REF!,"AAAAAF/n9QA=")</f>
        <v>#REF!</v>
      </c>
      <c r="B29" t="e">
        <f>AND(#REF!,"AAAAAF/n9QE=")</f>
        <v>#REF!</v>
      </c>
      <c r="C29" t="e">
        <f>AND(#REF!,"AAAAAF/n9QI=")</f>
        <v>#REF!</v>
      </c>
      <c r="D29" t="e">
        <f>AND(#REF!,"AAAAAF/n9QM=")</f>
        <v>#REF!</v>
      </c>
      <c r="E29" t="e">
        <f>AND(#REF!,"AAAAAF/n9QQ=")</f>
        <v>#REF!</v>
      </c>
      <c r="F29" t="e">
        <f>AND(#REF!,"AAAAAF/n9QU=")</f>
        <v>#REF!</v>
      </c>
      <c r="G29" t="e">
        <f>AND(#REF!,"AAAAAF/n9QY=")</f>
        <v>#REF!</v>
      </c>
      <c r="H29" t="e">
        <f>AND(#REF!,"AAAAAF/n9Qc=")</f>
        <v>#REF!</v>
      </c>
      <c r="I29" t="e">
        <f>AND(#REF!,"AAAAAF/n9Qg=")</f>
        <v>#REF!</v>
      </c>
      <c r="J29" t="e">
        <f>AND(#REF!,"AAAAAF/n9Qk=")</f>
        <v>#REF!</v>
      </c>
      <c r="K29" t="e">
        <f>AND(#REF!,"AAAAAF/n9Qo=")</f>
        <v>#REF!</v>
      </c>
      <c r="L29" t="e">
        <f>AND(#REF!,"AAAAAF/n9Qs=")</f>
        <v>#REF!</v>
      </c>
      <c r="M29" t="e">
        <f>AND(#REF!,"AAAAAF/n9Qw=")</f>
        <v>#REF!</v>
      </c>
      <c r="N29" t="e">
        <f>AND(#REF!,"AAAAAF/n9Q0=")</f>
        <v>#REF!</v>
      </c>
      <c r="O29" t="e">
        <f>AND(#REF!,"AAAAAF/n9Q4=")</f>
        <v>#REF!</v>
      </c>
      <c r="P29" t="e">
        <f>AND(#REF!,"AAAAAF/n9Q8=")</f>
        <v>#REF!</v>
      </c>
      <c r="Q29" t="e">
        <f>AND(#REF!,"AAAAAF/n9RA=")</f>
        <v>#REF!</v>
      </c>
      <c r="R29" t="e">
        <f>AND(#REF!,"AAAAAF/n9RE=")</f>
        <v>#REF!</v>
      </c>
      <c r="S29" t="e">
        <f>AND(#REF!,"AAAAAF/n9RI=")</f>
        <v>#REF!</v>
      </c>
      <c r="T29" t="e">
        <f>AND(#REF!,"AAAAAF/n9RM=")</f>
        <v>#REF!</v>
      </c>
      <c r="U29" t="e">
        <f>AND(#REF!,"AAAAAF/n9RQ=")</f>
        <v>#REF!</v>
      </c>
      <c r="V29" t="e">
        <f>AND(#REF!,"AAAAAF/n9RU=")</f>
        <v>#REF!</v>
      </c>
      <c r="W29" t="e">
        <f>AND(#REF!,"AAAAAF/n9RY=")</f>
        <v>#REF!</v>
      </c>
      <c r="X29" t="e">
        <f>AND(#REF!,"AAAAAF/n9Rc=")</f>
        <v>#REF!</v>
      </c>
      <c r="Y29" t="e">
        <f>AND(#REF!,"AAAAAF/n9Rg=")</f>
        <v>#REF!</v>
      </c>
      <c r="Z29" t="e">
        <f>AND(#REF!,"AAAAAF/n9Rk=")</f>
        <v>#REF!</v>
      </c>
      <c r="AA29" t="e">
        <f>AND(#REF!,"AAAAAF/n9Ro=")</f>
        <v>#REF!</v>
      </c>
      <c r="AB29" t="e">
        <f>AND(#REF!,"AAAAAF/n9Rs=")</f>
        <v>#REF!</v>
      </c>
      <c r="AC29" t="e">
        <f>AND(#REF!,"AAAAAF/n9Rw=")</f>
        <v>#REF!</v>
      </c>
      <c r="AD29" t="e">
        <f>AND(#REF!,"AAAAAF/n9R0=")</f>
        <v>#REF!</v>
      </c>
      <c r="AE29" t="e">
        <f>AND(#REF!,"AAAAAF/n9R4=")</f>
        <v>#REF!</v>
      </c>
      <c r="AF29" t="e">
        <f>AND(#REF!,"AAAAAF/n9R8=")</f>
        <v>#REF!</v>
      </c>
      <c r="AG29" t="e">
        <f>AND(#REF!,"AAAAAF/n9SA=")</f>
        <v>#REF!</v>
      </c>
      <c r="AH29" t="e">
        <f>AND(#REF!,"AAAAAF/n9SE=")</f>
        <v>#REF!</v>
      </c>
      <c r="AI29" t="e">
        <f>AND(#REF!,"AAAAAF/n9SI=")</f>
        <v>#REF!</v>
      </c>
      <c r="AJ29" t="e">
        <f>AND(#REF!,"AAAAAF/n9SM=")</f>
        <v>#REF!</v>
      </c>
      <c r="AK29" t="e">
        <f>AND(#REF!,"AAAAAF/n9SQ=")</f>
        <v>#REF!</v>
      </c>
      <c r="AL29" t="e">
        <f>AND(#REF!,"AAAAAF/n9SU=")</f>
        <v>#REF!</v>
      </c>
      <c r="AM29" t="e">
        <f>AND(#REF!,"AAAAAF/n9SY=")</f>
        <v>#REF!</v>
      </c>
      <c r="AN29" t="e">
        <f>AND(#REF!,"AAAAAF/n9Sc=")</f>
        <v>#REF!</v>
      </c>
      <c r="AO29" t="e">
        <f>AND(#REF!,"AAAAAF/n9Sg=")</f>
        <v>#REF!</v>
      </c>
      <c r="AP29" t="e">
        <f>AND(#REF!,"AAAAAF/n9Sk=")</f>
        <v>#REF!</v>
      </c>
      <c r="AQ29" t="e">
        <f>AND(#REF!,"AAAAAF/n9So=")</f>
        <v>#REF!</v>
      </c>
      <c r="AR29" t="e">
        <f>AND(#REF!,"AAAAAF/n9Ss=")</f>
        <v>#REF!</v>
      </c>
      <c r="AS29" t="e">
        <f>AND(#REF!,"AAAAAF/n9Sw=")</f>
        <v>#REF!</v>
      </c>
      <c r="AT29" t="e">
        <f>AND(#REF!,"AAAAAF/n9S0=")</f>
        <v>#REF!</v>
      </c>
      <c r="AU29" t="e">
        <f>AND(#REF!,"AAAAAF/n9S4=")</f>
        <v>#REF!</v>
      </c>
      <c r="AV29" t="e">
        <f>AND(#REF!,"AAAAAF/n9S8=")</f>
        <v>#REF!</v>
      </c>
      <c r="AW29" t="e">
        <f>AND(#REF!,"AAAAAF/n9TA=")</f>
        <v>#REF!</v>
      </c>
      <c r="AX29" t="e">
        <f>AND(#REF!,"AAAAAF/n9TE=")</f>
        <v>#REF!</v>
      </c>
      <c r="AY29" t="e">
        <f>AND(#REF!,"AAAAAF/n9TI=")</f>
        <v>#REF!</v>
      </c>
      <c r="AZ29" t="e">
        <f>AND(#REF!,"AAAAAF/n9TM=")</f>
        <v>#REF!</v>
      </c>
      <c r="BA29" t="e">
        <f>AND(#REF!,"AAAAAF/n9TQ=")</f>
        <v>#REF!</v>
      </c>
      <c r="BB29" t="e">
        <f>AND(#REF!,"AAAAAF/n9TU=")</f>
        <v>#REF!</v>
      </c>
      <c r="BC29" t="e">
        <f>AND(#REF!,"AAAAAF/n9TY=")</f>
        <v>#REF!</v>
      </c>
      <c r="BD29" t="e">
        <f>AND(#REF!,"AAAAAF/n9Tc=")</f>
        <v>#REF!</v>
      </c>
      <c r="BE29" t="e">
        <f>AND(#REF!,"AAAAAF/n9Tg=")</f>
        <v>#REF!</v>
      </c>
      <c r="BF29" t="e">
        <f>AND(#REF!,"AAAAAF/n9Tk=")</f>
        <v>#REF!</v>
      </c>
      <c r="BG29" t="e">
        <f>AND(#REF!,"AAAAAF/n9To=")</f>
        <v>#REF!</v>
      </c>
      <c r="BH29" t="e">
        <f>AND(#REF!,"AAAAAF/n9Ts=")</f>
        <v>#REF!</v>
      </c>
      <c r="BI29" t="e">
        <f>AND(#REF!,"AAAAAF/n9Tw=")</f>
        <v>#REF!</v>
      </c>
      <c r="BJ29" t="e">
        <f>AND(#REF!,"AAAAAF/n9T0=")</f>
        <v>#REF!</v>
      </c>
      <c r="BK29" t="e">
        <f>AND(#REF!,"AAAAAF/n9T4=")</f>
        <v>#REF!</v>
      </c>
      <c r="BL29" t="e">
        <f>AND(#REF!,"AAAAAF/n9T8=")</f>
        <v>#REF!</v>
      </c>
      <c r="BM29" t="e">
        <f>AND(#REF!,"AAAAAF/n9UA=")</f>
        <v>#REF!</v>
      </c>
      <c r="BN29" t="e">
        <f>AND(#REF!,"AAAAAF/n9UE=")</f>
        <v>#REF!</v>
      </c>
      <c r="BO29" t="e">
        <f>AND(#REF!,"AAAAAF/n9UI=")</f>
        <v>#REF!</v>
      </c>
      <c r="BP29" t="e">
        <f>AND(#REF!,"AAAAAF/n9UM=")</f>
        <v>#REF!</v>
      </c>
      <c r="BQ29" t="e">
        <f>AND(#REF!,"AAAAAF/n9UQ=")</f>
        <v>#REF!</v>
      </c>
      <c r="BR29" t="e">
        <f>AND(#REF!,"AAAAAF/n9UU=")</f>
        <v>#REF!</v>
      </c>
      <c r="BS29" t="e">
        <f>AND(#REF!,"AAAAAF/n9UY=")</f>
        <v>#REF!</v>
      </c>
      <c r="BT29" t="e">
        <f>AND(#REF!,"AAAAAF/n9Uc=")</f>
        <v>#REF!</v>
      </c>
      <c r="BU29" t="e">
        <f>AND(#REF!,"AAAAAF/n9Ug=")</f>
        <v>#REF!</v>
      </c>
      <c r="BV29" t="e">
        <f>AND(#REF!,"AAAAAF/n9Uk=")</f>
        <v>#REF!</v>
      </c>
      <c r="BW29" t="e">
        <f>AND(#REF!,"AAAAAF/n9Uo=")</f>
        <v>#REF!</v>
      </c>
      <c r="BX29" t="e">
        <f>AND(#REF!,"AAAAAF/n9Us=")</f>
        <v>#REF!</v>
      </c>
      <c r="BY29" t="e">
        <f>AND(#REF!,"AAAAAF/n9Uw=")</f>
        <v>#REF!</v>
      </c>
      <c r="BZ29" t="e">
        <f>AND(#REF!,"AAAAAF/n9U0=")</f>
        <v>#REF!</v>
      </c>
      <c r="CA29" t="e">
        <f>AND(#REF!,"AAAAAF/n9U4=")</f>
        <v>#REF!</v>
      </c>
      <c r="CB29" t="e">
        <f>AND(#REF!,"AAAAAF/n9U8=")</f>
        <v>#REF!</v>
      </c>
      <c r="CC29" t="e">
        <f>AND(#REF!,"AAAAAF/n9VA=")</f>
        <v>#REF!</v>
      </c>
      <c r="CD29" t="e">
        <f>AND(#REF!,"AAAAAF/n9VE=")</f>
        <v>#REF!</v>
      </c>
      <c r="CE29" t="e">
        <f>AND(#REF!,"AAAAAF/n9VI=")</f>
        <v>#REF!</v>
      </c>
      <c r="CF29" t="e">
        <f>AND(#REF!,"AAAAAF/n9VM=")</f>
        <v>#REF!</v>
      </c>
      <c r="CG29" t="e">
        <f>AND(#REF!,"AAAAAF/n9VQ=")</f>
        <v>#REF!</v>
      </c>
      <c r="CH29" t="e">
        <f>AND(#REF!,"AAAAAF/n9VU=")</f>
        <v>#REF!</v>
      </c>
      <c r="CI29" t="e">
        <f>AND(#REF!,"AAAAAF/n9VY=")</f>
        <v>#REF!</v>
      </c>
      <c r="CJ29" t="e">
        <f>AND(#REF!,"AAAAAF/n9Vc=")</f>
        <v>#REF!</v>
      </c>
      <c r="CK29" t="e">
        <f>AND(#REF!,"AAAAAF/n9Vg=")</f>
        <v>#REF!</v>
      </c>
      <c r="CL29" t="e">
        <f>IF(#REF!,"AAAAAF/n9Vk=",0)</f>
        <v>#REF!</v>
      </c>
      <c r="CM29" t="e">
        <f>AND(#REF!,"AAAAAF/n9Vo=")</f>
        <v>#REF!</v>
      </c>
      <c r="CN29" t="e">
        <f>AND(#REF!,"AAAAAF/n9Vs=")</f>
        <v>#REF!</v>
      </c>
      <c r="CO29" t="e">
        <f>AND(#REF!,"AAAAAF/n9Vw=")</f>
        <v>#REF!</v>
      </c>
      <c r="CP29" t="e">
        <f>AND(#REF!,"AAAAAF/n9V0=")</f>
        <v>#REF!</v>
      </c>
      <c r="CQ29" t="e">
        <f>AND(#REF!,"AAAAAF/n9V4=")</f>
        <v>#REF!</v>
      </c>
      <c r="CR29" t="e">
        <f>AND(#REF!,"AAAAAF/n9V8=")</f>
        <v>#REF!</v>
      </c>
      <c r="CS29" t="e">
        <f>AND(#REF!,"AAAAAF/n9WA=")</f>
        <v>#REF!</v>
      </c>
      <c r="CT29" t="e">
        <f>AND(#REF!,"AAAAAF/n9WE=")</f>
        <v>#REF!</v>
      </c>
      <c r="CU29" t="e">
        <f>AND(#REF!,"AAAAAF/n9WI=")</f>
        <v>#REF!</v>
      </c>
      <c r="CV29" t="e">
        <f>AND(#REF!,"AAAAAF/n9WM=")</f>
        <v>#REF!</v>
      </c>
      <c r="CW29" t="e">
        <f>AND(#REF!,"AAAAAF/n9WQ=")</f>
        <v>#REF!</v>
      </c>
      <c r="CX29" t="e">
        <f>AND(#REF!,"AAAAAF/n9WU=")</f>
        <v>#REF!</v>
      </c>
      <c r="CY29" t="e">
        <f>AND(#REF!,"AAAAAF/n9WY=")</f>
        <v>#REF!</v>
      </c>
      <c r="CZ29" t="e">
        <f>AND(#REF!,"AAAAAF/n9Wc=")</f>
        <v>#REF!</v>
      </c>
      <c r="DA29" t="e">
        <f>AND(#REF!,"AAAAAF/n9Wg=")</f>
        <v>#REF!</v>
      </c>
      <c r="DB29" t="e">
        <f>AND(#REF!,"AAAAAF/n9Wk=")</f>
        <v>#REF!</v>
      </c>
      <c r="DC29" t="e">
        <f>AND(#REF!,"AAAAAF/n9Wo=")</f>
        <v>#REF!</v>
      </c>
      <c r="DD29" t="e">
        <f>AND(#REF!,"AAAAAF/n9Ws=")</f>
        <v>#REF!</v>
      </c>
      <c r="DE29" t="e">
        <f>AND(#REF!,"AAAAAF/n9Ww=")</f>
        <v>#REF!</v>
      </c>
      <c r="DF29" t="e">
        <f>AND(#REF!,"AAAAAF/n9W0=")</f>
        <v>#REF!</v>
      </c>
      <c r="DG29" t="e">
        <f>AND(#REF!,"AAAAAF/n9W4=")</f>
        <v>#REF!</v>
      </c>
      <c r="DH29" t="e">
        <f>AND(#REF!,"AAAAAF/n9W8=")</f>
        <v>#REF!</v>
      </c>
      <c r="DI29" t="e">
        <f>AND(#REF!,"AAAAAF/n9XA=")</f>
        <v>#REF!</v>
      </c>
      <c r="DJ29" t="e">
        <f>AND(#REF!,"AAAAAF/n9XE=")</f>
        <v>#REF!</v>
      </c>
      <c r="DK29" t="e">
        <f>AND(#REF!,"AAAAAF/n9XI=")</f>
        <v>#REF!</v>
      </c>
      <c r="DL29" t="e">
        <f>AND(#REF!,"AAAAAF/n9XM=")</f>
        <v>#REF!</v>
      </c>
      <c r="DM29" t="e">
        <f>AND(#REF!,"AAAAAF/n9XQ=")</f>
        <v>#REF!</v>
      </c>
      <c r="DN29" t="e">
        <f>AND(#REF!,"AAAAAF/n9XU=")</f>
        <v>#REF!</v>
      </c>
      <c r="DO29" t="e">
        <f>AND(#REF!,"AAAAAF/n9XY=")</f>
        <v>#REF!</v>
      </c>
      <c r="DP29" t="e">
        <f>AND(#REF!,"AAAAAF/n9Xc=")</f>
        <v>#REF!</v>
      </c>
      <c r="DQ29" t="e">
        <f>AND(#REF!,"AAAAAF/n9Xg=")</f>
        <v>#REF!</v>
      </c>
      <c r="DR29" t="e">
        <f>AND(#REF!,"AAAAAF/n9Xk=")</f>
        <v>#REF!</v>
      </c>
      <c r="DS29" t="e">
        <f>AND(#REF!,"AAAAAF/n9Xo=")</f>
        <v>#REF!</v>
      </c>
      <c r="DT29" t="e">
        <f>AND(#REF!,"AAAAAF/n9Xs=")</f>
        <v>#REF!</v>
      </c>
      <c r="DU29" t="e">
        <f>AND(#REF!,"AAAAAF/n9Xw=")</f>
        <v>#REF!</v>
      </c>
      <c r="DV29" t="e">
        <f>AND(#REF!,"AAAAAF/n9X0=")</f>
        <v>#REF!</v>
      </c>
      <c r="DW29" t="e">
        <f>AND(#REF!,"AAAAAF/n9X4=")</f>
        <v>#REF!</v>
      </c>
      <c r="DX29" t="e">
        <f>AND(#REF!,"AAAAAF/n9X8=")</f>
        <v>#REF!</v>
      </c>
      <c r="DY29" t="e">
        <f>AND(#REF!,"AAAAAF/n9YA=")</f>
        <v>#REF!</v>
      </c>
      <c r="DZ29" t="e">
        <f>AND(#REF!,"AAAAAF/n9YE=")</f>
        <v>#REF!</v>
      </c>
      <c r="EA29" t="e">
        <f>AND(#REF!,"AAAAAF/n9YI=")</f>
        <v>#REF!</v>
      </c>
      <c r="EB29" t="e">
        <f>AND(#REF!,"AAAAAF/n9YM=")</f>
        <v>#REF!</v>
      </c>
      <c r="EC29" t="e">
        <f>AND(#REF!,"AAAAAF/n9YQ=")</f>
        <v>#REF!</v>
      </c>
      <c r="ED29" t="e">
        <f>AND(#REF!,"AAAAAF/n9YU=")</f>
        <v>#REF!</v>
      </c>
      <c r="EE29" t="e">
        <f>AND(#REF!,"AAAAAF/n9YY=")</f>
        <v>#REF!</v>
      </c>
      <c r="EF29" t="e">
        <f>AND(#REF!,"AAAAAF/n9Yc=")</f>
        <v>#REF!</v>
      </c>
      <c r="EG29" t="e">
        <f>AND(#REF!,"AAAAAF/n9Yg=")</f>
        <v>#REF!</v>
      </c>
      <c r="EH29" t="e">
        <f>AND(#REF!,"AAAAAF/n9Yk=")</f>
        <v>#REF!</v>
      </c>
      <c r="EI29" t="e">
        <f>AND(#REF!,"AAAAAF/n9Yo=")</f>
        <v>#REF!</v>
      </c>
      <c r="EJ29" t="e">
        <f>AND(#REF!,"AAAAAF/n9Ys=")</f>
        <v>#REF!</v>
      </c>
      <c r="EK29" t="e">
        <f>AND(#REF!,"AAAAAF/n9Yw=")</f>
        <v>#REF!</v>
      </c>
      <c r="EL29" t="e">
        <f>AND(#REF!,"AAAAAF/n9Y0=")</f>
        <v>#REF!</v>
      </c>
      <c r="EM29" t="e">
        <f>AND(#REF!,"AAAAAF/n9Y4=")</f>
        <v>#REF!</v>
      </c>
      <c r="EN29" t="e">
        <f>AND(#REF!,"AAAAAF/n9Y8=")</f>
        <v>#REF!</v>
      </c>
      <c r="EO29" t="e">
        <f>AND(#REF!,"AAAAAF/n9ZA=")</f>
        <v>#REF!</v>
      </c>
      <c r="EP29" t="e">
        <f>AND(#REF!,"AAAAAF/n9ZE=")</f>
        <v>#REF!</v>
      </c>
      <c r="EQ29" t="e">
        <f>AND(#REF!,"AAAAAF/n9ZI=")</f>
        <v>#REF!</v>
      </c>
      <c r="ER29" t="e">
        <f>AND(#REF!,"AAAAAF/n9ZM=")</f>
        <v>#REF!</v>
      </c>
      <c r="ES29" t="e">
        <f>AND(#REF!,"AAAAAF/n9ZQ=")</f>
        <v>#REF!</v>
      </c>
      <c r="ET29" t="e">
        <f>AND(#REF!,"AAAAAF/n9ZU=")</f>
        <v>#REF!</v>
      </c>
      <c r="EU29" t="e">
        <f>AND(#REF!,"AAAAAF/n9ZY=")</f>
        <v>#REF!</v>
      </c>
      <c r="EV29" t="e">
        <f>AND(#REF!,"AAAAAF/n9Zc=")</f>
        <v>#REF!</v>
      </c>
      <c r="EW29" t="e">
        <f>AND(#REF!,"AAAAAF/n9Zg=")</f>
        <v>#REF!</v>
      </c>
      <c r="EX29" t="e">
        <f>AND(#REF!,"AAAAAF/n9Zk=")</f>
        <v>#REF!</v>
      </c>
      <c r="EY29" t="e">
        <f>AND(#REF!,"AAAAAF/n9Zo=")</f>
        <v>#REF!</v>
      </c>
      <c r="EZ29" t="e">
        <f>AND(#REF!,"AAAAAF/n9Zs=")</f>
        <v>#REF!</v>
      </c>
      <c r="FA29" t="e">
        <f>AND(#REF!,"AAAAAF/n9Zw=")</f>
        <v>#REF!</v>
      </c>
      <c r="FB29" t="e">
        <f>AND(#REF!,"AAAAAF/n9Z0=")</f>
        <v>#REF!</v>
      </c>
      <c r="FC29" t="e">
        <f>AND(#REF!,"AAAAAF/n9Z4=")</f>
        <v>#REF!</v>
      </c>
      <c r="FD29" t="e">
        <f>AND(#REF!,"AAAAAF/n9Z8=")</f>
        <v>#REF!</v>
      </c>
      <c r="FE29" t="e">
        <f>AND(#REF!,"AAAAAF/n9aA=")</f>
        <v>#REF!</v>
      </c>
      <c r="FF29" t="e">
        <f>AND(#REF!,"AAAAAF/n9aE=")</f>
        <v>#REF!</v>
      </c>
      <c r="FG29" t="e">
        <f>AND(#REF!,"AAAAAF/n9aI=")</f>
        <v>#REF!</v>
      </c>
      <c r="FH29" t="e">
        <f>AND(#REF!,"AAAAAF/n9aM=")</f>
        <v>#REF!</v>
      </c>
      <c r="FI29" t="e">
        <f>AND(#REF!,"AAAAAF/n9aQ=")</f>
        <v>#REF!</v>
      </c>
      <c r="FJ29" t="e">
        <f>AND(#REF!,"AAAAAF/n9aU=")</f>
        <v>#REF!</v>
      </c>
      <c r="FK29" t="e">
        <f>AND(#REF!,"AAAAAF/n9aY=")</f>
        <v>#REF!</v>
      </c>
      <c r="FL29" t="e">
        <f>AND(#REF!,"AAAAAF/n9ac=")</f>
        <v>#REF!</v>
      </c>
      <c r="FM29" t="e">
        <f>AND(#REF!,"AAAAAF/n9ag=")</f>
        <v>#REF!</v>
      </c>
      <c r="FN29" t="e">
        <f>AND(#REF!,"AAAAAF/n9ak=")</f>
        <v>#REF!</v>
      </c>
      <c r="FO29" t="e">
        <f>AND(#REF!,"AAAAAF/n9ao=")</f>
        <v>#REF!</v>
      </c>
      <c r="FP29" t="e">
        <f>AND(#REF!,"AAAAAF/n9as=")</f>
        <v>#REF!</v>
      </c>
      <c r="FQ29" t="e">
        <f>AND(#REF!,"AAAAAF/n9aw=")</f>
        <v>#REF!</v>
      </c>
      <c r="FR29" t="e">
        <f>AND(#REF!,"AAAAAF/n9a0=")</f>
        <v>#REF!</v>
      </c>
      <c r="FS29" t="e">
        <f>AND(#REF!,"AAAAAF/n9a4=")</f>
        <v>#REF!</v>
      </c>
      <c r="FT29" t="e">
        <f>AND(#REF!,"AAAAAF/n9a8=")</f>
        <v>#REF!</v>
      </c>
      <c r="FU29" t="e">
        <f>AND(#REF!,"AAAAAF/n9bA=")</f>
        <v>#REF!</v>
      </c>
      <c r="FV29" t="e">
        <f>AND(#REF!,"AAAAAF/n9bE=")</f>
        <v>#REF!</v>
      </c>
      <c r="FW29" t="e">
        <f>AND(#REF!,"AAAAAF/n9bI=")</f>
        <v>#REF!</v>
      </c>
      <c r="FX29" t="e">
        <f>AND(#REF!,"AAAAAF/n9bM=")</f>
        <v>#REF!</v>
      </c>
      <c r="FY29" t="e">
        <f>AND(#REF!,"AAAAAF/n9bQ=")</f>
        <v>#REF!</v>
      </c>
      <c r="FZ29" t="e">
        <f>AND(#REF!,"AAAAAF/n9bU=")</f>
        <v>#REF!</v>
      </c>
      <c r="GA29" t="e">
        <f>AND(#REF!,"AAAAAF/n9bY=")</f>
        <v>#REF!</v>
      </c>
      <c r="GB29" t="e">
        <f>AND(#REF!,"AAAAAF/n9bc=")</f>
        <v>#REF!</v>
      </c>
      <c r="GC29" t="e">
        <f>AND(#REF!,"AAAAAF/n9bg=")</f>
        <v>#REF!</v>
      </c>
      <c r="GD29" t="e">
        <f>AND(#REF!,"AAAAAF/n9bk=")</f>
        <v>#REF!</v>
      </c>
      <c r="GE29" t="e">
        <f>AND(#REF!,"AAAAAF/n9bo=")</f>
        <v>#REF!</v>
      </c>
      <c r="GF29" t="e">
        <f>AND(#REF!,"AAAAAF/n9bs=")</f>
        <v>#REF!</v>
      </c>
      <c r="GG29" t="e">
        <f>AND(#REF!,"AAAAAF/n9bw=")</f>
        <v>#REF!</v>
      </c>
      <c r="GH29" t="e">
        <f>AND(#REF!,"AAAAAF/n9b0=")</f>
        <v>#REF!</v>
      </c>
      <c r="GI29" t="e">
        <f>AND(#REF!,"AAAAAF/n9b4=")</f>
        <v>#REF!</v>
      </c>
      <c r="GJ29" t="e">
        <f>AND(#REF!,"AAAAAF/n9b8=")</f>
        <v>#REF!</v>
      </c>
      <c r="GK29" t="e">
        <f>AND(#REF!,"AAAAAF/n9cA=")</f>
        <v>#REF!</v>
      </c>
      <c r="GL29" t="e">
        <f>AND(#REF!,"AAAAAF/n9cE=")</f>
        <v>#REF!</v>
      </c>
      <c r="GM29" t="e">
        <f>AND(#REF!,"AAAAAF/n9cI=")</f>
        <v>#REF!</v>
      </c>
      <c r="GN29" t="e">
        <f>AND(#REF!,"AAAAAF/n9cM=")</f>
        <v>#REF!</v>
      </c>
      <c r="GO29" t="e">
        <f>AND(#REF!,"AAAAAF/n9cQ=")</f>
        <v>#REF!</v>
      </c>
      <c r="GP29" t="e">
        <f>AND(#REF!,"AAAAAF/n9cU=")</f>
        <v>#REF!</v>
      </c>
      <c r="GQ29" t="e">
        <f>AND(#REF!,"AAAAAF/n9cY=")</f>
        <v>#REF!</v>
      </c>
      <c r="GR29" t="e">
        <f>AND(#REF!,"AAAAAF/n9cc=")</f>
        <v>#REF!</v>
      </c>
      <c r="GS29" t="e">
        <f>AND(#REF!,"AAAAAF/n9cg=")</f>
        <v>#REF!</v>
      </c>
      <c r="GT29" t="e">
        <f>AND(#REF!,"AAAAAF/n9ck=")</f>
        <v>#REF!</v>
      </c>
      <c r="GU29" t="e">
        <f>AND(#REF!,"AAAAAF/n9co=")</f>
        <v>#REF!</v>
      </c>
      <c r="GV29" t="e">
        <f>AND(#REF!,"AAAAAF/n9cs=")</f>
        <v>#REF!</v>
      </c>
      <c r="GW29" t="e">
        <f>AND(#REF!,"AAAAAF/n9cw=")</f>
        <v>#REF!</v>
      </c>
      <c r="GX29" t="e">
        <f>AND(#REF!,"AAAAAF/n9c0=")</f>
        <v>#REF!</v>
      </c>
      <c r="GY29" t="e">
        <f>AND(#REF!,"AAAAAF/n9c4=")</f>
        <v>#REF!</v>
      </c>
      <c r="GZ29" t="e">
        <f>AND(#REF!,"AAAAAF/n9c8=")</f>
        <v>#REF!</v>
      </c>
      <c r="HA29" t="e">
        <f>AND(#REF!,"AAAAAF/n9dA=")</f>
        <v>#REF!</v>
      </c>
      <c r="HB29" t="e">
        <f>AND(#REF!,"AAAAAF/n9dE=")</f>
        <v>#REF!</v>
      </c>
      <c r="HC29" t="e">
        <f>AND(#REF!,"AAAAAF/n9dI=")</f>
        <v>#REF!</v>
      </c>
      <c r="HD29" t="e">
        <f>AND(#REF!,"AAAAAF/n9dM=")</f>
        <v>#REF!</v>
      </c>
      <c r="HE29" t="e">
        <f>AND(#REF!,"AAAAAF/n9dQ=")</f>
        <v>#REF!</v>
      </c>
      <c r="HF29" t="e">
        <f>AND(#REF!,"AAAAAF/n9dU=")</f>
        <v>#REF!</v>
      </c>
      <c r="HG29" t="e">
        <f>AND(#REF!,"AAAAAF/n9dY=")</f>
        <v>#REF!</v>
      </c>
      <c r="HH29" t="e">
        <f>AND(#REF!,"AAAAAF/n9dc=")</f>
        <v>#REF!</v>
      </c>
      <c r="HI29" t="e">
        <f>AND(#REF!,"AAAAAF/n9dg=")</f>
        <v>#REF!</v>
      </c>
      <c r="HJ29" t="e">
        <f>AND(#REF!,"AAAAAF/n9dk=")</f>
        <v>#REF!</v>
      </c>
      <c r="HK29" t="e">
        <f>AND(#REF!,"AAAAAF/n9do=")</f>
        <v>#REF!</v>
      </c>
      <c r="HL29" t="e">
        <f>AND(#REF!,"AAAAAF/n9ds=")</f>
        <v>#REF!</v>
      </c>
      <c r="HM29" t="e">
        <f>AND(#REF!,"AAAAAF/n9dw=")</f>
        <v>#REF!</v>
      </c>
      <c r="HN29" t="e">
        <f>AND(#REF!,"AAAAAF/n9d0=")</f>
        <v>#REF!</v>
      </c>
      <c r="HO29" t="e">
        <f>AND(#REF!,"AAAAAF/n9d4=")</f>
        <v>#REF!</v>
      </c>
      <c r="HP29" t="e">
        <f>AND(#REF!,"AAAAAF/n9d8=")</f>
        <v>#REF!</v>
      </c>
      <c r="HQ29" t="e">
        <f>AND(#REF!,"AAAAAF/n9eA=")</f>
        <v>#REF!</v>
      </c>
      <c r="HR29" t="e">
        <f>AND(#REF!,"AAAAAF/n9eE=")</f>
        <v>#REF!</v>
      </c>
      <c r="HS29" t="e">
        <f>AND(#REF!,"AAAAAF/n9eI=")</f>
        <v>#REF!</v>
      </c>
      <c r="HT29" t="e">
        <f>AND(#REF!,"AAAAAF/n9eM=")</f>
        <v>#REF!</v>
      </c>
      <c r="HU29" t="e">
        <f>AND(#REF!,"AAAAAF/n9eQ=")</f>
        <v>#REF!</v>
      </c>
      <c r="HV29" t="e">
        <f>AND(#REF!,"AAAAAF/n9eU=")</f>
        <v>#REF!</v>
      </c>
      <c r="HW29" t="e">
        <f>AND(#REF!,"AAAAAF/n9eY=")</f>
        <v>#REF!</v>
      </c>
      <c r="HX29" t="e">
        <f>AND(#REF!,"AAAAAF/n9ec=")</f>
        <v>#REF!</v>
      </c>
      <c r="HY29" t="e">
        <f>AND(#REF!,"AAAAAF/n9eg=")</f>
        <v>#REF!</v>
      </c>
      <c r="HZ29" t="e">
        <f>AND(#REF!,"AAAAAF/n9ek=")</f>
        <v>#REF!</v>
      </c>
      <c r="IA29" t="e">
        <f>AND(#REF!,"AAAAAF/n9eo=")</f>
        <v>#REF!</v>
      </c>
      <c r="IB29" t="e">
        <f>AND(#REF!,"AAAAAF/n9es=")</f>
        <v>#REF!</v>
      </c>
      <c r="IC29" t="e">
        <f>AND(#REF!,"AAAAAF/n9ew=")</f>
        <v>#REF!</v>
      </c>
      <c r="ID29" t="e">
        <f>AND(#REF!,"AAAAAF/n9e0=")</f>
        <v>#REF!</v>
      </c>
      <c r="IE29" t="e">
        <f>AND(#REF!,"AAAAAF/n9e4=")</f>
        <v>#REF!</v>
      </c>
      <c r="IF29" t="e">
        <f>AND(#REF!,"AAAAAF/n9e8=")</f>
        <v>#REF!</v>
      </c>
      <c r="IG29" t="e">
        <f>AND(#REF!,"AAAAAF/n9fA=")</f>
        <v>#REF!</v>
      </c>
      <c r="IH29" t="e">
        <f>AND(#REF!,"AAAAAF/n9fE=")</f>
        <v>#REF!</v>
      </c>
      <c r="II29" t="e">
        <f>AND(#REF!,"AAAAAF/n9fI=")</f>
        <v>#REF!</v>
      </c>
      <c r="IJ29" t="e">
        <f>AND(#REF!,"AAAAAF/n9fM=")</f>
        <v>#REF!</v>
      </c>
      <c r="IK29" t="e">
        <f>AND(#REF!,"AAAAAF/n9fQ=")</f>
        <v>#REF!</v>
      </c>
      <c r="IL29" t="e">
        <f>AND(#REF!,"AAAAAF/n9fU=")</f>
        <v>#REF!</v>
      </c>
      <c r="IM29" t="e">
        <f>AND(#REF!,"AAAAAF/n9fY=")</f>
        <v>#REF!</v>
      </c>
      <c r="IN29" t="e">
        <f>AND(#REF!,"AAAAAF/n9fc=")</f>
        <v>#REF!</v>
      </c>
      <c r="IO29" t="e">
        <f>AND(#REF!,"AAAAAF/n9fg=")</f>
        <v>#REF!</v>
      </c>
      <c r="IP29" t="e">
        <f>AND(#REF!,"AAAAAF/n9fk=")</f>
        <v>#REF!</v>
      </c>
      <c r="IQ29" t="e">
        <f>AND(#REF!,"AAAAAF/n9fo=")</f>
        <v>#REF!</v>
      </c>
      <c r="IR29" t="e">
        <f>AND(#REF!,"AAAAAF/n9fs=")</f>
        <v>#REF!</v>
      </c>
      <c r="IS29" t="e">
        <f>AND(#REF!,"AAAAAF/n9fw=")</f>
        <v>#REF!</v>
      </c>
      <c r="IT29" t="e">
        <f>AND(#REF!,"AAAAAF/n9f0=")</f>
        <v>#REF!</v>
      </c>
      <c r="IU29" t="e">
        <f>AND(#REF!,"AAAAAF/n9f4=")</f>
        <v>#REF!</v>
      </c>
      <c r="IV29" t="e">
        <f>AND(#REF!,"AAAAAF/n9f8=")</f>
        <v>#REF!</v>
      </c>
    </row>
    <row r="30" spans="1:256" x14ac:dyDescent="0.2">
      <c r="A30" t="e">
        <f>AND(#REF!,"AAAAADr6+wA=")</f>
        <v>#REF!</v>
      </c>
      <c r="B30" t="e">
        <f>AND(#REF!,"AAAAADr6+wE=")</f>
        <v>#REF!</v>
      </c>
      <c r="C30" t="e">
        <f>AND(#REF!,"AAAAADr6+wI=")</f>
        <v>#REF!</v>
      </c>
      <c r="D30" t="e">
        <f>AND(#REF!,"AAAAADr6+wM=")</f>
        <v>#REF!</v>
      </c>
      <c r="E30" t="e">
        <f>AND(#REF!,"AAAAADr6+wQ=")</f>
        <v>#REF!</v>
      </c>
      <c r="F30" t="e">
        <f>AND(#REF!,"AAAAADr6+wU=")</f>
        <v>#REF!</v>
      </c>
      <c r="G30" t="e">
        <f>AND(#REF!,"AAAAADr6+wY=")</f>
        <v>#REF!</v>
      </c>
      <c r="H30" t="e">
        <f>AND(#REF!,"AAAAADr6+wc=")</f>
        <v>#REF!</v>
      </c>
      <c r="I30" t="e">
        <f>AND(#REF!,"AAAAADr6+wg=")</f>
        <v>#REF!</v>
      </c>
      <c r="J30" t="e">
        <f>AND(#REF!,"AAAAADr6+wk=")</f>
        <v>#REF!</v>
      </c>
      <c r="K30" t="e">
        <f>AND(#REF!,"AAAAADr6+wo=")</f>
        <v>#REF!</v>
      </c>
      <c r="L30" t="e">
        <f>AND(#REF!,"AAAAADr6+ws=")</f>
        <v>#REF!</v>
      </c>
      <c r="M30" t="e">
        <f>AND(#REF!,"AAAAADr6+ww=")</f>
        <v>#REF!</v>
      </c>
      <c r="N30" t="e">
        <f>AND(#REF!,"AAAAADr6+w0=")</f>
        <v>#REF!</v>
      </c>
      <c r="O30" t="e">
        <f>IF(#REF!,"AAAAADr6+w4=",0)</f>
        <v>#REF!</v>
      </c>
      <c r="P30" t="e">
        <f>AND(#REF!,"AAAAADr6+w8=")</f>
        <v>#REF!</v>
      </c>
      <c r="Q30" t="e">
        <f>AND(#REF!,"AAAAADr6+xA=")</f>
        <v>#REF!</v>
      </c>
      <c r="R30" t="e">
        <f>AND(#REF!,"AAAAADr6+xE=")</f>
        <v>#REF!</v>
      </c>
      <c r="S30" t="e">
        <f>AND(#REF!,"AAAAADr6+xI=")</f>
        <v>#REF!</v>
      </c>
      <c r="T30" t="e">
        <f>AND(#REF!,"AAAAADr6+xM=")</f>
        <v>#REF!</v>
      </c>
      <c r="U30" t="e">
        <f>AND(#REF!,"AAAAADr6+xQ=")</f>
        <v>#REF!</v>
      </c>
      <c r="V30" t="e">
        <f>AND(#REF!,"AAAAADr6+xU=")</f>
        <v>#REF!</v>
      </c>
      <c r="W30" t="e">
        <f>AND(#REF!,"AAAAADr6+xY=")</f>
        <v>#REF!</v>
      </c>
      <c r="X30" t="e">
        <f>AND(#REF!,"AAAAADr6+xc=")</f>
        <v>#REF!</v>
      </c>
      <c r="Y30" t="e">
        <f>AND(#REF!,"AAAAADr6+xg=")</f>
        <v>#REF!</v>
      </c>
      <c r="Z30" t="e">
        <f>AND(#REF!,"AAAAADr6+xk=")</f>
        <v>#REF!</v>
      </c>
      <c r="AA30" t="e">
        <f>AND(#REF!,"AAAAADr6+xo=")</f>
        <v>#REF!</v>
      </c>
      <c r="AB30" t="e">
        <f>AND(#REF!,"AAAAADr6+xs=")</f>
        <v>#REF!</v>
      </c>
      <c r="AC30" t="e">
        <f>AND(#REF!,"AAAAADr6+xw=")</f>
        <v>#REF!</v>
      </c>
      <c r="AD30" t="e">
        <f>AND(#REF!,"AAAAADr6+x0=")</f>
        <v>#REF!</v>
      </c>
      <c r="AE30" t="e">
        <f>AND(#REF!,"AAAAADr6+x4=")</f>
        <v>#REF!</v>
      </c>
      <c r="AF30" t="e">
        <f>AND(#REF!,"AAAAADr6+x8=")</f>
        <v>#REF!</v>
      </c>
      <c r="AG30" t="e">
        <f>AND(#REF!,"AAAAADr6+yA=")</f>
        <v>#REF!</v>
      </c>
      <c r="AH30" t="e">
        <f>AND(#REF!,"AAAAADr6+yE=")</f>
        <v>#REF!</v>
      </c>
      <c r="AI30" t="e">
        <f>AND(#REF!,"AAAAADr6+yI=")</f>
        <v>#REF!</v>
      </c>
      <c r="AJ30" t="e">
        <f>AND(#REF!,"AAAAADr6+yM=")</f>
        <v>#REF!</v>
      </c>
      <c r="AK30" t="e">
        <f>AND(#REF!,"AAAAADr6+yQ=")</f>
        <v>#REF!</v>
      </c>
      <c r="AL30" t="e">
        <f>AND(#REF!,"AAAAADr6+yU=")</f>
        <v>#REF!</v>
      </c>
      <c r="AM30" t="e">
        <f>AND(#REF!,"AAAAADr6+yY=")</f>
        <v>#REF!</v>
      </c>
      <c r="AN30" t="e">
        <f>AND(#REF!,"AAAAADr6+yc=")</f>
        <v>#REF!</v>
      </c>
      <c r="AO30" t="e">
        <f>AND(#REF!,"AAAAADr6+yg=")</f>
        <v>#REF!</v>
      </c>
      <c r="AP30" t="e">
        <f>AND(#REF!,"AAAAADr6+yk=")</f>
        <v>#REF!</v>
      </c>
      <c r="AQ30" t="e">
        <f>AND(#REF!,"AAAAADr6+yo=")</f>
        <v>#REF!</v>
      </c>
      <c r="AR30" t="e">
        <f>AND(#REF!,"AAAAADr6+ys=")</f>
        <v>#REF!</v>
      </c>
      <c r="AS30" t="e">
        <f>AND(#REF!,"AAAAADr6+yw=")</f>
        <v>#REF!</v>
      </c>
      <c r="AT30" t="e">
        <f>AND(#REF!,"AAAAADr6+y0=")</f>
        <v>#REF!</v>
      </c>
      <c r="AU30" t="e">
        <f>AND(#REF!,"AAAAADr6+y4=")</f>
        <v>#REF!</v>
      </c>
      <c r="AV30" t="e">
        <f>AND(#REF!,"AAAAADr6+y8=")</f>
        <v>#REF!</v>
      </c>
      <c r="AW30" t="e">
        <f>AND(#REF!,"AAAAADr6+zA=")</f>
        <v>#REF!</v>
      </c>
      <c r="AX30" t="e">
        <f>AND(#REF!,"AAAAADr6+zE=")</f>
        <v>#REF!</v>
      </c>
      <c r="AY30" t="e">
        <f>AND(#REF!,"AAAAADr6+zI=")</f>
        <v>#REF!</v>
      </c>
      <c r="AZ30" t="e">
        <f>AND(#REF!,"AAAAADr6+zM=")</f>
        <v>#REF!</v>
      </c>
      <c r="BA30" t="e">
        <f>AND(#REF!,"AAAAADr6+zQ=")</f>
        <v>#REF!</v>
      </c>
      <c r="BB30" t="e">
        <f>AND(#REF!,"AAAAADr6+zU=")</f>
        <v>#REF!</v>
      </c>
      <c r="BC30" t="e">
        <f>AND(#REF!,"AAAAADr6+zY=")</f>
        <v>#REF!</v>
      </c>
      <c r="BD30" t="e">
        <f>AND(#REF!,"AAAAADr6+zc=")</f>
        <v>#REF!</v>
      </c>
      <c r="BE30" t="e">
        <f>AND(#REF!,"AAAAADr6+zg=")</f>
        <v>#REF!</v>
      </c>
      <c r="BF30" t="e">
        <f>AND(#REF!,"AAAAADr6+zk=")</f>
        <v>#REF!</v>
      </c>
      <c r="BG30" t="e">
        <f>AND(#REF!,"AAAAADr6+zo=")</f>
        <v>#REF!</v>
      </c>
      <c r="BH30" t="e">
        <f>AND(#REF!,"AAAAADr6+zs=")</f>
        <v>#REF!</v>
      </c>
      <c r="BI30" t="e">
        <f>AND(#REF!,"AAAAADr6+zw=")</f>
        <v>#REF!</v>
      </c>
      <c r="BJ30" t="e">
        <f>AND(#REF!,"AAAAADr6+z0=")</f>
        <v>#REF!</v>
      </c>
      <c r="BK30" t="e">
        <f>AND(#REF!,"AAAAADr6+z4=")</f>
        <v>#REF!</v>
      </c>
      <c r="BL30" t="e">
        <f>AND(#REF!,"AAAAADr6+z8=")</f>
        <v>#REF!</v>
      </c>
      <c r="BM30" t="e">
        <f>AND(#REF!,"AAAAADr6+0A=")</f>
        <v>#REF!</v>
      </c>
      <c r="BN30" t="e">
        <f>AND(#REF!,"AAAAADr6+0E=")</f>
        <v>#REF!</v>
      </c>
      <c r="BO30" t="e">
        <f>AND(#REF!,"AAAAADr6+0I=")</f>
        <v>#REF!</v>
      </c>
      <c r="BP30" t="e">
        <f>AND(#REF!,"AAAAADr6+0M=")</f>
        <v>#REF!</v>
      </c>
      <c r="BQ30" t="e">
        <f>AND(#REF!,"AAAAADr6+0Q=")</f>
        <v>#REF!</v>
      </c>
      <c r="BR30" t="e">
        <f>AND(#REF!,"AAAAADr6+0U=")</f>
        <v>#REF!</v>
      </c>
      <c r="BS30" t="e">
        <f>AND(#REF!,"AAAAADr6+0Y=")</f>
        <v>#REF!</v>
      </c>
      <c r="BT30" t="e">
        <f>AND(#REF!,"AAAAADr6+0c=")</f>
        <v>#REF!</v>
      </c>
      <c r="BU30" t="e">
        <f>AND(#REF!,"AAAAADr6+0g=")</f>
        <v>#REF!</v>
      </c>
      <c r="BV30" t="e">
        <f>AND(#REF!,"AAAAADr6+0k=")</f>
        <v>#REF!</v>
      </c>
      <c r="BW30" t="e">
        <f>AND(#REF!,"AAAAADr6+0o=")</f>
        <v>#REF!</v>
      </c>
      <c r="BX30" t="e">
        <f>AND(#REF!,"AAAAADr6+0s=")</f>
        <v>#REF!</v>
      </c>
      <c r="BY30" t="e">
        <f>AND(#REF!,"AAAAADr6+0w=")</f>
        <v>#REF!</v>
      </c>
      <c r="BZ30" t="e">
        <f>AND(#REF!,"AAAAADr6+00=")</f>
        <v>#REF!</v>
      </c>
      <c r="CA30" t="e">
        <f>AND(#REF!,"AAAAADr6+04=")</f>
        <v>#REF!</v>
      </c>
      <c r="CB30" t="e">
        <f>AND(#REF!,"AAAAADr6+08=")</f>
        <v>#REF!</v>
      </c>
      <c r="CC30" t="e">
        <f>AND(#REF!,"AAAAADr6+1A=")</f>
        <v>#REF!</v>
      </c>
      <c r="CD30" t="e">
        <f>AND(#REF!,"AAAAADr6+1E=")</f>
        <v>#REF!</v>
      </c>
      <c r="CE30" t="e">
        <f>AND(#REF!,"AAAAADr6+1I=")</f>
        <v>#REF!</v>
      </c>
      <c r="CF30" t="e">
        <f>AND(#REF!,"AAAAADr6+1M=")</f>
        <v>#REF!</v>
      </c>
      <c r="CG30" t="e">
        <f>AND(#REF!,"AAAAADr6+1Q=")</f>
        <v>#REF!</v>
      </c>
      <c r="CH30" t="e">
        <f>AND(#REF!,"AAAAADr6+1U=")</f>
        <v>#REF!</v>
      </c>
      <c r="CI30" t="e">
        <f>AND(#REF!,"AAAAADr6+1Y=")</f>
        <v>#REF!</v>
      </c>
      <c r="CJ30" t="e">
        <f>AND(#REF!,"AAAAADr6+1c=")</f>
        <v>#REF!</v>
      </c>
      <c r="CK30" t="e">
        <f>AND(#REF!,"AAAAADr6+1g=")</f>
        <v>#REF!</v>
      </c>
      <c r="CL30" t="e">
        <f>AND(#REF!,"AAAAADr6+1k=")</f>
        <v>#REF!</v>
      </c>
      <c r="CM30" t="e">
        <f>AND(#REF!,"AAAAADr6+1o=")</f>
        <v>#REF!</v>
      </c>
      <c r="CN30" t="e">
        <f>AND(#REF!,"AAAAADr6+1s=")</f>
        <v>#REF!</v>
      </c>
      <c r="CO30" t="e">
        <f>AND(#REF!,"AAAAADr6+1w=")</f>
        <v>#REF!</v>
      </c>
      <c r="CP30" t="e">
        <f>AND(#REF!,"AAAAADr6+10=")</f>
        <v>#REF!</v>
      </c>
      <c r="CQ30" t="e">
        <f>AND(#REF!,"AAAAADr6+14=")</f>
        <v>#REF!</v>
      </c>
      <c r="CR30" t="e">
        <f>AND(#REF!,"AAAAADr6+18=")</f>
        <v>#REF!</v>
      </c>
      <c r="CS30" t="e">
        <f>AND(#REF!,"AAAAADr6+2A=")</f>
        <v>#REF!</v>
      </c>
      <c r="CT30" t="e">
        <f>AND(#REF!,"AAAAADr6+2E=")</f>
        <v>#REF!</v>
      </c>
      <c r="CU30" t="e">
        <f>AND(#REF!,"AAAAADr6+2I=")</f>
        <v>#REF!</v>
      </c>
      <c r="CV30" t="e">
        <f>AND(#REF!,"AAAAADr6+2M=")</f>
        <v>#REF!</v>
      </c>
      <c r="CW30" t="e">
        <f>AND(#REF!,"AAAAADr6+2Q=")</f>
        <v>#REF!</v>
      </c>
      <c r="CX30" t="e">
        <f>AND(#REF!,"AAAAADr6+2U=")</f>
        <v>#REF!</v>
      </c>
      <c r="CY30" t="e">
        <f>AND(#REF!,"AAAAADr6+2Y=")</f>
        <v>#REF!</v>
      </c>
      <c r="CZ30" t="e">
        <f>AND(#REF!,"AAAAADr6+2c=")</f>
        <v>#REF!</v>
      </c>
      <c r="DA30" t="e">
        <f>AND(#REF!,"AAAAADr6+2g=")</f>
        <v>#REF!</v>
      </c>
      <c r="DB30" t="e">
        <f>AND(#REF!,"AAAAADr6+2k=")</f>
        <v>#REF!</v>
      </c>
      <c r="DC30" t="e">
        <f>AND(#REF!,"AAAAADr6+2o=")</f>
        <v>#REF!</v>
      </c>
      <c r="DD30" t="e">
        <f>AND(#REF!,"AAAAADr6+2s=")</f>
        <v>#REF!</v>
      </c>
      <c r="DE30" t="e">
        <f>AND(#REF!,"AAAAADr6+2w=")</f>
        <v>#REF!</v>
      </c>
      <c r="DF30" t="e">
        <f>AND(#REF!,"AAAAADr6+20=")</f>
        <v>#REF!</v>
      </c>
      <c r="DG30" t="e">
        <f>AND(#REF!,"AAAAADr6+24=")</f>
        <v>#REF!</v>
      </c>
      <c r="DH30" t="e">
        <f>AND(#REF!,"AAAAADr6+28=")</f>
        <v>#REF!</v>
      </c>
      <c r="DI30" t="e">
        <f>AND(#REF!,"AAAAADr6+3A=")</f>
        <v>#REF!</v>
      </c>
      <c r="DJ30" t="e">
        <f>AND(#REF!,"AAAAADr6+3E=")</f>
        <v>#REF!</v>
      </c>
      <c r="DK30" t="e">
        <f>AND(#REF!,"AAAAADr6+3I=")</f>
        <v>#REF!</v>
      </c>
      <c r="DL30" t="e">
        <f>AND(#REF!,"AAAAADr6+3M=")</f>
        <v>#REF!</v>
      </c>
      <c r="DM30" t="e">
        <f>AND(#REF!,"AAAAADr6+3Q=")</f>
        <v>#REF!</v>
      </c>
      <c r="DN30" t="e">
        <f>AND(#REF!,"AAAAADr6+3U=")</f>
        <v>#REF!</v>
      </c>
      <c r="DO30" t="e">
        <f>AND(#REF!,"AAAAADr6+3Y=")</f>
        <v>#REF!</v>
      </c>
      <c r="DP30" t="e">
        <f>AND(#REF!,"AAAAADr6+3c=")</f>
        <v>#REF!</v>
      </c>
      <c r="DQ30" t="e">
        <f>AND(#REF!,"AAAAADr6+3g=")</f>
        <v>#REF!</v>
      </c>
      <c r="DR30" t="e">
        <f>AND(#REF!,"AAAAADr6+3k=")</f>
        <v>#REF!</v>
      </c>
      <c r="DS30" t="e">
        <f>AND(#REF!,"AAAAADr6+3o=")</f>
        <v>#REF!</v>
      </c>
      <c r="DT30" t="e">
        <f>AND(#REF!,"AAAAADr6+3s=")</f>
        <v>#REF!</v>
      </c>
      <c r="DU30" t="e">
        <f>AND(#REF!,"AAAAADr6+3w=")</f>
        <v>#REF!</v>
      </c>
      <c r="DV30" t="e">
        <f>AND(#REF!,"AAAAADr6+30=")</f>
        <v>#REF!</v>
      </c>
      <c r="DW30" t="e">
        <f>AND(#REF!,"AAAAADr6+34=")</f>
        <v>#REF!</v>
      </c>
      <c r="DX30" t="e">
        <f>AND(#REF!,"AAAAADr6+38=")</f>
        <v>#REF!</v>
      </c>
      <c r="DY30" t="e">
        <f>AND(#REF!,"AAAAADr6+4A=")</f>
        <v>#REF!</v>
      </c>
      <c r="DZ30" t="e">
        <f>AND(#REF!,"AAAAADr6+4E=")</f>
        <v>#REF!</v>
      </c>
      <c r="EA30" t="e">
        <f>AND(#REF!,"AAAAADr6+4I=")</f>
        <v>#REF!</v>
      </c>
      <c r="EB30" t="e">
        <f>AND(#REF!,"AAAAADr6+4M=")</f>
        <v>#REF!</v>
      </c>
      <c r="EC30" t="e">
        <f>AND(#REF!,"AAAAADr6+4Q=")</f>
        <v>#REF!</v>
      </c>
      <c r="ED30" t="e">
        <f>AND(#REF!,"AAAAADr6+4U=")</f>
        <v>#REF!</v>
      </c>
      <c r="EE30" t="e">
        <f>AND(#REF!,"AAAAADr6+4Y=")</f>
        <v>#REF!</v>
      </c>
      <c r="EF30" t="e">
        <f>AND(#REF!,"AAAAADr6+4c=")</f>
        <v>#REF!</v>
      </c>
      <c r="EG30" t="e">
        <f>AND(#REF!,"AAAAADr6+4g=")</f>
        <v>#REF!</v>
      </c>
      <c r="EH30" t="e">
        <f>AND(#REF!,"AAAAADr6+4k=")</f>
        <v>#REF!</v>
      </c>
      <c r="EI30" t="e">
        <f>AND(#REF!,"AAAAADr6+4o=")</f>
        <v>#REF!</v>
      </c>
      <c r="EJ30" t="e">
        <f>AND(#REF!,"AAAAADr6+4s=")</f>
        <v>#REF!</v>
      </c>
      <c r="EK30" t="e">
        <f>AND(#REF!,"AAAAADr6+4w=")</f>
        <v>#REF!</v>
      </c>
      <c r="EL30" t="e">
        <f>AND(#REF!,"AAAAADr6+40=")</f>
        <v>#REF!</v>
      </c>
      <c r="EM30" t="e">
        <f>AND(#REF!,"AAAAADr6+44=")</f>
        <v>#REF!</v>
      </c>
      <c r="EN30" t="e">
        <f>AND(#REF!,"AAAAADr6+48=")</f>
        <v>#REF!</v>
      </c>
      <c r="EO30" t="e">
        <f>AND(#REF!,"AAAAADr6+5A=")</f>
        <v>#REF!</v>
      </c>
      <c r="EP30" t="e">
        <f>AND(#REF!,"AAAAADr6+5E=")</f>
        <v>#REF!</v>
      </c>
      <c r="EQ30" t="e">
        <f>AND(#REF!,"AAAAADr6+5I=")</f>
        <v>#REF!</v>
      </c>
      <c r="ER30" t="e">
        <f>AND(#REF!,"AAAAADr6+5M=")</f>
        <v>#REF!</v>
      </c>
      <c r="ES30" t="e">
        <f>AND(#REF!,"AAAAADr6+5Q=")</f>
        <v>#REF!</v>
      </c>
      <c r="ET30" t="e">
        <f>AND(#REF!,"AAAAADr6+5U=")</f>
        <v>#REF!</v>
      </c>
      <c r="EU30" t="e">
        <f>AND(#REF!,"AAAAADr6+5Y=")</f>
        <v>#REF!</v>
      </c>
      <c r="EV30" t="e">
        <f>AND(#REF!,"AAAAADr6+5c=")</f>
        <v>#REF!</v>
      </c>
      <c r="EW30" t="e">
        <f>AND(#REF!,"AAAAADr6+5g=")</f>
        <v>#REF!</v>
      </c>
      <c r="EX30" t="e">
        <f>AND(#REF!,"AAAAADr6+5k=")</f>
        <v>#REF!</v>
      </c>
      <c r="EY30" t="e">
        <f>AND(#REF!,"AAAAADr6+5o=")</f>
        <v>#REF!</v>
      </c>
      <c r="EZ30" t="e">
        <f>AND(#REF!,"AAAAADr6+5s=")</f>
        <v>#REF!</v>
      </c>
      <c r="FA30" t="e">
        <f>AND(#REF!,"AAAAADr6+5w=")</f>
        <v>#REF!</v>
      </c>
      <c r="FB30" t="e">
        <f>AND(#REF!,"AAAAADr6+50=")</f>
        <v>#REF!</v>
      </c>
      <c r="FC30" t="e">
        <f>AND(#REF!,"AAAAADr6+54=")</f>
        <v>#REF!</v>
      </c>
      <c r="FD30" t="e">
        <f>AND(#REF!,"AAAAADr6+58=")</f>
        <v>#REF!</v>
      </c>
      <c r="FE30" t="e">
        <f>AND(#REF!,"AAAAADr6+6A=")</f>
        <v>#REF!</v>
      </c>
      <c r="FF30" t="e">
        <f>AND(#REF!,"AAAAADr6+6E=")</f>
        <v>#REF!</v>
      </c>
      <c r="FG30" t="e">
        <f>AND(#REF!,"AAAAADr6+6I=")</f>
        <v>#REF!</v>
      </c>
      <c r="FH30" t="e">
        <f>AND(#REF!,"AAAAADr6+6M=")</f>
        <v>#REF!</v>
      </c>
      <c r="FI30" t="e">
        <f>AND(#REF!,"AAAAADr6+6Q=")</f>
        <v>#REF!</v>
      </c>
      <c r="FJ30" t="e">
        <f>AND(#REF!,"AAAAADr6+6U=")</f>
        <v>#REF!</v>
      </c>
      <c r="FK30" t="e">
        <f>AND(#REF!,"AAAAADr6+6Y=")</f>
        <v>#REF!</v>
      </c>
      <c r="FL30" t="e">
        <f>AND(#REF!,"AAAAADr6+6c=")</f>
        <v>#REF!</v>
      </c>
      <c r="FM30" t="e">
        <f>AND(#REF!,"AAAAADr6+6g=")</f>
        <v>#REF!</v>
      </c>
      <c r="FN30" t="e">
        <f>AND(#REF!,"AAAAADr6+6k=")</f>
        <v>#REF!</v>
      </c>
      <c r="FO30" t="e">
        <f>AND(#REF!,"AAAAADr6+6o=")</f>
        <v>#REF!</v>
      </c>
      <c r="FP30" t="e">
        <f>AND(#REF!,"AAAAADr6+6s=")</f>
        <v>#REF!</v>
      </c>
      <c r="FQ30" t="e">
        <f>AND(#REF!,"AAAAADr6+6w=")</f>
        <v>#REF!</v>
      </c>
      <c r="FR30" t="e">
        <f>AND(#REF!,"AAAAADr6+60=")</f>
        <v>#REF!</v>
      </c>
      <c r="FS30" t="e">
        <f>AND(#REF!,"AAAAADr6+64=")</f>
        <v>#REF!</v>
      </c>
      <c r="FT30" t="e">
        <f>AND(#REF!,"AAAAADr6+68=")</f>
        <v>#REF!</v>
      </c>
      <c r="FU30" t="e">
        <f>AND(#REF!,"AAAAADr6+7A=")</f>
        <v>#REF!</v>
      </c>
      <c r="FV30" t="e">
        <f>AND(#REF!,"AAAAADr6+7E=")</f>
        <v>#REF!</v>
      </c>
      <c r="FW30" t="e">
        <f>AND(#REF!,"AAAAADr6+7I=")</f>
        <v>#REF!</v>
      </c>
      <c r="FX30" t="e">
        <f>AND(#REF!,"AAAAADr6+7M=")</f>
        <v>#REF!</v>
      </c>
      <c r="FY30" t="e">
        <f>AND(#REF!,"AAAAADr6+7Q=")</f>
        <v>#REF!</v>
      </c>
      <c r="FZ30" t="e">
        <f>AND(#REF!,"AAAAADr6+7U=")</f>
        <v>#REF!</v>
      </c>
      <c r="GA30" t="e">
        <f>AND(#REF!,"AAAAADr6+7Y=")</f>
        <v>#REF!</v>
      </c>
      <c r="GB30" t="e">
        <f>AND(#REF!,"AAAAADr6+7c=")</f>
        <v>#REF!</v>
      </c>
      <c r="GC30" t="e">
        <f>AND(#REF!,"AAAAADr6+7g=")</f>
        <v>#REF!</v>
      </c>
      <c r="GD30" t="e">
        <f>AND(#REF!,"AAAAADr6+7k=")</f>
        <v>#REF!</v>
      </c>
      <c r="GE30" t="e">
        <f>AND(#REF!,"AAAAADr6+7o=")</f>
        <v>#REF!</v>
      </c>
      <c r="GF30" t="e">
        <f>AND(#REF!,"AAAAADr6+7s=")</f>
        <v>#REF!</v>
      </c>
      <c r="GG30" t="e">
        <f>AND(#REF!,"AAAAADr6+7w=")</f>
        <v>#REF!</v>
      </c>
      <c r="GH30" t="e">
        <f>AND(#REF!,"AAAAADr6+70=")</f>
        <v>#REF!</v>
      </c>
      <c r="GI30" t="e">
        <f>AND(#REF!,"AAAAADr6+74=")</f>
        <v>#REF!</v>
      </c>
      <c r="GJ30" t="e">
        <f>AND(#REF!,"AAAAADr6+78=")</f>
        <v>#REF!</v>
      </c>
      <c r="GK30" t="e">
        <f>AND(#REF!,"AAAAADr6+8A=")</f>
        <v>#REF!</v>
      </c>
      <c r="GL30" t="e">
        <f>AND(#REF!,"AAAAADr6+8E=")</f>
        <v>#REF!</v>
      </c>
      <c r="GM30" t="e">
        <f>AND(#REF!,"AAAAADr6+8I=")</f>
        <v>#REF!</v>
      </c>
      <c r="GN30" t="e">
        <f>IF(#REF!,"AAAAADr6+8M=",0)</f>
        <v>#REF!</v>
      </c>
      <c r="GO30" t="e">
        <f>AND(#REF!,"AAAAADr6+8Q=")</f>
        <v>#REF!</v>
      </c>
      <c r="GP30" t="e">
        <f>AND(#REF!,"AAAAADr6+8U=")</f>
        <v>#REF!</v>
      </c>
      <c r="GQ30" t="e">
        <f>AND(#REF!,"AAAAADr6+8Y=")</f>
        <v>#REF!</v>
      </c>
      <c r="GR30" t="e">
        <f>AND(#REF!,"AAAAADr6+8c=")</f>
        <v>#REF!</v>
      </c>
      <c r="GS30" t="e">
        <f>AND(#REF!,"AAAAADr6+8g=")</f>
        <v>#REF!</v>
      </c>
      <c r="GT30" t="e">
        <f>AND(#REF!,"AAAAADr6+8k=")</f>
        <v>#REF!</v>
      </c>
      <c r="GU30" t="e">
        <f>AND(#REF!,"AAAAADr6+8o=")</f>
        <v>#REF!</v>
      </c>
      <c r="GV30" t="e">
        <f>AND(#REF!,"AAAAADr6+8s=")</f>
        <v>#REF!</v>
      </c>
      <c r="GW30" t="e">
        <f>AND(#REF!,"AAAAADr6+8w=")</f>
        <v>#REF!</v>
      </c>
      <c r="GX30" t="e">
        <f>AND(#REF!,"AAAAADr6+80=")</f>
        <v>#REF!</v>
      </c>
      <c r="GY30" t="e">
        <f>AND(#REF!,"AAAAADr6+84=")</f>
        <v>#REF!</v>
      </c>
      <c r="GZ30" t="e">
        <f>AND(#REF!,"AAAAADr6+88=")</f>
        <v>#REF!</v>
      </c>
      <c r="HA30" t="e">
        <f>AND(#REF!,"AAAAADr6+9A=")</f>
        <v>#REF!</v>
      </c>
      <c r="HB30" t="e">
        <f>AND(#REF!,"AAAAADr6+9E=")</f>
        <v>#REF!</v>
      </c>
      <c r="HC30" t="e">
        <f>AND(#REF!,"AAAAADr6+9I=")</f>
        <v>#REF!</v>
      </c>
      <c r="HD30" t="e">
        <f>AND(#REF!,"AAAAADr6+9M=")</f>
        <v>#REF!</v>
      </c>
      <c r="HE30" t="e">
        <f>AND(#REF!,"AAAAADr6+9Q=")</f>
        <v>#REF!</v>
      </c>
      <c r="HF30" t="e">
        <f>AND(#REF!,"AAAAADr6+9U=")</f>
        <v>#REF!</v>
      </c>
      <c r="HG30" t="e">
        <f>AND(#REF!,"AAAAADr6+9Y=")</f>
        <v>#REF!</v>
      </c>
      <c r="HH30" t="e">
        <f>AND(#REF!,"AAAAADr6+9c=")</f>
        <v>#REF!</v>
      </c>
      <c r="HI30" t="e">
        <f>AND(#REF!,"AAAAADr6+9g=")</f>
        <v>#REF!</v>
      </c>
      <c r="HJ30" t="e">
        <f>AND(#REF!,"AAAAADr6+9k=")</f>
        <v>#REF!</v>
      </c>
      <c r="HK30" t="e">
        <f>AND(#REF!,"AAAAADr6+9o=")</f>
        <v>#REF!</v>
      </c>
      <c r="HL30" t="e">
        <f>AND(#REF!,"AAAAADr6+9s=")</f>
        <v>#REF!</v>
      </c>
      <c r="HM30" t="e">
        <f>AND(#REF!,"AAAAADr6+9w=")</f>
        <v>#REF!</v>
      </c>
      <c r="HN30" t="e">
        <f>AND(#REF!,"AAAAADr6+90=")</f>
        <v>#REF!</v>
      </c>
      <c r="HO30" t="e">
        <f>AND(#REF!,"AAAAADr6+94=")</f>
        <v>#REF!</v>
      </c>
      <c r="HP30" t="e">
        <f>AND(#REF!,"AAAAADr6+98=")</f>
        <v>#REF!</v>
      </c>
      <c r="HQ30" t="e">
        <f>AND(#REF!,"AAAAADr6++A=")</f>
        <v>#REF!</v>
      </c>
      <c r="HR30" t="e">
        <f>AND(#REF!,"AAAAADr6++E=")</f>
        <v>#REF!</v>
      </c>
      <c r="HS30" t="e">
        <f>AND(#REF!,"AAAAADr6++I=")</f>
        <v>#REF!</v>
      </c>
      <c r="HT30" t="e">
        <f>AND(#REF!,"AAAAADr6++M=")</f>
        <v>#REF!</v>
      </c>
      <c r="HU30" t="e">
        <f>AND(#REF!,"AAAAADr6++Q=")</f>
        <v>#REF!</v>
      </c>
      <c r="HV30" t="e">
        <f>AND(#REF!,"AAAAADr6++U=")</f>
        <v>#REF!</v>
      </c>
      <c r="HW30" t="e">
        <f>AND(#REF!,"AAAAADr6++Y=")</f>
        <v>#REF!</v>
      </c>
      <c r="HX30" t="e">
        <f>AND(#REF!,"AAAAADr6++c=")</f>
        <v>#REF!</v>
      </c>
      <c r="HY30" t="e">
        <f>AND(#REF!,"AAAAADr6++g=")</f>
        <v>#REF!</v>
      </c>
      <c r="HZ30" t="e">
        <f>AND(#REF!,"AAAAADr6++k=")</f>
        <v>#REF!</v>
      </c>
      <c r="IA30" t="e">
        <f>AND(#REF!,"AAAAADr6++o=")</f>
        <v>#REF!</v>
      </c>
      <c r="IB30" t="e">
        <f>AND(#REF!,"AAAAADr6++s=")</f>
        <v>#REF!</v>
      </c>
      <c r="IC30" t="e">
        <f>AND(#REF!,"AAAAADr6++w=")</f>
        <v>#REF!</v>
      </c>
      <c r="ID30" t="e">
        <f>AND(#REF!,"AAAAADr6++0=")</f>
        <v>#REF!</v>
      </c>
      <c r="IE30" t="e">
        <f>AND(#REF!,"AAAAADr6++4=")</f>
        <v>#REF!</v>
      </c>
      <c r="IF30" t="e">
        <f>AND(#REF!,"AAAAADr6++8=")</f>
        <v>#REF!</v>
      </c>
      <c r="IG30" t="e">
        <f>AND(#REF!,"AAAAADr6+/A=")</f>
        <v>#REF!</v>
      </c>
      <c r="IH30" t="e">
        <f>AND(#REF!,"AAAAADr6+/E=")</f>
        <v>#REF!</v>
      </c>
      <c r="II30" t="e">
        <f>AND(#REF!,"AAAAADr6+/I=")</f>
        <v>#REF!</v>
      </c>
      <c r="IJ30" t="e">
        <f>AND(#REF!,"AAAAADr6+/M=")</f>
        <v>#REF!</v>
      </c>
      <c r="IK30" t="e">
        <f>AND(#REF!,"AAAAADr6+/Q=")</f>
        <v>#REF!</v>
      </c>
      <c r="IL30" t="e">
        <f>AND(#REF!,"AAAAADr6+/U=")</f>
        <v>#REF!</v>
      </c>
      <c r="IM30" t="e">
        <f>AND(#REF!,"AAAAADr6+/Y=")</f>
        <v>#REF!</v>
      </c>
      <c r="IN30" t="e">
        <f>AND(#REF!,"AAAAADr6+/c=")</f>
        <v>#REF!</v>
      </c>
      <c r="IO30" t="e">
        <f>AND(#REF!,"AAAAADr6+/g=")</f>
        <v>#REF!</v>
      </c>
      <c r="IP30" t="e">
        <f>AND(#REF!,"AAAAADr6+/k=")</f>
        <v>#REF!</v>
      </c>
      <c r="IQ30" t="e">
        <f>AND(#REF!,"AAAAADr6+/o=")</f>
        <v>#REF!</v>
      </c>
      <c r="IR30" t="e">
        <f>AND(#REF!,"AAAAADr6+/s=")</f>
        <v>#REF!</v>
      </c>
      <c r="IS30" t="e">
        <f>AND(#REF!,"AAAAADr6+/w=")</f>
        <v>#REF!</v>
      </c>
      <c r="IT30" t="e">
        <f>AND(#REF!,"AAAAADr6+/0=")</f>
        <v>#REF!</v>
      </c>
      <c r="IU30" t="e">
        <f>AND(#REF!,"AAAAADr6+/4=")</f>
        <v>#REF!</v>
      </c>
      <c r="IV30" t="e">
        <f>AND(#REF!,"AAAAADr6+/8=")</f>
        <v>#REF!</v>
      </c>
    </row>
    <row r="31" spans="1:256" x14ac:dyDescent="0.2">
      <c r="A31" t="e">
        <f>AND(#REF!,"AAAAAHP/3gA=")</f>
        <v>#REF!</v>
      </c>
      <c r="B31" t="e">
        <f>AND(#REF!,"AAAAAHP/3gE=")</f>
        <v>#REF!</v>
      </c>
      <c r="C31" t="e">
        <f>AND(#REF!,"AAAAAHP/3gI=")</f>
        <v>#REF!</v>
      </c>
      <c r="D31" t="e">
        <f>AND(#REF!,"AAAAAHP/3gM=")</f>
        <v>#REF!</v>
      </c>
      <c r="E31" t="e">
        <f>AND(#REF!,"AAAAAHP/3gQ=")</f>
        <v>#REF!</v>
      </c>
      <c r="F31" t="e">
        <f>AND(#REF!,"AAAAAHP/3gU=")</f>
        <v>#REF!</v>
      </c>
      <c r="G31" t="e">
        <f>AND(#REF!,"AAAAAHP/3gY=")</f>
        <v>#REF!</v>
      </c>
      <c r="H31" t="e">
        <f>AND(#REF!,"AAAAAHP/3gc=")</f>
        <v>#REF!</v>
      </c>
      <c r="I31" t="e">
        <f>AND(#REF!,"AAAAAHP/3gg=")</f>
        <v>#REF!</v>
      </c>
      <c r="J31" t="e">
        <f>AND(#REF!,"AAAAAHP/3gk=")</f>
        <v>#REF!</v>
      </c>
      <c r="K31" t="e">
        <f>AND(#REF!,"AAAAAHP/3go=")</f>
        <v>#REF!</v>
      </c>
      <c r="L31" t="e">
        <f>AND(#REF!,"AAAAAHP/3gs=")</f>
        <v>#REF!</v>
      </c>
      <c r="M31" t="e">
        <f>AND(#REF!,"AAAAAHP/3gw=")</f>
        <v>#REF!</v>
      </c>
      <c r="N31" t="e">
        <f>AND(#REF!,"AAAAAHP/3g0=")</f>
        <v>#REF!</v>
      </c>
      <c r="O31" t="e">
        <f>AND(#REF!,"AAAAAHP/3g4=")</f>
        <v>#REF!</v>
      </c>
      <c r="P31" t="e">
        <f>AND(#REF!,"AAAAAHP/3g8=")</f>
        <v>#REF!</v>
      </c>
      <c r="Q31" t="e">
        <f>AND(#REF!,"AAAAAHP/3hA=")</f>
        <v>#REF!</v>
      </c>
      <c r="R31" t="e">
        <f>AND(#REF!,"AAAAAHP/3hE=")</f>
        <v>#REF!</v>
      </c>
      <c r="S31" t="e">
        <f>AND(#REF!,"AAAAAHP/3hI=")</f>
        <v>#REF!</v>
      </c>
      <c r="T31" t="e">
        <f>AND(#REF!,"AAAAAHP/3hM=")</f>
        <v>#REF!</v>
      </c>
      <c r="U31" t="e">
        <f>AND(#REF!,"AAAAAHP/3hQ=")</f>
        <v>#REF!</v>
      </c>
      <c r="V31" t="e">
        <f>AND(#REF!,"AAAAAHP/3hU=")</f>
        <v>#REF!</v>
      </c>
      <c r="W31" t="e">
        <f>AND(#REF!,"AAAAAHP/3hY=")</f>
        <v>#REF!</v>
      </c>
      <c r="X31" t="e">
        <f>AND(#REF!,"AAAAAHP/3hc=")</f>
        <v>#REF!</v>
      </c>
      <c r="Y31" t="e">
        <f>AND(#REF!,"AAAAAHP/3hg=")</f>
        <v>#REF!</v>
      </c>
      <c r="Z31" t="e">
        <f>AND(#REF!,"AAAAAHP/3hk=")</f>
        <v>#REF!</v>
      </c>
      <c r="AA31" t="e">
        <f>AND(#REF!,"AAAAAHP/3ho=")</f>
        <v>#REF!</v>
      </c>
      <c r="AB31" t="e">
        <f>AND(#REF!,"AAAAAHP/3hs=")</f>
        <v>#REF!</v>
      </c>
      <c r="AC31" t="e">
        <f>AND(#REF!,"AAAAAHP/3hw=")</f>
        <v>#REF!</v>
      </c>
      <c r="AD31" t="e">
        <f>AND(#REF!,"AAAAAHP/3h0=")</f>
        <v>#REF!</v>
      </c>
      <c r="AE31" t="e">
        <f>AND(#REF!,"AAAAAHP/3h4=")</f>
        <v>#REF!</v>
      </c>
      <c r="AF31" t="e">
        <f>AND(#REF!,"AAAAAHP/3h8=")</f>
        <v>#REF!</v>
      </c>
      <c r="AG31" t="e">
        <f>AND(#REF!,"AAAAAHP/3iA=")</f>
        <v>#REF!</v>
      </c>
      <c r="AH31" t="e">
        <f>AND(#REF!,"AAAAAHP/3iE=")</f>
        <v>#REF!</v>
      </c>
      <c r="AI31" t="e">
        <f>AND(#REF!,"AAAAAHP/3iI=")</f>
        <v>#REF!</v>
      </c>
      <c r="AJ31" t="e">
        <f>AND(#REF!,"AAAAAHP/3iM=")</f>
        <v>#REF!</v>
      </c>
      <c r="AK31" t="e">
        <f>AND(#REF!,"AAAAAHP/3iQ=")</f>
        <v>#REF!</v>
      </c>
      <c r="AL31" t="e">
        <f>AND(#REF!,"AAAAAHP/3iU=")</f>
        <v>#REF!</v>
      </c>
      <c r="AM31" t="e">
        <f>AND(#REF!,"AAAAAHP/3iY=")</f>
        <v>#REF!</v>
      </c>
      <c r="AN31" t="e">
        <f>AND(#REF!,"AAAAAHP/3ic=")</f>
        <v>#REF!</v>
      </c>
      <c r="AO31" t="e">
        <f>AND(#REF!,"AAAAAHP/3ig=")</f>
        <v>#REF!</v>
      </c>
      <c r="AP31" t="e">
        <f>AND(#REF!,"AAAAAHP/3ik=")</f>
        <v>#REF!</v>
      </c>
      <c r="AQ31" t="e">
        <f>AND(#REF!,"AAAAAHP/3io=")</f>
        <v>#REF!</v>
      </c>
      <c r="AR31" t="e">
        <f>AND(#REF!,"AAAAAHP/3is=")</f>
        <v>#REF!</v>
      </c>
      <c r="AS31" t="e">
        <f>AND(#REF!,"AAAAAHP/3iw=")</f>
        <v>#REF!</v>
      </c>
      <c r="AT31" t="e">
        <f>AND(#REF!,"AAAAAHP/3i0=")</f>
        <v>#REF!</v>
      </c>
      <c r="AU31" t="e">
        <f>AND(#REF!,"AAAAAHP/3i4=")</f>
        <v>#REF!</v>
      </c>
      <c r="AV31" t="e">
        <f>AND(#REF!,"AAAAAHP/3i8=")</f>
        <v>#REF!</v>
      </c>
      <c r="AW31" t="e">
        <f>AND(#REF!,"AAAAAHP/3jA=")</f>
        <v>#REF!</v>
      </c>
      <c r="AX31" t="e">
        <f>AND(#REF!,"AAAAAHP/3jE=")</f>
        <v>#REF!</v>
      </c>
      <c r="AY31" t="e">
        <f>AND(#REF!,"AAAAAHP/3jI=")</f>
        <v>#REF!</v>
      </c>
      <c r="AZ31" t="e">
        <f>AND(#REF!,"AAAAAHP/3jM=")</f>
        <v>#REF!</v>
      </c>
      <c r="BA31" t="e">
        <f>AND(#REF!,"AAAAAHP/3jQ=")</f>
        <v>#REF!</v>
      </c>
      <c r="BB31" t="e">
        <f>AND(#REF!,"AAAAAHP/3jU=")</f>
        <v>#REF!</v>
      </c>
      <c r="BC31" t="e">
        <f>AND(#REF!,"AAAAAHP/3jY=")</f>
        <v>#REF!</v>
      </c>
      <c r="BD31" t="e">
        <f>AND(#REF!,"AAAAAHP/3jc=")</f>
        <v>#REF!</v>
      </c>
      <c r="BE31" t="e">
        <f>AND(#REF!,"AAAAAHP/3jg=")</f>
        <v>#REF!</v>
      </c>
      <c r="BF31" t="e">
        <f>AND(#REF!,"AAAAAHP/3jk=")</f>
        <v>#REF!</v>
      </c>
      <c r="BG31" t="e">
        <f>AND(#REF!,"AAAAAHP/3jo=")</f>
        <v>#REF!</v>
      </c>
      <c r="BH31" t="e">
        <f>AND(#REF!,"AAAAAHP/3js=")</f>
        <v>#REF!</v>
      </c>
      <c r="BI31" t="e">
        <f>AND(#REF!,"AAAAAHP/3jw=")</f>
        <v>#REF!</v>
      </c>
      <c r="BJ31" t="e">
        <f>AND(#REF!,"AAAAAHP/3j0=")</f>
        <v>#REF!</v>
      </c>
      <c r="BK31" t="e">
        <f>AND(#REF!,"AAAAAHP/3j4=")</f>
        <v>#REF!</v>
      </c>
      <c r="BL31" t="e">
        <f>AND(#REF!,"AAAAAHP/3j8=")</f>
        <v>#REF!</v>
      </c>
      <c r="BM31" t="e">
        <f>AND(#REF!,"AAAAAHP/3kA=")</f>
        <v>#REF!</v>
      </c>
      <c r="BN31" t="e">
        <f>AND(#REF!,"AAAAAHP/3kE=")</f>
        <v>#REF!</v>
      </c>
      <c r="BO31" t="e">
        <f>AND(#REF!,"AAAAAHP/3kI=")</f>
        <v>#REF!</v>
      </c>
      <c r="BP31" t="e">
        <f>AND(#REF!,"AAAAAHP/3kM=")</f>
        <v>#REF!</v>
      </c>
      <c r="BQ31" t="e">
        <f>AND(#REF!,"AAAAAHP/3kQ=")</f>
        <v>#REF!</v>
      </c>
      <c r="BR31" t="e">
        <f>AND(#REF!,"AAAAAHP/3kU=")</f>
        <v>#REF!</v>
      </c>
      <c r="BS31" t="e">
        <f>AND(#REF!,"AAAAAHP/3kY=")</f>
        <v>#REF!</v>
      </c>
      <c r="BT31" t="e">
        <f>AND(#REF!,"AAAAAHP/3kc=")</f>
        <v>#REF!</v>
      </c>
      <c r="BU31" t="e">
        <f>AND(#REF!,"AAAAAHP/3kg=")</f>
        <v>#REF!</v>
      </c>
      <c r="BV31" t="e">
        <f>AND(#REF!,"AAAAAHP/3kk=")</f>
        <v>#REF!</v>
      </c>
      <c r="BW31" t="e">
        <f>AND(#REF!,"AAAAAHP/3ko=")</f>
        <v>#REF!</v>
      </c>
      <c r="BX31" t="e">
        <f>AND(#REF!,"AAAAAHP/3ks=")</f>
        <v>#REF!</v>
      </c>
      <c r="BY31" t="e">
        <f>AND(#REF!,"AAAAAHP/3kw=")</f>
        <v>#REF!</v>
      </c>
      <c r="BZ31" t="e">
        <f>AND(#REF!,"AAAAAHP/3k0=")</f>
        <v>#REF!</v>
      </c>
      <c r="CA31" t="e">
        <f>AND(#REF!,"AAAAAHP/3k4=")</f>
        <v>#REF!</v>
      </c>
      <c r="CB31" t="e">
        <f>AND(#REF!,"AAAAAHP/3k8=")</f>
        <v>#REF!</v>
      </c>
      <c r="CC31" t="e">
        <f>AND(#REF!,"AAAAAHP/3lA=")</f>
        <v>#REF!</v>
      </c>
      <c r="CD31" t="e">
        <f>AND(#REF!,"AAAAAHP/3lE=")</f>
        <v>#REF!</v>
      </c>
      <c r="CE31" t="e">
        <f>AND(#REF!,"AAAAAHP/3lI=")</f>
        <v>#REF!</v>
      </c>
      <c r="CF31" t="e">
        <f>AND(#REF!,"AAAAAHP/3lM=")</f>
        <v>#REF!</v>
      </c>
      <c r="CG31" t="e">
        <f>AND(#REF!,"AAAAAHP/3lQ=")</f>
        <v>#REF!</v>
      </c>
      <c r="CH31" t="e">
        <f>AND(#REF!,"AAAAAHP/3lU=")</f>
        <v>#REF!</v>
      </c>
      <c r="CI31" t="e">
        <f>AND(#REF!,"AAAAAHP/3lY=")</f>
        <v>#REF!</v>
      </c>
      <c r="CJ31" t="e">
        <f>AND(#REF!,"AAAAAHP/3lc=")</f>
        <v>#REF!</v>
      </c>
      <c r="CK31" t="e">
        <f>AND(#REF!,"AAAAAHP/3lg=")</f>
        <v>#REF!</v>
      </c>
      <c r="CL31" t="e">
        <f>AND(#REF!,"AAAAAHP/3lk=")</f>
        <v>#REF!</v>
      </c>
      <c r="CM31" t="e">
        <f>AND(#REF!,"AAAAAHP/3lo=")</f>
        <v>#REF!</v>
      </c>
      <c r="CN31" t="e">
        <f>AND(#REF!,"AAAAAHP/3ls=")</f>
        <v>#REF!</v>
      </c>
      <c r="CO31" t="e">
        <f>AND(#REF!,"AAAAAHP/3lw=")</f>
        <v>#REF!</v>
      </c>
      <c r="CP31" t="e">
        <f>AND(#REF!,"AAAAAHP/3l0=")</f>
        <v>#REF!</v>
      </c>
      <c r="CQ31" t="e">
        <f>AND(#REF!,"AAAAAHP/3l4=")</f>
        <v>#REF!</v>
      </c>
      <c r="CR31" t="e">
        <f>AND(#REF!,"AAAAAHP/3l8=")</f>
        <v>#REF!</v>
      </c>
      <c r="CS31" t="e">
        <f>AND(#REF!,"AAAAAHP/3mA=")</f>
        <v>#REF!</v>
      </c>
      <c r="CT31" t="e">
        <f>AND(#REF!,"AAAAAHP/3mE=")</f>
        <v>#REF!</v>
      </c>
      <c r="CU31" t="e">
        <f>AND(#REF!,"AAAAAHP/3mI=")</f>
        <v>#REF!</v>
      </c>
      <c r="CV31" t="e">
        <f>AND(#REF!,"AAAAAHP/3mM=")</f>
        <v>#REF!</v>
      </c>
      <c r="CW31" t="e">
        <f>AND(#REF!,"AAAAAHP/3mQ=")</f>
        <v>#REF!</v>
      </c>
      <c r="CX31" t="e">
        <f>AND(#REF!,"AAAAAHP/3mU=")</f>
        <v>#REF!</v>
      </c>
      <c r="CY31" t="e">
        <f>AND(#REF!,"AAAAAHP/3mY=")</f>
        <v>#REF!</v>
      </c>
      <c r="CZ31" t="e">
        <f>AND(#REF!,"AAAAAHP/3mc=")</f>
        <v>#REF!</v>
      </c>
      <c r="DA31" t="e">
        <f>AND(#REF!,"AAAAAHP/3mg=")</f>
        <v>#REF!</v>
      </c>
      <c r="DB31" t="e">
        <f>AND(#REF!,"AAAAAHP/3mk=")</f>
        <v>#REF!</v>
      </c>
      <c r="DC31" t="e">
        <f>AND(#REF!,"AAAAAHP/3mo=")</f>
        <v>#REF!</v>
      </c>
      <c r="DD31" t="e">
        <f>AND(#REF!,"AAAAAHP/3ms=")</f>
        <v>#REF!</v>
      </c>
      <c r="DE31" t="e">
        <f>AND(#REF!,"AAAAAHP/3mw=")</f>
        <v>#REF!</v>
      </c>
      <c r="DF31" t="e">
        <f>AND(#REF!,"AAAAAHP/3m0=")</f>
        <v>#REF!</v>
      </c>
      <c r="DG31" t="e">
        <f>AND(#REF!,"AAAAAHP/3m4=")</f>
        <v>#REF!</v>
      </c>
      <c r="DH31" t="e">
        <f>AND(#REF!,"AAAAAHP/3m8=")</f>
        <v>#REF!</v>
      </c>
      <c r="DI31" t="e">
        <f>AND(#REF!,"AAAAAHP/3nA=")</f>
        <v>#REF!</v>
      </c>
      <c r="DJ31" t="e">
        <f>AND(#REF!,"AAAAAHP/3nE=")</f>
        <v>#REF!</v>
      </c>
      <c r="DK31" t="e">
        <f>AND(#REF!,"AAAAAHP/3nI=")</f>
        <v>#REF!</v>
      </c>
      <c r="DL31" t="e">
        <f>AND(#REF!,"AAAAAHP/3nM=")</f>
        <v>#REF!</v>
      </c>
      <c r="DM31" t="e">
        <f>AND(#REF!,"AAAAAHP/3nQ=")</f>
        <v>#REF!</v>
      </c>
      <c r="DN31" t="e">
        <f>AND(#REF!,"AAAAAHP/3nU=")</f>
        <v>#REF!</v>
      </c>
      <c r="DO31" t="e">
        <f>AND(#REF!,"AAAAAHP/3nY=")</f>
        <v>#REF!</v>
      </c>
      <c r="DP31" t="e">
        <f>AND(#REF!,"AAAAAHP/3nc=")</f>
        <v>#REF!</v>
      </c>
      <c r="DQ31" t="e">
        <f>IF(#REF!,"AAAAAHP/3ng=",0)</f>
        <v>#REF!</v>
      </c>
      <c r="DR31" t="e">
        <f>AND(#REF!,"AAAAAHP/3nk=")</f>
        <v>#REF!</v>
      </c>
      <c r="DS31" t="e">
        <f>AND(#REF!,"AAAAAHP/3no=")</f>
        <v>#REF!</v>
      </c>
      <c r="DT31" t="e">
        <f>AND(#REF!,"AAAAAHP/3ns=")</f>
        <v>#REF!</v>
      </c>
      <c r="DU31" t="e">
        <f>AND(#REF!,"AAAAAHP/3nw=")</f>
        <v>#REF!</v>
      </c>
      <c r="DV31" t="e">
        <f>AND(#REF!,"AAAAAHP/3n0=")</f>
        <v>#REF!</v>
      </c>
      <c r="DW31" t="e">
        <f>AND(#REF!,"AAAAAHP/3n4=")</f>
        <v>#REF!</v>
      </c>
      <c r="DX31" t="e">
        <f>AND(#REF!,"AAAAAHP/3n8=")</f>
        <v>#REF!</v>
      </c>
      <c r="DY31" t="e">
        <f>AND(#REF!,"AAAAAHP/3oA=")</f>
        <v>#REF!</v>
      </c>
      <c r="DZ31" t="e">
        <f>AND(#REF!,"AAAAAHP/3oE=")</f>
        <v>#REF!</v>
      </c>
      <c r="EA31" t="e">
        <f>AND(#REF!,"AAAAAHP/3oI=")</f>
        <v>#REF!</v>
      </c>
      <c r="EB31" t="e">
        <f>AND(#REF!,"AAAAAHP/3oM=")</f>
        <v>#REF!</v>
      </c>
      <c r="EC31" t="e">
        <f>AND(#REF!,"AAAAAHP/3oQ=")</f>
        <v>#REF!</v>
      </c>
      <c r="ED31" t="e">
        <f>AND(#REF!,"AAAAAHP/3oU=")</f>
        <v>#REF!</v>
      </c>
      <c r="EE31" t="e">
        <f>AND(#REF!,"AAAAAHP/3oY=")</f>
        <v>#REF!</v>
      </c>
      <c r="EF31" t="e">
        <f>AND(#REF!,"AAAAAHP/3oc=")</f>
        <v>#REF!</v>
      </c>
      <c r="EG31" t="e">
        <f>AND(#REF!,"AAAAAHP/3og=")</f>
        <v>#REF!</v>
      </c>
      <c r="EH31" t="e">
        <f>AND(#REF!,"AAAAAHP/3ok=")</f>
        <v>#REF!</v>
      </c>
      <c r="EI31" t="e">
        <f>AND(#REF!,"AAAAAHP/3oo=")</f>
        <v>#REF!</v>
      </c>
      <c r="EJ31" t="e">
        <f>AND(#REF!,"AAAAAHP/3os=")</f>
        <v>#REF!</v>
      </c>
      <c r="EK31" t="e">
        <f>AND(#REF!,"AAAAAHP/3ow=")</f>
        <v>#REF!</v>
      </c>
      <c r="EL31" t="e">
        <f>AND(#REF!,"AAAAAHP/3o0=")</f>
        <v>#REF!</v>
      </c>
      <c r="EM31" t="e">
        <f>AND(#REF!,"AAAAAHP/3o4=")</f>
        <v>#REF!</v>
      </c>
      <c r="EN31" t="e">
        <f>AND(#REF!,"AAAAAHP/3o8=")</f>
        <v>#REF!</v>
      </c>
      <c r="EO31" t="e">
        <f>AND(#REF!,"AAAAAHP/3pA=")</f>
        <v>#REF!</v>
      </c>
      <c r="EP31" t="e">
        <f>AND(#REF!,"AAAAAHP/3pE=")</f>
        <v>#REF!</v>
      </c>
      <c r="EQ31" t="e">
        <f>AND(#REF!,"AAAAAHP/3pI=")</f>
        <v>#REF!</v>
      </c>
      <c r="ER31" t="e">
        <f>AND(#REF!,"AAAAAHP/3pM=")</f>
        <v>#REF!</v>
      </c>
      <c r="ES31" t="e">
        <f>AND(#REF!,"AAAAAHP/3pQ=")</f>
        <v>#REF!</v>
      </c>
      <c r="ET31" t="e">
        <f>AND(#REF!,"AAAAAHP/3pU=")</f>
        <v>#REF!</v>
      </c>
      <c r="EU31" t="e">
        <f>AND(#REF!,"AAAAAHP/3pY=")</f>
        <v>#REF!</v>
      </c>
      <c r="EV31" t="e">
        <f>AND(#REF!,"AAAAAHP/3pc=")</f>
        <v>#REF!</v>
      </c>
      <c r="EW31" t="e">
        <f>AND(#REF!,"AAAAAHP/3pg=")</f>
        <v>#REF!</v>
      </c>
      <c r="EX31" t="e">
        <f>AND(#REF!,"AAAAAHP/3pk=")</f>
        <v>#REF!</v>
      </c>
      <c r="EY31" t="e">
        <f>AND(#REF!,"AAAAAHP/3po=")</f>
        <v>#REF!</v>
      </c>
      <c r="EZ31" t="e">
        <f>AND(#REF!,"AAAAAHP/3ps=")</f>
        <v>#REF!</v>
      </c>
      <c r="FA31" t="e">
        <f>AND(#REF!,"AAAAAHP/3pw=")</f>
        <v>#REF!</v>
      </c>
      <c r="FB31" t="e">
        <f>AND(#REF!,"AAAAAHP/3p0=")</f>
        <v>#REF!</v>
      </c>
      <c r="FC31" t="e">
        <f>AND(#REF!,"AAAAAHP/3p4=")</f>
        <v>#REF!</v>
      </c>
      <c r="FD31" t="e">
        <f>AND(#REF!,"AAAAAHP/3p8=")</f>
        <v>#REF!</v>
      </c>
      <c r="FE31" t="e">
        <f>AND(#REF!,"AAAAAHP/3qA=")</f>
        <v>#REF!</v>
      </c>
      <c r="FF31" t="e">
        <f>AND(#REF!,"AAAAAHP/3qE=")</f>
        <v>#REF!</v>
      </c>
      <c r="FG31" t="e">
        <f>AND(#REF!,"AAAAAHP/3qI=")</f>
        <v>#REF!</v>
      </c>
      <c r="FH31" t="e">
        <f>AND(#REF!,"AAAAAHP/3qM=")</f>
        <v>#REF!</v>
      </c>
      <c r="FI31" t="e">
        <f>AND(#REF!,"AAAAAHP/3qQ=")</f>
        <v>#REF!</v>
      </c>
      <c r="FJ31" t="e">
        <f>AND(#REF!,"AAAAAHP/3qU=")</f>
        <v>#REF!</v>
      </c>
      <c r="FK31" t="e">
        <f>AND(#REF!,"AAAAAHP/3qY=")</f>
        <v>#REF!</v>
      </c>
      <c r="FL31" t="e">
        <f>AND(#REF!,"AAAAAHP/3qc=")</f>
        <v>#REF!</v>
      </c>
      <c r="FM31" t="e">
        <f>AND(#REF!,"AAAAAHP/3qg=")</f>
        <v>#REF!</v>
      </c>
      <c r="FN31" t="e">
        <f>AND(#REF!,"AAAAAHP/3qk=")</f>
        <v>#REF!</v>
      </c>
      <c r="FO31" t="e">
        <f>AND(#REF!,"AAAAAHP/3qo=")</f>
        <v>#REF!</v>
      </c>
      <c r="FP31" t="e">
        <f>AND(#REF!,"AAAAAHP/3qs=")</f>
        <v>#REF!</v>
      </c>
      <c r="FQ31" t="e">
        <f>AND(#REF!,"AAAAAHP/3qw=")</f>
        <v>#REF!</v>
      </c>
      <c r="FR31" t="e">
        <f>AND(#REF!,"AAAAAHP/3q0=")</f>
        <v>#REF!</v>
      </c>
      <c r="FS31" t="e">
        <f>AND(#REF!,"AAAAAHP/3q4=")</f>
        <v>#REF!</v>
      </c>
      <c r="FT31" t="e">
        <f>AND(#REF!,"AAAAAHP/3q8=")</f>
        <v>#REF!</v>
      </c>
      <c r="FU31" t="e">
        <f>AND(#REF!,"AAAAAHP/3rA=")</f>
        <v>#REF!</v>
      </c>
      <c r="FV31" t="e">
        <f>AND(#REF!,"AAAAAHP/3rE=")</f>
        <v>#REF!</v>
      </c>
      <c r="FW31" t="e">
        <f>AND(#REF!,"AAAAAHP/3rI=")</f>
        <v>#REF!</v>
      </c>
      <c r="FX31" t="e">
        <f>AND(#REF!,"AAAAAHP/3rM=")</f>
        <v>#REF!</v>
      </c>
      <c r="FY31" t="e">
        <f>AND(#REF!,"AAAAAHP/3rQ=")</f>
        <v>#REF!</v>
      </c>
      <c r="FZ31" t="e">
        <f>AND(#REF!,"AAAAAHP/3rU=")</f>
        <v>#REF!</v>
      </c>
      <c r="GA31" t="e">
        <f>AND(#REF!,"AAAAAHP/3rY=")</f>
        <v>#REF!</v>
      </c>
      <c r="GB31" t="e">
        <f>AND(#REF!,"AAAAAHP/3rc=")</f>
        <v>#REF!</v>
      </c>
      <c r="GC31" t="e">
        <f>AND(#REF!,"AAAAAHP/3rg=")</f>
        <v>#REF!</v>
      </c>
      <c r="GD31" t="e">
        <f>AND(#REF!,"AAAAAHP/3rk=")</f>
        <v>#REF!</v>
      </c>
      <c r="GE31" t="e">
        <f>AND(#REF!,"AAAAAHP/3ro=")</f>
        <v>#REF!</v>
      </c>
      <c r="GF31" t="e">
        <f>AND(#REF!,"AAAAAHP/3rs=")</f>
        <v>#REF!</v>
      </c>
      <c r="GG31" t="e">
        <f>AND(#REF!,"AAAAAHP/3rw=")</f>
        <v>#REF!</v>
      </c>
      <c r="GH31" t="e">
        <f>AND(#REF!,"AAAAAHP/3r0=")</f>
        <v>#REF!</v>
      </c>
      <c r="GI31" t="e">
        <f>AND(#REF!,"AAAAAHP/3r4=")</f>
        <v>#REF!</v>
      </c>
      <c r="GJ31" t="e">
        <f>AND(#REF!,"AAAAAHP/3r8=")</f>
        <v>#REF!</v>
      </c>
      <c r="GK31" t="e">
        <f>AND(#REF!,"AAAAAHP/3sA=")</f>
        <v>#REF!</v>
      </c>
      <c r="GL31" t="e">
        <f>AND(#REF!,"AAAAAHP/3sE=")</f>
        <v>#REF!</v>
      </c>
      <c r="GM31" t="e">
        <f>AND(#REF!,"AAAAAHP/3sI=")</f>
        <v>#REF!</v>
      </c>
      <c r="GN31" t="e">
        <f>AND(#REF!,"AAAAAHP/3sM=")</f>
        <v>#REF!</v>
      </c>
      <c r="GO31" t="e">
        <f>AND(#REF!,"AAAAAHP/3sQ=")</f>
        <v>#REF!</v>
      </c>
      <c r="GP31" t="e">
        <f>AND(#REF!,"AAAAAHP/3sU=")</f>
        <v>#REF!</v>
      </c>
      <c r="GQ31" t="e">
        <f>AND(#REF!,"AAAAAHP/3sY=")</f>
        <v>#REF!</v>
      </c>
      <c r="GR31" t="e">
        <f>AND(#REF!,"AAAAAHP/3sc=")</f>
        <v>#REF!</v>
      </c>
      <c r="GS31" t="e">
        <f>AND(#REF!,"AAAAAHP/3sg=")</f>
        <v>#REF!</v>
      </c>
      <c r="GT31" t="e">
        <f>AND(#REF!,"AAAAAHP/3sk=")</f>
        <v>#REF!</v>
      </c>
      <c r="GU31" t="e">
        <f>AND(#REF!,"AAAAAHP/3so=")</f>
        <v>#REF!</v>
      </c>
      <c r="GV31" t="e">
        <f>AND(#REF!,"AAAAAHP/3ss=")</f>
        <v>#REF!</v>
      </c>
      <c r="GW31" t="e">
        <f>AND(#REF!,"AAAAAHP/3sw=")</f>
        <v>#REF!</v>
      </c>
      <c r="GX31" t="e">
        <f>AND(#REF!,"AAAAAHP/3s0=")</f>
        <v>#REF!</v>
      </c>
      <c r="GY31" t="e">
        <f>AND(#REF!,"AAAAAHP/3s4=")</f>
        <v>#REF!</v>
      </c>
      <c r="GZ31" t="e">
        <f>AND(#REF!,"AAAAAHP/3s8=")</f>
        <v>#REF!</v>
      </c>
      <c r="HA31" t="e">
        <f>AND(#REF!,"AAAAAHP/3tA=")</f>
        <v>#REF!</v>
      </c>
      <c r="HB31" t="e">
        <f>AND(#REF!,"AAAAAHP/3tE=")</f>
        <v>#REF!</v>
      </c>
      <c r="HC31" t="e">
        <f>AND(#REF!,"AAAAAHP/3tI=")</f>
        <v>#REF!</v>
      </c>
      <c r="HD31" t="e">
        <f>AND(#REF!,"AAAAAHP/3tM=")</f>
        <v>#REF!</v>
      </c>
      <c r="HE31" t="e">
        <f>AND(#REF!,"AAAAAHP/3tQ=")</f>
        <v>#REF!</v>
      </c>
      <c r="HF31" t="e">
        <f>AND(#REF!,"AAAAAHP/3tU=")</f>
        <v>#REF!</v>
      </c>
      <c r="HG31" t="e">
        <f>AND(#REF!,"AAAAAHP/3tY=")</f>
        <v>#REF!</v>
      </c>
      <c r="HH31" t="e">
        <f>AND(#REF!,"AAAAAHP/3tc=")</f>
        <v>#REF!</v>
      </c>
      <c r="HI31" t="e">
        <f>AND(#REF!,"AAAAAHP/3tg=")</f>
        <v>#REF!</v>
      </c>
      <c r="HJ31" t="e">
        <f>AND(#REF!,"AAAAAHP/3tk=")</f>
        <v>#REF!</v>
      </c>
      <c r="HK31" t="e">
        <f>AND(#REF!,"AAAAAHP/3to=")</f>
        <v>#REF!</v>
      </c>
      <c r="HL31" t="e">
        <f>AND(#REF!,"AAAAAHP/3ts=")</f>
        <v>#REF!</v>
      </c>
      <c r="HM31" t="e">
        <f>AND(#REF!,"AAAAAHP/3tw=")</f>
        <v>#REF!</v>
      </c>
      <c r="HN31" t="e">
        <f>AND(#REF!,"AAAAAHP/3t0=")</f>
        <v>#REF!</v>
      </c>
      <c r="HO31" t="e">
        <f>AND(#REF!,"AAAAAHP/3t4=")</f>
        <v>#REF!</v>
      </c>
      <c r="HP31" t="e">
        <f>AND(#REF!,"AAAAAHP/3t8=")</f>
        <v>#REF!</v>
      </c>
      <c r="HQ31" t="e">
        <f>AND(#REF!,"AAAAAHP/3uA=")</f>
        <v>#REF!</v>
      </c>
      <c r="HR31" t="e">
        <f>AND(#REF!,"AAAAAHP/3uE=")</f>
        <v>#REF!</v>
      </c>
      <c r="HS31" t="e">
        <f>AND(#REF!,"AAAAAHP/3uI=")</f>
        <v>#REF!</v>
      </c>
      <c r="HT31" t="e">
        <f>AND(#REF!,"AAAAAHP/3uM=")</f>
        <v>#REF!</v>
      </c>
      <c r="HU31" t="e">
        <f>AND(#REF!,"AAAAAHP/3uQ=")</f>
        <v>#REF!</v>
      </c>
      <c r="HV31" t="e">
        <f>AND(#REF!,"AAAAAHP/3uU=")</f>
        <v>#REF!</v>
      </c>
      <c r="HW31" t="e">
        <f>AND(#REF!,"AAAAAHP/3uY=")</f>
        <v>#REF!</v>
      </c>
      <c r="HX31" t="e">
        <f>AND(#REF!,"AAAAAHP/3uc=")</f>
        <v>#REF!</v>
      </c>
      <c r="HY31" t="e">
        <f>AND(#REF!,"AAAAAHP/3ug=")</f>
        <v>#REF!</v>
      </c>
      <c r="HZ31" t="e">
        <f>AND(#REF!,"AAAAAHP/3uk=")</f>
        <v>#REF!</v>
      </c>
      <c r="IA31" t="e">
        <f>AND(#REF!,"AAAAAHP/3uo=")</f>
        <v>#REF!</v>
      </c>
      <c r="IB31" t="e">
        <f>AND(#REF!,"AAAAAHP/3us=")</f>
        <v>#REF!</v>
      </c>
      <c r="IC31" t="e">
        <f>AND(#REF!,"AAAAAHP/3uw=")</f>
        <v>#REF!</v>
      </c>
      <c r="ID31" t="e">
        <f>AND(#REF!,"AAAAAHP/3u0=")</f>
        <v>#REF!</v>
      </c>
      <c r="IE31" t="e">
        <f>AND(#REF!,"AAAAAHP/3u4=")</f>
        <v>#REF!</v>
      </c>
      <c r="IF31" t="e">
        <f>AND(#REF!,"AAAAAHP/3u8=")</f>
        <v>#REF!</v>
      </c>
      <c r="IG31" t="e">
        <f>AND(#REF!,"AAAAAHP/3vA=")</f>
        <v>#REF!</v>
      </c>
      <c r="IH31" t="e">
        <f>AND(#REF!,"AAAAAHP/3vE=")</f>
        <v>#REF!</v>
      </c>
      <c r="II31" t="e">
        <f>AND(#REF!,"AAAAAHP/3vI=")</f>
        <v>#REF!</v>
      </c>
      <c r="IJ31" t="e">
        <f>AND(#REF!,"AAAAAHP/3vM=")</f>
        <v>#REF!</v>
      </c>
      <c r="IK31" t="e">
        <f>AND(#REF!,"AAAAAHP/3vQ=")</f>
        <v>#REF!</v>
      </c>
      <c r="IL31" t="e">
        <f>AND(#REF!,"AAAAAHP/3vU=")</f>
        <v>#REF!</v>
      </c>
      <c r="IM31" t="e">
        <f>AND(#REF!,"AAAAAHP/3vY=")</f>
        <v>#REF!</v>
      </c>
      <c r="IN31" t="e">
        <f>AND(#REF!,"AAAAAHP/3vc=")</f>
        <v>#REF!</v>
      </c>
      <c r="IO31" t="e">
        <f>AND(#REF!,"AAAAAHP/3vg=")</f>
        <v>#REF!</v>
      </c>
      <c r="IP31" t="e">
        <f>AND(#REF!,"AAAAAHP/3vk=")</f>
        <v>#REF!</v>
      </c>
      <c r="IQ31" t="e">
        <f>AND(#REF!,"AAAAAHP/3vo=")</f>
        <v>#REF!</v>
      </c>
      <c r="IR31" t="e">
        <f>AND(#REF!,"AAAAAHP/3vs=")</f>
        <v>#REF!</v>
      </c>
      <c r="IS31" t="e">
        <f>AND(#REF!,"AAAAAHP/3vw=")</f>
        <v>#REF!</v>
      </c>
      <c r="IT31" t="e">
        <f>AND(#REF!,"AAAAAHP/3v0=")</f>
        <v>#REF!</v>
      </c>
      <c r="IU31" t="e">
        <f>AND(#REF!,"AAAAAHP/3v4=")</f>
        <v>#REF!</v>
      </c>
      <c r="IV31" t="e">
        <f>AND(#REF!,"AAAAAHP/3v8=")</f>
        <v>#REF!</v>
      </c>
    </row>
    <row r="32" spans="1:256" x14ac:dyDescent="0.2">
      <c r="A32" t="e">
        <f>AND(#REF!,"AAAAAFc/6wA=")</f>
        <v>#REF!</v>
      </c>
      <c r="B32" t="e">
        <f>AND(#REF!,"AAAAAFc/6wE=")</f>
        <v>#REF!</v>
      </c>
      <c r="C32" t="e">
        <f>AND(#REF!,"AAAAAFc/6wI=")</f>
        <v>#REF!</v>
      </c>
      <c r="D32" t="e">
        <f>AND(#REF!,"AAAAAFc/6wM=")</f>
        <v>#REF!</v>
      </c>
      <c r="E32" t="e">
        <f>AND(#REF!,"AAAAAFc/6wQ=")</f>
        <v>#REF!</v>
      </c>
      <c r="F32" t="e">
        <f>AND(#REF!,"AAAAAFc/6wU=")</f>
        <v>#REF!</v>
      </c>
      <c r="G32" t="e">
        <f>AND(#REF!,"AAAAAFc/6wY=")</f>
        <v>#REF!</v>
      </c>
      <c r="H32" t="e">
        <f>AND(#REF!,"AAAAAFc/6wc=")</f>
        <v>#REF!</v>
      </c>
      <c r="I32" t="e">
        <f>AND(#REF!,"AAAAAFc/6wg=")</f>
        <v>#REF!</v>
      </c>
      <c r="J32" t="e">
        <f>AND(#REF!,"AAAAAFc/6wk=")</f>
        <v>#REF!</v>
      </c>
      <c r="K32" t="e">
        <f>AND(#REF!,"AAAAAFc/6wo=")</f>
        <v>#REF!</v>
      </c>
      <c r="L32" t="e">
        <f>AND(#REF!,"AAAAAFc/6ws=")</f>
        <v>#REF!</v>
      </c>
      <c r="M32" t="e">
        <f>AND(#REF!,"AAAAAFc/6ww=")</f>
        <v>#REF!</v>
      </c>
      <c r="N32" t="e">
        <f>AND(#REF!,"AAAAAFc/6w0=")</f>
        <v>#REF!</v>
      </c>
      <c r="O32" t="e">
        <f>AND(#REF!,"AAAAAFc/6w4=")</f>
        <v>#REF!</v>
      </c>
      <c r="P32" t="e">
        <f>AND(#REF!,"AAAAAFc/6w8=")</f>
        <v>#REF!</v>
      </c>
      <c r="Q32" t="e">
        <f>AND(#REF!,"AAAAAFc/6xA=")</f>
        <v>#REF!</v>
      </c>
      <c r="R32" t="e">
        <f>AND(#REF!,"AAAAAFc/6xE=")</f>
        <v>#REF!</v>
      </c>
      <c r="S32" t="e">
        <f>AND(#REF!,"AAAAAFc/6xI=")</f>
        <v>#REF!</v>
      </c>
      <c r="T32" t="e">
        <f>AND(#REF!,"AAAAAFc/6xM=")</f>
        <v>#REF!</v>
      </c>
      <c r="U32" t="e">
        <f>AND(#REF!,"AAAAAFc/6xQ=")</f>
        <v>#REF!</v>
      </c>
      <c r="V32" t="e">
        <f>AND(#REF!,"AAAAAFc/6xU=")</f>
        <v>#REF!</v>
      </c>
      <c r="W32" t="e">
        <f>AND(#REF!,"AAAAAFc/6xY=")</f>
        <v>#REF!</v>
      </c>
      <c r="X32" t="e">
        <f>AND(#REF!,"AAAAAFc/6xc=")</f>
        <v>#REF!</v>
      </c>
      <c r="Y32" t="e">
        <f>AND(#REF!,"AAAAAFc/6xg=")</f>
        <v>#REF!</v>
      </c>
      <c r="Z32" t="e">
        <f>AND(#REF!,"AAAAAFc/6xk=")</f>
        <v>#REF!</v>
      </c>
      <c r="AA32" t="e">
        <f>AND(#REF!,"AAAAAFc/6xo=")</f>
        <v>#REF!</v>
      </c>
      <c r="AB32" t="e">
        <f>AND(#REF!,"AAAAAFc/6xs=")</f>
        <v>#REF!</v>
      </c>
      <c r="AC32" t="e">
        <f>AND(#REF!,"AAAAAFc/6xw=")</f>
        <v>#REF!</v>
      </c>
      <c r="AD32" t="e">
        <f>AND(#REF!,"AAAAAFc/6x0=")</f>
        <v>#REF!</v>
      </c>
      <c r="AE32" t="e">
        <f>AND(#REF!,"AAAAAFc/6x4=")</f>
        <v>#REF!</v>
      </c>
      <c r="AF32" t="e">
        <f>AND(#REF!,"AAAAAFc/6x8=")</f>
        <v>#REF!</v>
      </c>
      <c r="AG32" t="e">
        <f>AND(#REF!,"AAAAAFc/6yA=")</f>
        <v>#REF!</v>
      </c>
      <c r="AH32" t="e">
        <f>AND(#REF!,"AAAAAFc/6yE=")</f>
        <v>#REF!</v>
      </c>
      <c r="AI32" t="e">
        <f>AND(#REF!,"AAAAAFc/6yI=")</f>
        <v>#REF!</v>
      </c>
      <c r="AJ32" t="e">
        <f>AND(#REF!,"AAAAAFc/6yM=")</f>
        <v>#REF!</v>
      </c>
      <c r="AK32" t="e">
        <f>AND(#REF!,"AAAAAFc/6yQ=")</f>
        <v>#REF!</v>
      </c>
      <c r="AL32" t="e">
        <f>AND(#REF!,"AAAAAFc/6yU=")</f>
        <v>#REF!</v>
      </c>
      <c r="AM32" t="e">
        <f>AND(#REF!,"AAAAAFc/6yY=")</f>
        <v>#REF!</v>
      </c>
      <c r="AN32" t="e">
        <f>AND(#REF!,"AAAAAFc/6yc=")</f>
        <v>#REF!</v>
      </c>
      <c r="AO32" t="e">
        <f>AND(#REF!,"AAAAAFc/6yg=")</f>
        <v>#REF!</v>
      </c>
      <c r="AP32" t="e">
        <f>AND(#REF!,"AAAAAFc/6yk=")</f>
        <v>#REF!</v>
      </c>
      <c r="AQ32" t="e">
        <f>AND(#REF!,"AAAAAFc/6yo=")</f>
        <v>#REF!</v>
      </c>
      <c r="AR32" t="e">
        <f>AND(#REF!,"AAAAAFc/6ys=")</f>
        <v>#REF!</v>
      </c>
      <c r="AS32" t="e">
        <f>AND(#REF!,"AAAAAFc/6yw=")</f>
        <v>#REF!</v>
      </c>
      <c r="AT32" t="e">
        <f>IF(#REF!,"AAAAAFc/6y0=",0)</f>
        <v>#REF!</v>
      </c>
      <c r="AU32" t="e">
        <f>AND(#REF!,"AAAAAFc/6y4=")</f>
        <v>#REF!</v>
      </c>
      <c r="AV32" t="e">
        <f>AND(#REF!,"AAAAAFc/6y8=")</f>
        <v>#REF!</v>
      </c>
      <c r="AW32" t="e">
        <f>AND(#REF!,"AAAAAFc/6zA=")</f>
        <v>#REF!</v>
      </c>
      <c r="AX32" t="e">
        <f>AND(#REF!,"AAAAAFc/6zE=")</f>
        <v>#REF!</v>
      </c>
      <c r="AY32" t="e">
        <f>AND(#REF!,"AAAAAFc/6zI=")</f>
        <v>#REF!</v>
      </c>
      <c r="AZ32" t="e">
        <f>AND(#REF!,"AAAAAFc/6zM=")</f>
        <v>#REF!</v>
      </c>
      <c r="BA32" t="e">
        <f>AND(#REF!,"AAAAAFc/6zQ=")</f>
        <v>#REF!</v>
      </c>
      <c r="BB32" t="e">
        <f>AND(#REF!,"AAAAAFc/6zU=")</f>
        <v>#REF!</v>
      </c>
      <c r="BC32" t="e">
        <f>AND(#REF!,"AAAAAFc/6zY=")</f>
        <v>#REF!</v>
      </c>
      <c r="BD32" t="e">
        <f>AND(#REF!,"AAAAAFc/6zc=")</f>
        <v>#REF!</v>
      </c>
      <c r="BE32" t="e">
        <f>AND(#REF!,"AAAAAFc/6zg=")</f>
        <v>#REF!</v>
      </c>
      <c r="BF32" t="e">
        <f>AND(#REF!,"AAAAAFc/6zk=")</f>
        <v>#REF!</v>
      </c>
      <c r="BG32" t="e">
        <f>AND(#REF!,"AAAAAFc/6zo=")</f>
        <v>#REF!</v>
      </c>
      <c r="BH32" t="e">
        <f>AND(#REF!,"AAAAAFc/6zs=")</f>
        <v>#REF!</v>
      </c>
      <c r="BI32" t="e">
        <f>AND(#REF!,"AAAAAFc/6zw=")</f>
        <v>#REF!</v>
      </c>
      <c r="BJ32" t="e">
        <f>AND(#REF!,"AAAAAFc/6z0=")</f>
        <v>#REF!</v>
      </c>
      <c r="BK32" t="e">
        <f>AND(#REF!,"AAAAAFc/6z4=")</f>
        <v>#REF!</v>
      </c>
      <c r="BL32" t="e">
        <f>AND(#REF!,"AAAAAFc/6z8=")</f>
        <v>#REF!</v>
      </c>
      <c r="BM32" t="e">
        <f>AND(#REF!,"AAAAAFc/60A=")</f>
        <v>#REF!</v>
      </c>
      <c r="BN32" t="e">
        <f>AND(#REF!,"AAAAAFc/60E=")</f>
        <v>#REF!</v>
      </c>
      <c r="BO32" t="e">
        <f>AND(#REF!,"AAAAAFc/60I=")</f>
        <v>#REF!</v>
      </c>
      <c r="BP32" t="e">
        <f>AND(#REF!,"AAAAAFc/60M=")</f>
        <v>#REF!</v>
      </c>
      <c r="BQ32" t="e">
        <f>AND(#REF!,"AAAAAFc/60Q=")</f>
        <v>#REF!</v>
      </c>
      <c r="BR32" t="e">
        <f>AND(#REF!,"AAAAAFc/60U=")</f>
        <v>#REF!</v>
      </c>
      <c r="BS32" t="e">
        <f>AND(#REF!,"AAAAAFc/60Y=")</f>
        <v>#REF!</v>
      </c>
      <c r="BT32" t="e">
        <f>AND(#REF!,"AAAAAFc/60c=")</f>
        <v>#REF!</v>
      </c>
      <c r="BU32" t="e">
        <f>AND(#REF!,"AAAAAFc/60g=")</f>
        <v>#REF!</v>
      </c>
      <c r="BV32" t="e">
        <f>AND(#REF!,"AAAAAFc/60k=")</f>
        <v>#REF!</v>
      </c>
      <c r="BW32" t="e">
        <f>AND(#REF!,"AAAAAFc/60o=")</f>
        <v>#REF!</v>
      </c>
      <c r="BX32" t="e">
        <f>AND(#REF!,"AAAAAFc/60s=")</f>
        <v>#REF!</v>
      </c>
      <c r="BY32" t="e">
        <f>AND(#REF!,"AAAAAFc/60w=")</f>
        <v>#REF!</v>
      </c>
      <c r="BZ32" t="e">
        <f>AND(#REF!,"AAAAAFc/600=")</f>
        <v>#REF!</v>
      </c>
      <c r="CA32" t="e">
        <f>AND(#REF!,"AAAAAFc/604=")</f>
        <v>#REF!</v>
      </c>
      <c r="CB32" t="e">
        <f>AND(#REF!,"AAAAAFc/608=")</f>
        <v>#REF!</v>
      </c>
      <c r="CC32" t="e">
        <f>AND(#REF!,"AAAAAFc/61A=")</f>
        <v>#REF!</v>
      </c>
      <c r="CD32" t="e">
        <f>AND(#REF!,"AAAAAFc/61E=")</f>
        <v>#REF!</v>
      </c>
      <c r="CE32" t="e">
        <f>AND(#REF!,"AAAAAFc/61I=")</f>
        <v>#REF!</v>
      </c>
      <c r="CF32" t="e">
        <f>AND(#REF!,"AAAAAFc/61M=")</f>
        <v>#REF!</v>
      </c>
      <c r="CG32" t="e">
        <f>AND(#REF!,"AAAAAFc/61Q=")</f>
        <v>#REF!</v>
      </c>
      <c r="CH32" t="e">
        <f>AND(#REF!,"AAAAAFc/61U=")</f>
        <v>#REF!</v>
      </c>
      <c r="CI32" t="e">
        <f>AND(#REF!,"AAAAAFc/61Y=")</f>
        <v>#REF!</v>
      </c>
      <c r="CJ32" t="e">
        <f>AND(#REF!,"AAAAAFc/61c=")</f>
        <v>#REF!</v>
      </c>
      <c r="CK32" t="e">
        <f>AND(#REF!,"AAAAAFc/61g=")</f>
        <v>#REF!</v>
      </c>
      <c r="CL32" t="e">
        <f>AND(#REF!,"AAAAAFc/61k=")</f>
        <v>#REF!</v>
      </c>
      <c r="CM32" t="e">
        <f>AND(#REF!,"AAAAAFc/61o=")</f>
        <v>#REF!</v>
      </c>
      <c r="CN32" t="e">
        <f>AND(#REF!,"AAAAAFc/61s=")</f>
        <v>#REF!</v>
      </c>
      <c r="CO32" t="e">
        <f>AND(#REF!,"AAAAAFc/61w=")</f>
        <v>#REF!</v>
      </c>
      <c r="CP32" t="e">
        <f>AND(#REF!,"AAAAAFc/610=")</f>
        <v>#REF!</v>
      </c>
      <c r="CQ32" t="e">
        <f>AND(#REF!,"AAAAAFc/614=")</f>
        <v>#REF!</v>
      </c>
      <c r="CR32" t="e">
        <f>AND(#REF!,"AAAAAFc/618=")</f>
        <v>#REF!</v>
      </c>
      <c r="CS32" t="e">
        <f>AND(#REF!,"AAAAAFc/62A=")</f>
        <v>#REF!</v>
      </c>
      <c r="CT32" t="e">
        <f>AND(#REF!,"AAAAAFc/62E=")</f>
        <v>#REF!</v>
      </c>
      <c r="CU32" t="e">
        <f>AND(#REF!,"AAAAAFc/62I=")</f>
        <v>#REF!</v>
      </c>
      <c r="CV32" t="e">
        <f>AND(#REF!,"AAAAAFc/62M=")</f>
        <v>#REF!</v>
      </c>
      <c r="CW32" t="e">
        <f>AND(#REF!,"AAAAAFc/62Q=")</f>
        <v>#REF!</v>
      </c>
      <c r="CX32" t="e">
        <f>AND(#REF!,"AAAAAFc/62U=")</f>
        <v>#REF!</v>
      </c>
      <c r="CY32" t="e">
        <f>AND(#REF!,"AAAAAFc/62Y=")</f>
        <v>#REF!</v>
      </c>
      <c r="CZ32" t="e">
        <f>AND(#REF!,"AAAAAFc/62c=")</f>
        <v>#REF!</v>
      </c>
      <c r="DA32" t="e">
        <f>AND(#REF!,"AAAAAFc/62g=")</f>
        <v>#REF!</v>
      </c>
      <c r="DB32" t="e">
        <f>AND(#REF!,"AAAAAFc/62k=")</f>
        <v>#REF!</v>
      </c>
      <c r="DC32" t="e">
        <f>AND(#REF!,"AAAAAFc/62o=")</f>
        <v>#REF!</v>
      </c>
      <c r="DD32" t="e">
        <f>AND(#REF!,"AAAAAFc/62s=")</f>
        <v>#REF!</v>
      </c>
      <c r="DE32" t="e">
        <f>AND(#REF!,"AAAAAFc/62w=")</f>
        <v>#REF!</v>
      </c>
      <c r="DF32" t="e">
        <f>AND(#REF!,"AAAAAFc/620=")</f>
        <v>#REF!</v>
      </c>
      <c r="DG32" t="e">
        <f>AND(#REF!,"AAAAAFc/624=")</f>
        <v>#REF!</v>
      </c>
      <c r="DH32" t="e">
        <f>AND(#REF!,"AAAAAFc/628=")</f>
        <v>#REF!</v>
      </c>
      <c r="DI32" t="e">
        <f>AND(#REF!,"AAAAAFc/63A=")</f>
        <v>#REF!</v>
      </c>
      <c r="DJ32" t="e">
        <f>AND(#REF!,"AAAAAFc/63E=")</f>
        <v>#REF!</v>
      </c>
      <c r="DK32" t="e">
        <f>AND(#REF!,"AAAAAFc/63I=")</f>
        <v>#REF!</v>
      </c>
      <c r="DL32" t="e">
        <f>AND(#REF!,"AAAAAFc/63M=")</f>
        <v>#REF!</v>
      </c>
      <c r="DM32" t="e">
        <f>AND(#REF!,"AAAAAFc/63Q=")</f>
        <v>#REF!</v>
      </c>
      <c r="DN32" t="e">
        <f>AND(#REF!,"AAAAAFc/63U=")</f>
        <v>#REF!</v>
      </c>
      <c r="DO32" t="e">
        <f>AND(#REF!,"AAAAAFc/63Y=")</f>
        <v>#REF!</v>
      </c>
      <c r="DP32" t="e">
        <f>AND(#REF!,"AAAAAFc/63c=")</f>
        <v>#REF!</v>
      </c>
      <c r="DQ32" t="e">
        <f>AND(#REF!,"AAAAAFc/63g=")</f>
        <v>#REF!</v>
      </c>
      <c r="DR32" t="e">
        <f>AND(#REF!,"AAAAAFc/63k=")</f>
        <v>#REF!</v>
      </c>
      <c r="DS32" t="e">
        <f>AND(#REF!,"AAAAAFc/63o=")</f>
        <v>#REF!</v>
      </c>
      <c r="DT32" t="e">
        <f>AND(#REF!,"AAAAAFc/63s=")</f>
        <v>#REF!</v>
      </c>
      <c r="DU32" t="e">
        <f>AND(#REF!,"AAAAAFc/63w=")</f>
        <v>#REF!</v>
      </c>
      <c r="DV32" t="e">
        <f>AND(#REF!,"AAAAAFc/630=")</f>
        <v>#REF!</v>
      </c>
      <c r="DW32" t="e">
        <f>AND(#REF!,"AAAAAFc/634=")</f>
        <v>#REF!</v>
      </c>
      <c r="DX32" t="e">
        <f>AND(#REF!,"AAAAAFc/638=")</f>
        <v>#REF!</v>
      </c>
      <c r="DY32" t="e">
        <f>AND(#REF!,"AAAAAFc/64A=")</f>
        <v>#REF!</v>
      </c>
      <c r="DZ32" t="e">
        <f>AND(#REF!,"AAAAAFc/64E=")</f>
        <v>#REF!</v>
      </c>
      <c r="EA32" t="e">
        <f>AND(#REF!,"AAAAAFc/64I=")</f>
        <v>#REF!</v>
      </c>
      <c r="EB32" t="e">
        <f>AND(#REF!,"AAAAAFc/64M=")</f>
        <v>#REF!</v>
      </c>
      <c r="EC32" t="e">
        <f>AND(#REF!,"AAAAAFc/64Q=")</f>
        <v>#REF!</v>
      </c>
      <c r="ED32" t="e">
        <f>AND(#REF!,"AAAAAFc/64U=")</f>
        <v>#REF!</v>
      </c>
      <c r="EE32" t="e">
        <f>AND(#REF!,"AAAAAFc/64Y=")</f>
        <v>#REF!</v>
      </c>
      <c r="EF32" t="e">
        <f>AND(#REF!,"AAAAAFc/64c=")</f>
        <v>#REF!</v>
      </c>
      <c r="EG32" t="e">
        <f>AND(#REF!,"AAAAAFc/64g=")</f>
        <v>#REF!</v>
      </c>
      <c r="EH32" t="e">
        <f>AND(#REF!,"AAAAAFc/64k=")</f>
        <v>#REF!</v>
      </c>
      <c r="EI32" t="e">
        <f>AND(#REF!,"AAAAAFc/64o=")</f>
        <v>#REF!</v>
      </c>
      <c r="EJ32" t="e">
        <f>AND(#REF!,"AAAAAFc/64s=")</f>
        <v>#REF!</v>
      </c>
      <c r="EK32" t="e">
        <f>AND(#REF!,"AAAAAFc/64w=")</f>
        <v>#REF!</v>
      </c>
      <c r="EL32" t="e">
        <f>AND(#REF!,"AAAAAFc/640=")</f>
        <v>#REF!</v>
      </c>
      <c r="EM32" t="e">
        <f>AND(#REF!,"AAAAAFc/644=")</f>
        <v>#REF!</v>
      </c>
      <c r="EN32" t="e">
        <f>AND(#REF!,"AAAAAFc/648=")</f>
        <v>#REF!</v>
      </c>
      <c r="EO32" t="e">
        <f>AND(#REF!,"AAAAAFc/65A=")</f>
        <v>#REF!</v>
      </c>
      <c r="EP32" t="e">
        <f>AND(#REF!,"AAAAAFc/65E=")</f>
        <v>#REF!</v>
      </c>
      <c r="EQ32" t="e">
        <f>AND(#REF!,"AAAAAFc/65I=")</f>
        <v>#REF!</v>
      </c>
      <c r="ER32" t="e">
        <f>AND(#REF!,"AAAAAFc/65M=")</f>
        <v>#REF!</v>
      </c>
      <c r="ES32" t="e">
        <f>AND(#REF!,"AAAAAFc/65Q=")</f>
        <v>#REF!</v>
      </c>
      <c r="ET32" t="e">
        <f>AND(#REF!,"AAAAAFc/65U=")</f>
        <v>#REF!</v>
      </c>
      <c r="EU32" t="e">
        <f>AND(#REF!,"AAAAAFc/65Y=")</f>
        <v>#REF!</v>
      </c>
      <c r="EV32" t="e">
        <f>AND(#REF!,"AAAAAFc/65c=")</f>
        <v>#REF!</v>
      </c>
      <c r="EW32" t="e">
        <f>AND(#REF!,"AAAAAFc/65g=")</f>
        <v>#REF!</v>
      </c>
      <c r="EX32" t="e">
        <f>AND(#REF!,"AAAAAFc/65k=")</f>
        <v>#REF!</v>
      </c>
      <c r="EY32" t="e">
        <f>AND(#REF!,"AAAAAFc/65o=")</f>
        <v>#REF!</v>
      </c>
      <c r="EZ32" t="e">
        <f>AND(#REF!,"AAAAAFc/65s=")</f>
        <v>#REF!</v>
      </c>
      <c r="FA32" t="e">
        <f>AND(#REF!,"AAAAAFc/65w=")</f>
        <v>#REF!</v>
      </c>
      <c r="FB32" t="e">
        <f>AND(#REF!,"AAAAAFc/650=")</f>
        <v>#REF!</v>
      </c>
      <c r="FC32" t="e">
        <f>AND(#REF!,"AAAAAFc/654=")</f>
        <v>#REF!</v>
      </c>
      <c r="FD32" t="e">
        <f>AND(#REF!,"AAAAAFc/658=")</f>
        <v>#REF!</v>
      </c>
      <c r="FE32" t="e">
        <f>AND(#REF!,"AAAAAFc/66A=")</f>
        <v>#REF!</v>
      </c>
      <c r="FF32" t="e">
        <f>AND(#REF!,"AAAAAFc/66E=")</f>
        <v>#REF!</v>
      </c>
      <c r="FG32" t="e">
        <f>AND(#REF!,"AAAAAFc/66I=")</f>
        <v>#REF!</v>
      </c>
      <c r="FH32" t="e">
        <f>AND(#REF!,"AAAAAFc/66M=")</f>
        <v>#REF!</v>
      </c>
      <c r="FI32" t="e">
        <f>AND(#REF!,"AAAAAFc/66Q=")</f>
        <v>#REF!</v>
      </c>
      <c r="FJ32" t="e">
        <f>AND(#REF!,"AAAAAFc/66U=")</f>
        <v>#REF!</v>
      </c>
      <c r="FK32" t="e">
        <f>AND(#REF!,"AAAAAFc/66Y=")</f>
        <v>#REF!</v>
      </c>
      <c r="FL32" t="e">
        <f>AND(#REF!,"AAAAAFc/66c=")</f>
        <v>#REF!</v>
      </c>
      <c r="FM32" t="e">
        <f>AND(#REF!,"AAAAAFc/66g=")</f>
        <v>#REF!</v>
      </c>
      <c r="FN32" t="e">
        <f>AND(#REF!,"AAAAAFc/66k=")</f>
        <v>#REF!</v>
      </c>
      <c r="FO32" t="e">
        <f>AND(#REF!,"AAAAAFc/66o=")</f>
        <v>#REF!</v>
      </c>
      <c r="FP32" t="e">
        <f>AND(#REF!,"AAAAAFc/66s=")</f>
        <v>#REF!</v>
      </c>
      <c r="FQ32" t="e">
        <f>AND(#REF!,"AAAAAFc/66w=")</f>
        <v>#REF!</v>
      </c>
      <c r="FR32" t="e">
        <f>AND(#REF!,"AAAAAFc/660=")</f>
        <v>#REF!</v>
      </c>
      <c r="FS32" t="e">
        <f>AND(#REF!,"AAAAAFc/664=")</f>
        <v>#REF!</v>
      </c>
      <c r="FT32" t="e">
        <f>AND(#REF!,"AAAAAFc/668=")</f>
        <v>#REF!</v>
      </c>
      <c r="FU32" t="e">
        <f>AND(#REF!,"AAAAAFc/67A=")</f>
        <v>#REF!</v>
      </c>
      <c r="FV32" t="e">
        <f>AND(#REF!,"AAAAAFc/67E=")</f>
        <v>#REF!</v>
      </c>
      <c r="FW32" t="e">
        <f>AND(#REF!,"AAAAAFc/67I=")</f>
        <v>#REF!</v>
      </c>
      <c r="FX32" t="e">
        <f>AND(#REF!,"AAAAAFc/67M=")</f>
        <v>#REF!</v>
      </c>
      <c r="FY32" t="e">
        <f>AND(#REF!,"AAAAAFc/67Q=")</f>
        <v>#REF!</v>
      </c>
      <c r="FZ32" t="e">
        <f>AND(#REF!,"AAAAAFc/67U=")</f>
        <v>#REF!</v>
      </c>
      <c r="GA32" t="e">
        <f>AND(#REF!,"AAAAAFc/67Y=")</f>
        <v>#REF!</v>
      </c>
      <c r="GB32" t="e">
        <f>AND(#REF!,"AAAAAFc/67c=")</f>
        <v>#REF!</v>
      </c>
      <c r="GC32" t="e">
        <f>AND(#REF!,"AAAAAFc/67g=")</f>
        <v>#REF!</v>
      </c>
      <c r="GD32" t="e">
        <f>AND(#REF!,"AAAAAFc/67k=")</f>
        <v>#REF!</v>
      </c>
      <c r="GE32" t="e">
        <f>AND(#REF!,"AAAAAFc/67o=")</f>
        <v>#REF!</v>
      </c>
      <c r="GF32" t="e">
        <f>AND(#REF!,"AAAAAFc/67s=")</f>
        <v>#REF!</v>
      </c>
      <c r="GG32" t="e">
        <f>AND(#REF!,"AAAAAFc/67w=")</f>
        <v>#REF!</v>
      </c>
      <c r="GH32" t="e">
        <f>AND(#REF!,"AAAAAFc/670=")</f>
        <v>#REF!</v>
      </c>
      <c r="GI32" t="e">
        <f>AND(#REF!,"AAAAAFc/674=")</f>
        <v>#REF!</v>
      </c>
      <c r="GJ32" t="e">
        <f>AND(#REF!,"AAAAAFc/678=")</f>
        <v>#REF!</v>
      </c>
      <c r="GK32" t="e">
        <f>AND(#REF!,"AAAAAFc/68A=")</f>
        <v>#REF!</v>
      </c>
      <c r="GL32" t="e">
        <f>AND(#REF!,"AAAAAFc/68E=")</f>
        <v>#REF!</v>
      </c>
      <c r="GM32" t="e">
        <f>AND(#REF!,"AAAAAFc/68I=")</f>
        <v>#REF!</v>
      </c>
      <c r="GN32" t="e">
        <f>AND(#REF!,"AAAAAFc/68M=")</f>
        <v>#REF!</v>
      </c>
      <c r="GO32" t="e">
        <f>AND(#REF!,"AAAAAFc/68Q=")</f>
        <v>#REF!</v>
      </c>
      <c r="GP32" t="e">
        <f>AND(#REF!,"AAAAAFc/68U=")</f>
        <v>#REF!</v>
      </c>
      <c r="GQ32" t="e">
        <f>AND(#REF!,"AAAAAFc/68Y=")</f>
        <v>#REF!</v>
      </c>
      <c r="GR32" t="e">
        <f>AND(#REF!,"AAAAAFc/68c=")</f>
        <v>#REF!</v>
      </c>
      <c r="GS32" t="e">
        <f>AND(#REF!,"AAAAAFc/68g=")</f>
        <v>#REF!</v>
      </c>
      <c r="GT32" t="e">
        <f>AND(#REF!,"AAAAAFc/68k=")</f>
        <v>#REF!</v>
      </c>
      <c r="GU32" t="e">
        <f>AND(#REF!,"AAAAAFc/68o=")</f>
        <v>#REF!</v>
      </c>
      <c r="GV32" t="e">
        <f>AND(#REF!,"AAAAAFc/68s=")</f>
        <v>#REF!</v>
      </c>
      <c r="GW32" t="e">
        <f>AND(#REF!,"AAAAAFc/68w=")</f>
        <v>#REF!</v>
      </c>
      <c r="GX32" t="e">
        <f>AND(#REF!,"AAAAAFc/680=")</f>
        <v>#REF!</v>
      </c>
      <c r="GY32" t="e">
        <f>AND(#REF!,"AAAAAFc/684=")</f>
        <v>#REF!</v>
      </c>
      <c r="GZ32" t="e">
        <f>AND(#REF!,"AAAAAFc/688=")</f>
        <v>#REF!</v>
      </c>
      <c r="HA32" t="e">
        <f>AND(#REF!,"AAAAAFc/69A=")</f>
        <v>#REF!</v>
      </c>
      <c r="HB32" t="e">
        <f>AND(#REF!,"AAAAAFc/69E=")</f>
        <v>#REF!</v>
      </c>
      <c r="HC32" t="e">
        <f>AND(#REF!,"AAAAAFc/69I=")</f>
        <v>#REF!</v>
      </c>
      <c r="HD32" t="e">
        <f>AND(#REF!,"AAAAAFc/69M=")</f>
        <v>#REF!</v>
      </c>
      <c r="HE32" t="e">
        <f>AND(#REF!,"AAAAAFc/69Q=")</f>
        <v>#REF!</v>
      </c>
      <c r="HF32" t="e">
        <f>AND(#REF!,"AAAAAFc/69U=")</f>
        <v>#REF!</v>
      </c>
      <c r="HG32" t="e">
        <f>AND(#REF!,"AAAAAFc/69Y=")</f>
        <v>#REF!</v>
      </c>
      <c r="HH32" t="e">
        <f>AND(#REF!,"AAAAAFc/69c=")</f>
        <v>#REF!</v>
      </c>
      <c r="HI32" t="e">
        <f>AND(#REF!,"AAAAAFc/69g=")</f>
        <v>#REF!</v>
      </c>
      <c r="HJ32" t="e">
        <f>AND(#REF!,"AAAAAFc/69k=")</f>
        <v>#REF!</v>
      </c>
      <c r="HK32" t="e">
        <f>AND(#REF!,"AAAAAFc/69o=")</f>
        <v>#REF!</v>
      </c>
      <c r="HL32" t="e">
        <f>AND(#REF!,"AAAAAFc/69s=")</f>
        <v>#REF!</v>
      </c>
      <c r="HM32" t="e">
        <f>AND(#REF!,"AAAAAFc/69w=")</f>
        <v>#REF!</v>
      </c>
      <c r="HN32" t="e">
        <f>AND(#REF!,"AAAAAFc/690=")</f>
        <v>#REF!</v>
      </c>
      <c r="HO32" t="e">
        <f>AND(#REF!,"AAAAAFc/694=")</f>
        <v>#REF!</v>
      </c>
      <c r="HP32" t="e">
        <f>AND(#REF!,"AAAAAFc/698=")</f>
        <v>#REF!</v>
      </c>
      <c r="HQ32" t="e">
        <f>AND(#REF!,"AAAAAFc/6+A=")</f>
        <v>#REF!</v>
      </c>
      <c r="HR32" t="e">
        <f>AND(#REF!,"AAAAAFc/6+E=")</f>
        <v>#REF!</v>
      </c>
      <c r="HS32" t="e">
        <f>IF(#REF!,"AAAAAFc/6+I=",0)</f>
        <v>#REF!</v>
      </c>
      <c r="HT32" t="e">
        <f>AND(#REF!,"AAAAAFc/6+M=")</f>
        <v>#REF!</v>
      </c>
      <c r="HU32" t="e">
        <f>AND(#REF!,"AAAAAFc/6+Q=")</f>
        <v>#REF!</v>
      </c>
      <c r="HV32" t="e">
        <f>AND(#REF!,"AAAAAFc/6+U=")</f>
        <v>#REF!</v>
      </c>
      <c r="HW32" t="e">
        <f>AND(#REF!,"AAAAAFc/6+Y=")</f>
        <v>#REF!</v>
      </c>
      <c r="HX32" t="e">
        <f>AND(#REF!,"AAAAAFc/6+c=")</f>
        <v>#REF!</v>
      </c>
      <c r="HY32" t="e">
        <f>AND(#REF!,"AAAAAFc/6+g=")</f>
        <v>#REF!</v>
      </c>
      <c r="HZ32" t="e">
        <f>AND(#REF!,"AAAAAFc/6+k=")</f>
        <v>#REF!</v>
      </c>
      <c r="IA32" t="e">
        <f>AND(#REF!,"AAAAAFc/6+o=")</f>
        <v>#REF!</v>
      </c>
      <c r="IB32" t="e">
        <f>AND(#REF!,"AAAAAFc/6+s=")</f>
        <v>#REF!</v>
      </c>
      <c r="IC32" t="e">
        <f>AND(#REF!,"AAAAAFc/6+w=")</f>
        <v>#REF!</v>
      </c>
      <c r="ID32" t="e">
        <f>AND(#REF!,"AAAAAFc/6+0=")</f>
        <v>#REF!</v>
      </c>
      <c r="IE32" t="e">
        <f>AND(#REF!,"AAAAAFc/6+4=")</f>
        <v>#REF!</v>
      </c>
      <c r="IF32" t="e">
        <f>AND(#REF!,"AAAAAFc/6+8=")</f>
        <v>#REF!</v>
      </c>
      <c r="IG32" t="e">
        <f>AND(#REF!,"AAAAAFc/6/A=")</f>
        <v>#REF!</v>
      </c>
      <c r="IH32" t="e">
        <f>AND(#REF!,"AAAAAFc/6/E=")</f>
        <v>#REF!</v>
      </c>
      <c r="II32" t="e">
        <f>AND(#REF!,"AAAAAFc/6/I=")</f>
        <v>#REF!</v>
      </c>
      <c r="IJ32" t="e">
        <f>AND(#REF!,"AAAAAFc/6/M=")</f>
        <v>#REF!</v>
      </c>
      <c r="IK32" t="e">
        <f>AND(#REF!,"AAAAAFc/6/Q=")</f>
        <v>#REF!</v>
      </c>
      <c r="IL32" t="e">
        <f>AND(#REF!,"AAAAAFc/6/U=")</f>
        <v>#REF!</v>
      </c>
      <c r="IM32" t="e">
        <f>AND(#REF!,"AAAAAFc/6/Y=")</f>
        <v>#REF!</v>
      </c>
      <c r="IN32" t="e">
        <f>AND(#REF!,"AAAAAFc/6/c=")</f>
        <v>#REF!</v>
      </c>
      <c r="IO32" t="e">
        <f>AND(#REF!,"AAAAAFc/6/g=")</f>
        <v>#REF!</v>
      </c>
      <c r="IP32" t="e">
        <f>AND(#REF!,"AAAAAFc/6/k=")</f>
        <v>#REF!</v>
      </c>
      <c r="IQ32" t="e">
        <f>AND(#REF!,"AAAAAFc/6/o=")</f>
        <v>#REF!</v>
      </c>
      <c r="IR32" t="e">
        <f>AND(#REF!,"AAAAAFc/6/s=")</f>
        <v>#REF!</v>
      </c>
      <c r="IS32" t="e">
        <f>AND(#REF!,"AAAAAFc/6/w=")</f>
        <v>#REF!</v>
      </c>
      <c r="IT32" t="e">
        <f>AND(#REF!,"AAAAAFc/6/0=")</f>
        <v>#REF!</v>
      </c>
      <c r="IU32" t="e">
        <f>AND(#REF!,"AAAAAFc/6/4=")</f>
        <v>#REF!</v>
      </c>
      <c r="IV32" t="e">
        <f>AND(#REF!,"AAAAAFc/6/8=")</f>
        <v>#REF!</v>
      </c>
    </row>
    <row r="33" spans="1:256" x14ac:dyDescent="0.2">
      <c r="A33" t="e">
        <f>AND(#REF!,"AAAAAH393wA=")</f>
        <v>#REF!</v>
      </c>
      <c r="B33" t="e">
        <f>AND(#REF!,"AAAAAH393wE=")</f>
        <v>#REF!</v>
      </c>
      <c r="C33" t="e">
        <f>AND(#REF!,"AAAAAH393wI=")</f>
        <v>#REF!</v>
      </c>
      <c r="D33" t="e">
        <f>AND(#REF!,"AAAAAH393wM=")</f>
        <v>#REF!</v>
      </c>
      <c r="E33" t="e">
        <f>AND(#REF!,"AAAAAH393wQ=")</f>
        <v>#REF!</v>
      </c>
      <c r="F33" t="e">
        <f>AND(#REF!,"AAAAAH393wU=")</f>
        <v>#REF!</v>
      </c>
      <c r="G33" t="e">
        <f>AND(#REF!,"AAAAAH393wY=")</f>
        <v>#REF!</v>
      </c>
      <c r="H33" t="e">
        <f>AND(#REF!,"AAAAAH393wc=")</f>
        <v>#REF!</v>
      </c>
      <c r="I33" t="e">
        <f>AND(#REF!,"AAAAAH393wg=")</f>
        <v>#REF!</v>
      </c>
      <c r="J33" t="e">
        <f>AND(#REF!,"AAAAAH393wk=")</f>
        <v>#REF!</v>
      </c>
      <c r="K33" t="e">
        <f>AND(#REF!,"AAAAAH393wo=")</f>
        <v>#REF!</v>
      </c>
      <c r="L33" t="e">
        <f>AND(#REF!,"AAAAAH393ws=")</f>
        <v>#REF!</v>
      </c>
      <c r="M33" t="e">
        <f>AND(#REF!,"AAAAAH393ww=")</f>
        <v>#REF!</v>
      </c>
      <c r="N33" t="e">
        <f>AND(#REF!,"AAAAAH393w0=")</f>
        <v>#REF!</v>
      </c>
      <c r="O33" t="e">
        <f>AND(#REF!,"AAAAAH393w4=")</f>
        <v>#REF!</v>
      </c>
      <c r="P33" t="e">
        <f>AND(#REF!,"AAAAAH393w8=")</f>
        <v>#REF!</v>
      </c>
      <c r="Q33" t="e">
        <f>AND(#REF!,"AAAAAH393xA=")</f>
        <v>#REF!</v>
      </c>
      <c r="R33" t="e">
        <f>AND(#REF!,"AAAAAH393xE=")</f>
        <v>#REF!</v>
      </c>
      <c r="S33" t="e">
        <f>AND(#REF!,"AAAAAH393xI=")</f>
        <v>#REF!</v>
      </c>
      <c r="T33" t="e">
        <f>AND(#REF!,"AAAAAH393xM=")</f>
        <v>#REF!</v>
      </c>
      <c r="U33" t="e">
        <f>AND(#REF!,"AAAAAH393xQ=")</f>
        <v>#REF!</v>
      </c>
      <c r="V33" t="e">
        <f>AND(#REF!,"AAAAAH393xU=")</f>
        <v>#REF!</v>
      </c>
      <c r="W33" t="e">
        <f>AND(#REF!,"AAAAAH393xY=")</f>
        <v>#REF!</v>
      </c>
      <c r="X33" t="e">
        <f>AND(#REF!,"AAAAAH393xc=")</f>
        <v>#REF!</v>
      </c>
      <c r="Y33" t="e">
        <f>AND(#REF!,"AAAAAH393xg=")</f>
        <v>#REF!</v>
      </c>
      <c r="Z33" t="e">
        <f>AND(#REF!,"AAAAAH393xk=")</f>
        <v>#REF!</v>
      </c>
      <c r="AA33" t="e">
        <f>AND(#REF!,"AAAAAH393xo=")</f>
        <v>#REF!</v>
      </c>
      <c r="AB33" t="e">
        <f>AND(#REF!,"AAAAAH393xs=")</f>
        <v>#REF!</v>
      </c>
      <c r="AC33" t="e">
        <f>AND(#REF!,"AAAAAH393xw=")</f>
        <v>#REF!</v>
      </c>
      <c r="AD33" t="e">
        <f>AND(#REF!,"AAAAAH393x0=")</f>
        <v>#REF!</v>
      </c>
      <c r="AE33" t="e">
        <f>AND(#REF!,"AAAAAH393x4=")</f>
        <v>#REF!</v>
      </c>
      <c r="AF33" t="e">
        <f>AND(#REF!,"AAAAAH393x8=")</f>
        <v>#REF!</v>
      </c>
      <c r="AG33" t="e">
        <f>AND(#REF!,"AAAAAH393yA=")</f>
        <v>#REF!</v>
      </c>
      <c r="AH33" t="e">
        <f>AND(#REF!,"AAAAAH393yE=")</f>
        <v>#REF!</v>
      </c>
      <c r="AI33" t="e">
        <f>AND(#REF!,"AAAAAH393yI=")</f>
        <v>#REF!</v>
      </c>
      <c r="AJ33" t="e">
        <f>AND(#REF!,"AAAAAH393yM=")</f>
        <v>#REF!</v>
      </c>
      <c r="AK33" t="e">
        <f>AND(#REF!,"AAAAAH393yQ=")</f>
        <v>#REF!</v>
      </c>
      <c r="AL33" t="e">
        <f>AND(#REF!,"AAAAAH393yU=")</f>
        <v>#REF!</v>
      </c>
      <c r="AM33" t="e">
        <f>AND(#REF!,"AAAAAH393yY=")</f>
        <v>#REF!</v>
      </c>
      <c r="AN33" t="e">
        <f>AND(#REF!,"AAAAAH393yc=")</f>
        <v>#REF!</v>
      </c>
      <c r="AO33" t="e">
        <f>AND(#REF!,"AAAAAH393yg=")</f>
        <v>#REF!</v>
      </c>
      <c r="AP33" t="e">
        <f>AND(#REF!,"AAAAAH393yk=")</f>
        <v>#REF!</v>
      </c>
      <c r="AQ33" t="e">
        <f>AND(#REF!,"AAAAAH393yo=")</f>
        <v>#REF!</v>
      </c>
      <c r="AR33" t="e">
        <f>AND(#REF!,"AAAAAH393ys=")</f>
        <v>#REF!</v>
      </c>
      <c r="AS33" t="e">
        <f>AND(#REF!,"AAAAAH393yw=")</f>
        <v>#REF!</v>
      </c>
      <c r="AT33" t="e">
        <f>AND(#REF!,"AAAAAH393y0=")</f>
        <v>#REF!</v>
      </c>
      <c r="AU33" t="e">
        <f>AND(#REF!,"AAAAAH393y4=")</f>
        <v>#REF!</v>
      </c>
      <c r="AV33" t="e">
        <f>AND(#REF!,"AAAAAH393y8=")</f>
        <v>#REF!</v>
      </c>
      <c r="AW33" t="e">
        <f>AND(#REF!,"AAAAAH393zA=")</f>
        <v>#REF!</v>
      </c>
      <c r="AX33" t="e">
        <f>AND(#REF!,"AAAAAH393zE=")</f>
        <v>#REF!</v>
      </c>
      <c r="AY33" t="e">
        <f>AND(#REF!,"AAAAAH393zI=")</f>
        <v>#REF!</v>
      </c>
      <c r="AZ33" t="e">
        <f>AND(#REF!,"AAAAAH393zM=")</f>
        <v>#REF!</v>
      </c>
      <c r="BA33" t="e">
        <f>AND(#REF!,"AAAAAH393zQ=")</f>
        <v>#REF!</v>
      </c>
      <c r="BB33" t="e">
        <f>AND(#REF!,"AAAAAH393zU=")</f>
        <v>#REF!</v>
      </c>
      <c r="BC33" t="e">
        <f>AND(#REF!,"AAAAAH393zY=")</f>
        <v>#REF!</v>
      </c>
      <c r="BD33" t="e">
        <f>AND(#REF!,"AAAAAH393zc=")</f>
        <v>#REF!</v>
      </c>
      <c r="BE33" t="e">
        <f>AND(#REF!,"AAAAAH393zg=")</f>
        <v>#REF!</v>
      </c>
      <c r="BF33" t="e">
        <f>AND(#REF!,"AAAAAH393zk=")</f>
        <v>#REF!</v>
      </c>
      <c r="BG33" t="e">
        <f>AND(#REF!,"AAAAAH393zo=")</f>
        <v>#REF!</v>
      </c>
      <c r="BH33" t="e">
        <f>AND(#REF!,"AAAAAH393zs=")</f>
        <v>#REF!</v>
      </c>
      <c r="BI33" t="e">
        <f>AND(#REF!,"AAAAAH393zw=")</f>
        <v>#REF!</v>
      </c>
      <c r="BJ33" t="e">
        <f>AND(#REF!,"AAAAAH393z0=")</f>
        <v>#REF!</v>
      </c>
      <c r="BK33" t="e">
        <f>AND(#REF!,"AAAAAH393z4=")</f>
        <v>#REF!</v>
      </c>
      <c r="BL33" t="e">
        <f>AND(#REF!,"AAAAAH393z8=")</f>
        <v>#REF!</v>
      </c>
      <c r="BM33" t="e">
        <f>AND(#REF!,"AAAAAH3930A=")</f>
        <v>#REF!</v>
      </c>
      <c r="BN33" t="e">
        <f>AND(#REF!,"AAAAAH3930E=")</f>
        <v>#REF!</v>
      </c>
      <c r="BO33" t="e">
        <f>AND(#REF!,"AAAAAH3930I=")</f>
        <v>#REF!</v>
      </c>
      <c r="BP33" t="e">
        <f>AND(#REF!,"AAAAAH3930M=")</f>
        <v>#REF!</v>
      </c>
      <c r="BQ33" t="e">
        <f>AND(#REF!,"AAAAAH3930Q=")</f>
        <v>#REF!</v>
      </c>
      <c r="BR33" t="e">
        <f>AND(#REF!,"AAAAAH3930U=")</f>
        <v>#REF!</v>
      </c>
      <c r="BS33" t="e">
        <f>AND(#REF!,"AAAAAH3930Y=")</f>
        <v>#REF!</v>
      </c>
      <c r="BT33" t="e">
        <f>AND(#REF!,"AAAAAH3930c=")</f>
        <v>#REF!</v>
      </c>
      <c r="BU33" t="e">
        <f>AND(#REF!,"AAAAAH3930g=")</f>
        <v>#REF!</v>
      </c>
      <c r="BV33" t="e">
        <f>AND(#REF!,"AAAAAH3930k=")</f>
        <v>#REF!</v>
      </c>
      <c r="BW33" t="e">
        <f>AND(#REF!,"AAAAAH3930o=")</f>
        <v>#REF!</v>
      </c>
      <c r="BX33" t="e">
        <f>AND(#REF!,"AAAAAH3930s=")</f>
        <v>#REF!</v>
      </c>
      <c r="BY33" t="e">
        <f>AND(#REF!,"AAAAAH3930w=")</f>
        <v>#REF!</v>
      </c>
      <c r="BZ33" t="e">
        <f>AND(#REF!,"AAAAAH39300=")</f>
        <v>#REF!</v>
      </c>
      <c r="CA33" t="e">
        <f>AND(#REF!,"AAAAAH39304=")</f>
        <v>#REF!</v>
      </c>
      <c r="CB33" t="e">
        <f>AND(#REF!,"AAAAAH39308=")</f>
        <v>#REF!</v>
      </c>
      <c r="CC33" t="e">
        <f>AND(#REF!,"AAAAAH3931A=")</f>
        <v>#REF!</v>
      </c>
      <c r="CD33" t="e">
        <f>AND(#REF!,"AAAAAH3931E=")</f>
        <v>#REF!</v>
      </c>
      <c r="CE33" t="e">
        <f>AND(#REF!,"AAAAAH3931I=")</f>
        <v>#REF!</v>
      </c>
      <c r="CF33" t="e">
        <f>AND(#REF!,"AAAAAH3931M=")</f>
        <v>#REF!</v>
      </c>
      <c r="CG33" t="e">
        <f>AND(#REF!,"AAAAAH3931Q=")</f>
        <v>#REF!</v>
      </c>
      <c r="CH33" t="e">
        <f>AND(#REF!,"AAAAAH3931U=")</f>
        <v>#REF!</v>
      </c>
      <c r="CI33" t="e">
        <f>AND(#REF!,"AAAAAH3931Y=")</f>
        <v>#REF!</v>
      </c>
      <c r="CJ33" t="e">
        <f>AND(#REF!,"AAAAAH3931c=")</f>
        <v>#REF!</v>
      </c>
      <c r="CK33" t="e">
        <f>AND(#REF!,"AAAAAH3931g=")</f>
        <v>#REF!</v>
      </c>
      <c r="CL33" t="e">
        <f>AND(#REF!,"AAAAAH3931k=")</f>
        <v>#REF!</v>
      </c>
      <c r="CM33" t="e">
        <f>AND(#REF!,"AAAAAH3931o=")</f>
        <v>#REF!</v>
      </c>
      <c r="CN33" t="e">
        <f>AND(#REF!,"AAAAAH3931s=")</f>
        <v>#REF!</v>
      </c>
      <c r="CO33" t="e">
        <f>AND(#REF!,"AAAAAH3931w=")</f>
        <v>#REF!</v>
      </c>
      <c r="CP33" t="e">
        <f>AND(#REF!,"AAAAAH39310=")</f>
        <v>#REF!</v>
      </c>
      <c r="CQ33" t="e">
        <f>AND(#REF!,"AAAAAH39314=")</f>
        <v>#REF!</v>
      </c>
      <c r="CR33" t="e">
        <f>AND(#REF!,"AAAAAH39318=")</f>
        <v>#REF!</v>
      </c>
      <c r="CS33" t="e">
        <f>AND(#REF!,"AAAAAH3932A=")</f>
        <v>#REF!</v>
      </c>
      <c r="CT33" t="e">
        <f>AND(#REF!,"AAAAAH3932E=")</f>
        <v>#REF!</v>
      </c>
      <c r="CU33" t="e">
        <f>AND(#REF!,"AAAAAH3932I=")</f>
        <v>#REF!</v>
      </c>
      <c r="CV33" t="e">
        <f>AND(#REF!,"AAAAAH3932M=")</f>
        <v>#REF!</v>
      </c>
      <c r="CW33" t="e">
        <f>AND(#REF!,"AAAAAH3932Q=")</f>
        <v>#REF!</v>
      </c>
      <c r="CX33" t="e">
        <f>AND(#REF!,"AAAAAH3932U=")</f>
        <v>#REF!</v>
      </c>
      <c r="CY33" t="e">
        <f>AND(#REF!,"AAAAAH3932Y=")</f>
        <v>#REF!</v>
      </c>
      <c r="CZ33" t="e">
        <f>AND(#REF!,"AAAAAH3932c=")</f>
        <v>#REF!</v>
      </c>
      <c r="DA33" t="e">
        <f>AND(#REF!,"AAAAAH3932g=")</f>
        <v>#REF!</v>
      </c>
      <c r="DB33" t="e">
        <f>AND(#REF!,"AAAAAH3932k=")</f>
        <v>#REF!</v>
      </c>
      <c r="DC33" t="e">
        <f>AND(#REF!,"AAAAAH3932o=")</f>
        <v>#REF!</v>
      </c>
      <c r="DD33" t="e">
        <f>AND(#REF!,"AAAAAH3932s=")</f>
        <v>#REF!</v>
      </c>
      <c r="DE33" t="e">
        <f>AND(#REF!,"AAAAAH3932w=")</f>
        <v>#REF!</v>
      </c>
      <c r="DF33" t="e">
        <f>AND(#REF!,"AAAAAH39320=")</f>
        <v>#REF!</v>
      </c>
      <c r="DG33" t="e">
        <f>AND(#REF!,"AAAAAH39324=")</f>
        <v>#REF!</v>
      </c>
      <c r="DH33" t="e">
        <f>AND(#REF!,"AAAAAH39328=")</f>
        <v>#REF!</v>
      </c>
      <c r="DI33" t="e">
        <f>AND(#REF!,"AAAAAH3933A=")</f>
        <v>#REF!</v>
      </c>
      <c r="DJ33" t="e">
        <f>AND(#REF!,"AAAAAH3933E=")</f>
        <v>#REF!</v>
      </c>
      <c r="DK33" t="e">
        <f>AND(#REF!,"AAAAAH3933I=")</f>
        <v>#REF!</v>
      </c>
      <c r="DL33" t="e">
        <f>AND(#REF!,"AAAAAH3933M=")</f>
        <v>#REF!</v>
      </c>
      <c r="DM33" t="e">
        <f>AND(#REF!,"AAAAAH3933Q=")</f>
        <v>#REF!</v>
      </c>
      <c r="DN33" t="e">
        <f>AND(#REF!,"AAAAAH3933U=")</f>
        <v>#REF!</v>
      </c>
      <c r="DO33" t="e">
        <f>AND(#REF!,"AAAAAH3933Y=")</f>
        <v>#REF!</v>
      </c>
      <c r="DP33" t="e">
        <f>AND(#REF!,"AAAAAH3933c=")</f>
        <v>#REF!</v>
      </c>
      <c r="DQ33" t="e">
        <f>AND(#REF!,"AAAAAH3933g=")</f>
        <v>#REF!</v>
      </c>
      <c r="DR33" t="e">
        <f>AND(#REF!,"AAAAAH3933k=")</f>
        <v>#REF!</v>
      </c>
      <c r="DS33" t="e">
        <f>AND(#REF!,"AAAAAH3933o=")</f>
        <v>#REF!</v>
      </c>
      <c r="DT33" t="e">
        <f>AND(#REF!,"AAAAAH3933s=")</f>
        <v>#REF!</v>
      </c>
      <c r="DU33" t="e">
        <f>AND(#REF!,"AAAAAH3933w=")</f>
        <v>#REF!</v>
      </c>
      <c r="DV33" t="e">
        <f>AND(#REF!,"AAAAAH39330=")</f>
        <v>#REF!</v>
      </c>
      <c r="DW33" t="e">
        <f>AND(#REF!,"AAAAAH39334=")</f>
        <v>#REF!</v>
      </c>
      <c r="DX33" t="e">
        <f>AND(#REF!,"AAAAAH39338=")</f>
        <v>#REF!</v>
      </c>
      <c r="DY33" t="e">
        <f>AND(#REF!,"AAAAAH3934A=")</f>
        <v>#REF!</v>
      </c>
      <c r="DZ33" t="e">
        <f>AND(#REF!,"AAAAAH3934E=")</f>
        <v>#REF!</v>
      </c>
      <c r="EA33" t="e">
        <f>AND(#REF!,"AAAAAH3934I=")</f>
        <v>#REF!</v>
      </c>
      <c r="EB33" t="e">
        <f>AND(#REF!,"AAAAAH3934M=")</f>
        <v>#REF!</v>
      </c>
      <c r="EC33" t="e">
        <f>AND(#REF!,"AAAAAH3934Q=")</f>
        <v>#REF!</v>
      </c>
      <c r="ED33" t="e">
        <f>AND(#REF!,"AAAAAH3934U=")</f>
        <v>#REF!</v>
      </c>
      <c r="EE33" t="e">
        <f>AND(#REF!,"AAAAAH3934Y=")</f>
        <v>#REF!</v>
      </c>
      <c r="EF33" t="e">
        <f>AND(#REF!,"AAAAAH3934c=")</f>
        <v>#REF!</v>
      </c>
      <c r="EG33" t="e">
        <f>AND(#REF!,"AAAAAH3934g=")</f>
        <v>#REF!</v>
      </c>
      <c r="EH33" t="e">
        <f>AND(#REF!,"AAAAAH3934k=")</f>
        <v>#REF!</v>
      </c>
      <c r="EI33" t="e">
        <f>AND(#REF!,"AAAAAH3934o=")</f>
        <v>#REF!</v>
      </c>
      <c r="EJ33" t="e">
        <f>AND(#REF!,"AAAAAH3934s=")</f>
        <v>#REF!</v>
      </c>
      <c r="EK33" t="e">
        <f>AND(#REF!,"AAAAAH3934w=")</f>
        <v>#REF!</v>
      </c>
      <c r="EL33" t="e">
        <f>AND(#REF!,"AAAAAH39340=")</f>
        <v>#REF!</v>
      </c>
      <c r="EM33" t="e">
        <f>AND(#REF!,"AAAAAH39344=")</f>
        <v>#REF!</v>
      </c>
      <c r="EN33" t="e">
        <f>AND(#REF!,"AAAAAH39348=")</f>
        <v>#REF!</v>
      </c>
      <c r="EO33" t="e">
        <f>AND(#REF!,"AAAAAH3935A=")</f>
        <v>#REF!</v>
      </c>
      <c r="EP33" t="e">
        <f>AND(#REF!,"AAAAAH3935E=")</f>
        <v>#REF!</v>
      </c>
      <c r="EQ33" t="e">
        <f>AND(#REF!,"AAAAAH3935I=")</f>
        <v>#REF!</v>
      </c>
      <c r="ER33" t="e">
        <f>AND(#REF!,"AAAAAH3935M=")</f>
        <v>#REF!</v>
      </c>
      <c r="ES33" t="e">
        <f>AND(#REF!,"AAAAAH3935Q=")</f>
        <v>#REF!</v>
      </c>
      <c r="ET33" t="e">
        <f>AND(#REF!,"AAAAAH3935U=")</f>
        <v>#REF!</v>
      </c>
      <c r="EU33" t="e">
        <f>AND(#REF!,"AAAAAH3935Y=")</f>
        <v>#REF!</v>
      </c>
      <c r="EV33" t="e">
        <f>IF(#REF!,"AAAAAH3935c=",0)</f>
        <v>#REF!</v>
      </c>
      <c r="EW33" t="e">
        <f>AND(#REF!,"AAAAAH3935g=")</f>
        <v>#REF!</v>
      </c>
      <c r="EX33" t="e">
        <f>AND(#REF!,"AAAAAH3935k=")</f>
        <v>#REF!</v>
      </c>
      <c r="EY33" t="e">
        <f>AND(#REF!,"AAAAAH3935o=")</f>
        <v>#REF!</v>
      </c>
      <c r="EZ33" t="e">
        <f>AND(#REF!,"AAAAAH3935s=")</f>
        <v>#REF!</v>
      </c>
      <c r="FA33" t="e">
        <f>AND(#REF!,"AAAAAH3935w=")</f>
        <v>#REF!</v>
      </c>
      <c r="FB33" t="e">
        <f>AND(#REF!,"AAAAAH39350=")</f>
        <v>#REF!</v>
      </c>
      <c r="FC33" t="e">
        <f>AND(#REF!,"AAAAAH39354=")</f>
        <v>#REF!</v>
      </c>
      <c r="FD33" t="e">
        <f>AND(#REF!,"AAAAAH39358=")</f>
        <v>#REF!</v>
      </c>
      <c r="FE33" t="e">
        <f>AND(#REF!,"AAAAAH3936A=")</f>
        <v>#REF!</v>
      </c>
      <c r="FF33" t="e">
        <f>AND(#REF!,"AAAAAH3936E=")</f>
        <v>#REF!</v>
      </c>
      <c r="FG33" t="e">
        <f>AND(#REF!,"AAAAAH3936I=")</f>
        <v>#REF!</v>
      </c>
      <c r="FH33" t="e">
        <f>AND(#REF!,"AAAAAH3936M=")</f>
        <v>#REF!</v>
      </c>
      <c r="FI33" t="e">
        <f>AND(#REF!,"AAAAAH3936Q=")</f>
        <v>#REF!</v>
      </c>
      <c r="FJ33" t="e">
        <f>AND(#REF!,"AAAAAH3936U=")</f>
        <v>#REF!</v>
      </c>
      <c r="FK33" t="e">
        <f>AND(#REF!,"AAAAAH3936Y=")</f>
        <v>#REF!</v>
      </c>
      <c r="FL33" t="e">
        <f>AND(#REF!,"AAAAAH3936c=")</f>
        <v>#REF!</v>
      </c>
      <c r="FM33" t="e">
        <f>AND(#REF!,"AAAAAH3936g=")</f>
        <v>#REF!</v>
      </c>
      <c r="FN33" t="e">
        <f>AND(#REF!,"AAAAAH3936k=")</f>
        <v>#REF!</v>
      </c>
      <c r="FO33" t="e">
        <f>AND(#REF!,"AAAAAH3936o=")</f>
        <v>#REF!</v>
      </c>
      <c r="FP33" t="e">
        <f>AND(#REF!,"AAAAAH3936s=")</f>
        <v>#REF!</v>
      </c>
      <c r="FQ33" t="e">
        <f>AND(#REF!,"AAAAAH3936w=")</f>
        <v>#REF!</v>
      </c>
      <c r="FR33" t="e">
        <f>AND(#REF!,"AAAAAH39360=")</f>
        <v>#REF!</v>
      </c>
      <c r="FS33" t="e">
        <f>AND(#REF!,"AAAAAH39364=")</f>
        <v>#REF!</v>
      </c>
      <c r="FT33" t="e">
        <f>AND(#REF!,"AAAAAH39368=")</f>
        <v>#REF!</v>
      </c>
      <c r="FU33" t="e">
        <f>AND(#REF!,"AAAAAH3937A=")</f>
        <v>#REF!</v>
      </c>
      <c r="FV33" t="e">
        <f>AND(#REF!,"AAAAAH3937E=")</f>
        <v>#REF!</v>
      </c>
      <c r="FW33" t="e">
        <f>AND(#REF!,"AAAAAH3937I=")</f>
        <v>#REF!</v>
      </c>
      <c r="FX33" t="e">
        <f>AND(#REF!,"AAAAAH3937M=")</f>
        <v>#REF!</v>
      </c>
      <c r="FY33" t="e">
        <f>AND(#REF!,"AAAAAH3937Q=")</f>
        <v>#REF!</v>
      </c>
      <c r="FZ33" t="e">
        <f>AND(#REF!,"AAAAAH3937U=")</f>
        <v>#REF!</v>
      </c>
      <c r="GA33" t="e">
        <f>AND(#REF!,"AAAAAH3937Y=")</f>
        <v>#REF!</v>
      </c>
      <c r="GB33" t="e">
        <f>AND(#REF!,"AAAAAH3937c=")</f>
        <v>#REF!</v>
      </c>
      <c r="GC33" t="e">
        <f>AND(#REF!,"AAAAAH3937g=")</f>
        <v>#REF!</v>
      </c>
      <c r="GD33" t="e">
        <f>AND(#REF!,"AAAAAH3937k=")</f>
        <v>#REF!</v>
      </c>
      <c r="GE33" t="e">
        <f>AND(#REF!,"AAAAAH3937o=")</f>
        <v>#REF!</v>
      </c>
      <c r="GF33" t="e">
        <f>AND(#REF!,"AAAAAH3937s=")</f>
        <v>#REF!</v>
      </c>
      <c r="GG33" t="e">
        <f>AND(#REF!,"AAAAAH3937w=")</f>
        <v>#REF!</v>
      </c>
      <c r="GH33" t="e">
        <f>AND(#REF!,"AAAAAH39370=")</f>
        <v>#REF!</v>
      </c>
      <c r="GI33" t="e">
        <f>AND(#REF!,"AAAAAH39374=")</f>
        <v>#REF!</v>
      </c>
      <c r="GJ33" t="e">
        <f>AND(#REF!,"AAAAAH39378=")</f>
        <v>#REF!</v>
      </c>
      <c r="GK33" t="e">
        <f>AND(#REF!,"AAAAAH3938A=")</f>
        <v>#REF!</v>
      </c>
      <c r="GL33" t="e">
        <f>AND(#REF!,"AAAAAH3938E=")</f>
        <v>#REF!</v>
      </c>
      <c r="GM33" t="e">
        <f>AND(#REF!,"AAAAAH3938I=")</f>
        <v>#REF!</v>
      </c>
      <c r="GN33" t="e">
        <f>AND(#REF!,"AAAAAH3938M=")</f>
        <v>#REF!</v>
      </c>
      <c r="GO33" t="e">
        <f>AND(#REF!,"AAAAAH3938Q=")</f>
        <v>#REF!</v>
      </c>
      <c r="GP33" t="e">
        <f>AND(#REF!,"AAAAAH3938U=")</f>
        <v>#REF!</v>
      </c>
      <c r="GQ33" t="e">
        <f>AND(#REF!,"AAAAAH3938Y=")</f>
        <v>#REF!</v>
      </c>
      <c r="GR33" t="e">
        <f>AND(#REF!,"AAAAAH3938c=")</f>
        <v>#REF!</v>
      </c>
      <c r="GS33" t="e">
        <f>AND(#REF!,"AAAAAH3938g=")</f>
        <v>#REF!</v>
      </c>
      <c r="GT33" t="e">
        <f>AND(#REF!,"AAAAAH3938k=")</f>
        <v>#REF!</v>
      </c>
      <c r="GU33" t="e">
        <f>AND(#REF!,"AAAAAH3938o=")</f>
        <v>#REF!</v>
      </c>
      <c r="GV33" t="e">
        <f>AND(#REF!,"AAAAAH3938s=")</f>
        <v>#REF!</v>
      </c>
      <c r="GW33" t="e">
        <f>AND(#REF!,"AAAAAH3938w=")</f>
        <v>#REF!</v>
      </c>
      <c r="GX33" t="e">
        <f>AND(#REF!,"AAAAAH39380=")</f>
        <v>#REF!</v>
      </c>
      <c r="GY33" t="e">
        <f>AND(#REF!,"AAAAAH39384=")</f>
        <v>#REF!</v>
      </c>
      <c r="GZ33" t="e">
        <f>AND(#REF!,"AAAAAH39388=")</f>
        <v>#REF!</v>
      </c>
      <c r="HA33" t="e">
        <f>AND(#REF!,"AAAAAH3939A=")</f>
        <v>#REF!</v>
      </c>
      <c r="HB33" t="e">
        <f>AND(#REF!,"AAAAAH3939E=")</f>
        <v>#REF!</v>
      </c>
      <c r="HC33" t="e">
        <f>AND(#REF!,"AAAAAH3939I=")</f>
        <v>#REF!</v>
      </c>
      <c r="HD33" t="e">
        <f>AND(#REF!,"AAAAAH3939M=")</f>
        <v>#REF!</v>
      </c>
      <c r="HE33" t="e">
        <f>AND(#REF!,"AAAAAH3939Q=")</f>
        <v>#REF!</v>
      </c>
      <c r="HF33" t="e">
        <f>AND(#REF!,"AAAAAH3939U=")</f>
        <v>#REF!</v>
      </c>
      <c r="HG33" t="e">
        <f>AND(#REF!,"AAAAAH3939Y=")</f>
        <v>#REF!</v>
      </c>
      <c r="HH33" t="e">
        <f>AND(#REF!,"AAAAAH3939c=")</f>
        <v>#REF!</v>
      </c>
      <c r="HI33" t="e">
        <f>AND(#REF!,"AAAAAH3939g=")</f>
        <v>#REF!</v>
      </c>
      <c r="HJ33" t="e">
        <f>AND(#REF!,"AAAAAH3939k=")</f>
        <v>#REF!</v>
      </c>
      <c r="HK33" t="e">
        <f>AND(#REF!,"AAAAAH3939o=")</f>
        <v>#REF!</v>
      </c>
      <c r="HL33" t="e">
        <f>AND(#REF!,"AAAAAH3939s=")</f>
        <v>#REF!</v>
      </c>
      <c r="HM33" t="e">
        <f>AND(#REF!,"AAAAAH3939w=")</f>
        <v>#REF!</v>
      </c>
      <c r="HN33" t="e">
        <f>AND(#REF!,"AAAAAH39390=")</f>
        <v>#REF!</v>
      </c>
      <c r="HO33" t="e">
        <f>AND(#REF!,"AAAAAH39394=")</f>
        <v>#REF!</v>
      </c>
      <c r="HP33" t="e">
        <f>AND(#REF!,"AAAAAH39398=")</f>
        <v>#REF!</v>
      </c>
      <c r="HQ33" t="e">
        <f>AND(#REF!,"AAAAAH393+A=")</f>
        <v>#REF!</v>
      </c>
      <c r="HR33" t="e">
        <f>AND(#REF!,"AAAAAH393+E=")</f>
        <v>#REF!</v>
      </c>
      <c r="HS33" t="e">
        <f>AND(#REF!,"AAAAAH393+I=")</f>
        <v>#REF!</v>
      </c>
      <c r="HT33" t="e">
        <f>AND(#REF!,"AAAAAH393+M=")</f>
        <v>#REF!</v>
      </c>
      <c r="HU33" t="e">
        <f>AND(#REF!,"AAAAAH393+Q=")</f>
        <v>#REF!</v>
      </c>
      <c r="HV33" t="e">
        <f>AND(#REF!,"AAAAAH393+U=")</f>
        <v>#REF!</v>
      </c>
      <c r="HW33" t="e">
        <f>AND(#REF!,"AAAAAH393+Y=")</f>
        <v>#REF!</v>
      </c>
      <c r="HX33" t="e">
        <f>AND(#REF!,"AAAAAH393+c=")</f>
        <v>#REF!</v>
      </c>
      <c r="HY33" t="e">
        <f>AND(#REF!,"AAAAAH393+g=")</f>
        <v>#REF!</v>
      </c>
      <c r="HZ33" t="e">
        <f>AND(#REF!,"AAAAAH393+k=")</f>
        <v>#REF!</v>
      </c>
      <c r="IA33" t="e">
        <f>AND(#REF!,"AAAAAH393+o=")</f>
        <v>#REF!</v>
      </c>
      <c r="IB33" t="e">
        <f>AND(#REF!,"AAAAAH393+s=")</f>
        <v>#REF!</v>
      </c>
      <c r="IC33" t="e">
        <f>AND(#REF!,"AAAAAH393+w=")</f>
        <v>#REF!</v>
      </c>
      <c r="ID33" t="e">
        <f>AND(#REF!,"AAAAAH393+0=")</f>
        <v>#REF!</v>
      </c>
      <c r="IE33" t="e">
        <f>AND(#REF!,"AAAAAH393+4=")</f>
        <v>#REF!</v>
      </c>
      <c r="IF33" t="e">
        <f>AND(#REF!,"AAAAAH393+8=")</f>
        <v>#REF!</v>
      </c>
      <c r="IG33" t="e">
        <f>AND(#REF!,"AAAAAH393/A=")</f>
        <v>#REF!</v>
      </c>
      <c r="IH33" t="e">
        <f>AND(#REF!,"AAAAAH393/E=")</f>
        <v>#REF!</v>
      </c>
      <c r="II33" t="e">
        <f>AND(#REF!,"AAAAAH393/I=")</f>
        <v>#REF!</v>
      </c>
      <c r="IJ33" t="e">
        <f>AND(#REF!,"AAAAAH393/M=")</f>
        <v>#REF!</v>
      </c>
      <c r="IK33" t="e">
        <f>AND(#REF!,"AAAAAH393/Q=")</f>
        <v>#REF!</v>
      </c>
      <c r="IL33" t="e">
        <f>AND(#REF!,"AAAAAH393/U=")</f>
        <v>#REF!</v>
      </c>
      <c r="IM33" t="e">
        <f>AND(#REF!,"AAAAAH393/Y=")</f>
        <v>#REF!</v>
      </c>
      <c r="IN33" t="e">
        <f>AND(#REF!,"AAAAAH393/c=")</f>
        <v>#REF!</v>
      </c>
      <c r="IO33" t="e">
        <f>AND(#REF!,"AAAAAH393/g=")</f>
        <v>#REF!</v>
      </c>
      <c r="IP33" t="e">
        <f>AND(#REF!,"AAAAAH393/k=")</f>
        <v>#REF!</v>
      </c>
      <c r="IQ33" t="e">
        <f>AND(#REF!,"AAAAAH393/o=")</f>
        <v>#REF!</v>
      </c>
      <c r="IR33" t="e">
        <f>AND(#REF!,"AAAAAH393/s=")</f>
        <v>#REF!</v>
      </c>
      <c r="IS33" t="e">
        <f>AND(#REF!,"AAAAAH393/w=")</f>
        <v>#REF!</v>
      </c>
      <c r="IT33" t="e">
        <f>AND(#REF!,"AAAAAH393/0=")</f>
        <v>#REF!</v>
      </c>
      <c r="IU33" t="e">
        <f>AND(#REF!,"AAAAAH393/4=")</f>
        <v>#REF!</v>
      </c>
      <c r="IV33" t="e">
        <f>AND(#REF!,"AAAAAH393/8=")</f>
        <v>#REF!</v>
      </c>
    </row>
    <row r="34" spans="1:256" x14ac:dyDescent="0.2">
      <c r="A34" t="e">
        <f>AND(#REF!,"AAAAADXX/wA=")</f>
        <v>#REF!</v>
      </c>
      <c r="B34" t="e">
        <f>AND(#REF!,"AAAAADXX/wE=")</f>
        <v>#REF!</v>
      </c>
      <c r="C34" t="e">
        <f>AND(#REF!,"AAAAADXX/wI=")</f>
        <v>#REF!</v>
      </c>
      <c r="D34" t="e">
        <f>AND(#REF!,"AAAAADXX/wM=")</f>
        <v>#REF!</v>
      </c>
      <c r="E34" t="e">
        <f>AND(#REF!,"AAAAADXX/wQ=")</f>
        <v>#REF!</v>
      </c>
      <c r="F34" t="e">
        <f>AND(#REF!,"AAAAADXX/wU=")</f>
        <v>#REF!</v>
      </c>
      <c r="G34" t="e">
        <f>AND(#REF!,"AAAAADXX/wY=")</f>
        <v>#REF!</v>
      </c>
      <c r="H34" t="e">
        <f>AND(#REF!,"AAAAADXX/wc=")</f>
        <v>#REF!</v>
      </c>
      <c r="I34" t="e">
        <f>AND(#REF!,"AAAAADXX/wg=")</f>
        <v>#REF!</v>
      </c>
      <c r="J34" t="e">
        <f>AND(#REF!,"AAAAADXX/wk=")</f>
        <v>#REF!</v>
      </c>
      <c r="K34" t="e">
        <f>AND(#REF!,"AAAAADXX/wo=")</f>
        <v>#REF!</v>
      </c>
      <c r="L34" t="e">
        <f>AND(#REF!,"AAAAADXX/ws=")</f>
        <v>#REF!</v>
      </c>
      <c r="M34" t="e">
        <f>AND(#REF!,"AAAAADXX/ww=")</f>
        <v>#REF!</v>
      </c>
      <c r="N34" t="e">
        <f>AND(#REF!,"AAAAADXX/w0=")</f>
        <v>#REF!</v>
      </c>
      <c r="O34" t="e">
        <f>AND(#REF!,"AAAAADXX/w4=")</f>
        <v>#REF!</v>
      </c>
      <c r="P34" t="e">
        <f>AND(#REF!,"AAAAADXX/w8=")</f>
        <v>#REF!</v>
      </c>
      <c r="Q34" t="e">
        <f>AND(#REF!,"AAAAADXX/xA=")</f>
        <v>#REF!</v>
      </c>
      <c r="R34" t="e">
        <f>AND(#REF!,"AAAAADXX/xE=")</f>
        <v>#REF!</v>
      </c>
      <c r="S34" t="e">
        <f>AND(#REF!,"AAAAADXX/xI=")</f>
        <v>#REF!</v>
      </c>
      <c r="T34" t="e">
        <f>AND(#REF!,"AAAAADXX/xM=")</f>
        <v>#REF!</v>
      </c>
      <c r="U34" t="e">
        <f>AND(#REF!,"AAAAADXX/xQ=")</f>
        <v>#REF!</v>
      </c>
      <c r="V34" t="e">
        <f>AND(#REF!,"AAAAADXX/xU=")</f>
        <v>#REF!</v>
      </c>
      <c r="W34" t="e">
        <f>AND(#REF!,"AAAAADXX/xY=")</f>
        <v>#REF!</v>
      </c>
      <c r="X34" t="e">
        <f>AND(#REF!,"AAAAADXX/xc=")</f>
        <v>#REF!</v>
      </c>
      <c r="Y34" t="e">
        <f>AND(#REF!,"AAAAADXX/xg=")</f>
        <v>#REF!</v>
      </c>
      <c r="Z34" t="e">
        <f>AND(#REF!,"AAAAADXX/xk=")</f>
        <v>#REF!</v>
      </c>
      <c r="AA34" t="e">
        <f>AND(#REF!,"AAAAADXX/xo=")</f>
        <v>#REF!</v>
      </c>
      <c r="AB34" t="e">
        <f>AND(#REF!,"AAAAADXX/xs=")</f>
        <v>#REF!</v>
      </c>
      <c r="AC34" t="e">
        <f>AND(#REF!,"AAAAADXX/xw=")</f>
        <v>#REF!</v>
      </c>
      <c r="AD34" t="e">
        <f>AND(#REF!,"AAAAADXX/x0=")</f>
        <v>#REF!</v>
      </c>
      <c r="AE34" t="e">
        <f>AND(#REF!,"AAAAADXX/x4=")</f>
        <v>#REF!</v>
      </c>
      <c r="AF34" t="e">
        <f>AND(#REF!,"AAAAADXX/x8=")</f>
        <v>#REF!</v>
      </c>
      <c r="AG34" t="e">
        <f>AND(#REF!,"AAAAADXX/yA=")</f>
        <v>#REF!</v>
      </c>
      <c r="AH34" t="e">
        <f>AND(#REF!,"AAAAADXX/yE=")</f>
        <v>#REF!</v>
      </c>
      <c r="AI34" t="e">
        <f>AND(#REF!,"AAAAADXX/yI=")</f>
        <v>#REF!</v>
      </c>
      <c r="AJ34" t="e">
        <f>AND(#REF!,"AAAAADXX/yM=")</f>
        <v>#REF!</v>
      </c>
      <c r="AK34" t="e">
        <f>AND(#REF!,"AAAAADXX/yQ=")</f>
        <v>#REF!</v>
      </c>
      <c r="AL34" t="e">
        <f>AND(#REF!,"AAAAADXX/yU=")</f>
        <v>#REF!</v>
      </c>
      <c r="AM34" t="e">
        <f>AND(#REF!,"AAAAADXX/yY=")</f>
        <v>#REF!</v>
      </c>
      <c r="AN34" t="e">
        <f>AND(#REF!,"AAAAADXX/yc=")</f>
        <v>#REF!</v>
      </c>
      <c r="AO34" t="e">
        <f>AND(#REF!,"AAAAADXX/yg=")</f>
        <v>#REF!</v>
      </c>
      <c r="AP34" t="e">
        <f>AND(#REF!,"AAAAADXX/yk=")</f>
        <v>#REF!</v>
      </c>
      <c r="AQ34" t="e">
        <f>AND(#REF!,"AAAAADXX/yo=")</f>
        <v>#REF!</v>
      </c>
      <c r="AR34" t="e">
        <f>AND(#REF!,"AAAAADXX/ys=")</f>
        <v>#REF!</v>
      </c>
      <c r="AS34" t="e">
        <f>AND(#REF!,"AAAAADXX/yw=")</f>
        <v>#REF!</v>
      </c>
      <c r="AT34" t="e">
        <f>AND(#REF!,"AAAAADXX/y0=")</f>
        <v>#REF!</v>
      </c>
      <c r="AU34" t="e">
        <f>AND(#REF!,"AAAAADXX/y4=")</f>
        <v>#REF!</v>
      </c>
      <c r="AV34" t="e">
        <f>AND(#REF!,"AAAAADXX/y8=")</f>
        <v>#REF!</v>
      </c>
      <c r="AW34" t="e">
        <f>AND(#REF!,"AAAAADXX/zA=")</f>
        <v>#REF!</v>
      </c>
      <c r="AX34" t="e">
        <f>AND(#REF!,"AAAAADXX/zE=")</f>
        <v>#REF!</v>
      </c>
      <c r="AY34" t="e">
        <f>AND(#REF!,"AAAAADXX/zI=")</f>
        <v>#REF!</v>
      </c>
      <c r="AZ34" t="e">
        <f>AND(#REF!,"AAAAADXX/zM=")</f>
        <v>#REF!</v>
      </c>
      <c r="BA34" t="e">
        <f>AND(#REF!,"AAAAADXX/zQ=")</f>
        <v>#REF!</v>
      </c>
      <c r="BB34" t="e">
        <f>AND(#REF!,"AAAAADXX/zU=")</f>
        <v>#REF!</v>
      </c>
      <c r="BC34" t="e">
        <f>AND(#REF!,"AAAAADXX/zY=")</f>
        <v>#REF!</v>
      </c>
      <c r="BD34" t="e">
        <f>AND(#REF!,"AAAAADXX/zc=")</f>
        <v>#REF!</v>
      </c>
      <c r="BE34" t="e">
        <f>AND(#REF!,"AAAAADXX/zg=")</f>
        <v>#REF!</v>
      </c>
      <c r="BF34" t="e">
        <f>AND(#REF!,"AAAAADXX/zk=")</f>
        <v>#REF!</v>
      </c>
      <c r="BG34" t="e">
        <f>AND(#REF!,"AAAAADXX/zo=")</f>
        <v>#REF!</v>
      </c>
      <c r="BH34" t="e">
        <f>AND(#REF!,"AAAAADXX/zs=")</f>
        <v>#REF!</v>
      </c>
      <c r="BI34" t="e">
        <f>AND(#REF!,"AAAAADXX/zw=")</f>
        <v>#REF!</v>
      </c>
      <c r="BJ34" t="e">
        <f>AND(#REF!,"AAAAADXX/z0=")</f>
        <v>#REF!</v>
      </c>
      <c r="BK34" t="e">
        <f>AND(#REF!,"AAAAADXX/z4=")</f>
        <v>#REF!</v>
      </c>
      <c r="BL34" t="e">
        <f>AND(#REF!,"AAAAADXX/z8=")</f>
        <v>#REF!</v>
      </c>
      <c r="BM34" t="e">
        <f>AND(#REF!,"AAAAADXX/0A=")</f>
        <v>#REF!</v>
      </c>
      <c r="BN34" t="e">
        <f>AND(#REF!,"AAAAADXX/0E=")</f>
        <v>#REF!</v>
      </c>
      <c r="BO34" t="e">
        <f>AND(#REF!,"AAAAADXX/0I=")</f>
        <v>#REF!</v>
      </c>
      <c r="BP34" t="e">
        <f>AND(#REF!,"AAAAADXX/0M=")</f>
        <v>#REF!</v>
      </c>
      <c r="BQ34" t="e">
        <f>AND(#REF!,"AAAAADXX/0Q=")</f>
        <v>#REF!</v>
      </c>
      <c r="BR34" t="e">
        <f>AND(#REF!,"AAAAADXX/0U=")</f>
        <v>#REF!</v>
      </c>
      <c r="BS34" t="e">
        <f>AND(#REF!,"AAAAADXX/0Y=")</f>
        <v>#REF!</v>
      </c>
      <c r="BT34" t="e">
        <f>AND(#REF!,"AAAAADXX/0c=")</f>
        <v>#REF!</v>
      </c>
      <c r="BU34" t="e">
        <f>AND(#REF!,"AAAAADXX/0g=")</f>
        <v>#REF!</v>
      </c>
      <c r="BV34" t="e">
        <f>AND(#REF!,"AAAAADXX/0k=")</f>
        <v>#REF!</v>
      </c>
      <c r="BW34" t="e">
        <f>AND(#REF!,"AAAAADXX/0o=")</f>
        <v>#REF!</v>
      </c>
      <c r="BX34" t="e">
        <f>AND(#REF!,"AAAAADXX/0s=")</f>
        <v>#REF!</v>
      </c>
      <c r="BY34" t="e">
        <f>IF(#REF!,"AAAAADXX/0w=",0)</f>
        <v>#REF!</v>
      </c>
      <c r="BZ34" t="e">
        <f>AND(#REF!,"AAAAADXX/00=")</f>
        <v>#REF!</v>
      </c>
      <c r="CA34" t="e">
        <f>AND(#REF!,"AAAAADXX/04=")</f>
        <v>#REF!</v>
      </c>
      <c r="CB34" t="e">
        <f>AND(#REF!,"AAAAADXX/08=")</f>
        <v>#REF!</v>
      </c>
      <c r="CC34" t="e">
        <f>AND(#REF!,"AAAAADXX/1A=")</f>
        <v>#REF!</v>
      </c>
      <c r="CD34" t="e">
        <f>AND(#REF!,"AAAAADXX/1E=")</f>
        <v>#REF!</v>
      </c>
      <c r="CE34" t="e">
        <f>AND(#REF!,"AAAAADXX/1I=")</f>
        <v>#REF!</v>
      </c>
      <c r="CF34" t="e">
        <f>AND(#REF!,"AAAAADXX/1M=")</f>
        <v>#REF!</v>
      </c>
      <c r="CG34" t="e">
        <f>AND(#REF!,"AAAAADXX/1Q=")</f>
        <v>#REF!</v>
      </c>
      <c r="CH34" t="e">
        <f>AND(#REF!,"AAAAADXX/1U=")</f>
        <v>#REF!</v>
      </c>
      <c r="CI34" t="e">
        <f>AND(#REF!,"AAAAADXX/1Y=")</f>
        <v>#REF!</v>
      </c>
      <c r="CJ34" t="e">
        <f>AND(#REF!,"AAAAADXX/1c=")</f>
        <v>#REF!</v>
      </c>
      <c r="CK34" t="e">
        <f>AND(#REF!,"AAAAADXX/1g=")</f>
        <v>#REF!</v>
      </c>
      <c r="CL34" t="e">
        <f>AND(#REF!,"AAAAADXX/1k=")</f>
        <v>#REF!</v>
      </c>
      <c r="CM34" t="e">
        <f>AND(#REF!,"AAAAADXX/1o=")</f>
        <v>#REF!</v>
      </c>
      <c r="CN34" t="e">
        <f>AND(#REF!,"AAAAADXX/1s=")</f>
        <v>#REF!</v>
      </c>
      <c r="CO34" t="e">
        <f>AND(#REF!,"AAAAADXX/1w=")</f>
        <v>#REF!</v>
      </c>
      <c r="CP34" t="e">
        <f>AND(#REF!,"AAAAADXX/10=")</f>
        <v>#REF!</v>
      </c>
      <c r="CQ34" t="e">
        <f>AND(#REF!,"AAAAADXX/14=")</f>
        <v>#REF!</v>
      </c>
      <c r="CR34" t="e">
        <f>AND(#REF!,"AAAAADXX/18=")</f>
        <v>#REF!</v>
      </c>
      <c r="CS34" t="e">
        <f>AND(#REF!,"AAAAADXX/2A=")</f>
        <v>#REF!</v>
      </c>
      <c r="CT34" t="e">
        <f>AND(#REF!,"AAAAADXX/2E=")</f>
        <v>#REF!</v>
      </c>
      <c r="CU34" t="e">
        <f>AND(#REF!,"AAAAADXX/2I=")</f>
        <v>#REF!</v>
      </c>
      <c r="CV34" t="e">
        <f>AND(#REF!,"AAAAADXX/2M=")</f>
        <v>#REF!</v>
      </c>
      <c r="CW34" t="e">
        <f>AND(#REF!,"AAAAADXX/2Q=")</f>
        <v>#REF!</v>
      </c>
      <c r="CX34" t="e">
        <f>AND(#REF!,"AAAAADXX/2U=")</f>
        <v>#REF!</v>
      </c>
      <c r="CY34" t="e">
        <f>AND(#REF!,"AAAAADXX/2Y=")</f>
        <v>#REF!</v>
      </c>
      <c r="CZ34" t="e">
        <f>AND(#REF!,"AAAAADXX/2c=")</f>
        <v>#REF!</v>
      </c>
      <c r="DA34" t="e">
        <f>AND(#REF!,"AAAAADXX/2g=")</f>
        <v>#REF!</v>
      </c>
      <c r="DB34" t="e">
        <f>AND(#REF!,"AAAAADXX/2k=")</f>
        <v>#REF!</v>
      </c>
      <c r="DC34" t="e">
        <f>AND(#REF!,"AAAAADXX/2o=")</f>
        <v>#REF!</v>
      </c>
      <c r="DD34" t="e">
        <f>AND(#REF!,"AAAAADXX/2s=")</f>
        <v>#REF!</v>
      </c>
      <c r="DE34" t="e">
        <f>AND(#REF!,"AAAAADXX/2w=")</f>
        <v>#REF!</v>
      </c>
      <c r="DF34" t="e">
        <f>AND(#REF!,"AAAAADXX/20=")</f>
        <v>#REF!</v>
      </c>
      <c r="DG34" t="e">
        <f>AND(#REF!,"AAAAADXX/24=")</f>
        <v>#REF!</v>
      </c>
      <c r="DH34" t="e">
        <f>AND(#REF!,"AAAAADXX/28=")</f>
        <v>#REF!</v>
      </c>
      <c r="DI34" t="e">
        <f>AND(#REF!,"AAAAADXX/3A=")</f>
        <v>#REF!</v>
      </c>
      <c r="DJ34" t="e">
        <f>AND(#REF!,"AAAAADXX/3E=")</f>
        <v>#REF!</v>
      </c>
      <c r="DK34" t="e">
        <f>AND(#REF!,"AAAAADXX/3I=")</f>
        <v>#REF!</v>
      </c>
      <c r="DL34" t="e">
        <f>AND(#REF!,"AAAAADXX/3M=")</f>
        <v>#REF!</v>
      </c>
      <c r="DM34" t="e">
        <f>AND(#REF!,"AAAAADXX/3Q=")</f>
        <v>#REF!</v>
      </c>
      <c r="DN34" t="e">
        <f>AND(#REF!,"AAAAADXX/3U=")</f>
        <v>#REF!</v>
      </c>
      <c r="DO34" t="e">
        <f>AND(#REF!,"AAAAADXX/3Y=")</f>
        <v>#REF!</v>
      </c>
      <c r="DP34" t="e">
        <f>AND(#REF!,"AAAAADXX/3c=")</f>
        <v>#REF!</v>
      </c>
      <c r="DQ34" t="e">
        <f>AND(#REF!,"AAAAADXX/3g=")</f>
        <v>#REF!</v>
      </c>
      <c r="DR34" t="e">
        <f>AND(#REF!,"AAAAADXX/3k=")</f>
        <v>#REF!</v>
      </c>
      <c r="DS34" t="e">
        <f>AND(#REF!,"AAAAADXX/3o=")</f>
        <v>#REF!</v>
      </c>
      <c r="DT34" t="e">
        <f>AND(#REF!,"AAAAADXX/3s=")</f>
        <v>#REF!</v>
      </c>
      <c r="DU34" t="e">
        <f>AND(#REF!,"AAAAADXX/3w=")</f>
        <v>#REF!</v>
      </c>
      <c r="DV34" t="e">
        <f>AND(#REF!,"AAAAADXX/30=")</f>
        <v>#REF!</v>
      </c>
      <c r="DW34" t="e">
        <f>AND(#REF!,"AAAAADXX/34=")</f>
        <v>#REF!</v>
      </c>
      <c r="DX34" t="e">
        <f>AND(#REF!,"AAAAADXX/38=")</f>
        <v>#REF!</v>
      </c>
      <c r="DY34" t="e">
        <f>AND(#REF!,"AAAAADXX/4A=")</f>
        <v>#REF!</v>
      </c>
      <c r="DZ34" t="e">
        <f>AND(#REF!,"AAAAADXX/4E=")</f>
        <v>#REF!</v>
      </c>
      <c r="EA34" t="e">
        <f>AND(#REF!,"AAAAADXX/4I=")</f>
        <v>#REF!</v>
      </c>
      <c r="EB34" t="e">
        <f>AND(#REF!,"AAAAADXX/4M=")</f>
        <v>#REF!</v>
      </c>
      <c r="EC34" t="e">
        <f>AND(#REF!,"AAAAADXX/4Q=")</f>
        <v>#REF!</v>
      </c>
      <c r="ED34" t="e">
        <f>AND(#REF!,"AAAAADXX/4U=")</f>
        <v>#REF!</v>
      </c>
      <c r="EE34" t="e">
        <f>AND(#REF!,"AAAAADXX/4Y=")</f>
        <v>#REF!</v>
      </c>
      <c r="EF34" t="e">
        <f>AND(#REF!,"AAAAADXX/4c=")</f>
        <v>#REF!</v>
      </c>
      <c r="EG34" t="e">
        <f>AND(#REF!,"AAAAADXX/4g=")</f>
        <v>#REF!</v>
      </c>
      <c r="EH34" t="e">
        <f>AND(#REF!,"AAAAADXX/4k=")</f>
        <v>#REF!</v>
      </c>
      <c r="EI34" t="e">
        <f>AND(#REF!,"AAAAADXX/4o=")</f>
        <v>#REF!</v>
      </c>
      <c r="EJ34" t="e">
        <f>AND(#REF!,"AAAAADXX/4s=")</f>
        <v>#REF!</v>
      </c>
      <c r="EK34" t="e">
        <f>AND(#REF!,"AAAAADXX/4w=")</f>
        <v>#REF!</v>
      </c>
      <c r="EL34" t="e">
        <f>AND(#REF!,"AAAAADXX/40=")</f>
        <v>#REF!</v>
      </c>
      <c r="EM34" t="e">
        <f>AND(#REF!,"AAAAADXX/44=")</f>
        <v>#REF!</v>
      </c>
      <c r="EN34" t="e">
        <f>AND(#REF!,"AAAAADXX/48=")</f>
        <v>#REF!</v>
      </c>
      <c r="EO34" t="e">
        <f>AND(#REF!,"AAAAADXX/5A=")</f>
        <v>#REF!</v>
      </c>
      <c r="EP34" t="e">
        <f>AND(#REF!,"AAAAADXX/5E=")</f>
        <v>#REF!</v>
      </c>
      <c r="EQ34" t="e">
        <f>AND(#REF!,"AAAAADXX/5I=")</f>
        <v>#REF!</v>
      </c>
      <c r="ER34" t="e">
        <f>AND(#REF!,"AAAAADXX/5M=")</f>
        <v>#REF!</v>
      </c>
      <c r="ES34" t="e">
        <f>AND(#REF!,"AAAAADXX/5Q=")</f>
        <v>#REF!</v>
      </c>
      <c r="ET34" t="e">
        <f>AND(#REF!,"AAAAADXX/5U=")</f>
        <v>#REF!</v>
      </c>
      <c r="EU34" t="e">
        <f>AND(#REF!,"AAAAADXX/5Y=")</f>
        <v>#REF!</v>
      </c>
      <c r="EV34" t="e">
        <f>AND(#REF!,"AAAAADXX/5c=")</f>
        <v>#REF!</v>
      </c>
      <c r="EW34" t="e">
        <f>AND(#REF!,"AAAAADXX/5g=")</f>
        <v>#REF!</v>
      </c>
      <c r="EX34" t="e">
        <f>AND(#REF!,"AAAAADXX/5k=")</f>
        <v>#REF!</v>
      </c>
      <c r="EY34" t="e">
        <f>AND(#REF!,"AAAAADXX/5o=")</f>
        <v>#REF!</v>
      </c>
      <c r="EZ34" t="e">
        <f>AND(#REF!,"AAAAADXX/5s=")</f>
        <v>#REF!</v>
      </c>
      <c r="FA34" t="e">
        <f>AND(#REF!,"AAAAADXX/5w=")</f>
        <v>#REF!</v>
      </c>
      <c r="FB34" t="e">
        <f>AND(#REF!,"AAAAADXX/50=")</f>
        <v>#REF!</v>
      </c>
      <c r="FC34" t="e">
        <f>AND(#REF!,"AAAAADXX/54=")</f>
        <v>#REF!</v>
      </c>
      <c r="FD34" t="e">
        <f>AND(#REF!,"AAAAADXX/58=")</f>
        <v>#REF!</v>
      </c>
      <c r="FE34" t="e">
        <f>AND(#REF!,"AAAAADXX/6A=")</f>
        <v>#REF!</v>
      </c>
      <c r="FF34" t="e">
        <f>AND(#REF!,"AAAAADXX/6E=")</f>
        <v>#REF!</v>
      </c>
      <c r="FG34" t="e">
        <f>AND(#REF!,"AAAAADXX/6I=")</f>
        <v>#REF!</v>
      </c>
      <c r="FH34" t="e">
        <f>AND(#REF!,"AAAAADXX/6M=")</f>
        <v>#REF!</v>
      </c>
      <c r="FI34" t="e">
        <f>AND(#REF!,"AAAAADXX/6Q=")</f>
        <v>#REF!</v>
      </c>
      <c r="FJ34" t="e">
        <f>AND(#REF!,"AAAAADXX/6U=")</f>
        <v>#REF!</v>
      </c>
      <c r="FK34" t="e">
        <f>AND(#REF!,"AAAAADXX/6Y=")</f>
        <v>#REF!</v>
      </c>
      <c r="FL34" t="e">
        <f>AND(#REF!,"AAAAADXX/6c=")</f>
        <v>#REF!</v>
      </c>
      <c r="FM34" t="e">
        <f>AND(#REF!,"AAAAADXX/6g=")</f>
        <v>#REF!</v>
      </c>
      <c r="FN34" t="e">
        <f>AND(#REF!,"AAAAADXX/6k=")</f>
        <v>#REF!</v>
      </c>
      <c r="FO34" t="e">
        <f>AND(#REF!,"AAAAADXX/6o=")</f>
        <v>#REF!</v>
      </c>
      <c r="FP34" t="e">
        <f>AND(#REF!,"AAAAADXX/6s=")</f>
        <v>#REF!</v>
      </c>
      <c r="FQ34" t="e">
        <f>AND(#REF!,"AAAAADXX/6w=")</f>
        <v>#REF!</v>
      </c>
      <c r="FR34" t="e">
        <f>AND(#REF!,"AAAAADXX/60=")</f>
        <v>#REF!</v>
      </c>
      <c r="FS34" t="e">
        <f>AND(#REF!,"AAAAADXX/64=")</f>
        <v>#REF!</v>
      </c>
      <c r="FT34" t="e">
        <f>AND(#REF!,"AAAAADXX/68=")</f>
        <v>#REF!</v>
      </c>
      <c r="FU34" t="e">
        <f>AND(#REF!,"AAAAADXX/7A=")</f>
        <v>#REF!</v>
      </c>
      <c r="FV34" t="e">
        <f>AND(#REF!,"AAAAADXX/7E=")</f>
        <v>#REF!</v>
      </c>
      <c r="FW34" t="e">
        <f>AND(#REF!,"AAAAADXX/7I=")</f>
        <v>#REF!</v>
      </c>
      <c r="FX34" t="e">
        <f>AND(#REF!,"AAAAADXX/7M=")</f>
        <v>#REF!</v>
      </c>
      <c r="FY34" t="e">
        <f>AND(#REF!,"AAAAADXX/7Q=")</f>
        <v>#REF!</v>
      </c>
      <c r="FZ34" t="e">
        <f>AND(#REF!,"AAAAADXX/7U=")</f>
        <v>#REF!</v>
      </c>
      <c r="GA34" t="e">
        <f>AND(#REF!,"AAAAADXX/7Y=")</f>
        <v>#REF!</v>
      </c>
      <c r="GB34" t="e">
        <f>AND(#REF!,"AAAAADXX/7c=")</f>
        <v>#REF!</v>
      </c>
      <c r="GC34" t="e">
        <f>AND(#REF!,"AAAAADXX/7g=")</f>
        <v>#REF!</v>
      </c>
      <c r="GD34" t="e">
        <f>AND(#REF!,"AAAAADXX/7k=")</f>
        <v>#REF!</v>
      </c>
      <c r="GE34" t="e">
        <f>AND(#REF!,"AAAAADXX/7o=")</f>
        <v>#REF!</v>
      </c>
      <c r="GF34" t="e">
        <f>AND(#REF!,"AAAAADXX/7s=")</f>
        <v>#REF!</v>
      </c>
      <c r="GG34" t="e">
        <f>AND(#REF!,"AAAAADXX/7w=")</f>
        <v>#REF!</v>
      </c>
      <c r="GH34" t="e">
        <f>AND(#REF!,"AAAAADXX/70=")</f>
        <v>#REF!</v>
      </c>
      <c r="GI34" t="e">
        <f>AND(#REF!,"AAAAADXX/74=")</f>
        <v>#REF!</v>
      </c>
      <c r="GJ34" t="e">
        <f>AND(#REF!,"AAAAADXX/78=")</f>
        <v>#REF!</v>
      </c>
      <c r="GK34" t="e">
        <f>AND(#REF!,"AAAAADXX/8A=")</f>
        <v>#REF!</v>
      </c>
      <c r="GL34" t="e">
        <f>AND(#REF!,"AAAAADXX/8E=")</f>
        <v>#REF!</v>
      </c>
      <c r="GM34" t="e">
        <f>AND(#REF!,"AAAAADXX/8I=")</f>
        <v>#REF!</v>
      </c>
      <c r="GN34" t="e">
        <f>AND(#REF!,"AAAAADXX/8M=")</f>
        <v>#REF!</v>
      </c>
      <c r="GO34" t="e">
        <f>AND(#REF!,"AAAAADXX/8Q=")</f>
        <v>#REF!</v>
      </c>
      <c r="GP34" t="e">
        <f>AND(#REF!,"AAAAADXX/8U=")</f>
        <v>#REF!</v>
      </c>
      <c r="GQ34" t="e">
        <f>AND(#REF!,"AAAAADXX/8Y=")</f>
        <v>#REF!</v>
      </c>
      <c r="GR34" t="e">
        <f>AND(#REF!,"AAAAADXX/8c=")</f>
        <v>#REF!</v>
      </c>
      <c r="GS34" t="e">
        <f>AND(#REF!,"AAAAADXX/8g=")</f>
        <v>#REF!</v>
      </c>
      <c r="GT34" t="e">
        <f>AND(#REF!,"AAAAADXX/8k=")</f>
        <v>#REF!</v>
      </c>
      <c r="GU34" t="e">
        <f>AND(#REF!,"AAAAADXX/8o=")</f>
        <v>#REF!</v>
      </c>
      <c r="GV34" t="e">
        <f>AND(#REF!,"AAAAADXX/8s=")</f>
        <v>#REF!</v>
      </c>
      <c r="GW34" t="e">
        <f>AND(#REF!,"AAAAADXX/8w=")</f>
        <v>#REF!</v>
      </c>
      <c r="GX34" t="e">
        <f>AND(#REF!,"AAAAADXX/80=")</f>
        <v>#REF!</v>
      </c>
      <c r="GY34" t="e">
        <f>AND(#REF!,"AAAAADXX/84=")</f>
        <v>#REF!</v>
      </c>
      <c r="GZ34" t="e">
        <f>AND(#REF!,"AAAAADXX/88=")</f>
        <v>#REF!</v>
      </c>
      <c r="HA34" t="e">
        <f>AND(#REF!,"AAAAADXX/9A=")</f>
        <v>#REF!</v>
      </c>
      <c r="HB34" t="e">
        <f>AND(#REF!,"AAAAADXX/9E=")</f>
        <v>#REF!</v>
      </c>
      <c r="HC34" t="e">
        <f>AND(#REF!,"AAAAADXX/9I=")</f>
        <v>#REF!</v>
      </c>
      <c r="HD34" t="e">
        <f>AND(#REF!,"AAAAADXX/9M=")</f>
        <v>#REF!</v>
      </c>
      <c r="HE34" t="e">
        <f>AND(#REF!,"AAAAADXX/9Q=")</f>
        <v>#REF!</v>
      </c>
      <c r="HF34" t="e">
        <f>AND(#REF!,"AAAAADXX/9U=")</f>
        <v>#REF!</v>
      </c>
      <c r="HG34" t="e">
        <f>AND(#REF!,"AAAAADXX/9Y=")</f>
        <v>#REF!</v>
      </c>
      <c r="HH34" t="e">
        <f>AND(#REF!,"AAAAADXX/9c=")</f>
        <v>#REF!</v>
      </c>
      <c r="HI34" t="e">
        <f>AND(#REF!,"AAAAADXX/9g=")</f>
        <v>#REF!</v>
      </c>
      <c r="HJ34" t="e">
        <f>AND(#REF!,"AAAAADXX/9k=")</f>
        <v>#REF!</v>
      </c>
      <c r="HK34" t="e">
        <f>AND(#REF!,"AAAAADXX/9o=")</f>
        <v>#REF!</v>
      </c>
      <c r="HL34" t="e">
        <f>AND(#REF!,"AAAAADXX/9s=")</f>
        <v>#REF!</v>
      </c>
      <c r="HM34" t="e">
        <f>AND(#REF!,"AAAAADXX/9w=")</f>
        <v>#REF!</v>
      </c>
      <c r="HN34" t="e">
        <f>AND(#REF!,"AAAAADXX/90=")</f>
        <v>#REF!</v>
      </c>
      <c r="HO34" t="e">
        <f>AND(#REF!,"AAAAADXX/94=")</f>
        <v>#REF!</v>
      </c>
      <c r="HP34" t="e">
        <f>AND(#REF!,"AAAAADXX/98=")</f>
        <v>#REF!</v>
      </c>
      <c r="HQ34" t="e">
        <f>AND(#REF!,"AAAAADXX/+A=")</f>
        <v>#REF!</v>
      </c>
      <c r="HR34" t="e">
        <f>AND(#REF!,"AAAAADXX/+E=")</f>
        <v>#REF!</v>
      </c>
      <c r="HS34" t="e">
        <f>AND(#REF!,"AAAAADXX/+I=")</f>
        <v>#REF!</v>
      </c>
      <c r="HT34" t="e">
        <f>AND(#REF!,"AAAAADXX/+M=")</f>
        <v>#REF!</v>
      </c>
      <c r="HU34" t="e">
        <f>AND(#REF!,"AAAAADXX/+Q=")</f>
        <v>#REF!</v>
      </c>
      <c r="HV34" t="e">
        <f>AND(#REF!,"AAAAADXX/+U=")</f>
        <v>#REF!</v>
      </c>
      <c r="HW34" t="e">
        <f>AND(#REF!,"AAAAADXX/+Y=")</f>
        <v>#REF!</v>
      </c>
      <c r="HX34" t="e">
        <f>AND(#REF!,"AAAAADXX/+c=")</f>
        <v>#REF!</v>
      </c>
      <c r="HY34" t="e">
        <f>AND(#REF!,"AAAAADXX/+g=")</f>
        <v>#REF!</v>
      </c>
      <c r="HZ34" t="e">
        <f>AND(#REF!,"AAAAADXX/+k=")</f>
        <v>#REF!</v>
      </c>
      <c r="IA34" t="e">
        <f>AND(#REF!,"AAAAADXX/+o=")</f>
        <v>#REF!</v>
      </c>
      <c r="IB34" t="e">
        <f>AND(#REF!,"AAAAADXX/+s=")</f>
        <v>#REF!</v>
      </c>
      <c r="IC34" t="e">
        <f>AND(#REF!,"AAAAADXX/+w=")</f>
        <v>#REF!</v>
      </c>
      <c r="ID34" t="e">
        <f>AND(#REF!,"AAAAADXX/+0=")</f>
        <v>#REF!</v>
      </c>
      <c r="IE34" t="e">
        <f>AND(#REF!,"AAAAADXX/+4=")</f>
        <v>#REF!</v>
      </c>
      <c r="IF34" t="e">
        <f>AND(#REF!,"AAAAADXX/+8=")</f>
        <v>#REF!</v>
      </c>
      <c r="IG34" t="e">
        <f>AND(#REF!,"AAAAADXX//A=")</f>
        <v>#REF!</v>
      </c>
      <c r="IH34" t="e">
        <f>AND(#REF!,"AAAAADXX//E=")</f>
        <v>#REF!</v>
      </c>
      <c r="II34" t="e">
        <f>AND(#REF!,"AAAAADXX//I=")</f>
        <v>#REF!</v>
      </c>
      <c r="IJ34" t="e">
        <f>AND(#REF!,"AAAAADXX//M=")</f>
        <v>#REF!</v>
      </c>
      <c r="IK34" t="e">
        <f>AND(#REF!,"AAAAADXX//Q=")</f>
        <v>#REF!</v>
      </c>
      <c r="IL34" t="e">
        <f>AND(#REF!,"AAAAADXX//U=")</f>
        <v>#REF!</v>
      </c>
      <c r="IM34" t="e">
        <f>AND(#REF!,"AAAAADXX//Y=")</f>
        <v>#REF!</v>
      </c>
      <c r="IN34" t="e">
        <f>AND(#REF!,"AAAAADXX//c=")</f>
        <v>#REF!</v>
      </c>
      <c r="IO34" t="e">
        <f>AND(#REF!,"AAAAADXX//g=")</f>
        <v>#REF!</v>
      </c>
      <c r="IP34" t="e">
        <f>AND(#REF!,"AAAAADXX//k=")</f>
        <v>#REF!</v>
      </c>
      <c r="IQ34" t="e">
        <f>AND(#REF!,"AAAAADXX//o=")</f>
        <v>#REF!</v>
      </c>
      <c r="IR34" t="e">
        <f>AND(#REF!,"AAAAADXX//s=")</f>
        <v>#REF!</v>
      </c>
      <c r="IS34" t="e">
        <f>AND(#REF!,"AAAAADXX//w=")</f>
        <v>#REF!</v>
      </c>
      <c r="IT34" t="e">
        <f>AND(#REF!,"AAAAADXX//0=")</f>
        <v>#REF!</v>
      </c>
      <c r="IU34" t="e">
        <f>AND(#REF!,"AAAAADXX//4=")</f>
        <v>#REF!</v>
      </c>
      <c r="IV34" t="e">
        <f>AND(#REF!,"AAAAADXX//8=")</f>
        <v>#REF!</v>
      </c>
    </row>
    <row r="35" spans="1:256" x14ac:dyDescent="0.2">
      <c r="A35" t="e">
        <f>AND(#REF!,"AAAAAB8f/wA=")</f>
        <v>#REF!</v>
      </c>
      <c r="B35" t="e">
        <f>IF(#REF!,"AAAAAB8f/wE=",0)</f>
        <v>#REF!</v>
      </c>
      <c r="C35" t="e">
        <f>AND(#REF!,"AAAAAB8f/wI=")</f>
        <v>#REF!</v>
      </c>
      <c r="D35" t="e">
        <f>AND(#REF!,"AAAAAB8f/wM=")</f>
        <v>#REF!</v>
      </c>
      <c r="E35" t="e">
        <f>AND(#REF!,"AAAAAB8f/wQ=")</f>
        <v>#REF!</v>
      </c>
      <c r="F35" t="e">
        <f>AND(#REF!,"AAAAAB8f/wU=")</f>
        <v>#REF!</v>
      </c>
      <c r="G35" t="e">
        <f>AND(#REF!,"AAAAAB8f/wY=")</f>
        <v>#REF!</v>
      </c>
      <c r="H35" t="e">
        <f>AND(#REF!,"AAAAAB8f/wc=")</f>
        <v>#REF!</v>
      </c>
      <c r="I35" t="e">
        <f>AND(#REF!,"AAAAAB8f/wg=")</f>
        <v>#REF!</v>
      </c>
      <c r="J35" t="e">
        <f>AND(#REF!,"AAAAAB8f/wk=")</f>
        <v>#REF!</v>
      </c>
      <c r="K35" t="e">
        <f>AND(#REF!,"AAAAAB8f/wo=")</f>
        <v>#REF!</v>
      </c>
      <c r="L35" t="e">
        <f>AND(#REF!,"AAAAAB8f/ws=")</f>
        <v>#REF!</v>
      </c>
      <c r="M35" t="e">
        <f>AND(#REF!,"AAAAAB8f/ww=")</f>
        <v>#REF!</v>
      </c>
      <c r="N35" t="e">
        <f>AND(#REF!,"AAAAAB8f/w0=")</f>
        <v>#REF!</v>
      </c>
      <c r="O35" t="e">
        <f>AND(#REF!,"AAAAAB8f/w4=")</f>
        <v>#REF!</v>
      </c>
      <c r="P35" t="e">
        <f>AND(#REF!,"AAAAAB8f/w8=")</f>
        <v>#REF!</v>
      </c>
      <c r="Q35" t="e">
        <f>AND(#REF!,"AAAAAB8f/xA=")</f>
        <v>#REF!</v>
      </c>
      <c r="R35" t="e">
        <f>AND(#REF!,"AAAAAB8f/xE=")</f>
        <v>#REF!</v>
      </c>
      <c r="S35" t="e">
        <f>AND(#REF!,"AAAAAB8f/xI=")</f>
        <v>#REF!</v>
      </c>
      <c r="T35" t="e">
        <f>AND(#REF!,"AAAAAB8f/xM=")</f>
        <v>#REF!</v>
      </c>
      <c r="U35" t="e">
        <f>AND(#REF!,"AAAAAB8f/xQ=")</f>
        <v>#REF!</v>
      </c>
      <c r="V35" t="e">
        <f>AND(#REF!,"AAAAAB8f/xU=")</f>
        <v>#REF!</v>
      </c>
      <c r="W35" t="e">
        <f>AND(#REF!,"AAAAAB8f/xY=")</f>
        <v>#REF!</v>
      </c>
      <c r="X35" t="e">
        <f>AND(#REF!,"AAAAAB8f/xc=")</f>
        <v>#REF!</v>
      </c>
      <c r="Y35" t="e">
        <f>AND(#REF!,"AAAAAB8f/xg=")</f>
        <v>#REF!</v>
      </c>
      <c r="Z35" t="e">
        <f>AND(#REF!,"AAAAAB8f/xk=")</f>
        <v>#REF!</v>
      </c>
      <c r="AA35" t="e">
        <f>AND(#REF!,"AAAAAB8f/xo=")</f>
        <v>#REF!</v>
      </c>
      <c r="AB35" t="e">
        <f>AND(#REF!,"AAAAAB8f/xs=")</f>
        <v>#REF!</v>
      </c>
      <c r="AC35" t="e">
        <f>AND(#REF!,"AAAAAB8f/xw=")</f>
        <v>#REF!</v>
      </c>
      <c r="AD35" t="e">
        <f>AND(#REF!,"AAAAAB8f/x0=")</f>
        <v>#REF!</v>
      </c>
      <c r="AE35" t="e">
        <f>AND(#REF!,"AAAAAB8f/x4=")</f>
        <v>#REF!</v>
      </c>
      <c r="AF35" t="e">
        <f>AND(#REF!,"AAAAAB8f/x8=")</f>
        <v>#REF!</v>
      </c>
      <c r="AG35" t="e">
        <f>AND(#REF!,"AAAAAB8f/yA=")</f>
        <v>#REF!</v>
      </c>
      <c r="AH35" t="e">
        <f>AND(#REF!,"AAAAAB8f/yE=")</f>
        <v>#REF!</v>
      </c>
      <c r="AI35" t="e">
        <f>AND(#REF!,"AAAAAB8f/yI=")</f>
        <v>#REF!</v>
      </c>
      <c r="AJ35" t="e">
        <f>AND(#REF!,"AAAAAB8f/yM=")</f>
        <v>#REF!</v>
      </c>
      <c r="AK35" t="e">
        <f>AND(#REF!,"AAAAAB8f/yQ=")</f>
        <v>#REF!</v>
      </c>
      <c r="AL35" t="e">
        <f>AND(#REF!,"AAAAAB8f/yU=")</f>
        <v>#REF!</v>
      </c>
      <c r="AM35" t="e">
        <f>AND(#REF!,"AAAAAB8f/yY=")</f>
        <v>#REF!</v>
      </c>
      <c r="AN35" t="e">
        <f>AND(#REF!,"AAAAAB8f/yc=")</f>
        <v>#REF!</v>
      </c>
      <c r="AO35" t="e">
        <f>AND(#REF!,"AAAAAB8f/yg=")</f>
        <v>#REF!</v>
      </c>
      <c r="AP35" t="e">
        <f>AND(#REF!,"AAAAAB8f/yk=")</f>
        <v>#REF!</v>
      </c>
      <c r="AQ35" t="e">
        <f>AND(#REF!,"AAAAAB8f/yo=")</f>
        <v>#REF!</v>
      </c>
      <c r="AR35" t="e">
        <f>AND(#REF!,"AAAAAB8f/ys=")</f>
        <v>#REF!</v>
      </c>
      <c r="AS35" t="e">
        <f>AND(#REF!,"AAAAAB8f/yw=")</f>
        <v>#REF!</v>
      </c>
      <c r="AT35" t="e">
        <f>AND(#REF!,"AAAAAB8f/y0=")</f>
        <v>#REF!</v>
      </c>
      <c r="AU35" t="e">
        <f>AND(#REF!,"AAAAAB8f/y4=")</f>
        <v>#REF!</v>
      </c>
      <c r="AV35" t="e">
        <f>AND(#REF!,"AAAAAB8f/y8=")</f>
        <v>#REF!</v>
      </c>
      <c r="AW35" t="e">
        <f>AND(#REF!,"AAAAAB8f/zA=")</f>
        <v>#REF!</v>
      </c>
      <c r="AX35" t="e">
        <f>AND(#REF!,"AAAAAB8f/zE=")</f>
        <v>#REF!</v>
      </c>
      <c r="AY35" t="e">
        <f>AND(#REF!,"AAAAAB8f/zI=")</f>
        <v>#REF!</v>
      </c>
      <c r="AZ35" t="e">
        <f>AND(#REF!,"AAAAAB8f/zM=")</f>
        <v>#REF!</v>
      </c>
      <c r="BA35" t="e">
        <f>AND(#REF!,"AAAAAB8f/zQ=")</f>
        <v>#REF!</v>
      </c>
      <c r="BB35" t="e">
        <f>AND(#REF!,"AAAAAB8f/zU=")</f>
        <v>#REF!</v>
      </c>
      <c r="BC35" t="e">
        <f>AND(#REF!,"AAAAAB8f/zY=")</f>
        <v>#REF!</v>
      </c>
      <c r="BD35" t="e">
        <f>AND(#REF!,"AAAAAB8f/zc=")</f>
        <v>#REF!</v>
      </c>
      <c r="BE35" t="e">
        <f>AND(#REF!,"AAAAAB8f/zg=")</f>
        <v>#REF!</v>
      </c>
      <c r="BF35" t="e">
        <f>AND(#REF!,"AAAAAB8f/zk=")</f>
        <v>#REF!</v>
      </c>
      <c r="BG35" t="e">
        <f>AND(#REF!,"AAAAAB8f/zo=")</f>
        <v>#REF!</v>
      </c>
      <c r="BH35" t="e">
        <f>AND(#REF!,"AAAAAB8f/zs=")</f>
        <v>#REF!</v>
      </c>
      <c r="BI35" t="e">
        <f>AND(#REF!,"AAAAAB8f/zw=")</f>
        <v>#REF!</v>
      </c>
      <c r="BJ35" t="e">
        <f>AND(#REF!,"AAAAAB8f/z0=")</f>
        <v>#REF!</v>
      </c>
      <c r="BK35" t="e">
        <f>AND(#REF!,"AAAAAB8f/z4=")</f>
        <v>#REF!</v>
      </c>
      <c r="BL35" t="e">
        <f>AND(#REF!,"AAAAAB8f/z8=")</f>
        <v>#REF!</v>
      </c>
      <c r="BM35" t="e">
        <f>AND(#REF!,"AAAAAB8f/0A=")</f>
        <v>#REF!</v>
      </c>
      <c r="BN35" t="e">
        <f>AND(#REF!,"AAAAAB8f/0E=")</f>
        <v>#REF!</v>
      </c>
      <c r="BO35" t="e">
        <f>AND(#REF!,"AAAAAB8f/0I=")</f>
        <v>#REF!</v>
      </c>
      <c r="BP35" t="e">
        <f>AND(#REF!,"AAAAAB8f/0M=")</f>
        <v>#REF!</v>
      </c>
      <c r="BQ35" t="e">
        <f>AND(#REF!,"AAAAAB8f/0Q=")</f>
        <v>#REF!</v>
      </c>
      <c r="BR35" t="e">
        <f>AND(#REF!,"AAAAAB8f/0U=")</f>
        <v>#REF!</v>
      </c>
      <c r="BS35" t="e">
        <f>AND(#REF!,"AAAAAB8f/0Y=")</f>
        <v>#REF!</v>
      </c>
      <c r="BT35" t="e">
        <f>AND(#REF!,"AAAAAB8f/0c=")</f>
        <v>#REF!</v>
      </c>
      <c r="BU35" t="e">
        <f>AND(#REF!,"AAAAAB8f/0g=")</f>
        <v>#REF!</v>
      </c>
      <c r="BV35" t="e">
        <f>AND(#REF!,"AAAAAB8f/0k=")</f>
        <v>#REF!</v>
      </c>
      <c r="BW35" t="e">
        <f>AND(#REF!,"AAAAAB8f/0o=")</f>
        <v>#REF!</v>
      </c>
      <c r="BX35" t="e">
        <f>AND(#REF!,"AAAAAB8f/0s=")</f>
        <v>#REF!</v>
      </c>
      <c r="BY35" t="e">
        <f>AND(#REF!,"AAAAAB8f/0w=")</f>
        <v>#REF!</v>
      </c>
      <c r="BZ35" t="e">
        <f>AND(#REF!,"AAAAAB8f/00=")</f>
        <v>#REF!</v>
      </c>
      <c r="CA35" t="e">
        <f>AND(#REF!,"AAAAAB8f/04=")</f>
        <v>#REF!</v>
      </c>
      <c r="CB35" t="e">
        <f>AND(#REF!,"AAAAAB8f/08=")</f>
        <v>#REF!</v>
      </c>
      <c r="CC35" t="e">
        <f>AND(#REF!,"AAAAAB8f/1A=")</f>
        <v>#REF!</v>
      </c>
      <c r="CD35" t="e">
        <f>AND(#REF!,"AAAAAB8f/1E=")</f>
        <v>#REF!</v>
      </c>
      <c r="CE35" t="e">
        <f>AND(#REF!,"AAAAAB8f/1I=")</f>
        <v>#REF!</v>
      </c>
      <c r="CF35" t="e">
        <f>AND(#REF!,"AAAAAB8f/1M=")</f>
        <v>#REF!</v>
      </c>
      <c r="CG35" t="e">
        <f>AND(#REF!,"AAAAAB8f/1Q=")</f>
        <v>#REF!</v>
      </c>
      <c r="CH35" t="e">
        <f>AND(#REF!,"AAAAAB8f/1U=")</f>
        <v>#REF!</v>
      </c>
      <c r="CI35" t="e">
        <f>AND(#REF!,"AAAAAB8f/1Y=")</f>
        <v>#REF!</v>
      </c>
      <c r="CJ35" t="e">
        <f>AND(#REF!,"AAAAAB8f/1c=")</f>
        <v>#REF!</v>
      </c>
      <c r="CK35" t="e">
        <f>AND(#REF!,"AAAAAB8f/1g=")</f>
        <v>#REF!</v>
      </c>
      <c r="CL35" t="e">
        <f>AND(#REF!,"AAAAAB8f/1k=")</f>
        <v>#REF!</v>
      </c>
      <c r="CM35" t="e">
        <f>AND(#REF!,"AAAAAB8f/1o=")</f>
        <v>#REF!</v>
      </c>
      <c r="CN35" t="e">
        <f>AND(#REF!,"AAAAAB8f/1s=")</f>
        <v>#REF!</v>
      </c>
      <c r="CO35" t="e">
        <f>AND(#REF!,"AAAAAB8f/1w=")</f>
        <v>#REF!</v>
      </c>
      <c r="CP35" t="e">
        <f>AND(#REF!,"AAAAAB8f/10=")</f>
        <v>#REF!</v>
      </c>
      <c r="CQ35" t="e">
        <f>AND(#REF!,"AAAAAB8f/14=")</f>
        <v>#REF!</v>
      </c>
      <c r="CR35" t="e">
        <f>AND(#REF!,"AAAAAB8f/18=")</f>
        <v>#REF!</v>
      </c>
      <c r="CS35" t="e">
        <f>AND(#REF!,"AAAAAB8f/2A=")</f>
        <v>#REF!</v>
      </c>
      <c r="CT35" t="e">
        <f>AND(#REF!,"AAAAAB8f/2E=")</f>
        <v>#REF!</v>
      </c>
      <c r="CU35" t="e">
        <f>AND(#REF!,"AAAAAB8f/2I=")</f>
        <v>#REF!</v>
      </c>
      <c r="CV35" t="e">
        <f>AND(#REF!,"AAAAAB8f/2M=")</f>
        <v>#REF!</v>
      </c>
      <c r="CW35" t="e">
        <f>AND(#REF!,"AAAAAB8f/2Q=")</f>
        <v>#REF!</v>
      </c>
      <c r="CX35" t="e">
        <f>AND(#REF!,"AAAAAB8f/2U=")</f>
        <v>#REF!</v>
      </c>
      <c r="CY35" t="e">
        <f>AND(#REF!,"AAAAAB8f/2Y=")</f>
        <v>#REF!</v>
      </c>
      <c r="CZ35" t="e">
        <f>AND(#REF!,"AAAAAB8f/2c=")</f>
        <v>#REF!</v>
      </c>
      <c r="DA35" t="e">
        <f>AND(#REF!,"AAAAAB8f/2g=")</f>
        <v>#REF!</v>
      </c>
      <c r="DB35" t="e">
        <f>AND(#REF!,"AAAAAB8f/2k=")</f>
        <v>#REF!</v>
      </c>
      <c r="DC35" t="e">
        <f>AND(#REF!,"AAAAAB8f/2o=")</f>
        <v>#REF!</v>
      </c>
      <c r="DD35" t="e">
        <f>AND(#REF!,"AAAAAB8f/2s=")</f>
        <v>#REF!</v>
      </c>
      <c r="DE35" t="e">
        <f>AND(#REF!,"AAAAAB8f/2w=")</f>
        <v>#REF!</v>
      </c>
      <c r="DF35" t="e">
        <f>AND(#REF!,"AAAAAB8f/20=")</f>
        <v>#REF!</v>
      </c>
      <c r="DG35" t="e">
        <f>AND(#REF!,"AAAAAB8f/24=")</f>
        <v>#REF!</v>
      </c>
      <c r="DH35" t="e">
        <f>AND(#REF!,"AAAAAB8f/28=")</f>
        <v>#REF!</v>
      </c>
      <c r="DI35" t="e">
        <f>AND(#REF!,"AAAAAB8f/3A=")</f>
        <v>#REF!</v>
      </c>
      <c r="DJ35" t="e">
        <f>AND(#REF!,"AAAAAB8f/3E=")</f>
        <v>#REF!</v>
      </c>
      <c r="DK35" t="e">
        <f>AND(#REF!,"AAAAAB8f/3I=")</f>
        <v>#REF!</v>
      </c>
      <c r="DL35" t="e">
        <f>AND(#REF!,"AAAAAB8f/3M=")</f>
        <v>#REF!</v>
      </c>
      <c r="DM35" t="e">
        <f>AND(#REF!,"AAAAAB8f/3Q=")</f>
        <v>#REF!</v>
      </c>
      <c r="DN35" t="e">
        <f>AND(#REF!,"AAAAAB8f/3U=")</f>
        <v>#REF!</v>
      </c>
      <c r="DO35" t="e">
        <f>AND(#REF!,"AAAAAB8f/3Y=")</f>
        <v>#REF!</v>
      </c>
      <c r="DP35" t="e">
        <f>AND(#REF!,"AAAAAB8f/3c=")</f>
        <v>#REF!</v>
      </c>
      <c r="DQ35" t="e">
        <f>AND(#REF!,"AAAAAB8f/3g=")</f>
        <v>#REF!</v>
      </c>
      <c r="DR35" t="e">
        <f>AND(#REF!,"AAAAAB8f/3k=")</f>
        <v>#REF!</v>
      </c>
      <c r="DS35" t="e">
        <f>AND(#REF!,"AAAAAB8f/3o=")</f>
        <v>#REF!</v>
      </c>
      <c r="DT35" t="e">
        <f>AND(#REF!,"AAAAAB8f/3s=")</f>
        <v>#REF!</v>
      </c>
      <c r="DU35" t="e">
        <f>AND(#REF!,"AAAAAB8f/3w=")</f>
        <v>#REF!</v>
      </c>
      <c r="DV35" t="e">
        <f>AND(#REF!,"AAAAAB8f/30=")</f>
        <v>#REF!</v>
      </c>
      <c r="DW35" t="e">
        <f>AND(#REF!,"AAAAAB8f/34=")</f>
        <v>#REF!</v>
      </c>
      <c r="DX35" t="e">
        <f>AND(#REF!,"AAAAAB8f/38=")</f>
        <v>#REF!</v>
      </c>
      <c r="DY35" t="e">
        <f>AND(#REF!,"AAAAAB8f/4A=")</f>
        <v>#REF!</v>
      </c>
      <c r="DZ35" t="e">
        <f>AND(#REF!,"AAAAAB8f/4E=")</f>
        <v>#REF!</v>
      </c>
      <c r="EA35" t="e">
        <f>AND(#REF!,"AAAAAB8f/4I=")</f>
        <v>#REF!</v>
      </c>
      <c r="EB35" t="e">
        <f>AND(#REF!,"AAAAAB8f/4M=")</f>
        <v>#REF!</v>
      </c>
      <c r="EC35" t="e">
        <f>AND(#REF!,"AAAAAB8f/4Q=")</f>
        <v>#REF!</v>
      </c>
      <c r="ED35" t="e">
        <f>AND(#REF!,"AAAAAB8f/4U=")</f>
        <v>#REF!</v>
      </c>
      <c r="EE35" t="e">
        <f>AND(#REF!,"AAAAAB8f/4Y=")</f>
        <v>#REF!</v>
      </c>
      <c r="EF35" t="e">
        <f>AND(#REF!,"AAAAAB8f/4c=")</f>
        <v>#REF!</v>
      </c>
      <c r="EG35" t="e">
        <f>AND(#REF!,"AAAAAB8f/4g=")</f>
        <v>#REF!</v>
      </c>
      <c r="EH35" t="e">
        <f>AND(#REF!,"AAAAAB8f/4k=")</f>
        <v>#REF!</v>
      </c>
      <c r="EI35" t="e">
        <f>AND(#REF!,"AAAAAB8f/4o=")</f>
        <v>#REF!</v>
      </c>
      <c r="EJ35" t="e">
        <f>AND(#REF!,"AAAAAB8f/4s=")</f>
        <v>#REF!</v>
      </c>
      <c r="EK35" t="e">
        <f>AND(#REF!,"AAAAAB8f/4w=")</f>
        <v>#REF!</v>
      </c>
      <c r="EL35" t="e">
        <f>AND(#REF!,"AAAAAB8f/40=")</f>
        <v>#REF!</v>
      </c>
      <c r="EM35" t="e">
        <f>AND(#REF!,"AAAAAB8f/44=")</f>
        <v>#REF!</v>
      </c>
      <c r="EN35" t="e">
        <f>AND(#REF!,"AAAAAB8f/48=")</f>
        <v>#REF!</v>
      </c>
      <c r="EO35" t="e">
        <f>AND(#REF!,"AAAAAB8f/5A=")</f>
        <v>#REF!</v>
      </c>
      <c r="EP35" t="e">
        <f>AND(#REF!,"AAAAAB8f/5E=")</f>
        <v>#REF!</v>
      </c>
      <c r="EQ35" t="e">
        <f>AND(#REF!,"AAAAAB8f/5I=")</f>
        <v>#REF!</v>
      </c>
      <c r="ER35" t="e">
        <f>AND(#REF!,"AAAAAB8f/5M=")</f>
        <v>#REF!</v>
      </c>
      <c r="ES35" t="e">
        <f>AND(#REF!,"AAAAAB8f/5Q=")</f>
        <v>#REF!</v>
      </c>
      <c r="ET35" t="e">
        <f>AND(#REF!,"AAAAAB8f/5U=")</f>
        <v>#REF!</v>
      </c>
      <c r="EU35" t="e">
        <f>AND(#REF!,"AAAAAB8f/5Y=")</f>
        <v>#REF!</v>
      </c>
      <c r="EV35" t="e">
        <f>AND(#REF!,"AAAAAB8f/5c=")</f>
        <v>#REF!</v>
      </c>
      <c r="EW35" t="e">
        <f>AND(#REF!,"AAAAAB8f/5g=")</f>
        <v>#REF!</v>
      </c>
      <c r="EX35" t="e">
        <f>AND(#REF!,"AAAAAB8f/5k=")</f>
        <v>#REF!</v>
      </c>
      <c r="EY35" t="e">
        <f>AND(#REF!,"AAAAAB8f/5o=")</f>
        <v>#REF!</v>
      </c>
      <c r="EZ35" t="e">
        <f>AND(#REF!,"AAAAAB8f/5s=")</f>
        <v>#REF!</v>
      </c>
      <c r="FA35" t="e">
        <f>AND(#REF!,"AAAAAB8f/5w=")</f>
        <v>#REF!</v>
      </c>
      <c r="FB35" t="e">
        <f>AND(#REF!,"AAAAAB8f/50=")</f>
        <v>#REF!</v>
      </c>
      <c r="FC35" t="e">
        <f>AND(#REF!,"AAAAAB8f/54=")</f>
        <v>#REF!</v>
      </c>
      <c r="FD35" t="e">
        <f>AND(#REF!,"AAAAAB8f/58=")</f>
        <v>#REF!</v>
      </c>
      <c r="FE35" t="e">
        <f>AND(#REF!,"AAAAAB8f/6A=")</f>
        <v>#REF!</v>
      </c>
      <c r="FF35" t="e">
        <f>AND(#REF!,"AAAAAB8f/6E=")</f>
        <v>#REF!</v>
      </c>
      <c r="FG35" t="e">
        <f>AND(#REF!,"AAAAAB8f/6I=")</f>
        <v>#REF!</v>
      </c>
      <c r="FH35" t="e">
        <f>AND(#REF!,"AAAAAB8f/6M=")</f>
        <v>#REF!</v>
      </c>
      <c r="FI35" t="e">
        <f>AND(#REF!,"AAAAAB8f/6Q=")</f>
        <v>#REF!</v>
      </c>
      <c r="FJ35" t="e">
        <f>AND(#REF!,"AAAAAB8f/6U=")</f>
        <v>#REF!</v>
      </c>
      <c r="FK35" t="e">
        <f>AND(#REF!,"AAAAAB8f/6Y=")</f>
        <v>#REF!</v>
      </c>
      <c r="FL35" t="e">
        <f>AND(#REF!,"AAAAAB8f/6c=")</f>
        <v>#REF!</v>
      </c>
      <c r="FM35" t="e">
        <f>AND(#REF!,"AAAAAB8f/6g=")</f>
        <v>#REF!</v>
      </c>
      <c r="FN35" t="e">
        <f>AND(#REF!,"AAAAAB8f/6k=")</f>
        <v>#REF!</v>
      </c>
      <c r="FO35" t="e">
        <f>AND(#REF!,"AAAAAB8f/6o=")</f>
        <v>#REF!</v>
      </c>
      <c r="FP35" t="e">
        <f>AND(#REF!,"AAAAAB8f/6s=")</f>
        <v>#REF!</v>
      </c>
      <c r="FQ35" t="e">
        <f>AND(#REF!,"AAAAAB8f/6w=")</f>
        <v>#REF!</v>
      </c>
      <c r="FR35" t="e">
        <f>AND(#REF!,"AAAAAB8f/60=")</f>
        <v>#REF!</v>
      </c>
      <c r="FS35" t="e">
        <f>AND(#REF!,"AAAAAB8f/64=")</f>
        <v>#REF!</v>
      </c>
      <c r="FT35" t="e">
        <f>AND(#REF!,"AAAAAB8f/68=")</f>
        <v>#REF!</v>
      </c>
      <c r="FU35" t="e">
        <f>AND(#REF!,"AAAAAB8f/7A=")</f>
        <v>#REF!</v>
      </c>
      <c r="FV35" t="e">
        <f>AND(#REF!,"AAAAAB8f/7E=")</f>
        <v>#REF!</v>
      </c>
      <c r="FW35" t="e">
        <f>AND(#REF!,"AAAAAB8f/7I=")</f>
        <v>#REF!</v>
      </c>
      <c r="FX35" t="e">
        <f>AND(#REF!,"AAAAAB8f/7M=")</f>
        <v>#REF!</v>
      </c>
      <c r="FY35" t="e">
        <f>AND(#REF!,"AAAAAB8f/7Q=")</f>
        <v>#REF!</v>
      </c>
      <c r="FZ35" t="e">
        <f>AND(#REF!,"AAAAAB8f/7U=")</f>
        <v>#REF!</v>
      </c>
      <c r="GA35" t="e">
        <f>IF(#REF!,"AAAAAB8f/7Y=",0)</f>
        <v>#REF!</v>
      </c>
      <c r="GB35" t="e">
        <f>AND(#REF!,"AAAAAB8f/7c=")</f>
        <v>#REF!</v>
      </c>
      <c r="GC35" t="e">
        <f>AND(#REF!,"AAAAAB8f/7g=")</f>
        <v>#REF!</v>
      </c>
      <c r="GD35" t="e">
        <f>AND(#REF!,"AAAAAB8f/7k=")</f>
        <v>#REF!</v>
      </c>
      <c r="GE35" t="e">
        <f>AND(#REF!,"AAAAAB8f/7o=")</f>
        <v>#REF!</v>
      </c>
      <c r="GF35" t="e">
        <f>AND(#REF!,"AAAAAB8f/7s=")</f>
        <v>#REF!</v>
      </c>
      <c r="GG35" t="e">
        <f>AND(#REF!,"AAAAAB8f/7w=")</f>
        <v>#REF!</v>
      </c>
      <c r="GH35" t="e">
        <f>AND(#REF!,"AAAAAB8f/70=")</f>
        <v>#REF!</v>
      </c>
      <c r="GI35" t="e">
        <f>AND(#REF!,"AAAAAB8f/74=")</f>
        <v>#REF!</v>
      </c>
      <c r="GJ35" t="e">
        <f>AND(#REF!,"AAAAAB8f/78=")</f>
        <v>#REF!</v>
      </c>
      <c r="GK35" t="e">
        <f>AND(#REF!,"AAAAAB8f/8A=")</f>
        <v>#REF!</v>
      </c>
      <c r="GL35" t="e">
        <f>AND(#REF!,"AAAAAB8f/8E=")</f>
        <v>#REF!</v>
      </c>
      <c r="GM35" t="e">
        <f>AND(#REF!,"AAAAAB8f/8I=")</f>
        <v>#REF!</v>
      </c>
      <c r="GN35" t="e">
        <f>AND(#REF!,"AAAAAB8f/8M=")</f>
        <v>#REF!</v>
      </c>
      <c r="GO35" t="e">
        <f>AND(#REF!,"AAAAAB8f/8Q=")</f>
        <v>#REF!</v>
      </c>
      <c r="GP35" t="e">
        <f>AND(#REF!,"AAAAAB8f/8U=")</f>
        <v>#REF!</v>
      </c>
      <c r="GQ35" t="e">
        <f>AND(#REF!,"AAAAAB8f/8Y=")</f>
        <v>#REF!</v>
      </c>
      <c r="GR35" t="e">
        <f>AND(#REF!,"AAAAAB8f/8c=")</f>
        <v>#REF!</v>
      </c>
      <c r="GS35" t="e">
        <f>AND(#REF!,"AAAAAB8f/8g=")</f>
        <v>#REF!</v>
      </c>
      <c r="GT35" t="e">
        <f>AND(#REF!,"AAAAAB8f/8k=")</f>
        <v>#REF!</v>
      </c>
      <c r="GU35" t="e">
        <f>AND(#REF!,"AAAAAB8f/8o=")</f>
        <v>#REF!</v>
      </c>
      <c r="GV35" t="e">
        <f>AND(#REF!,"AAAAAB8f/8s=")</f>
        <v>#REF!</v>
      </c>
      <c r="GW35" t="e">
        <f>AND(#REF!,"AAAAAB8f/8w=")</f>
        <v>#REF!</v>
      </c>
      <c r="GX35" t="e">
        <f>AND(#REF!,"AAAAAB8f/80=")</f>
        <v>#REF!</v>
      </c>
      <c r="GY35" t="e">
        <f>AND(#REF!,"AAAAAB8f/84=")</f>
        <v>#REF!</v>
      </c>
      <c r="GZ35" t="e">
        <f>AND(#REF!,"AAAAAB8f/88=")</f>
        <v>#REF!</v>
      </c>
      <c r="HA35" t="e">
        <f>AND(#REF!,"AAAAAB8f/9A=")</f>
        <v>#REF!</v>
      </c>
      <c r="HB35" t="e">
        <f>AND(#REF!,"AAAAAB8f/9E=")</f>
        <v>#REF!</v>
      </c>
      <c r="HC35" t="e">
        <f>AND(#REF!,"AAAAAB8f/9I=")</f>
        <v>#REF!</v>
      </c>
      <c r="HD35" t="e">
        <f>AND(#REF!,"AAAAAB8f/9M=")</f>
        <v>#REF!</v>
      </c>
      <c r="HE35" t="e">
        <f>AND(#REF!,"AAAAAB8f/9Q=")</f>
        <v>#REF!</v>
      </c>
      <c r="HF35" t="e">
        <f>AND(#REF!,"AAAAAB8f/9U=")</f>
        <v>#REF!</v>
      </c>
      <c r="HG35" t="e">
        <f>AND(#REF!,"AAAAAB8f/9Y=")</f>
        <v>#REF!</v>
      </c>
      <c r="HH35" t="e">
        <f>AND(#REF!,"AAAAAB8f/9c=")</f>
        <v>#REF!</v>
      </c>
      <c r="HI35" t="e">
        <f>AND(#REF!,"AAAAAB8f/9g=")</f>
        <v>#REF!</v>
      </c>
      <c r="HJ35" t="e">
        <f>AND(#REF!,"AAAAAB8f/9k=")</f>
        <v>#REF!</v>
      </c>
      <c r="HK35" t="e">
        <f>AND(#REF!,"AAAAAB8f/9o=")</f>
        <v>#REF!</v>
      </c>
      <c r="HL35" t="e">
        <f>AND(#REF!,"AAAAAB8f/9s=")</f>
        <v>#REF!</v>
      </c>
      <c r="HM35" t="e">
        <f>AND(#REF!,"AAAAAB8f/9w=")</f>
        <v>#REF!</v>
      </c>
      <c r="HN35" t="e">
        <f>AND(#REF!,"AAAAAB8f/90=")</f>
        <v>#REF!</v>
      </c>
      <c r="HO35" t="e">
        <f>AND(#REF!,"AAAAAB8f/94=")</f>
        <v>#REF!</v>
      </c>
      <c r="HP35" t="e">
        <f>AND(#REF!,"AAAAAB8f/98=")</f>
        <v>#REF!</v>
      </c>
      <c r="HQ35" t="e">
        <f>AND(#REF!,"AAAAAB8f/+A=")</f>
        <v>#REF!</v>
      </c>
      <c r="HR35" t="e">
        <f>AND(#REF!,"AAAAAB8f/+E=")</f>
        <v>#REF!</v>
      </c>
      <c r="HS35" t="e">
        <f>AND(#REF!,"AAAAAB8f/+I=")</f>
        <v>#REF!</v>
      </c>
      <c r="HT35" t="e">
        <f>AND(#REF!,"AAAAAB8f/+M=")</f>
        <v>#REF!</v>
      </c>
      <c r="HU35" t="e">
        <f>AND(#REF!,"AAAAAB8f/+Q=")</f>
        <v>#REF!</v>
      </c>
      <c r="HV35" t="e">
        <f>AND(#REF!,"AAAAAB8f/+U=")</f>
        <v>#REF!</v>
      </c>
      <c r="HW35" t="e">
        <f>AND(#REF!,"AAAAAB8f/+Y=")</f>
        <v>#REF!</v>
      </c>
      <c r="HX35" t="e">
        <f>AND(#REF!,"AAAAAB8f/+c=")</f>
        <v>#REF!</v>
      </c>
      <c r="HY35" t="e">
        <f>AND(#REF!,"AAAAAB8f/+g=")</f>
        <v>#REF!</v>
      </c>
      <c r="HZ35" t="e">
        <f>AND(#REF!,"AAAAAB8f/+k=")</f>
        <v>#REF!</v>
      </c>
      <c r="IA35" t="e">
        <f>AND(#REF!,"AAAAAB8f/+o=")</f>
        <v>#REF!</v>
      </c>
      <c r="IB35" t="e">
        <f>AND(#REF!,"AAAAAB8f/+s=")</f>
        <v>#REF!</v>
      </c>
      <c r="IC35" t="e">
        <f>AND(#REF!,"AAAAAB8f/+w=")</f>
        <v>#REF!</v>
      </c>
      <c r="ID35" t="e">
        <f>AND(#REF!,"AAAAAB8f/+0=")</f>
        <v>#REF!</v>
      </c>
      <c r="IE35" t="e">
        <f>AND(#REF!,"AAAAAB8f/+4=")</f>
        <v>#REF!</v>
      </c>
      <c r="IF35" t="e">
        <f>AND(#REF!,"AAAAAB8f/+8=")</f>
        <v>#REF!</v>
      </c>
      <c r="IG35" t="e">
        <f>AND(#REF!,"AAAAAB8f//A=")</f>
        <v>#REF!</v>
      </c>
      <c r="IH35" t="e">
        <f>AND(#REF!,"AAAAAB8f//E=")</f>
        <v>#REF!</v>
      </c>
      <c r="II35" t="e">
        <f>AND(#REF!,"AAAAAB8f//I=")</f>
        <v>#REF!</v>
      </c>
      <c r="IJ35" t="e">
        <f>AND(#REF!,"AAAAAB8f//M=")</f>
        <v>#REF!</v>
      </c>
      <c r="IK35" t="e">
        <f>AND(#REF!,"AAAAAB8f//Q=")</f>
        <v>#REF!</v>
      </c>
      <c r="IL35" t="e">
        <f>AND(#REF!,"AAAAAB8f//U=")</f>
        <v>#REF!</v>
      </c>
      <c r="IM35" t="e">
        <f>AND(#REF!,"AAAAAB8f//Y=")</f>
        <v>#REF!</v>
      </c>
      <c r="IN35" t="e">
        <f>AND(#REF!,"AAAAAB8f//c=")</f>
        <v>#REF!</v>
      </c>
      <c r="IO35" t="e">
        <f>AND(#REF!,"AAAAAB8f//g=")</f>
        <v>#REF!</v>
      </c>
      <c r="IP35" t="e">
        <f>AND(#REF!,"AAAAAB8f//k=")</f>
        <v>#REF!</v>
      </c>
      <c r="IQ35" t="e">
        <f>AND(#REF!,"AAAAAB8f//o=")</f>
        <v>#REF!</v>
      </c>
      <c r="IR35" t="e">
        <f>AND(#REF!,"AAAAAB8f//s=")</f>
        <v>#REF!</v>
      </c>
      <c r="IS35" t="e">
        <f>AND(#REF!,"AAAAAB8f//w=")</f>
        <v>#REF!</v>
      </c>
      <c r="IT35" t="e">
        <f>AND(#REF!,"AAAAAB8f//0=")</f>
        <v>#REF!</v>
      </c>
      <c r="IU35" t="e">
        <f>AND(#REF!,"AAAAAB8f//4=")</f>
        <v>#REF!</v>
      </c>
      <c r="IV35" t="e">
        <f>AND(#REF!,"AAAAAB8f//8=")</f>
        <v>#REF!</v>
      </c>
    </row>
    <row r="36" spans="1:256" x14ac:dyDescent="0.2">
      <c r="A36" t="e">
        <f>AND(#REF!,"AAAAAD/N3wA=")</f>
        <v>#REF!</v>
      </c>
      <c r="B36" t="e">
        <f>AND(#REF!,"AAAAAD/N3wE=")</f>
        <v>#REF!</v>
      </c>
      <c r="C36" t="e">
        <f>AND(#REF!,"AAAAAD/N3wI=")</f>
        <v>#REF!</v>
      </c>
      <c r="D36" t="e">
        <f>AND(#REF!,"AAAAAD/N3wM=")</f>
        <v>#REF!</v>
      </c>
      <c r="E36" t="e">
        <f>AND(#REF!,"AAAAAD/N3wQ=")</f>
        <v>#REF!</v>
      </c>
      <c r="F36" t="e">
        <f>AND(#REF!,"AAAAAD/N3wU=")</f>
        <v>#REF!</v>
      </c>
      <c r="G36" t="e">
        <f>AND(#REF!,"AAAAAD/N3wY=")</f>
        <v>#REF!</v>
      </c>
      <c r="H36" t="e">
        <f>AND(#REF!,"AAAAAD/N3wc=")</f>
        <v>#REF!</v>
      </c>
      <c r="I36" t="e">
        <f>AND(#REF!,"AAAAAD/N3wg=")</f>
        <v>#REF!</v>
      </c>
      <c r="J36" t="e">
        <f>AND(#REF!,"AAAAAD/N3wk=")</f>
        <v>#REF!</v>
      </c>
      <c r="K36" t="e">
        <f>AND(#REF!,"AAAAAD/N3wo=")</f>
        <v>#REF!</v>
      </c>
      <c r="L36" t="e">
        <f>AND(#REF!,"AAAAAD/N3ws=")</f>
        <v>#REF!</v>
      </c>
      <c r="M36" t="e">
        <f>AND(#REF!,"AAAAAD/N3ww=")</f>
        <v>#REF!</v>
      </c>
      <c r="N36" t="e">
        <f>AND(#REF!,"AAAAAD/N3w0=")</f>
        <v>#REF!</v>
      </c>
      <c r="O36" t="e">
        <f>AND(#REF!,"AAAAAD/N3w4=")</f>
        <v>#REF!</v>
      </c>
      <c r="P36" t="e">
        <f>AND(#REF!,"AAAAAD/N3w8=")</f>
        <v>#REF!</v>
      </c>
      <c r="Q36" t="e">
        <f>AND(#REF!,"AAAAAD/N3xA=")</f>
        <v>#REF!</v>
      </c>
      <c r="R36" t="e">
        <f>AND(#REF!,"AAAAAD/N3xE=")</f>
        <v>#REF!</v>
      </c>
      <c r="S36" t="e">
        <f>AND(#REF!,"AAAAAD/N3xI=")</f>
        <v>#REF!</v>
      </c>
      <c r="T36" t="e">
        <f>AND(#REF!,"AAAAAD/N3xM=")</f>
        <v>#REF!</v>
      </c>
      <c r="U36" t="e">
        <f>AND(#REF!,"AAAAAD/N3xQ=")</f>
        <v>#REF!</v>
      </c>
      <c r="V36" t="e">
        <f>AND(#REF!,"AAAAAD/N3xU=")</f>
        <v>#REF!</v>
      </c>
      <c r="W36" t="e">
        <f>AND(#REF!,"AAAAAD/N3xY=")</f>
        <v>#REF!</v>
      </c>
      <c r="X36" t="e">
        <f>AND(#REF!,"AAAAAD/N3xc=")</f>
        <v>#REF!</v>
      </c>
      <c r="Y36" t="e">
        <f>AND(#REF!,"AAAAAD/N3xg=")</f>
        <v>#REF!</v>
      </c>
      <c r="Z36" t="e">
        <f>AND(#REF!,"AAAAAD/N3xk=")</f>
        <v>#REF!</v>
      </c>
      <c r="AA36" t="e">
        <f>AND(#REF!,"AAAAAD/N3xo=")</f>
        <v>#REF!</v>
      </c>
      <c r="AB36" t="e">
        <f>AND(#REF!,"AAAAAD/N3xs=")</f>
        <v>#REF!</v>
      </c>
      <c r="AC36" t="e">
        <f>AND(#REF!,"AAAAAD/N3xw=")</f>
        <v>#REF!</v>
      </c>
      <c r="AD36" t="e">
        <f>AND(#REF!,"AAAAAD/N3x0=")</f>
        <v>#REF!</v>
      </c>
      <c r="AE36" t="e">
        <f>AND(#REF!,"AAAAAD/N3x4=")</f>
        <v>#REF!</v>
      </c>
      <c r="AF36" t="e">
        <f>AND(#REF!,"AAAAAD/N3x8=")</f>
        <v>#REF!</v>
      </c>
      <c r="AG36" t="e">
        <f>AND(#REF!,"AAAAAD/N3yA=")</f>
        <v>#REF!</v>
      </c>
      <c r="AH36" t="e">
        <f>AND(#REF!,"AAAAAD/N3yE=")</f>
        <v>#REF!</v>
      </c>
      <c r="AI36" t="e">
        <f>AND(#REF!,"AAAAAD/N3yI=")</f>
        <v>#REF!</v>
      </c>
      <c r="AJ36" t="e">
        <f>AND(#REF!,"AAAAAD/N3yM=")</f>
        <v>#REF!</v>
      </c>
      <c r="AK36" t="e">
        <f>AND(#REF!,"AAAAAD/N3yQ=")</f>
        <v>#REF!</v>
      </c>
      <c r="AL36" t="e">
        <f>AND(#REF!,"AAAAAD/N3yU=")</f>
        <v>#REF!</v>
      </c>
      <c r="AM36" t="e">
        <f>AND(#REF!,"AAAAAD/N3yY=")</f>
        <v>#REF!</v>
      </c>
      <c r="AN36" t="e">
        <f>AND(#REF!,"AAAAAD/N3yc=")</f>
        <v>#REF!</v>
      </c>
      <c r="AO36" t="e">
        <f>AND(#REF!,"AAAAAD/N3yg=")</f>
        <v>#REF!</v>
      </c>
      <c r="AP36" t="e">
        <f>AND(#REF!,"AAAAAD/N3yk=")</f>
        <v>#REF!</v>
      </c>
      <c r="AQ36" t="e">
        <f>AND(#REF!,"AAAAAD/N3yo=")</f>
        <v>#REF!</v>
      </c>
      <c r="AR36" t="e">
        <f>AND(#REF!,"AAAAAD/N3ys=")</f>
        <v>#REF!</v>
      </c>
      <c r="AS36" t="e">
        <f>AND(#REF!,"AAAAAD/N3yw=")</f>
        <v>#REF!</v>
      </c>
      <c r="AT36" t="e">
        <f>AND(#REF!,"AAAAAD/N3y0=")</f>
        <v>#REF!</v>
      </c>
      <c r="AU36" t="e">
        <f>AND(#REF!,"AAAAAD/N3y4=")</f>
        <v>#REF!</v>
      </c>
      <c r="AV36" t="e">
        <f>AND(#REF!,"AAAAAD/N3y8=")</f>
        <v>#REF!</v>
      </c>
      <c r="AW36" t="e">
        <f>AND(#REF!,"AAAAAD/N3zA=")</f>
        <v>#REF!</v>
      </c>
      <c r="AX36" t="e">
        <f>AND(#REF!,"AAAAAD/N3zE=")</f>
        <v>#REF!</v>
      </c>
      <c r="AY36" t="e">
        <f>AND(#REF!,"AAAAAD/N3zI=")</f>
        <v>#REF!</v>
      </c>
      <c r="AZ36" t="e">
        <f>AND(#REF!,"AAAAAD/N3zM=")</f>
        <v>#REF!</v>
      </c>
      <c r="BA36" t="e">
        <f>AND(#REF!,"AAAAAD/N3zQ=")</f>
        <v>#REF!</v>
      </c>
      <c r="BB36" t="e">
        <f>AND(#REF!,"AAAAAD/N3zU=")</f>
        <v>#REF!</v>
      </c>
      <c r="BC36" t="e">
        <f>AND(#REF!,"AAAAAD/N3zY=")</f>
        <v>#REF!</v>
      </c>
      <c r="BD36" t="e">
        <f>AND(#REF!,"AAAAAD/N3zc=")</f>
        <v>#REF!</v>
      </c>
      <c r="BE36" t="e">
        <f>AND(#REF!,"AAAAAD/N3zg=")</f>
        <v>#REF!</v>
      </c>
      <c r="BF36" t="e">
        <f>AND(#REF!,"AAAAAD/N3zk=")</f>
        <v>#REF!</v>
      </c>
      <c r="BG36" t="e">
        <f>AND(#REF!,"AAAAAD/N3zo=")</f>
        <v>#REF!</v>
      </c>
      <c r="BH36" t="e">
        <f>AND(#REF!,"AAAAAD/N3zs=")</f>
        <v>#REF!</v>
      </c>
      <c r="BI36" t="e">
        <f>AND(#REF!,"AAAAAD/N3zw=")</f>
        <v>#REF!</v>
      </c>
      <c r="BJ36" t="e">
        <f>AND(#REF!,"AAAAAD/N3z0=")</f>
        <v>#REF!</v>
      </c>
      <c r="BK36" t="e">
        <f>AND(#REF!,"AAAAAD/N3z4=")</f>
        <v>#REF!</v>
      </c>
      <c r="BL36" t="e">
        <f>AND(#REF!,"AAAAAD/N3z8=")</f>
        <v>#REF!</v>
      </c>
      <c r="BM36" t="e">
        <f>AND(#REF!,"AAAAAD/N30A=")</f>
        <v>#REF!</v>
      </c>
      <c r="BN36" t="e">
        <f>AND(#REF!,"AAAAAD/N30E=")</f>
        <v>#REF!</v>
      </c>
      <c r="BO36" t="e">
        <f>AND(#REF!,"AAAAAD/N30I=")</f>
        <v>#REF!</v>
      </c>
      <c r="BP36" t="e">
        <f>AND(#REF!,"AAAAAD/N30M=")</f>
        <v>#REF!</v>
      </c>
      <c r="BQ36" t="e">
        <f>AND(#REF!,"AAAAAD/N30Q=")</f>
        <v>#REF!</v>
      </c>
      <c r="BR36" t="e">
        <f>AND(#REF!,"AAAAAD/N30U=")</f>
        <v>#REF!</v>
      </c>
      <c r="BS36" t="e">
        <f>AND(#REF!,"AAAAAD/N30Y=")</f>
        <v>#REF!</v>
      </c>
      <c r="BT36" t="e">
        <f>AND(#REF!,"AAAAAD/N30c=")</f>
        <v>#REF!</v>
      </c>
      <c r="BU36" t="e">
        <f>AND(#REF!,"AAAAAD/N30g=")</f>
        <v>#REF!</v>
      </c>
      <c r="BV36" t="e">
        <f>AND(#REF!,"AAAAAD/N30k=")</f>
        <v>#REF!</v>
      </c>
      <c r="BW36" t="e">
        <f>AND(#REF!,"AAAAAD/N30o=")</f>
        <v>#REF!</v>
      </c>
      <c r="BX36" t="e">
        <f>AND(#REF!,"AAAAAD/N30s=")</f>
        <v>#REF!</v>
      </c>
      <c r="BY36" t="e">
        <f>AND(#REF!,"AAAAAD/N30w=")</f>
        <v>#REF!</v>
      </c>
      <c r="BZ36" t="e">
        <f>AND(#REF!,"AAAAAD/N300=")</f>
        <v>#REF!</v>
      </c>
      <c r="CA36" t="e">
        <f>AND(#REF!,"AAAAAD/N304=")</f>
        <v>#REF!</v>
      </c>
      <c r="CB36" t="e">
        <f>AND(#REF!,"AAAAAD/N308=")</f>
        <v>#REF!</v>
      </c>
      <c r="CC36" t="e">
        <f>AND(#REF!,"AAAAAD/N31A=")</f>
        <v>#REF!</v>
      </c>
      <c r="CD36" t="e">
        <f>AND(#REF!,"AAAAAD/N31E=")</f>
        <v>#REF!</v>
      </c>
      <c r="CE36" t="e">
        <f>AND(#REF!,"AAAAAD/N31I=")</f>
        <v>#REF!</v>
      </c>
      <c r="CF36" t="e">
        <f>AND(#REF!,"AAAAAD/N31M=")</f>
        <v>#REF!</v>
      </c>
      <c r="CG36" t="e">
        <f>AND(#REF!,"AAAAAD/N31Q=")</f>
        <v>#REF!</v>
      </c>
      <c r="CH36" t="e">
        <f>AND(#REF!,"AAAAAD/N31U=")</f>
        <v>#REF!</v>
      </c>
      <c r="CI36" t="e">
        <f>AND(#REF!,"AAAAAD/N31Y=")</f>
        <v>#REF!</v>
      </c>
      <c r="CJ36" t="e">
        <f>AND(#REF!,"AAAAAD/N31c=")</f>
        <v>#REF!</v>
      </c>
      <c r="CK36" t="e">
        <f>AND(#REF!,"AAAAAD/N31g=")</f>
        <v>#REF!</v>
      </c>
      <c r="CL36" t="e">
        <f>AND(#REF!,"AAAAAD/N31k=")</f>
        <v>#REF!</v>
      </c>
      <c r="CM36" t="e">
        <f>AND(#REF!,"AAAAAD/N31o=")</f>
        <v>#REF!</v>
      </c>
      <c r="CN36" t="e">
        <f>AND(#REF!,"AAAAAD/N31s=")</f>
        <v>#REF!</v>
      </c>
      <c r="CO36" t="e">
        <f>AND(#REF!,"AAAAAD/N31w=")</f>
        <v>#REF!</v>
      </c>
      <c r="CP36" t="e">
        <f>AND(#REF!,"AAAAAD/N310=")</f>
        <v>#REF!</v>
      </c>
      <c r="CQ36" t="e">
        <f>AND(#REF!,"AAAAAD/N314=")</f>
        <v>#REF!</v>
      </c>
      <c r="CR36" t="e">
        <f>AND(#REF!,"AAAAAD/N318=")</f>
        <v>#REF!</v>
      </c>
      <c r="CS36" t="e">
        <f>AND(#REF!,"AAAAAD/N32A=")</f>
        <v>#REF!</v>
      </c>
      <c r="CT36" t="e">
        <f>AND(#REF!,"AAAAAD/N32E=")</f>
        <v>#REF!</v>
      </c>
      <c r="CU36" t="e">
        <f>AND(#REF!,"AAAAAD/N32I=")</f>
        <v>#REF!</v>
      </c>
      <c r="CV36" t="e">
        <f>AND(#REF!,"AAAAAD/N32M=")</f>
        <v>#REF!</v>
      </c>
      <c r="CW36" t="e">
        <f>AND(#REF!,"AAAAAD/N32Q=")</f>
        <v>#REF!</v>
      </c>
      <c r="CX36" t="e">
        <f>AND(#REF!,"AAAAAD/N32U=")</f>
        <v>#REF!</v>
      </c>
      <c r="CY36" t="e">
        <f>AND(#REF!,"AAAAAD/N32Y=")</f>
        <v>#REF!</v>
      </c>
      <c r="CZ36" t="e">
        <f>AND(#REF!,"AAAAAD/N32c=")</f>
        <v>#REF!</v>
      </c>
      <c r="DA36" t="e">
        <f>AND(#REF!,"AAAAAD/N32g=")</f>
        <v>#REF!</v>
      </c>
      <c r="DB36" t="e">
        <f>AND(#REF!,"AAAAAD/N32k=")</f>
        <v>#REF!</v>
      </c>
      <c r="DC36" t="e">
        <f>AND(#REF!,"AAAAAD/N32o=")</f>
        <v>#REF!</v>
      </c>
      <c r="DD36" t="e">
        <f>IF(#REF!,"AAAAAD/N32s=",0)</f>
        <v>#REF!</v>
      </c>
      <c r="DE36" t="e">
        <f>AND(#REF!,"AAAAAD/N32w=")</f>
        <v>#REF!</v>
      </c>
      <c r="DF36" t="e">
        <f>AND(#REF!,"AAAAAD/N320=")</f>
        <v>#REF!</v>
      </c>
      <c r="DG36" t="e">
        <f>AND(#REF!,"AAAAAD/N324=")</f>
        <v>#REF!</v>
      </c>
      <c r="DH36" t="e">
        <f>AND(#REF!,"AAAAAD/N328=")</f>
        <v>#REF!</v>
      </c>
      <c r="DI36" t="e">
        <f>AND(#REF!,"AAAAAD/N33A=")</f>
        <v>#REF!</v>
      </c>
      <c r="DJ36" t="e">
        <f>AND(#REF!,"AAAAAD/N33E=")</f>
        <v>#REF!</v>
      </c>
      <c r="DK36" t="e">
        <f>AND(#REF!,"AAAAAD/N33I=")</f>
        <v>#REF!</v>
      </c>
      <c r="DL36" t="e">
        <f>AND(#REF!,"AAAAAD/N33M=")</f>
        <v>#REF!</v>
      </c>
      <c r="DM36" t="e">
        <f>AND(#REF!,"AAAAAD/N33Q=")</f>
        <v>#REF!</v>
      </c>
      <c r="DN36" t="e">
        <f>AND(#REF!,"AAAAAD/N33U=")</f>
        <v>#REF!</v>
      </c>
      <c r="DO36" t="e">
        <f>AND(#REF!,"AAAAAD/N33Y=")</f>
        <v>#REF!</v>
      </c>
      <c r="DP36" t="e">
        <f>AND(#REF!,"AAAAAD/N33c=")</f>
        <v>#REF!</v>
      </c>
      <c r="DQ36" t="e">
        <f>AND(#REF!,"AAAAAD/N33g=")</f>
        <v>#REF!</v>
      </c>
      <c r="DR36" t="e">
        <f>AND(#REF!,"AAAAAD/N33k=")</f>
        <v>#REF!</v>
      </c>
      <c r="DS36" t="e">
        <f>AND(#REF!,"AAAAAD/N33o=")</f>
        <v>#REF!</v>
      </c>
      <c r="DT36" t="e">
        <f>AND(#REF!,"AAAAAD/N33s=")</f>
        <v>#REF!</v>
      </c>
      <c r="DU36" t="e">
        <f>AND(#REF!,"AAAAAD/N33w=")</f>
        <v>#REF!</v>
      </c>
      <c r="DV36" t="e">
        <f>AND(#REF!,"AAAAAD/N330=")</f>
        <v>#REF!</v>
      </c>
      <c r="DW36" t="e">
        <f>AND(#REF!,"AAAAAD/N334=")</f>
        <v>#REF!</v>
      </c>
      <c r="DX36" t="e">
        <f>AND(#REF!,"AAAAAD/N338=")</f>
        <v>#REF!</v>
      </c>
      <c r="DY36" t="e">
        <f>AND(#REF!,"AAAAAD/N34A=")</f>
        <v>#REF!</v>
      </c>
      <c r="DZ36" t="e">
        <f>AND(#REF!,"AAAAAD/N34E=")</f>
        <v>#REF!</v>
      </c>
      <c r="EA36" t="e">
        <f>AND(#REF!,"AAAAAD/N34I=")</f>
        <v>#REF!</v>
      </c>
      <c r="EB36" t="e">
        <f>AND(#REF!,"AAAAAD/N34M=")</f>
        <v>#REF!</v>
      </c>
      <c r="EC36" t="e">
        <f>AND(#REF!,"AAAAAD/N34Q=")</f>
        <v>#REF!</v>
      </c>
      <c r="ED36" t="e">
        <f>AND(#REF!,"AAAAAD/N34U=")</f>
        <v>#REF!</v>
      </c>
      <c r="EE36" t="e">
        <f>AND(#REF!,"AAAAAD/N34Y=")</f>
        <v>#REF!</v>
      </c>
      <c r="EF36" t="e">
        <f>AND(#REF!,"AAAAAD/N34c=")</f>
        <v>#REF!</v>
      </c>
      <c r="EG36" t="e">
        <f>AND(#REF!,"AAAAAD/N34g=")</f>
        <v>#REF!</v>
      </c>
      <c r="EH36" t="e">
        <f>AND(#REF!,"AAAAAD/N34k=")</f>
        <v>#REF!</v>
      </c>
      <c r="EI36" t="e">
        <f>AND(#REF!,"AAAAAD/N34o=")</f>
        <v>#REF!</v>
      </c>
      <c r="EJ36" t="e">
        <f>AND(#REF!,"AAAAAD/N34s=")</f>
        <v>#REF!</v>
      </c>
      <c r="EK36" t="e">
        <f>AND(#REF!,"AAAAAD/N34w=")</f>
        <v>#REF!</v>
      </c>
      <c r="EL36" t="e">
        <f>AND(#REF!,"AAAAAD/N340=")</f>
        <v>#REF!</v>
      </c>
      <c r="EM36" t="e">
        <f>AND(#REF!,"AAAAAD/N344=")</f>
        <v>#REF!</v>
      </c>
      <c r="EN36" t="e">
        <f>AND(#REF!,"AAAAAD/N348=")</f>
        <v>#REF!</v>
      </c>
      <c r="EO36" t="e">
        <f>AND(#REF!,"AAAAAD/N35A=")</f>
        <v>#REF!</v>
      </c>
      <c r="EP36" t="e">
        <f>AND(#REF!,"AAAAAD/N35E=")</f>
        <v>#REF!</v>
      </c>
      <c r="EQ36" t="e">
        <f>AND(#REF!,"AAAAAD/N35I=")</f>
        <v>#REF!</v>
      </c>
      <c r="ER36" t="e">
        <f>AND(#REF!,"AAAAAD/N35M=")</f>
        <v>#REF!</v>
      </c>
      <c r="ES36" t="e">
        <f>AND(#REF!,"AAAAAD/N35Q=")</f>
        <v>#REF!</v>
      </c>
      <c r="ET36" t="e">
        <f>AND(#REF!,"AAAAAD/N35U=")</f>
        <v>#REF!</v>
      </c>
      <c r="EU36" t="e">
        <f>AND(#REF!,"AAAAAD/N35Y=")</f>
        <v>#REF!</v>
      </c>
      <c r="EV36" t="e">
        <f>AND(#REF!,"AAAAAD/N35c=")</f>
        <v>#REF!</v>
      </c>
      <c r="EW36" t="e">
        <f>AND(#REF!,"AAAAAD/N35g=")</f>
        <v>#REF!</v>
      </c>
      <c r="EX36" t="e">
        <f>AND(#REF!,"AAAAAD/N35k=")</f>
        <v>#REF!</v>
      </c>
      <c r="EY36" t="e">
        <f>AND(#REF!,"AAAAAD/N35o=")</f>
        <v>#REF!</v>
      </c>
      <c r="EZ36" t="e">
        <f>AND(#REF!,"AAAAAD/N35s=")</f>
        <v>#REF!</v>
      </c>
      <c r="FA36" t="e">
        <f>AND(#REF!,"AAAAAD/N35w=")</f>
        <v>#REF!</v>
      </c>
      <c r="FB36" t="e">
        <f>AND(#REF!,"AAAAAD/N350=")</f>
        <v>#REF!</v>
      </c>
      <c r="FC36" t="e">
        <f>AND(#REF!,"AAAAAD/N354=")</f>
        <v>#REF!</v>
      </c>
      <c r="FD36" t="e">
        <f>AND(#REF!,"AAAAAD/N358=")</f>
        <v>#REF!</v>
      </c>
      <c r="FE36" t="e">
        <f>AND(#REF!,"AAAAAD/N36A=")</f>
        <v>#REF!</v>
      </c>
      <c r="FF36" t="e">
        <f>AND(#REF!,"AAAAAD/N36E=")</f>
        <v>#REF!</v>
      </c>
      <c r="FG36" t="e">
        <f>AND(#REF!,"AAAAAD/N36I=")</f>
        <v>#REF!</v>
      </c>
      <c r="FH36" t="e">
        <f>AND(#REF!,"AAAAAD/N36M=")</f>
        <v>#REF!</v>
      </c>
      <c r="FI36" t="e">
        <f>AND(#REF!,"AAAAAD/N36Q=")</f>
        <v>#REF!</v>
      </c>
      <c r="FJ36" t="e">
        <f>AND(#REF!,"AAAAAD/N36U=")</f>
        <v>#REF!</v>
      </c>
      <c r="FK36" t="e">
        <f>AND(#REF!,"AAAAAD/N36Y=")</f>
        <v>#REF!</v>
      </c>
      <c r="FL36" t="e">
        <f>AND(#REF!,"AAAAAD/N36c=")</f>
        <v>#REF!</v>
      </c>
      <c r="FM36" t="e">
        <f>AND(#REF!,"AAAAAD/N36g=")</f>
        <v>#REF!</v>
      </c>
      <c r="FN36" t="e">
        <f>AND(#REF!,"AAAAAD/N36k=")</f>
        <v>#REF!</v>
      </c>
      <c r="FO36" t="e">
        <f>AND(#REF!,"AAAAAD/N36o=")</f>
        <v>#REF!</v>
      </c>
      <c r="FP36" t="e">
        <f>AND(#REF!,"AAAAAD/N36s=")</f>
        <v>#REF!</v>
      </c>
      <c r="FQ36" t="e">
        <f>AND(#REF!,"AAAAAD/N36w=")</f>
        <v>#REF!</v>
      </c>
      <c r="FR36" t="e">
        <f>AND(#REF!,"AAAAAD/N360=")</f>
        <v>#REF!</v>
      </c>
      <c r="FS36" t="e">
        <f>AND(#REF!,"AAAAAD/N364=")</f>
        <v>#REF!</v>
      </c>
      <c r="FT36" t="e">
        <f>AND(#REF!,"AAAAAD/N368=")</f>
        <v>#REF!</v>
      </c>
      <c r="FU36" t="e">
        <f>AND(#REF!,"AAAAAD/N37A=")</f>
        <v>#REF!</v>
      </c>
      <c r="FV36" t="e">
        <f>AND(#REF!,"AAAAAD/N37E=")</f>
        <v>#REF!</v>
      </c>
      <c r="FW36" t="e">
        <f>AND(#REF!,"AAAAAD/N37I=")</f>
        <v>#REF!</v>
      </c>
      <c r="FX36" t="e">
        <f>AND(#REF!,"AAAAAD/N37M=")</f>
        <v>#REF!</v>
      </c>
      <c r="FY36" t="e">
        <f>AND(#REF!,"AAAAAD/N37Q=")</f>
        <v>#REF!</v>
      </c>
      <c r="FZ36" t="e">
        <f>AND(#REF!,"AAAAAD/N37U=")</f>
        <v>#REF!</v>
      </c>
      <c r="GA36" t="e">
        <f>AND(#REF!,"AAAAAD/N37Y=")</f>
        <v>#REF!</v>
      </c>
      <c r="GB36" t="e">
        <f>AND(#REF!,"AAAAAD/N37c=")</f>
        <v>#REF!</v>
      </c>
      <c r="GC36" t="e">
        <f>AND(#REF!,"AAAAAD/N37g=")</f>
        <v>#REF!</v>
      </c>
      <c r="GD36" t="e">
        <f>AND(#REF!,"AAAAAD/N37k=")</f>
        <v>#REF!</v>
      </c>
      <c r="GE36" t="e">
        <f>AND(#REF!,"AAAAAD/N37o=")</f>
        <v>#REF!</v>
      </c>
      <c r="GF36" t="e">
        <f>AND(#REF!,"AAAAAD/N37s=")</f>
        <v>#REF!</v>
      </c>
      <c r="GG36" t="e">
        <f>AND(#REF!,"AAAAAD/N37w=")</f>
        <v>#REF!</v>
      </c>
      <c r="GH36" t="e">
        <f>AND(#REF!,"AAAAAD/N370=")</f>
        <v>#REF!</v>
      </c>
      <c r="GI36" t="e">
        <f>AND(#REF!,"AAAAAD/N374=")</f>
        <v>#REF!</v>
      </c>
      <c r="GJ36" t="e">
        <f>AND(#REF!,"AAAAAD/N378=")</f>
        <v>#REF!</v>
      </c>
      <c r="GK36" t="e">
        <f>AND(#REF!,"AAAAAD/N38A=")</f>
        <v>#REF!</v>
      </c>
      <c r="GL36" t="e">
        <f>AND(#REF!,"AAAAAD/N38E=")</f>
        <v>#REF!</v>
      </c>
      <c r="GM36" t="e">
        <f>AND(#REF!,"AAAAAD/N38I=")</f>
        <v>#REF!</v>
      </c>
      <c r="GN36" t="e">
        <f>AND(#REF!,"AAAAAD/N38M=")</f>
        <v>#REF!</v>
      </c>
      <c r="GO36" t="e">
        <f>AND(#REF!,"AAAAAD/N38Q=")</f>
        <v>#REF!</v>
      </c>
      <c r="GP36" t="e">
        <f>AND(#REF!,"AAAAAD/N38U=")</f>
        <v>#REF!</v>
      </c>
      <c r="GQ36" t="e">
        <f>AND(#REF!,"AAAAAD/N38Y=")</f>
        <v>#REF!</v>
      </c>
      <c r="GR36" t="e">
        <f>AND(#REF!,"AAAAAD/N38c=")</f>
        <v>#REF!</v>
      </c>
      <c r="GS36" t="e">
        <f>AND(#REF!,"AAAAAD/N38g=")</f>
        <v>#REF!</v>
      </c>
      <c r="GT36" t="e">
        <f>AND(#REF!,"AAAAAD/N38k=")</f>
        <v>#REF!</v>
      </c>
      <c r="GU36" t="e">
        <f>AND(#REF!,"AAAAAD/N38o=")</f>
        <v>#REF!</v>
      </c>
      <c r="GV36" t="e">
        <f>AND(#REF!,"AAAAAD/N38s=")</f>
        <v>#REF!</v>
      </c>
      <c r="GW36" t="e">
        <f>AND(#REF!,"AAAAAD/N38w=")</f>
        <v>#REF!</v>
      </c>
      <c r="GX36" t="e">
        <f>AND(#REF!,"AAAAAD/N380=")</f>
        <v>#REF!</v>
      </c>
      <c r="GY36" t="e">
        <f>AND(#REF!,"AAAAAD/N384=")</f>
        <v>#REF!</v>
      </c>
      <c r="GZ36" t="e">
        <f>AND(#REF!,"AAAAAD/N388=")</f>
        <v>#REF!</v>
      </c>
      <c r="HA36" t="e">
        <f>AND(#REF!,"AAAAAD/N39A=")</f>
        <v>#REF!</v>
      </c>
      <c r="HB36" t="e">
        <f>AND(#REF!,"AAAAAD/N39E=")</f>
        <v>#REF!</v>
      </c>
      <c r="HC36" t="e">
        <f>AND(#REF!,"AAAAAD/N39I=")</f>
        <v>#REF!</v>
      </c>
      <c r="HD36" t="e">
        <f>AND(#REF!,"AAAAAD/N39M=")</f>
        <v>#REF!</v>
      </c>
      <c r="HE36" t="e">
        <f>AND(#REF!,"AAAAAD/N39Q=")</f>
        <v>#REF!</v>
      </c>
      <c r="HF36" t="e">
        <f>AND(#REF!,"AAAAAD/N39U=")</f>
        <v>#REF!</v>
      </c>
      <c r="HG36" t="e">
        <f>AND(#REF!,"AAAAAD/N39Y=")</f>
        <v>#REF!</v>
      </c>
      <c r="HH36" t="e">
        <f>AND(#REF!,"AAAAAD/N39c=")</f>
        <v>#REF!</v>
      </c>
      <c r="HI36" t="e">
        <f>AND(#REF!,"AAAAAD/N39g=")</f>
        <v>#REF!</v>
      </c>
      <c r="HJ36" t="e">
        <f>AND(#REF!,"AAAAAD/N39k=")</f>
        <v>#REF!</v>
      </c>
      <c r="HK36" t="e">
        <f>AND(#REF!,"AAAAAD/N39o=")</f>
        <v>#REF!</v>
      </c>
      <c r="HL36" t="e">
        <f>AND(#REF!,"AAAAAD/N39s=")</f>
        <v>#REF!</v>
      </c>
      <c r="HM36" t="e">
        <f>AND(#REF!,"AAAAAD/N39w=")</f>
        <v>#REF!</v>
      </c>
      <c r="HN36" t="e">
        <f>AND(#REF!,"AAAAAD/N390=")</f>
        <v>#REF!</v>
      </c>
      <c r="HO36" t="e">
        <f>AND(#REF!,"AAAAAD/N394=")</f>
        <v>#REF!</v>
      </c>
      <c r="HP36" t="e">
        <f>AND(#REF!,"AAAAAD/N398=")</f>
        <v>#REF!</v>
      </c>
      <c r="HQ36" t="e">
        <f>AND(#REF!,"AAAAAD/N3+A=")</f>
        <v>#REF!</v>
      </c>
      <c r="HR36" t="e">
        <f>AND(#REF!,"AAAAAD/N3+E=")</f>
        <v>#REF!</v>
      </c>
      <c r="HS36" t="e">
        <f>AND(#REF!,"AAAAAD/N3+I=")</f>
        <v>#REF!</v>
      </c>
      <c r="HT36" t="e">
        <f>AND(#REF!,"AAAAAD/N3+M=")</f>
        <v>#REF!</v>
      </c>
      <c r="HU36" t="e">
        <f>AND(#REF!,"AAAAAD/N3+Q=")</f>
        <v>#REF!</v>
      </c>
      <c r="HV36" t="e">
        <f>AND(#REF!,"AAAAAD/N3+U=")</f>
        <v>#REF!</v>
      </c>
      <c r="HW36" t="e">
        <f>AND(#REF!,"AAAAAD/N3+Y=")</f>
        <v>#REF!</v>
      </c>
      <c r="HX36" t="e">
        <f>AND(#REF!,"AAAAAD/N3+c=")</f>
        <v>#REF!</v>
      </c>
      <c r="HY36" t="e">
        <f>AND(#REF!,"AAAAAD/N3+g=")</f>
        <v>#REF!</v>
      </c>
      <c r="HZ36" t="e">
        <f>AND(#REF!,"AAAAAD/N3+k=")</f>
        <v>#REF!</v>
      </c>
      <c r="IA36" t="e">
        <f>AND(#REF!,"AAAAAD/N3+o=")</f>
        <v>#REF!</v>
      </c>
      <c r="IB36" t="e">
        <f>AND(#REF!,"AAAAAD/N3+s=")</f>
        <v>#REF!</v>
      </c>
      <c r="IC36" t="e">
        <f>AND(#REF!,"AAAAAD/N3+w=")</f>
        <v>#REF!</v>
      </c>
      <c r="ID36" t="e">
        <f>AND(#REF!,"AAAAAD/N3+0=")</f>
        <v>#REF!</v>
      </c>
      <c r="IE36" t="e">
        <f>AND(#REF!,"AAAAAD/N3+4=")</f>
        <v>#REF!</v>
      </c>
      <c r="IF36" t="e">
        <f>AND(#REF!,"AAAAAD/N3+8=")</f>
        <v>#REF!</v>
      </c>
      <c r="IG36" t="e">
        <f>AND(#REF!,"AAAAAD/N3/A=")</f>
        <v>#REF!</v>
      </c>
      <c r="IH36" t="e">
        <f>AND(#REF!,"AAAAAD/N3/E=")</f>
        <v>#REF!</v>
      </c>
      <c r="II36" t="e">
        <f>AND(#REF!,"AAAAAD/N3/I=")</f>
        <v>#REF!</v>
      </c>
      <c r="IJ36" t="e">
        <f>AND(#REF!,"AAAAAD/N3/M=")</f>
        <v>#REF!</v>
      </c>
      <c r="IK36" t="e">
        <f>AND(#REF!,"AAAAAD/N3/Q=")</f>
        <v>#REF!</v>
      </c>
      <c r="IL36" t="e">
        <f>AND(#REF!,"AAAAAD/N3/U=")</f>
        <v>#REF!</v>
      </c>
      <c r="IM36" t="e">
        <f>AND(#REF!,"AAAAAD/N3/Y=")</f>
        <v>#REF!</v>
      </c>
      <c r="IN36" t="e">
        <f>AND(#REF!,"AAAAAD/N3/c=")</f>
        <v>#REF!</v>
      </c>
      <c r="IO36" t="e">
        <f>AND(#REF!,"AAAAAD/N3/g=")</f>
        <v>#REF!</v>
      </c>
      <c r="IP36" t="e">
        <f>AND(#REF!,"AAAAAD/N3/k=")</f>
        <v>#REF!</v>
      </c>
      <c r="IQ36" t="e">
        <f>AND(#REF!,"AAAAAD/N3/o=")</f>
        <v>#REF!</v>
      </c>
      <c r="IR36" t="e">
        <f>AND(#REF!,"AAAAAD/N3/s=")</f>
        <v>#REF!</v>
      </c>
      <c r="IS36" t="e">
        <f>AND(#REF!,"AAAAAD/N3/w=")</f>
        <v>#REF!</v>
      </c>
      <c r="IT36" t="e">
        <f>AND(#REF!,"AAAAAD/N3/0=")</f>
        <v>#REF!</v>
      </c>
      <c r="IU36" t="e">
        <f>AND(#REF!,"AAAAAD/N3/4=")</f>
        <v>#REF!</v>
      </c>
      <c r="IV36" t="e">
        <f>AND(#REF!,"AAAAAD/N3/8=")</f>
        <v>#REF!</v>
      </c>
    </row>
    <row r="37" spans="1:256" x14ac:dyDescent="0.2">
      <c r="A37" t="e">
        <f>AND(#REF!,"AAAAAF/9vAA=")</f>
        <v>#REF!</v>
      </c>
      <c r="B37" t="e">
        <f>AND(#REF!,"AAAAAF/9vAE=")</f>
        <v>#REF!</v>
      </c>
      <c r="C37" t="e">
        <f>AND(#REF!,"AAAAAF/9vAI=")</f>
        <v>#REF!</v>
      </c>
      <c r="D37" t="e">
        <f>AND(#REF!,"AAAAAF/9vAM=")</f>
        <v>#REF!</v>
      </c>
      <c r="E37" t="e">
        <f>AND(#REF!,"AAAAAF/9vAQ=")</f>
        <v>#REF!</v>
      </c>
      <c r="F37" t="e">
        <f>AND(#REF!,"AAAAAF/9vAU=")</f>
        <v>#REF!</v>
      </c>
      <c r="G37" t="e">
        <f>AND(#REF!,"AAAAAF/9vAY=")</f>
        <v>#REF!</v>
      </c>
      <c r="H37" t="e">
        <f>AND(#REF!,"AAAAAF/9vAc=")</f>
        <v>#REF!</v>
      </c>
      <c r="I37" t="e">
        <f>AND(#REF!,"AAAAAF/9vAg=")</f>
        <v>#REF!</v>
      </c>
      <c r="J37" t="e">
        <f>AND(#REF!,"AAAAAF/9vAk=")</f>
        <v>#REF!</v>
      </c>
      <c r="K37" t="e">
        <f>AND(#REF!,"AAAAAF/9vAo=")</f>
        <v>#REF!</v>
      </c>
      <c r="L37" t="e">
        <f>AND(#REF!,"AAAAAF/9vAs=")</f>
        <v>#REF!</v>
      </c>
      <c r="M37" t="e">
        <f>AND(#REF!,"AAAAAF/9vAw=")</f>
        <v>#REF!</v>
      </c>
      <c r="N37" t="e">
        <f>AND(#REF!,"AAAAAF/9vA0=")</f>
        <v>#REF!</v>
      </c>
      <c r="O37" t="e">
        <f>AND(#REF!,"AAAAAF/9vA4=")</f>
        <v>#REF!</v>
      </c>
      <c r="P37" t="e">
        <f>AND(#REF!,"AAAAAF/9vA8=")</f>
        <v>#REF!</v>
      </c>
      <c r="Q37" t="e">
        <f>AND(#REF!,"AAAAAF/9vBA=")</f>
        <v>#REF!</v>
      </c>
      <c r="R37" t="e">
        <f>AND(#REF!,"AAAAAF/9vBE=")</f>
        <v>#REF!</v>
      </c>
      <c r="S37" t="e">
        <f>AND(#REF!,"AAAAAF/9vBI=")</f>
        <v>#REF!</v>
      </c>
      <c r="T37" t="e">
        <f>AND(#REF!,"AAAAAF/9vBM=")</f>
        <v>#REF!</v>
      </c>
      <c r="U37" t="e">
        <f>AND(#REF!,"AAAAAF/9vBQ=")</f>
        <v>#REF!</v>
      </c>
      <c r="V37" t="e">
        <f>AND(#REF!,"AAAAAF/9vBU=")</f>
        <v>#REF!</v>
      </c>
      <c r="W37" t="e">
        <f>AND(#REF!,"AAAAAF/9vBY=")</f>
        <v>#REF!</v>
      </c>
      <c r="X37" t="e">
        <f>AND(#REF!,"AAAAAF/9vBc=")</f>
        <v>#REF!</v>
      </c>
      <c r="Y37" t="e">
        <f>AND(#REF!,"AAAAAF/9vBg=")</f>
        <v>#REF!</v>
      </c>
      <c r="Z37" t="e">
        <f>AND(#REF!,"AAAAAF/9vBk=")</f>
        <v>#REF!</v>
      </c>
      <c r="AA37" t="e">
        <f>AND(#REF!,"AAAAAF/9vBo=")</f>
        <v>#REF!</v>
      </c>
      <c r="AB37" t="e">
        <f>AND(#REF!,"AAAAAF/9vBs=")</f>
        <v>#REF!</v>
      </c>
      <c r="AC37" t="e">
        <f>AND(#REF!,"AAAAAF/9vBw=")</f>
        <v>#REF!</v>
      </c>
      <c r="AD37" t="e">
        <f>AND(#REF!,"AAAAAF/9vB0=")</f>
        <v>#REF!</v>
      </c>
      <c r="AE37" t="e">
        <f>AND(#REF!,"AAAAAF/9vB4=")</f>
        <v>#REF!</v>
      </c>
      <c r="AF37" t="e">
        <f>AND(#REF!,"AAAAAF/9vB8=")</f>
        <v>#REF!</v>
      </c>
      <c r="AG37" t="e">
        <f>IF(#REF!,"AAAAAF/9vCA=",0)</f>
        <v>#REF!</v>
      </c>
      <c r="AH37" t="e">
        <f>AND(#REF!,"AAAAAF/9vCE=")</f>
        <v>#REF!</v>
      </c>
      <c r="AI37" t="e">
        <f>AND(#REF!,"AAAAAF/9vCI=")</f>
        <v>#REF!</v>
      </c>
      <c r="AJ37" t="e">
        <f>AND(#REF!,"AAAAAF/9vCM=")</f>
        <v>#REF!</v>
      </c>
      <c r="AK37" t="e">
        <f>AND(#REF!,"AAAAAF/9vCQ=")</f>
        <v>#REF!</v>
      </c>
      <c r="AL37" t="e">
        <f>AND(#REF!,"AAAAAF/9vCU=")</f>
        <v>#REF!</v>
      </c>
      <c r="AM37" t="e">
        <f>AND(#REF!,"AAAAAF/9vCY=")</f>
        <v>#REF!</v>
      </c>
      <c r="AN37" t="e">
        <f>AND(#REF!,"AAAAAF/9vCc=")</f>
        <v>#REF!</v>
      </c>
      <c r="AO37" t="e">
        <f>AND(#REF!,"AAAAAF/9vCg=")</f>
        <v>#REF!</v>
      </c>
      <c r="AP37" t="e">
        <f>AND(#REF!,"AAAAAF/9vCk=")</f>
        <v>#REF!</v>
      </c>
      <c r="AQ37" t="e">
        <f>AND(#REF!,"AAAAAF/9vCo=")</f>
        <v>#REF!</v>
      </c>
      <c r="AR37" t="e">
        <f>AND(#REF!,"AAAAAF/9vCs=")</f>
        <v>#REF!</v>
      </c>
      <c r="AS37" t="e">
        <f>AND(#REF!,"AAAAAF/9vCw=")</f>
        <v>#REF!</v>
      </c>
      <c r="AT37" t="e">
        <f>AND(#REF!,"AAAAAF/9vC0=")</f>
        <v>#REF!</v>
      </c>
      <c r="AU37" t="e">
        <f>AND(#REF!,"AAAAAF/9vC4=")</f>
        <v>#REF!</v>
      </c>
      <c r="AV37" t="e">
        <f>AND(#REF!,"AAAAAF/9vC8=")</f>
        <v>#REF!</v>
      </c>
      <c r="AW37" t="e">
        <f>AND(#REF!,"AAAAAF/9vDA=")</f>
        <v>#REF!</v>
      </c>
      <c r="AX37" t="e">
        <f>AND(#REF!,"AAAAAF/9vDE=")</f>
        <v>#REF!</v>
      </c>
      <c r="AY37" t="e">
        <f>AND(#REF!,"AAAAAF/9vDI=")</f>
        <v>#REF!</v>
      </c>
      <c r="AZ37" t="e">
        <f>AND(#REF!,"AAAAAF/9vDM=")</f>
        <v>#REF!</v>
      </c>
      <c r="BA37" t="e">
        <f>AND(#REF!,"AAAAAF/9vDQ=")</f>
        <v>#REF!</v>
      </c>
      <c r="BB37" t="e">
        <f>AND(#REF!,"AAAAAF/9vDU=")</f>
        <v>#REF!</v>
      </c>
      <c r="BC37" t="e">
        <f>AND(#REF!,"AAAAAF/9vDY=")</f>
        <v>#REF!</v>
      </c>
      <c r="BD37" t="e">
        <f>AND(#REF!,"AAAAAF/9vDc=")</f>
        <v>#REF!</v>
      </c>
      <c r="BE37" t="e">
        <f>AND(#REF!,"AAAAAF/9vDg=")</f>
        <v>#REF!</v>
      </c>
      <c r="BF37" t="e">
        <f>AND(#REF!,"AAAAAF/9vDk=")</f>
        <v>#REF!</v>
      </c>
      <c r="BG37" t="e">
        <f>AND(#REF!,"AAAAAF/9vDo=")</f>
        <v>#REF!</v>
      </c>
      <c r="BH37" t="e">
        <f>AND(#REF!,"AAAAAF/9vDs=")</f>
        <v>#REF!</v>
      </c>
      <c r="BI37" t="e">
        <f>AND(#REF!,"AAAAAF/9vDw=")</f>
        <v>#REF!</v>
      </c>
      <c r="BJ37" t="e">
        <f>AND(#REF!,"AAAAAF/9vD0=")</f>
        <v>#REF!</v>
      </c>
      <c r="BK37" t="e">
        <f>AND(#REF!,"AAAAAF/9vD4=")</f>
        <v>#REF!</v>
      </c>
      <c r="BL37" t="e">
        <f>AND(#REF!,"AAAAAF/9vD8=")</f>
        <v>#REF!</v>
      </c>
      <c r="BM37" t="e">
        <f>AND(#REF!,"AAAAAF/9vEA=")</f>
        <v>#REF!</v>
      </c>
      <c r="BN37" t="e">
        <f>AND(#REF!,"AAAAAF/9vEE=")</f>
        <v>#REF!</v>
      </c>
      <c r="BO37" t="e">
        <f>AND(#REF!,"AAAAAF/9vEI=")</f>
        <v>#REF!</v>
      </c>
      <c r="BP37" t="e">
        <f>AND(#REF!,"AAAAAF/9vEM=")</f>
        <v>#REF!</v>
      </c>
      <c r="BQ37" t="e">
        <f>AND(#REF!,"AAAAAF/9vEQ=")</f>
        <v>#REF!</v>
      </c>
      <c r="BR37" t="e">
        <f>AND(#REF!,"AAAAAF/9vEU=")</f>
        <v>#REF!</v>
      </c>
      <c r="BS37" t="e">
        <f>AND(#REF!,"AAAAAF/9vEY=")</f>
        <v>#REF!</v>
      </c>
      <c r="BT37" t="e">
        <f>AND(#REF!,"AAAAAF/9vEc=")</f>
        <v>#REF!</v>
      </c>
      <c r="BU37" t="e">
        <f>AND(#REF!,"AAAAAF/9vEg=")</f>
        <v>#REF!</v>
      </c>
      <c r="BV37" t="e">
        <f>AND(#REF!,"AAAAAF/9vEk=")</f>
        <v>#REF!</v>
      </c>
      <c r="BW37" t="e">
        <f>AND(#REF!,"AAAAAF/9vEo=")</f>
        <v>#REF!</v>
      </c>
      <c r="BX37" t="e">
        <f>AND(#REF!,"AAAAAF/9vEs=")</f>
        <v>#REF!</v>
      </c>
      <c r="BY37" t="e">
        <f>AND(#REF!,"AAAAAF/9vEw=")</f>
        <v>#REF!</v>
      </c>
      <c r="BZ37" t="e">
        <f>AND(#REF!,"AAAAAF/9vE0=")</f>
        <v>#REF!</v>
      </c>
      <c r="CA37" t="e">
        <f>AND(#REF!,"AAAAAF/9vE4=")</f>
        <v>#REF!</v>
      </c>
      <c r="CB37" t="e">
        <f>AND(#REF!,"AAAAAF/9vE8=")</f>
        <v>#REF!</v>
      </c>
      <c r="CC37" t="e">
        <f>AND(#REF!,"AAAAAF/9vFA=")</f>
        <v>#REF!</v>
      </c>
      <c r="CD37" t="e">
        <f>AND(#REF!,"AAAAAF/9vFE=")</f>
        <v>#REF!</v>
      </c>
      <c r="CE37" t="e">
        <f>AND(#REF!,"AAAAAF/9vFI=")</f>
        <v>#REF!</v>
      </c>
      <c r="CF37" t="e">
        <f>AND(#REF!,"AAAAAF/9vFM=")</f>
        <v>#REF!</v>
      </c>
      <c r="CG37" t="e">
        <f>AND(#REF!,"AAAAAF/9vFQ=")</f>
        <v>#REF!</v>
      </c>
      <c r="CH37" t="e">
        <f>AND(#REF!,"AAAAAF/9vFU=")</f>
        <v>#REF!</v>
      </c>
      <c r="CI37" t="e">
        <f>AND(#REF!,"AAAAAF/9vFY=")</f>
        <v>#REF!</v>
      </c>
      <c r="CJ37" t="e">
        <f>AND(#REF!,"AAAAAF/9vFc=")</f>
        <v>#REF!</v>
      </c>
      <c r="CK37" t="e">
        <f>AND(#REF!,"AAAAAF/9vFg=")</f>
        <v>#REF!</v>
      </c>
      <c r="CL37" t="e">
        <f>AND(#REF!,"AAAAAF/9vFk=")</f>
        <v>#REF!</v>
      </c>
      <c r="CM37" t="e">
        <f>AND(#REF!,"AAAAAF/9vFo=")</f>
        <v>#REF!</v>
      </c>
      <c r="CN37" t="e">
        <f>AND(#REF!,"AAAAAF/9vFs=")</f>
        <v>#REF!</v>
      </c>
      <c r="CO37" t="e">
        <f>AND(#REF!,"AAAAAF/9vFw=")</f>
        <v>#REF!</v>
      </c>
      <c r="CP37" t="e">
        <f>AND(#REF!,"AAAAAF/9vF0=")</f>
        <v>#REF!</v>
      </c>
      <c r="CQ37" t="e">
        <f>AND(#REF!,"AAAAAF/9vF4=")</f>
        <v>#REF!</v>
      </c>
      <c r="CR37" t="e">
        <f>AND(#REF!,"AAAAAF/9vF8=")</f>
        <v>#REF!</v>
      </c>
      <c r="CS37" t="e">
        <f>AND(#REF!,"AAAAAF/9vGA=")</f>
        <v>#REF!</v>
      </c>
      <c r="CT37" t="e">
        <f>AND(#REF!,"AAAAAF/9vGE=")</f>
        <v>#REF!</v>
      </c>
      <c r="CU37" t="e">
        <f>AND(#REF!,"AAAAAF/9vGI=")</f>
        <v>#REF!</v>
      </c>
      <c r="CV37" t="e">
        <f>AND(#REF!,"AAAAAF/9vGM=")</f>
        <v>#REF!</v>
      </c>
      <c r="CW37" t="e">
        <f>AND(#REF!,"AAAAAF/9vGQ=")</f>
        <v>#REF!</v>
      </c>
      <c r="CX37" t="e">
        <f>AND(#REF!,"AAAAAF/9vGU=")</f>
        <v>#REF!</v>
      </c>
      <c r="CY37" t="e">
        <f>AND(#REF!,"AAAAAF/9vGY=")</f>
        <v>#REF!</v>
      </c>
      <c r="CZ37" t="e">
        <f>AND(#REF!,"AAAAAF/9vGc=")</f>
        <v>#REF!</v>
      </c>
      <c r="DA37" t="e">
        <f>AND(#REF!,"AAAAAF/9vGg=")</f>
        <v>#REF!</v>
      </c>
      <c r="DB37" t="e">
        <f>AND(#REF!,"AAAAAF/9vGk=")</f>
        <v>#REF!</v>
      </c>
      <c r="DC37" t="e">
        <f>AND(#REF!,"AAAAAF/9vGo=")</f>
        <v>#REF!</v>
      </c>
      <c r="DD37" t="e">
        <f>AND(#REF!,"AAAAAF/9vGs=")</f>
        <v>#REF!</v>
      </c>
      <c r="DE37" t="e">
        <f>AND(#REF!,"AAAAAF/9vGw=")</f>
        <v>#REF!</v>
      </c>
      <c r="DF37" t="e">
        <f>AND(#REF!,"AAAAAF/9vG0=")</f>
        <v>#REF!</v>
      </c>
      <c r="DG37" t="e">
        <f>AND(#REF!,"AAAAAF/9vG4=")</f>
        <v>#REF!</v>
      </c>
      <c r="DH37" t="e">
        <f>AND(#REF!,"AAAAAF/9vG8=")</f>
        <v>#REF!</v>
      </c>
      <c r="DI37" t="e">
        <f>AND(#REF!,"AAAAAF/9vHA=")</f>
        <v>#REF!</v>
      </c>
      <c r="DJ37" t="e">
        <f>AND(#REF!,"AAAAAF/9vHE=")</f>
        <v>#REF!</v>
      </c>
      <c r="DK37" t="e">
        <f>AND(#REF!,"AAAAAF/9vHI=")</f>
        <v>#REF!</v>
      </c>
      <c r="DL37" t="e">
        <f>AND(#REF!,"AAAAAF/9vHM=")</f>
        <v>#REF!</v>
      </c>
      <c r="DM37" t="e">
        <f>AND(#REF!,"AAAAAF/9vHQ=")</f>
        <v>#REF!</v>
      </c>
      <c r="DN37" t="e">
        <f>AND(#REF!,"AAAAAF/9vHU=")</f>
        <v>#REF!</v>
      </c>
      <c r="DO37" t="e">
        <f>AND(#REF!,"AAAAAF/9vHY=")</f>
        <v>#REF!</v>
      </c>
      <c r="DP37" t="e">
        <f>AND(#REF!,"AAAAAF/9vHc=")</f>
        <v>#REF!</v>
      </c>
      <c r="DQ37" t="e">
        <f>AND(#REF!,"AAAAAF/9vHg=")</f>
        <v>#REF!</v>
      </c>
      <c r="DR37" t="e">
        <f>AND(#REF!,"AAAAAF/9vHk=")</f>
        <v>#REF!</v>
      </c>
      <c r="DS37" t="e">
        <f>AND(#REF!,"AAAAAF/9vHo=")</f>
        <v>#REF!</v>
      </c>
      <c r="DT37" t="e">
        <f>AND(#REF!,"AAAAAF/9vHs=")</f>
        <v>#REF!</v>
      </c>
      <c r="DU37" t="e">
        <f>AND(#REF!,"AAAAAF/9vHw=")</f>
        <v>#REF!</v>
      </c>
      <c r="DV37" t="e">
        <f>AND(#REF!,"AAAAAF/9vH0=")</f>
        <v>#REF!</v>
      </c>
      <c r="DW37" t="e">
        <f>AND(#REF!,"AAAAAF/9vH4=")</f>
        <v>#REF!</v>
      </c>
      <c r="DX37" t="e">
        <f>AND(#REF!,"AAAAAF/9vH8=")</f>
        <v>#REF!</v>
      </c>
      <c r="DY37" t="e">
        <f>AND(#REF!,"AAAAAF/9vIA=")</f>
        <v>#REF!</v>
      </c>
      <c r="DZ37" t="e">
        <f>AND(#REF!,"AAAAAF/9vIE=")</f>
        <v>#REF!</v>
      </c>
      <c r="EA37" t="e">
        <f>AND(#REF!,"AAAAAF/9vII=")</f>
        <v>#REF!</v>
      </c>
      <c r="EB37" t="e">
        <f>AND(#REF!,"AAAAAF/9vIM=")</f>
        <v>#REF!</v>
      </c>
      <c r="EC37" t="e">
        <f>AND(#REF!,"AAAAAF/9vIQ=")</f>
        <v>#REF!</v>
      </c>
      <c r="ED37" t="e">
        <f>AND(#REF!,"AAAAAF/9vIU=")</f>
        <v>#REF!</v>
      </c>
      <c r="EE37" t="e">
        <f>AND(#REF!,"AAAAAF/9vIY=")</f>
        <v>#REF!</v>
      </c>
      <c r="EF37" t="e">
        <f>AND(#REF!,"AAAAAF/9vIc=")</f>
        <v>#REF!</v>
      </c>
      <c r="EG37" t="e">
        <f>AND(#REF!,"AAAAAF/9vIg=")</f>
        <v>#REF!</v>
      </c>
      <c r="EH37" t="e">
        <f>AND(#REF!,"AAAAAF/9vIk=")</f>
        <v>#REF!</v>
      </c>
      <c r="EI37" t="e">
        <f>AND(#REF!,"AAAAAF/9vIo=")</f>
        <v>#REF!</v>
      </c>
      <c r="EJ37" t="e">
        <f>AND(#REF!,"AAAAAF/9vIs=")</f>
        <v>#REF!</v>
      </c>
      <c r="EK37" t="e">
        <f>AND(#REF!,"AAAAAF/9vIw=")</f>
        <v>#REF!</v>
      </c>
      <c r="EL37" t="e">
        <f>AND(#REF!,"AAAAAF/9vI0=")</f>
        <v>#REF!</v>
      </c>
      <c r="EM37" t="e">
        <f>AND(#REF!,"AAAAAF/9vI4=")</f>
        <v>#REF!</v>
      </c>
      <c r="EN37" t="e">
        <f>AND(#REF!,"AAAAAF/9vI8=")</f>
        <v>#REF!</v>
      </c>
      <c r="EO37" t="e">
        <f>AND(#REF!,"AAAAAF/9vJA=")</f>
        <v>#REF!</v>
      </c>
      <c r="EP37" t="e">
        <f>AND(#REF!,"AAAAAF/9vJE=")</f>
        <v>#REF!</v>
      </c>
      <c r="EQ37" t="e">
        <f>AND(#REF!,"AAAAAF/9vJI=")</f>
        <v>#REF!</v>
      </c>
      <c r="ER37" t="e">
        <f>AND(#REF!,"AAAAAF/9vJM=")</f>
        <v>#REF!</v>
      </c>
      <c r="ES37" t="e">
        <f>AND(#REF!,"AAAAAF/9vJQ=")</f>
        <v>#REF!</v>
      </c>
      <c r="ET37" t="e">
        <f>AND(#REF!,"AAAAAF/9vJU=")</f>
        <v>#REF!</v>
      </c>
      <c r="EU37" t="e">
        <f>AND(#REF!,"AAAAAF/9vJY=")</f>
        <v>#REF!</v>
      </c>
      <c r="EV37" t="e">
        <f>AND(#REF!,"AAAAAF/9vJc=")</f>
        <v>#REF!</v>
      </c>
      <c r="EW37" t="e">
        <f>AND(#REF!,"AAAAAF/9vJg=")</f>
        <v>#REF!</v>
      </c>
      <c r="EX37" t="e">
        <f>AND(#REF!,"AAAAAF/9vJk=")</f>
        <v>#REF!</v>
      </c>
      <c r="EY37" t="e">
        <f>AND(#REF!,"AAAAAF/9vJo=")</f>
        <v>#REF!</v>
      </c>
      <c r="EZ37" t="e">
        <f>AND(#REF!,"AAAAAF/9vJs=")</f>
        <v>#REF!</v>
      </c>
      <c r="FA37" t="e">
        <f>AND(#REF!,"AAAAAF/9vJw=")</f>
        <v>#REF!</v>
      </c>
      <c r="FB37" t="e">
        <f>AND(#REF!,"AAAAAF/9vJ0=")</f>
        <v>#REF!</v>
      </c>
      <c r="FC37" t="e">
        <f>AND(#REF!,"AAAAAF/9vJ4=")</f>
        <v>#REF!</v>
      </c>
      <c r="FD37" t="e">
        <f>AND(#REF!,"AAAAAF/9vJ8=")</f>
        <v>#REF!</v>
      </c>
      <c r="FE37" t="e">
        <f>AND(#REF!,"AAAAAF/9vKA=")</f>
        <v>#REF!</v>
      </c>
      <c r="FF37" t="e">
        <f>AND(#REF!,"AAAAAF/9vKE=")</f>
        <v>#REF!</v>
      </c>
      <c r="FG37" t="e">
        <f>AND(#REF!,"AAAAAF/9vKI=")</f>
        <v>#REF!</v>
      </c>
      <c r="FH37" t="e">
        <f>AND(#REF!,"AAAAAF/9vKM=")</f>
        <v>#REF!</v>
      </c>
      <c r="FI37" t="e">
        <f>AND(#REF!,"AAAAAF/9vKQ=")</f>
        <v>#REF!</v>
      </c>
      <c r="FJ37" t="e">
        <f>AND(#REF!,"AAAAAF/9vKU=")</f>
        <v>#REF!</v>
      </c>
      <c r="FK37" t="e">
        <f>AND(#REF!,"AAAAAF/9vKY=")</f>
        <v>#REF!</v>
      </c>
      <c r="FL37" t="e">
        <f>AND(#REF!,"AAAAAF/9vKc=")</f>
        <v>#REF!</v>
      </c>
      <c r="FM37" t="e">
        <f>AND(#REF!,"AAAAAF/9vKg=")</f>
        <v>#REF!</v>
      </c>
      <c r="FN37" t="e">
        <f>AND(#REF!,"AAAAAF/9vKk=")</f>
        <v>#REF!</v>
      </c>
      <c r="FO37" t="e">
        <f>AND(#REF!,"AAAAAF/9vKo=")</f>
        <v>#REF!</v>
      </c>
      <c r="FP37" t="e">
        <f>AND(#REF!,"AAAAAF/9vKs=")</f>
        <v>#REF!</v>
      </c>
      <c r="FQ37" t="e">
        <f>AND(#REF!,"AAAAAF/9vKw=")</f>
        <v>#REF!</v>
      </c>
      <c r="FR37" t="e">
        <f>AND(#REF!,"AAAAAF/9vK0=")</f>
        <v>#REF!</v>
      </c>
      <c r="FS37" t="e">
        <f>AND(#REF!,"AAAAAF/9vK4=")</f>
        <v>#REF!</v>
      </c>
      <c r="FT37" t="e">
        <f>AND(#REF!,"AAAAAF/9vK8=")</f>
        <v>#REF!</v>
      </c>
      <c r="FU37" t="e">
        <f>AND(#REF!,"AAAAAF/9vLA=")</f>
        <v>#REF!</v>
      </c>
      <c r="FV37" t="e">
        <f>AND(#REF!,"AAAAAF/9vLE=")</f>
        <v>#REF!</v>
      </c>
      <c r="FW37" t="e">
        <f>AND(#REF!,"AAAAAF/9vLI=")</f>
        <v>#REF!</v>
      </c>
      <c r="FX37" t="e">
        <f>AND(#REF!,"AAAAAF/9vLM=")</f>
        <v>#REF!</v>
      </c>
      <c r="FY37" t="e">
        <f>AND(#REF!,"AAAAAF/9vLQ=")</f>
        <v>#REF!</v>
      </c>
      <c r="FZ37" t="e">
        <f>AND(#REF!,"AAAAAF/9vLU=")</f>
        <v>#REF!</v>
      </c>
      <c r="GA37" t="e">
        <f>AND(#REF!,"AAAAAF/9vLY=")</f>
        <v>#REF!</v>
      </c>
      <c r="GB37" t="e">
        <f>AND(#REF!,"AAAAAF/9vLc=")</f>
        <v>#REF!</v>
      </c>
      <c r="GC37" t="e">
        <f>AND(#REF!,"AAAAAF/9vLg=")</f>
        <v>#REF!</v>
      </c>
      <c r="GD37" t="e">
        <f>AND(#REF!,"AAAAAF/9vLk=")</f>
        <v>#REF!</v>
      </c>
      <c r="GE37" t="e">
        <f>AND(#REF!,"AAAAAF/9vLo=")</f>
        <v>#REF!</v>
      </c>
      <c r="GF37" t="e">
        <f>AND(#REF!,"AAAAAF/9vLs=")</f>
        <v>#REF!</v>
      </c>
      <c r="GG37" t="e">
        <f>AND(#REF!,"AAAAAF/9vLw=")</f>
        <v>#REF!</v>
      </c>
      <c r="GH37" t="e">
        <f>AND(#REF!,"AAAAAF/9vL0=")</f>
        <v>#REF!</v>
      </c>
      <c r="GI37" t="e">
        <f>AND(#REF!,"AAAAAF/9vL4=")</f>
        <v>#REF!</v>
      </c>
      <c r="GJ37" t="e">
        <f>AND(#REF!,"AAAAAF/9vL8=")</f>
        <v>#REF!</v>
      </c>
      <c r="GK37" t="e">
        <f>AND(#REF!,"AAAAAF/9vMA=")</f>
        <v>#REF!</v>
      </c>
      <c r="GL37" t="e">
        <f>AND(#REF!,"AAAAAF/9vME=")</f>
        <v>#REF!</v>
      </c>
      <c r="GM37" t="e">
        <f>AND(#REF!,"AAAAAF/9vMI=")</f>
        <v>#REF!</v>
      </c>
      <c r="GN37" t="e">
        <f>AND(#REF!,"AAAAAF/9vMM=")</f>
        <v>#REF!</v>
      </c>
      <c r="GO37" t="e">
        <f>AND(#REF!,"AAAAAF/9vMQ=")</f>
        <v>#REF!</v>
      </c>
      <c r="GP37" t="e">
        <f>AND(#REF!,"AAAAAF/9vMU=")</f>
        <v>#REF!</v>
      </c>
      <c r="GQ37" t="e">
        <f>AND(#REF!,"AAAAAF/9vMY=")</f>
        <v>#REF!</v>
      </c>
      <c r="GR37" t="e">
        <f>AND(#REF!,"AAAAAF/9vMc=")</f>
        <v>#REF!</v>
      </c>
      <c r="GS37" t="e">
        <f>AND(#REF!,"AAAAAF/9vMg=")</f>
        <v>#REF!</v>
      </c>
      <c r="GT37" t="e">
        <f>AND(#REF!,"AAAAAF/9vMk=")</f>
        <v>#REF!</v>
      </c>
      <c r="GU37" t="e">
        <f>AND(#REF!,"AAAAAF/9vMo=")</f>
        <v>#REF!</v>
      </c>
      <c r="GV37" t="e">
        <f>AND(#REF!,"AAAAAF/9vMs=")</f>
        <v>#REF!</v>
      </c>
      <c r="GW37" t="e">
        <f>AND(#REF!,"AAAAAF/9vMw=")</f>
        <v>#REF!</v>
      </c>
      <c r="GX37" t="e">
        <f>AND(#REF!,"AAAAAF/9vM0=")</f>
        <v>#REF!</v>
      </c>
      <c r="GY37" t="e">
        <f>AND(#REF!,"AAAAAF/9vM4=")</f>
        <v>#REF!</v>
      </c>
      <c r="GZ37" t="e">
        <f>AND(#REF!,"AAAAAF/9vM8=")</f>
        <v>#REF!</v>
      </c>
      <c r="HA37" t="e">
        <f>AND(#REF!,"AAAAAF/9vNA=")</f>
        <v>#REF!</v>
      </c>
      <c r="HB37" t="e">
        <f>AND(#REF!,"AAAAAF/9vNE=")</f>
        <v>#REF!</v>
      </c>
      <c r="HC37" t="e">
        <f>AND(#REF!,"AAAAAF/9vNI=")</f>
        <v>#REF!</v>
      </c>
      <c r="HD37" t="e">
        <f>AND(#REF!,"AAAAAF/9vNM=")</f>
        <v>#REF!</v>
      </c>
      <c r="HE37" t="e">
        <f>AND(#REF!,"AAAAAF/9vNQ=")</f>
        <v>#REF!</v>
      </c>
      <c r="HF37" t="e">
        <f>IF(#REF!,"AAAAAF/9vNU=",0)</f>
        <v>#REF!</v>
      </c>
      <c r="HG37" t="e">
        <f>AND(#REF!,"AAAAAF/9vNY=")</f>
        <v>#REF!</v>
      </c>
      <c r="HH37" t="e">
        <f>AND(#REF!,"AAAAAF/9vNc=")</f>
        <v>#REF!</v>
      </c>
      <c r="HI37" t="e">
        <f>AND(#REF!,"AAAAAF/9vNg=")</f>
        <v>#REF!</v>
      </c>
      <c r="HJ37" t="e">
        <f>AND(#REF!,"AAAAAF/9vNk=")</f>
        <v>#REF!</v>
      </c>
      <c r="HK37" t="e">
        <f>AND(#REF!,"AAAAAF/9vNo=")</f>
        <v>#REF!</v>
      </c>
      <c r="HL37" t="e">
        <f>AND(#REF!,"AAAAAF/9vNs=")</f>
        <v>#REF!</v>
      </c>
      <c r="HM37" t="e">
        <f>AND(#REF!,"AAAAAF/9vNw=")</f>
        <v>#REF!</v>
      </c>
      <c r="HN37" t="e">
        <f>AND(#REF!,"AAAAAF/9vN0=")</f>
        <v>#REF!</v>
      </c>
      <c r="HO37" t="e">
        <f>AND(#REF!,"AAAAAF/9vN4=")</f>
        <v>#REF!</v>
      </c>
      <c r="HP37" t="e">
        <f>AND(#REF!,"AAAAAF/9vN8=")</f>
        <v>#REF!</v>
      </c>
      <c r="HQ37" t="e">
        <f>AND(#REF!,"AAAAAF/9vOA=")</f>
        <v>#REF!</v>
      </c>
      <c r="HR37" t="e">
        <f>AND(#REF!,"AAAAAF/9vOE=")</f>
        <v>#REF!</v>
      </c>
      <c r="HS37" t="e">
        <f>AND(#REF!,"AAAAAF/9vOI=")</f>
        <v>#REF!</v>
      </c>
      <c r="HT37" t="e">
        <f>AND(#REF!,"AAAAAF/9vOM=")</f>
        <v>#REF!</v>
      </c>
      <c r="HU37" t="e">
        <f>AND(#REF!,"AAAAAF/9vOQ=")</f>
        <v>#REF!</v>
      </c>
      <c r="HV37" t="e">
        <f>AND(#REF!,"AAAAAF/9vOU=")</f>
        <v>#REF!</v>
      </c>
      <c r="HW37" t="e">
        <f>AND(#REF!,"AAAAAF/9vOY=")</f>
        <v>#REF!</v>
      </c>
      <c r="HX37" t="e">
        <f>AND(#REF!,"AAAAAF/9vOc=")</f>
        <v>#REF!</v>
      </c>
      <c r="HY37" t="e">
        <f>AND(#REF!,"AAAAAF/9vOg=")</f>
        <v>#REF!</v>
      </c>
      <c r="HZ37" t="e">
        <f>AND(#REF!,"AAAAAF/9vOk=")</f>
        <v>#REF!</v>
      </c>
      <c r="IA37" t="e">
        <f>AND(#REF!,"AAAAAF/9vOo=")</f>
        <v>#REF!</v>
      </c>
      <c r="IB37" t="e">
        <f>AND(#REF!,"AAAAAF/9vOs=")</f>
        <v>#REF!</v>
      </c>
      <c r="IC37" t="e">
        <f>AND(#REF!,"AAAAAF/9vOw=")</f>
        <v>#REF!</v>
      </c>
      <c r="ID37" t="e">
        <f>AND(#REF!,"AAAAAF/9vO0=")</f>
        <v>#REF!</v>
      </c>
      <c r="IE37" t="e">
        <f>AND(#REF!,"AAAAAF/9vO4=")</f>
        <v>#REF!</v>
      </c>
      <c r="IF37" t="e">
        <f>AND(#REF!,"AAAAAF/9vO8=")</f>
        <v>#REF!</v>
      </c>
      <c r="IG37" t="e">
        <f>AND(#REF!,"AAAAAF/9vPA=")</f>
        <v>#REF!</v>
      </c>
      <c r="IH37" t="e">
        <f>AND(#REF!,"AAAAAF/9vPE=")</f>
        <v>#REF!</v>
      </c>
      <c r="II37" t="e">
        <f>AND(#REF!,"AAAAAF/9vPI=")</f>
        <v>#REF!</v>
      </c>
      <c r="IJ37" t="e">
        <f>AND(#REF!,"AAAAAF/9vPM=")</f>
        <v>#REF!</v>
      </c>
      <c r="IK37" t="e">
        <f>AND(#REF!,"AAAAAF/9vPQ=")</f>
        <v>#REF!</v>
      </c>
      <c r="IL37" t="e">
        <f>AND(#REF!,"AAAAAF/9vPU=")</f>
        <v>#REF!</v>
      </c>
      <c r="IM37" t="e">
        <f>AND(#REF!,"AAAAAF/9vPY=")</f>
        <v>#REF!</v>
      </c>
      <c r="IN37" t="e">
        <f>AND(#REF!,"AAAAAF/9vPc=")</f>
        <v>#REF!</v>
      </c>
      <c r="IO37" t="e">
        <f>AND(#REF!,"AAAAAF/9vPg=")</f>
        <v>#REF!</v>
      </c>
      <c r="IP37" t="e">
        <f>AND(#REF!,"AAAAAF/9vPk=")</f>
        <v>#REF!</v>
      </c>
      <c r="IQ37" t="e">
        <f>AND(#REF!,"AAAAAF/9vPo=")</f>
        <v>#REF!</v>
      </c>
      <c r="IR37" t="e">
        <f>AND(#REF!,"AAAAAF/9vPs=")</f>
        <v>#REF!</v>
      </c>
      <c r="IS37" t="e">
        <f>AND(#REF!,"AAAAAF/9vPw=")</f>
        <v>#REF!</v>
      </c>
      <c r="IT37" t="e">
        <f>AND(#REF!,"AAAAAF/9vP0=")</f>
        <v>#REF!</v>
      </c>
      <c r="IU37" t="e">
        <f>AND(#REF!,"AAAAAF/9vP4=")</f>
        <v>#REF!</v>
      </c>
      <c r="IV37" t="e">
        <f>AND(#REF!,"AAAAAF/9vP8=")</f>
        <v>#REF!</v>
      </c>
    </row>
    <row r="38" spans="1:256" x14ac:dyDescent="0.2">
      <c r="A38" t="e">
        <f>AND(#REF!,"AAAAADv+PwA=")</f>
        <v>#REF!</v>
      </c>
      <c r="B38" t="e">
        <f>AND(#REF!,"AAAAADv+PwE=")</f>
        <v>#REF!</v>
      </c>
      <c r="C38" t="e">
        <f>AND(#REF!,"AAAAADv+PwI=")</f>
        <v>#REF!</v>
      </c>
      <c r="D38" t="e">
        <f>AND(#REF!,"AAAAADv+PwM=")</f>
        <v>#REF!</v>
      </c>
      <c r="E38" t="e">
        <f>AND(#REF!,"AAAAADv+PwQ=")</f>
        <v>#REF!</v>
      </c>
      <c r="F38" t="e">
        <f>AND(#REF!,"AAAAADv+PwU=")</f>
        <v>#REF!</v>
      </c>
      <c r="G38" t="e">
        <f>AND(#REF!,"AAAAADv+PwY=")</f>
        <v>#REF!</v>
      </c>
      <c r="H38" t="e">
        <f>AND(#REF!,"AAAAADv+Pwc=")</f>
        <v>#REF!</v>
      </c>
      <c r="I38" t="e">
        <f>AND(#REF!,"AAAAADv+Pwg=")</f>
        <v>#REF!</v>
      </c>
      <c r="J38" t="e">
        <f>AND(#REF!,"AAAAADv+Pwk=")</f>
        <v>#REF!</v>
      </c>
      <c r="K38" t="e">
        <f>AND(#REF!,"AAAAADv+Pwo=")</f>
        <v>#REF!</v>
      </c>
      <c r="L38" t="e">
        <f>AND(#REF!,"AAAAADv+Pws=")</f>
        <v>#REF!</v>
      </c>
      <c r="M38" t="e">
        <f>AND(#REF!,"AAAAADv+Pww=")</f>
        <v>#REF!</v>
      </c>
      <c r="N38" t="e">
        <f>AND(#REF!,"AAAAADv+Pw0=")</f>
        <v>#REF!</v>
      </c>
      <c r="O38" t="e">
        <f>AND(#REF!,"AAAAADv+Pw4=")</f>
        <v>#REF!</v>
      </c>
      <c r="P38" t="e">
        <f>AND(#REF!,"AAAAADv+Pw8=")</f>
        <v>#REF!</v>
      </c>
      <c r="Q38" t="e">
        <f>AND(#REF!,"AAAAADv+PxA=")</f>
        <v>#REF!</v>
      </c>
      <c r="R38" t="e">
        <f>AND(#REF!,"AAAAADv+PxE=")</f>
        <v>#REF!</v>
      </c>
      <c r="S38" t="e">
        <f>AND(#REF!,"AAAAADv+PxI=")</f>
        <v>#REF!</v>
      </c>
      <c r="T38" t="e">
        <f>AND(#REF!,"AAAAADv+PxM=")</f>
        <v>#REF!</v>
      </c>
      <c r="U38" t="e">
        <f>AND(#REF!,"AAAAADv+PxQ=")</f>
        <v>#REF!</v>
      </c>
      <c r="V38" t="e">
        <f>AND(#REF!,"AAAAADv+PxU=")</f>
        <v>#REF!</v>
      </c>
      <c r="W38" t="e">
        <f>AND(#REF!,"AAAAADv+PxY=")</f>
        <v>#REF!</v>
      </c>
      <c r="X38" t="e">
        <f>AND(#REF!,"AAAAADv+Pxc=")</f>
        <v>#REF!</v>
      </c>
      <c r="Y38" t="e">
        <f>AND(#REF!,"AAAAADv+Pxg=")</f>
        <v>#REF!</v>
      </c>
      <c r="Z38" t="e">
        <f>AND(#REF!,"AAAAADv+Pxk=")</f>
        <v>#REF!</v>
      </c>
      <c r="AA38" t="e">
        <f>AND(#REF!,"AAAAADv+Pxo=")</f>
        <v>#REF!</v>
      </c>
      <c r="AB38" t="e">
        <f>AND(#REF!,"AAAAADv+Pxs=")</f>
        <v>#REF!</v>
      </c>
      <c r="AC38" t="e">
        <f>AND(#REF!,"AAAAADv+Pxw=")</f>
        <v>#REF!</v>
      </c>
      <c r="AD38" t="e">
        <f>AND(#REF!,"AAAAADv+Px0=")</f>
        <v>#REF!</v>
      </c>
      <c r="AE38" t="e">
        <f>AND(#REF!,"AAAAADv+Px4=")</f>
        <v>#REF!</v>
      </c>
      <c r="AF38" t="e">
        <f>AND(#REF!,"AAAAADv+Px8=")</f>
        <v>#REF!</v>
      </c>
      <c r="AG38" t="e">
        <f>AND(#REF!,"AAAAADv+PyA=")</f>
        <v>#REF!</v>
      </c>
      <c r="AH38" t="e">
        <f>AND(#REF!,"AAAAADv+PyE=")</f>
        <v>#REF!</v>
      </c>
      <c r="AI38" t="e">
        <f>AND(#REF!,"AAAAADv+PyI=")</f>
        <v>#REF!</v>
      </c>
      <c r="AJ38" t="e">
        <f>AND(#REF!,"AAAAADv+PyM=")</f>
        <v>#REF!</v>
      </c>
      <c r="AK38" t="e">
        <f>AND(#REF!,"AAAAADv+PyQ=")</f>
        <v>#REF!</v>
      </c>
      <c r="AL38" t="e">
        <f>AND(#REF!,"AAAAADv+PyU=")</f>
        <v>#REF!</v>
      </c>
      <c r="AM38" t="e">
        <f>AND(#REF!,"AAAAADv+PyY=")</f>
        <v>#REF!</v>
      </c>
      <c r="AN38" t="e">
        <f>AND(#REF!,"AAAAADv+Pyc=")</f>
        <v>#REF!</v>
      </c>
      <c r="AO38" t="e">
        <f>AND(#REF!,"AAAAADv+Pyg=")</f>
        <v>#REF!</v>
      </c>
      <c r="AP38" t="e">
        <f>AND(#REF!,"AAAAADv+Pyk=")</f>
        <v>#REF!</v>
      </c>
      <c r="AQ38" t="e">
        <f>AND(#REF!,"AAAAADv+Pyo=")</f>
        <v>#REF!</v>
      </c>
      <c r="AR38" t="e">
        <f>AND(#REF!,"AAAAADv+Pys=")</f>
        <v>#REF!</v>
      </c>
      <c r="AS38" t="e">
        <f>AND(#REF!,"AAAAADv+Pyw=")</f>
        <v>#REF!</v>
      </c>
      <c r="AT38" t="e">
        <f>AND(#REF!,"AAAAADv+Py0=")</f>
        <v>#REF!</v>
      </c>
      <c r="AU38" t="e">
        <f>AND(#REF!,"AAAAADv+Py4=")</f>
        <v>#REF!</v>
      </c>
      <c r="AV38" t="e">
        <f>AND(#REF!,"AAAAADv+Py8=")</f>
        <v>#REF!</v>
      </c>
      <c r="AW38" t="e">
        <f>AND(#REF!,"AAAAADv+PzA=")</f>
        <v>#REF!</v>
      </c>
      <c r="AX38" t="e">
        <f>AND(#REF!,"AAAAADv+PzE=")</f>
        <v>#REF!</v>
      </c>
      <c r="AY38" t="e">
        <f>AND(#REF!,"AAAAADv+PzI=")</f>
        <v>#REF!</v>
      </c>
      <c r="AZ38" t="e">
        <f>AND(#REF!,"AAAAADv+PzM=")</f>
        <v>#REF!</v>
      </c>
      <c r="BA38" t="e">
        <f>AND(#REF!,"AAAAADv+PzQ=")</f>
        <v>#REF!</v>
      </c>
      <c r="BB38" t="e">
        <f>AND(#REF!,"AAAAADv+PzU=")</f>
        <v>#REF!</v>
      </c>
      <c r="BC38" t="e">
        <f>AND(#REF!,"AAAAADv+PzY=")</f>
        <v>#REF!</v>
      </c>
      <c r="BD38" t="e">
        <f>AND(#REF!,"AAAAADv+Pzc=")</f>
        <v>#REF!</v>
      </c>
      <c r="BE38" t="e">
        <f>AND(#REF!,"AAAAADv+Pzg=")</f>
        <v>#REF!</v>
      </c>
      <c r="BF38" t="e">
        <f>AND(#REF!,"AAAAADv+Pzk=")</f>
        <v>#REF!</v>
      </c>
      <c r="BG38" t="e">
        <f>AND(#REF!,"AAAAADv+Pzo=")</f>
        <v>#REF!</v>
      </c>
      <c r="BH38" t="e">
        <f>AND(#REF!,"AAAAADv+Pzs=")</f>
        <v>#REF!</v>
      </c>
      <c r="BI38" t="e">
        <f>AND(#REF!,"AAAAADv+Pzw=")</f>
        <v>#REF!</v>
      </c>
      <c r="BJ38" t="e">
        <f>AND(#REF!,"AAAAADv+Pz0=")</f>
        <v>#REF!</v>
      </c>
      <c r="BK38" t="e">
        <f>AND(#REF!,"AAAAADv+Pz4=")</f>
        <v>#REF!</v>
      </c>
      <c r="BL38" t="e">
        <f>AND(#REF!,"AAAAADv+Pz8=")</f>
        <v>#REF!</v>
      </c>
      <c r="BM38" t="e">
        <f>AND(#REF!,"AAAAADv+P0A=")</f>
        <v>#REF!</v>
      </c>
      <c r="BN38" t="e">
        <f>AND(#REF!,"AAAAADv+P0E=")</f>
        <v>#REF!</v>
      </c>
      <c r="BO38" t="e">
        <f>AND(#REF!,"AAAAADv+P0I=")</f>
        <v>#REF!</v>
      </c>
      <c r="BP38" t="e">
        <f>AND(#REF!,"AAAAADv+P0M=")</f>
        <v>#REF!</v>
      </c>
      <c r="BQ38" t="e">
        <f>AND(#REF!,"AAAAADv+P0Q=")</f>
        <v>#REF!</v>
      </c>
      <c r="BR38" t="e">
        <f>AND(#REF!,"AAAAADv+P0U=")</f>
        <v>#REF!</v>
      </c>
      <c r="BS38" t="e">
        <f>AND(#REF!,"AAAAADv+P0Y=")</f>
        <v>#REF!</v>
      </c>
      <c r="BT38" t="e">
        <f>AND(#REF!,"AAAAADv+P0c=")</f>
        <v>#REF!</v>
      </c>
      <c r="BU38" t="e">
        <f>AND(#REF!,"AAAAADv+P0g=")</f>
        <v>#REF!</v>
      </c>
      <c r="BV38" t="e">
        <f>AND(#REF!,"AAAAADv+P0k=")</f>
        <v>#REF!</v>
      </c>
      <c r="BW38" t="e">
        <f>AND(#REF!,"AAAAADv+P0o=")</f>
        <v>#REF!</v>
      </c>
      <c r="BX38" t="e">
        <f>AND(#REF!,"AAAAADv+P0s=")</f>
        <v>#REF!</v>
      </c>
      <c r="BY38" t="e">
        <f>AND(#REF!,"AAAAADv+P0w=")</f>
        <v>#REF!</v>
      </c>
      <c r="BZ38" t="e">
        <f>AND(#REF!,"AAAAADv+P00=")</f>
        <v>#REF!</v>
      </c>
      <c r="CA38" t="e">
        <f>AND(#REF!,"AAAAADv+P04=")</f>
        <v>#REF!</v>
      </c>
      <c r="CB38" t="e">
        <f>AND(#REF!,"AAAAADv+P08=")</f>
        <v>#REF!</v>
      </c>
      <c r="CC38" t="e">
        <f>AND(#REF!,"AAAAADv+P1A=")</f>
        <v>#REF!</v>
      </c>
      <c r="CD38" t="e">
        <f>AND(#REF!,"AAAAADv+P1E=")</f>
        <v>#REF!</v>
      </c>
      <c r="CE38" t="e">
        <f>AND(#REF!,"AAAAADv+P1I=")</f>
        <v>#REF!</v>
      </c>
      <c r="CF38" t="e">
        <f>AND(#REF!,"AAAAADv+P1M=")</f>
        <v>#REF!</v>
      </c>
      <c r="CG38" t="e">
        <f>AND(#REF!,"AAAAADv+P1Q=")</f>
        <v>#REF!</v>
      </c>
      <c r="CH38" t="e">
        <f>AND(#REF!,"AAAAADv+P1U=")</f>
        <v>#REF!</v>
      </c>
      <c r="CI38" t="e">
        <f>AND(#REF!,"AAAAADv+P1Y=")</f>
        <v>#REF!</v>
      </c>
      <c r="CJ38" t="e">
        <f>AND(#REF!,"AAAAADv+P1c=")</f>
        <v>#REF!</v>
      </c>
      <c r="CK38" t="e">
        <f>AND(#REF!,"AAAAADv+P1g=")</f>
        <v>#REF!</v>
      </c>
      <c r="CL38" t="e">
        <f>AND(#REF!,"AAAAADv+P1k=")</f>
        <v>#REF!</v>
      </c>
      <c r="CM38" t="e">
        <f>AND(#REF!,"AAAAADv+P1o=")</f>
        <v>#REF!</v>
      </c>
      <c r="CN38" t="e">
        <f>AND(#REF!,"AAAAADv+P1s=")</f>
        <v>#REF!</v>
      </c>
      <c r="CO38" t="e">
        <f>AND(#REF!,"AAAAADv+P1w=")</f>
        <v>#REF!</v>
      </c>
      <c r="CP38" t="e">
        <f>AND(#REF!,"AAAAADv+P10=")</f>
        <v>#REF!</v>
      </c>
      <c r="CQ38" t="e">
        <f>AND(#REF!,"AAAAADv+P14=")</f>
        <v>#REF!</v>
      </c>
      <c r="CR38" t="e">
        <f>AND(#REF!,"AAAAADv+P18=")</f>
        <v>#REF!</v>
      </c>
      <c r="CS38" t="e">
        <f>AND(#REF!,"AAAAADv+P2A=")</f>
        <v>#REF!</v>
      </c>
      <c r="CT38" t="e">
        <f>AND(#REF!,"AAAAADv+P2E=")</f>
        <v>#REF!</v>
      </c>
      <c r="CU38" t="e">
        <f>AND(#REF!,"AAAAADv+P2I=")</f>
        <v>#REF!</v>
      </c>
      <c r="CV38" t="e">
        <f>AND(#REF!,"AAAAADv+P2M=")</f>
        <v>#REF!</v>
      </c>
      <c r="CW38" t="e">
        <f>AND(#REF!,"AAAAADv+P2Q=")</f>
        <v>#REF!</v>
      </c>
      <c r="CX38" t="e">
        <f>AND(#REF!,"AAAAADv+P2U=")</f>
        <v>#REF!</v>
      </c>
      <c r="CY38" t="e">
        <f>AND(#REF!,"AAAAADv+P2Y=")</f>
        <v>#REF!</v>
      </c>
      <c r="CZ38" t="e">
        <f>AND(#REF!,"AAAAADv+P2c=")</f>
        <v>#REF!</v>
      </c>
      <c r="DA38" t="e">
        <f>AND(#REF!,"AAAAADv+P2g=")</f>
        <v>#REF!</v>
      </c>
      <c r="DB38" t="e">
        <f>AND(#REF!,"AAAAADv+P2k=")</f>
        <v>#REF!</v>
      </c>
      <c r="DC38" t="e">
        <f>AND(#REF!,"AAAAADv+P2o=")</f>
        <v>#REF!</v>
      </c>
      <c r="DD38" t="e">
        <f>AND(#REF!,"AAAAADv+P2s=")</f>
        <v>#REF!</v>
      </c>
      <c r="DE38" t="e">
        <f>AND(#REF!,"AAAAADv+P2w=")</f>
        <v>#REF!</v>
      </c>
      <c r="DF38" t="e">
        <f>AND(#REF!,"AAAAADv+P20=")</f>
        <v>#REF!</v>
      </c>
      <c r="DG38" t="e">
        <f>AND(#REF!,"AAAAADv+P24=")</f>
        <v>#REF!</v>
      </c>
      <c r="DH38" t="e">
        <f>AND(#REF!,"AAAAADv+P28=")</f>
        <v>#REF!</v>
      </c>
      <c r="DI38" t="e">
        <f>AND(#REF!,"AAAAADv+P3A=")</f>
        <v>#REF!</v>
      </c>
      <c r="DJ38" t="e">
        <f>AND(#REF!,"AAAAADv+P3E=")</f>
        <v>#REF!</v>
      </c>
      <c r="DK38" t="e">
        <f>AND(#REF!,"AAAAADv+P3I=")</f>
        <v>#REF!</v>
      </c>
      <c r="DL38" t="e">
        <f>AND(#REF!,"AAAAADv+P3M=")</f>
        <v>#REF!</v>
      </c>
      <c r="DM38" t="e">
        <f>AND(#REF!,"AAAAADv+P3Q=")</f>
        <v>#REF!</v>
      </c>
      <c r="DN38" t="e">
        <f>AND(#REF!,"AAAAADv+P3U=")</f>
        <v>#REF!</v>
      </c>
      <c r="DO38" t="e">
        <f>AND(#REF!,"AAAAADv+P3Y=")</f>
        <v>#REF!</v>
      </c>
      <c r="DP38" t="e">
        <f>AND(#REF!,"AAAAADv+P3c=")</f>
        <v>#REF!</v>
      </c>
      <c r="DQ38" t="e">
        <f>AND(#REF!,"AAAAADv+P3g=")</f>
        <v>#REF!</v>
      </c>
      <c r="DR38" t="e">
        <f>AND(#REF!,"AAAAADv+P3k=")</f>
        <v>#REF!</v>
      </c>
      <c r="DS38" t="e">
        <f>AND(#REF!,"AAAAADv+P3o=")</f>
        <v>#REF!</v>
      </c>
      <c r="DT38" t="e">
        <f>AND(#REF!,"AAAAADv+P3s=")</f>
        <v>#REF!</v>
      </c>
      <c r="DU38" t="e">
        <f>AND(#REF!,"AAAAADv+P3w=")</f>
        <v>#REF!</v>
      </c>
      <c r="DV38" t="e">
        <f>AND(#REF!,"AAAAADv+P30=")</f>
        <v>#REF!</v>
      </c>
      <c r="DW38" t="e">
        <f>AND(#REF!,"AAAAADv+P34=")</f>
        <v>#REF!</v>
      </c>
      <c r="DX38" t="e">
        <f>AND(#REF!,"AAAAADv+P38=")</f>
        <v>#REF!</v>
      </c>
      <c r="DY38" t="e">
        <f>AND(#REF!,"AAAAADv+P4A=")</f>
        <v>#REF!</v>
      </c>
      <c r="DZ38" t="e">
        <f>AND(#REF!,"AAAAADv+P4E=")</f>
        <v>#REF!</v>
      </c>
      <c r="EA38" t="e">
        <f>AND(#REF!,"AAAAADv+P4I=")</f>
        <v>#REF!</v>
      </c>
      <c r="EB38" t="e">
        <f>AND(#REF!,"AAAAADv+P4M=")</f>
        <v>#REF!</v>
      </c>
      <c r="EC38" t="e">
        <f>AND(#REF!,"AAAAADv+P4Q=")</f>
        <v>#REF!</v>
      </c>
      <c r="ED38" t="e">
        <f>AND(#REF!,"AAAAADv+P4U=")</f>
        <v>#REF!</v>
      </c>
      <c r="EE38" t="e">
        <f>AND(#REF!,"AAAAADv+P4Y=")</f>
        <v>#REF!</v>
      </c>
      <c r="EF38" t="e">
        <f>AND(#REF!,"AAAAADv+P4c=")</f>
        <v>#REF!</v>
      </c>
      <c r="EG38" t="e">
        <f>AND(#REF!,"AAAAADv+P4g=")</f>
        <v>#REF!</v>
      </c>
      <c r="EH38" t="e">
        <f>AND(#REF!,"AAAAADv+P4k=")</f>
        <v>#REF!</v>
      </c>
      <c r="EI38" t="e">
        <f>IF(#REF!,"AAAAADv+P4o=",0)</f>
        <v>#REF!</v>
      </c>
      <c r="EJ38" t="e">
        <f>AND(#REF!,"AAAAADv+P4s=")</f>
        <v>#REF!</v>
      </c>
      <c r="EK38" t="e">
        <f>AND(#REF!,"AAAAADv+P4w=")</f>
        <v>#REF!</v>
      </c>
      <c r="EL38" t="e">
        <f>AND(#REF!,"AAAAADv+P40=")</f>
        <v>#REF!</v>
      </c>
      <c r="EM38" t="e">
        <f>AND(#REF!,"AAAAADv+P44=")</f>
        <v>#REF!</v>
      </c>
      <c r="EN38" t="e">
        <f>AND(#REF!,"AAAAADv+P48=")</f>
        <v>#REF!</v>
      </c>
      <c r="EO38" t="e">
        <f>AND(#REF!,"AAAAADv+P5A=")</f>
        <v>#REF!</v>
      </c>
      <c r="EP38" t="e">
        <f>AND(#REF!,"AAAAADv+P5E=")</f>
        <v>#REF!</v>
      </c>
      <c r="EQ38" t="e">
        <f>AND(#REF!,"AAAAADv+P5I=")</f>
        <v>#REF!</v>
      </c>
      <c r="ER38" t="e">
        <f>AND(#REF!,"AAAAADv+P5M=")</f>
        <v>#REF!</v>
      </c>
      <c r="ES38" t="e">
        <f>AND(#REF!,"AAAAADv+P5Q=")</f>
        <v>#REF!</v>
      </c>
      <c r="ET38" t="e">
        <f>AND(#REF!,"AAAAADv+P5U=")</f>
        <v>#REF!</v>
      </c>
      <c r="EU38" t="e">
        <f>AND(#REF!,"AAAAADv+P5Y=")</f>
        <v>#REF!</v>
      </c>
      <c r="EV38" t="e">
        <f>AND(#REF!,"AAAAADv+P5c=")</f>
        <v>#REF!</v>
      </c>
      <c r="EW38" t="e">
        <f>AND(#REF!,"AAAAADv+P5g=")</f>
        <v>#REF!</v>
      </c>
      <c r="EX38" t="e">
        <f>AND(#REF!,"AAAAADv+P5k=")</f>
        <v>#REF!</v>
      </c>
      <c r="EY38" t="e">
        <f>AND(#REF!,"AAAAADv+P5o=")</f>
        <v>#REF!</v>
      </c>
      <c r="EZ38" t="e">
        <f>AND(#REF!,"AAAAADv+P5s=")</f>
        <v>#REF!</v>
      </c>
      <c r="FA38" t="e">
        <f>AND(#REF!,"AAAAADv+P5w=")</f>
        <v>#REF!</v>
      </c>
      <c r="FB38" t="e">
        <f>AND(#REF!,"AAAAADv+P50=")</f>
        <v>#REF!</v>
      </c>
      <c r="FC38" t="e">
        <f>AND(#REF!,"AAAAADv+P54=")</f>
        <v>#REF!</v>
      </c>
      <c r="FD38" t="e">
        <f>AND(#REF!,"AAAAADv+P58=")</f>
        <v>#REF!</v>
      </c>
      <c r="FE38" t="e">
        <f>AND(#REF!,"AAAAADv+P6A=")</f>
        <v>#REF!</v>
      </c>
      <c r="FF38" t="e">
        <f>AND(#REF!,"AAAAADv+P6E=")</f>
        <v>#REF!</v>
      </c>
      <c r="FG38" t="e">
        <f>AND(#REF!,"AAAAADv+P6I=")</f>
        <v>#REF!</v>
      </c>
      <c r="FH38" t="e">
        <f>AND(#REF!,"AAAAADv+P6M=")</f>
        <v>#REF!</v>
      </c>
      <c r="FI38" t="e">
        <f>AND(#REF!,"AAAAADv+P6Q=")</f>
        <v>#REF!</v>
      </c>
      <c r="FJ38" t="e">
        <f>AND(#REF!,"AAAAADv+P6U=")</f>
        <v>#REF!</v>
      </c>
      <c r="FK38" t="e">
        <f>AND(#REF!,"AAAAADv+P6Y=")</f>
        <v>#REF!</v>
      </c>
      <c r="FL38" t="e">
        <f>AND(#REF!,"AAAAADv+P6c=")</f>
        <v>#REF!</v>
      </c>
      <c r="FM38" t="e">
        <f>AND(#REF!,"AAAAADv+P6g=")</f>
        <v>#REF!</v>
      </c>
      <c r="FN38" t="e">
        <f>AND(#REF!,"AAAAADv+P6k=")</f>
        <v>#REF!</v>
      </c>
      <c r="FO38" t="e">
        <f>AND(#REF!,"AAAAADv+P6o=")</f>
        <v>#REF!</v>
      </c>
      <c r="FP38" t="e">
        <f>AND(#REF!,"AAAAADv+P6s=")</f>
        <v>#REF!</v>
      </c>
      <c r="FQ38" t="e">
        <f>AND(#REF!,"AAAAADv+P6w=")</f>
        <v>#REF!</v>
      </c>
      <c r="FR38" t="e">
        <f>AND(#REF!,"AAAAADv+P60=")</f>
        <v>#REF!</v>
      </c>
      <c r="FS38" t="e">
        <f>AND(#REF!,"AAAAADv+P64=")</f>
        <v>#REF!</v>
      </c>
      <c r="FT38" t="e">
        <f>AND(#REF!,"AAAAADv+P68=")</f>
        <v>#REF!</v>
      </c>
      <c r="FU38" t="e">
        <f>AND(#REF!,"AAAAADv+P7A=")</f>
        <v>#REF!</v>
      </c>
      <c r="FV38" t="e">
        <f>AND(#REF!,"AAAAADv+P7E=")</f>
        <v>#REF!</v>
      </c>
      <c r="FW38" t="e">
        <f>AND(#REF!,"AAAAADv+P7I=")</f>
        <v>#REF!</v>
      </c>
      <c r="FX38" t="e">
        <f>AND(#REF!,"AAAAADv+P7M=")</f>
        <v>#REF!</v>
      </c>
      <c r="FY38" t="e">
        <f>AND(#REF!,"AAAAADv+P7Q=")</f>
        <v>#REF!</v>
      </c>
      <c r="FZ38" t="e">
        <f>AND(#REF!,"AAAAADv+P7U=")</f>
        <v>#REF!</v>
      </c>
      <c r="GA38" t="e">
        <f>AND(#REF!,"AAAAADv+P7Y=")</f>
        <v>#REF!</v>
      </c>
      <c r="GB38" t="e">
        <f>AND(#REF!,"AAAAADv+P7c=")</f>
        <v>#REF!</v>
      </c>
      <c r="GC38" t="e">
        <f>AND(#REF!,"AAAAADv+P7g=")</f>
        <v>#REF!</v>
      </c>
      <c r="GD38" t="e">
        <f>AND(#REF!,"AAAAADv+P7k=")</f>
        <v>#REF!</v>
      </c>
      <c r="GE38" t="e">
        <f>AND(#REF!,"AAAAADv+P7o=")</f>
        <v>#REF!</v>
      </c>
      <c r="GF38" t="e">
        <f>AND(#REF!,"AAAAADv+P7s=")</f>
        <v>#REF!</v>
      </c>
      <c r="GG38" t="e">
        <f>AND(#REF!,"AAAAADv+P7w=")</f>
        <v>#REF!</v>
      </c>
      <c r="GH38" t="e">
        <f>AND(#REF!,"AAAAADv+P70=")</f>
        <v>#REF!</v>
      </c>
      <c r="GI38" t="e">
        <f>AND(#REF!,"AAAAADv+P74=")</f>
        <v>#REF!</v>
      </c>
      <c r="GJ38" t="e">
        <f>AND(#REF!,"AAAAADv+P78=")</f>
        <v>#REF!</v>
      </c>
      <c r="GK38" t="e">
        <f>AND(#REF!,"AAAAADv+P8A=")</f>
        <v>#REF!</v>
      </c>
      <c r="GL38" t="e">
        <f>AND(#REF!,"AAAAADv+P8E=")</f>
        <v>#REF!</v>
      </c>
      <c r="GM38" t="e">
        <f>AND(#REF!,"AAAAADv+P8I=")</f>
        <v>#REF!</v>
      </c>
      <c r="GN38" t="e">
        <f>AND(#REF!,"AAAAADv+P8M=")</f>
        <v>#REF!</v>
      </c>
      <c r="GO38" t="e">
        <f>AND(#REF!,"AAAAADv+P8Q=")</f>
        <v>#REF!</v>
      </c>
      <c r="GP38" t="e">
        <f>AND(#REF!,"AAAAADv+P8U=")</f>
        <v>#REF!</v>
      </c>
      <c r="GQ38" t="e">
        <f>AND(#REF!,"AAAAADv+P8Y=")</f>
        <v>#REF!</v>
      </c>
      <c r="GR38" t="e">
        <f>AND(#REF!,"AAAAADv+P8c=")</f>
        <v>#REF!</v>
      </c>
      <c r="GS38" t="e">
        <f>AND(#REF!,"AAAAADv+P8g=")</f>
        <v>#REF!</v>
      </c>
      <c r="GT38" t="e">
        <f>AND(#REF!,"AAAAADv+P8k=")</f>
        <v>#REF!</v>
      </c>
      <c r="GU38" t="e">
        <f>AND(#REF!,"AAAAADv+P8o=")</f>
        <v>#REF!</v>
      </c>
      <c r="GV38" t="e">
        <f>AND(#REF!,"AAAAADv+P8s=")</f>
        <v>#REF!</v>
      </c>
      <c r="GW38" t="e">
        <f>AND(#REF!,"AAAAADv+P8w=")</f>
        <v>#REF!</v>
      </c>
      <c r="GX38" t="e">
        <f>AND(#REF!,"AAAAADv+P80=")</f>
        <v>#REF!</v>
      </c>
      <c r="GY38" t="e">
        <f>AND(#REF!,"AAAAADv+P84=")</f>
        <v>#REF!</v>
      </c>
      <c r="GZ38" t="e">
        <f>AND(#REF!,"AAAAADv+P88=")</f>
        <v>#REF!</v>
      </c>
      <c r="HA38" t="e">
        <f>AND(#REF!,"AAAAADv+P9A=")</f>
        <v>#REF!</v>
      </c>
      <c r="HB38" t="e">
        <f>AND(#REF!,"AAAAADv+P9E=")</f>
        <v>#REF!</v>
      </c>
      <c r="HC38" t="e">
        <f>AND(#REF!,"AAAAADv+P9I=")</f>
        <v>#REF!</v>
      </c>
      <c r="HD38" t="e">
        <f>AND(#REF!,"AAAAADv+P9M=")</f>
        <v>#REF!</v>
      </c>
      <c r="HE38" t="e">
        <f>AND(#REF!,"AAAAADv+P9Q=")</f>
        <v>#REF!</v>
      </c>
      <c r="HF38" t="e">
        <f>AND(#REF!,"AAAAADv+P9U=")</f>
        <v>#REF!</v>
      </c>
      <c r="HG38" t="e">
        <f>AND(#REF!,"AAAAADv+P9Y=")</f>
        <v>#REF!</v>
      </c>
      <c r="HH38" t="e">
        <f>AND(#REF!,"AAAAADv+P9c=")</f>
        <v>#REF!</v>
      </c>
      <c r="HI38" t="e">
        <f>AND(#REF!,"AAAAADv+P9g=")</f>
        <v>#REF!</v>
      </c>
      <c r="HJ38" t="e">
        <f>AND(#REF!,"AAAAADv+P9k=")</f>
        <v>#REF!</v>
      </c>
      <c r="HK38" t="e">
        <f>AND(#REF!,"AAAAADv+P9o=")</f>
        <v>#REF!</v>
      </c>
      <c r="HL38" t="e">
        <f>AND(#REF!,"AAAAADv+P9s=")</f>
        <v>#REF!</v>
      </c>
      <c r="HM38" t="e">
        <f>AND(#REF!,"AAAAADv+P9w=")</f>
        <v>#REF!</v>
      </c>
      <c r="HN38" t="e">
        <f>AND(#REF!,"AAAAADv+P90=")</f>
        <v>#REF!</v>
      </c>
      <c r="HO38" t="e">
        <f>AND(#REF!,"AAAAADv+P94=")</f>
        <v>#REF!</v>
      </c>
      <c r="HP38" t="e">
        <f>AND(#REF!,"AAAAADv+P98=")</f>
        <v>#REF!</v>
      </c>
      <c r="HQ38" t="e">
        <f>AND(#REF!,"AAAAADv+P+A=")</f>
        <v>#REF!</v>
      </c>
      <c r="HR38" t="e">
        <f>AND(#REF!,"AAAAADv+P+E=")</f>
        <v>#REF!</v>
      </c>
      <c r="HS38" t="e">
        <f>AND(#REF!,"AAAAADv+P+I=")</f>
        <v>#REF!</v>
      </c>
      <c r="HT38" t="e">
        <f>AND(#REF!,"AAAAADv+P+M=")</f>
        <v>#REF!</v>
      </c>
      <c r="HU38" t="e">
        <f>AND(#REF!,"AAAAADv+P+Q=")</f>
        <v>#REF!</v>
      </c>
      <c r="HV38" t="e">
        <f>AND(#REF!,"AAAAADv+P+U=")</f>
        <v>#REF!</v>
      </c>
      <c r="HW38" t="e">
        <f>AND(#REF!,"AAAAADv+P+Y=")</f>
        <v>#REF!</v>
      </c>
      <c r="HX38" t="e">
        <f>AND(#REF!,"AAAAADv+P+c=")</f>
        <v>#REF!</v>
      </c>
      <c r="HY38" t="e">
        <f>AND(#REF!,"AAAAADv+P+g=")</f>
        <v>#REF!</v>
      </c>
      <c r="HZ38" t="e">
        <f>AND(#REF!,"AAAAADv+P+k=")</f>
        <v>#REF!</v>
      </c>
      <c r="IA38" t="e">
        <f>AND(#REF!,"AAAAADv+P+o=")</f>
        <v>#REF!</v>
      </c>
      <c r="IB38" t="e">
        <f>AND(#REF!,"AAAAADv+P+s=")</f>
        <v>#REF!</v>
      </c>
      <c r="IC38" t="e">
        <f>AND(#REF!,"AAAAADv+P+w=")</f>
        <v>#REF!</v>
      </c>
      <c r="ID38" t="e">
        <f>AND(#REF!,"AAAAADv+P+0=")</f>
        <v>#REF!</v>
      </c>
      <c r="IE38" t="e">
        <f>AND(#REF!,"AAAAADv+P+4=")</f>
        <v>#REF!</v>
      </c>
      <c r="IF38" t="e">
        <f>AND(#REF!,"AAAAADv+P+8=")</f>
        <v>#REF!</v>
      </c>
      <c r="IG38" t="e">
        <f>AND(#REF!,"AAAAADv+P/A=")</f>
        <v>#REF!</v>
      </c>
      <c r="IH38" t="e">
        <f>AND(#REF!,"AAAAADv+P/E=")</f>
        <v>#REF!</v>
      </c>
      <c r="II38" t="e">
        <f>AND(#REF!,"AAAAADv+P/I=")</f>
        <v>#REF!</v>
      </c>
      <c r="IJ38" t="e">
        <f>AND(#REF!,"AAAAADv+P/M=")</f>
        <v>#REF!</v>
      </c>
      <c r="IK38" t="e">
        <f>AND(#REF!,"AAAAADv+P/Q=")</f>
        <v>#REF!</v>
      </c>
      <c r="IL38" t="e">
        <f>AND(#REF!,"AAAAADv+P/U=")</f>
        <v>#REF!</v>
      </c>
      <c r="IM38" t="e">
        <f>AND(#REF!,"AAAAADv+P/Y=")</f>
        <v>#REF!</v>
      </c>
      <c r="IN38" t="e">
        <f>AND(#REF!,"AAAAADv+P/c=")</f>
        <v>#REF!</v>
      </c>
      <c r="IO38" t="e">
        <f>AND(#REF!,"AAAAADv+P/g=")</f>
        <v>#REF!</v>
      </c>
      <c r="IP38" t="e">
        <f>AND(#REF!,"AAAAADv+P/k=")</f>
        <v>#REF!</v>
      </c>
      <c r="IQ38" t="e">
        <f>AND(#REF!,"AAAAADv+P/o=")</f>
        <v>#REF!</v>
      </c>
      <c r="IR38" t="e">
        <f>AND(#REF!,"AAAAADv+P/s=")</f>
        <v>#REF!</v>
      </c>
      <c r="IS38" t="e">
        <f>AND(#REF!,"AAAAADv+P/w=")</f>
        <v>#REF!</v>
      </c>
      <c r="IT38" t="e">
        <f>AND(#REF!,"AAAAADv+P/0=")</f>
        <v>#REF!</v>
      </c>
      <c r="IU38" t="e">
        <f>AND(#REF!,"AAAAADv+P/4=")</f>
        <v>#REF!</v>
      </c>
      <c r="IV38" t="e">
        <f>AND(#REF!,"AAAAADv+P/8=")</f>
        <v>#REF!</v>
      </c>
    </row>
    <row r="39" spans="1:256" x14ac:dyDescent="0.2">
      <c r="A39" t="e">
        <f>AND(#REF!,"AAAAAHW4tgA=")</f>
        <v>#REF!</v>
      </c>
      <c r="B39" t="e">
        <f>AND(#REF!,"AAAAAHW4tgE=")</f>
        <v>#REF!</v>
      </c>
      <c r="C39" t="e">
        <f>AND(#REF!,"AAAAAHW4tgI=")</f>
        <v>#REF!</v>
      </c>
      <c r="D39" t="e">
        <f>AND(#REF!,"AAAAAHW4tgM=")</f>
        <v>#REF!</v>
      </c>
      <c r="E39" t="e">
        <f>AND(#REF!,"AAAAAHW4tgQ=")</f>
        <v>#REF!</v>
      </c>
      <c r="F39" t="e">
        <f>AND(#REF!,"AAAAAHW4tgU=")</f>
        <v>#REF!</v>
      </c>
      <c r="G39" t="e">
        <f>AND(#REF!,"AAAAAHW4tgY=")</f>
        <v>#REF!</v>
      </c>
      <c r="H39" t="e">
        <f>AND(#REF!,"AAAAAHW4tgc=")</f>
        <v>#REF!</v>
      </c>
      <c r="I39" t="e">
        <f>AND(#REF!,"AAAAAHW4tgg=")</f>
        <v>#REF!</v>
      </c>
      <c r="J39" t="e">
        <f>AND(#REF!,"AAAAAHW4tgk=")</f>
        <v>#REF!</v>
      </c>
      <c r="K39" t="e">
        <f>AND(#REF!,"AAAAAHW4tgo=")</f>
        <v>#REF!</v>
      </c>
      <c r="L39" t="e">
        <f>AND(#REF!,"AAAAAHW4tgs=")</f>
        <v>#REF!</v>
      </c>
      <c r="M39" t="e">
        <f>AND(#REF!,"AAAAAHW4tgw=")</f>
        <v>#REF!</v>
      </c>
      <c r="N39" t="e">
        <f>AND(#REF!,"AAAAAHW4tg0=")</f>
        <v>#REF!</v>
      </c>
      <c r="O39" t="e">
        <f>AND(#REF!,"AAAAAHW4tg4=")</f>
        <v>#REF!</v>
      </c>
      <c r="P39" t="e">
        <f>AND(#REF!,"AAAAAHW4tg8=")</f>
        <v>#REF!</v>
      </c>
      <c r="Q39" t="e">
        <f>AND(#REF!,"AAAAAHW4thA=")</f>
        <v>#REF!</v>
      </c>
      <c r="R39" t="e">
        <f>AND(#REF!,"AAAAAHW4thE=")</f>
        <v>#REF!</v>
      </c>
      <c r="S39" t="e">
        <f>AND(#REF!,"AAAAAHW4thI=")</f>
        <v>#REF!</v>
      </c>
      <c r="T39" t="e">
        <f>AND(#REF!,"AAAAAHW4thM=")</f>
        <v>#REF!</v>
      </c>
      <c r="U39" t="e">
        <f>AND(#REF!,"AAAAAHW4thQ=")</f>
        <v>#REF!</v>
      </c>
      <c r="V39" t="e">
        <f>AND(#REF!,"AAAAAHW4thU=")</f>
        <v>#REF!</v>
      </c>
      <c r="W39" t="e">
        <f>AND(#REF!,"AAAAAHW4thY=")</f>
        <v>#REF!</v>
      </c>
      <c r="X39" t="e">
        <f>AND(#REF!,"AAAAAHW4thc=")</f>
        <v>#REF!</v>
      </c>
      <c r="Y39" t="e">
        <f>AND(#REF!,"AAAAAHW4thg=")</f>
        <v>#REF!</v>
      </c>
      <c r="Z39" t="e">
        <f>AND(#REF!,"AAAAAHW4thk=")</f>
        <v>#REF!</v>
      </c>
      <c r="AA39" t="e">
        <f>AND(#REF!,"AAAAAHW4tho=")</f>
        <v>#REF!</v>
      </c>
      <c r="AB39" t="e">
        <f>AND(#REF!,"AAAAAHW4ths=")</f>
        <v>#REF!</v>
      </c>
      <c r="AC39" t="e">
        <f>AND(#REF!,"AAAAAHW4thw=")</f>
        <v>#REF!</v>
      </c>
      <c r="AD39" t="e">
        <f>AND(#REF!,"AAAAAHW4th0=")</f>
        <v>#REF!</v>
      </c>
      <c r="AE39" t="e">
        <f>AND(#REF!,"AAAAAHW4th4=")</f>
        <v>#REF!</v>
      </c>
      <c r="AF39" t="e">
        <f>AND(#REF!,"AAAAAHW4th8=")</f>
        <v>#REF!</v>
      </c>
      <c r="AG39" t="e">
        <f>AND(#REF!,"AAAAAHW4tiA=")</f>
        <v>#REF!</v>
      </c>
      <c r="AH39" t="e">
        <f>AND(#REF!,"AAAAAHW4tiE=")</f>
        <v>#REF!</v>
      </c>
      <c r="AI39" t="e">
        <f>AND(#REF!,"AAAAAHW4tiI=")</f>
        <v>#REF!</v>
      </c>
      <c r="AJ39" t="e">
        <f>AND(#REF!,"AAAAAHW4tiM=")</f>
        <v>#REF!</v>
      </c>
      <c r="AK39" t="e">
        <f>AND(#REF!,"AAAAAHW4tiQ=")</f>
        <v>#REF!</v>
      </c>
      <c r="AL39" t="e">
        <f>AND(#REF!,"AAAAAHW4tiU=")</f>
        <v>#REF!</v>
      </c>
      <c r="AM39" t="e">
        <f>AND(#REF!,"AAAAAHW4tiY=")</f>
        <v>#REF!</v>
      </c>
      <c r="AN39" t="e">
        <f>AND(#REF!,"AAAAAHW4tic=")</f>
        <v>#REF!</v>
      </c>
      <c r="AO39" t="e">
        <f>AND(#REF!,"AAAAAHW4tig=")</f>
        <v>#REF!</v>
      </c>
      <c r="AP39" t="e">
        <f>AND(#REF!,"AAAAAHW4tik=")</f>
        <v>#REF!</v>
      </c>
      <c r="AQ39" t="e">
        <f>AND(#REF!,"AAAAAHW4tio=")</f>
        <v>#REF!</v>
      </c>
      <c r="AR39" t="e">
        <f>AND(#REF!,"AAAAAHW4tis=")</f>
        <v>#REF!</v>
      </c>
      <c r="AS39" t="e">
        <f>AND(#REF!,"AAAAAHW4tiw=")</f>
        <v>#REF!</v>
      </c>
      <c r="AT39" t="e">
        <f>AND(#REF!,"AAAAAHW4ti0=")</f>
        <v>#REF!</v>
      </c>
      <c r="AU39" t="e">
        <f>AND(#REF!,"AAAAAHW4ti4=")</f>
        <v>#REF!</v>
      </c>
      <c r="AV39" t="e">
        <f>AND(#REF!,"AAAAAHW4ti8=")</f>
        <v>#REF!</v>
      </c>
      <c r="AW39" t="e">
        <f>AND(#REF!,"AAAAAHW4tjA=")</f>
        <v>#REF!</v>
      </c>
      <c r="AX39" t="e">
        <f>AND(#REF!,"AAAAAHW4tjE=")</f>
        <v>#REF!</v>
      </c>
      <c r="AY39" t="e">
        <f>AND(#REF!,"AAAAAHW4tjI=")</f>
        <v>#REF!</v>
      </c>
      <c r="AZ39" t="e">
        <f>AND(#REF!,"AAAAAHW4tjM=")</f>
        <v>#REF!</v>
      </c>
      <c r="BA39" t="e">
        <f>AND(#REF!,"AAAAAHW4tjQ=")</f>
        <v>#REF!</v>
      </c>
      <c r="BB39" t="e">
        <f>AND(#REF!,"AAAAAHW4tjU=")</f>
        <v>#REF!</v>
      </c>
      <c r="BC39" t="e">
        <f>AND(#REF!,"AAAAAHW4tjY=")</f>
        <v>#REF!</v>
      </c>
      <c r="BD39" t="e">
        <f>AND(#REF!,"AAAAAHW4tjc=")</f>
        <v>#REF!</v>
      </c>
      <c r="BE39" t="e">
        <f>AND(#REF!,"AAAAAHW4tjg=")</f>
        <v>#REF!</v>
      </c>
      <c r="BF39" t="e">
        <f>AND(#REF!,"AAAAAHW4tjk=")</f>
        <v>#REF!</v>
      </c>
      <c r="BG39" t="e">
        <f>AND(#REF!,"AAAAAHW4tjo=")</f>
        <v>#REF!</v>
      </c>
      <c r="BH39" t="e">
        <f>AND(#REF!,"AAAAAHW4tjs=")</f>
        <v>#REF!</v>
      </c>
      <c r="BI39" t="e">
        <f>AND(#REF!,"AAAAAHW4tjw=")</f>
        <v>#REF!</v>
      </c>
      <c r="BJ39" t="e">
        <f>AND(#REF!,"AAAAAHW4tj0=")</f>
        <v>#REF!</v>
      </c>
      <c r="BK39" t="e">
        <f>AND(#REF!,"AAAAAHW4tj4=")</f>
        <v>#REF!</v>
      </c>
      <c r="BL39" t="e">
        <f>IF(#REF!,"AAAAAHW4tj8=",0)</f>
        <v>#REF!</v>
      </c>
      <c r="BM39" t="e">
        <f>AND(#REF!,"AAAAAHW4tkA=")</f>
        <v>#REF!</v>
      </c>
      <c r="BN39" t="e">
        <f>AND(#REF!,"AAAAAHW4tkE=")</f>
        <v>#REF!</v>
      </c>
      <c r="BO39" t="e">
        <f>AND(#REF!,"AAAAAHW4tkI=")</f>
        <v>#REF!</v>
      </c>
      <c r="BP39" t="e">
        <f>AND(#REF!,"AAAAAHW4tkM=")</f>
        <v>#REF!</v>
      </c>
      <c r="BQ39" t="e">
        <f>AND(#REF!,"AAAAAHW4tkQ=")</f>
        <v>#REF!</v>
      </c>
      <c r="BR39" t="e">
        <f>AND(#REF!,"AAAAAHW4tkU=")</f>
        <v>#REF!</v>
      </c>
      <c r="BS39" t="e">
        <f>AND(#REF!,"AAAAAHW4tkY=")</f>
        <v>#REF!</v>
      </c>
      <c r="BT39" t="e">
        <f>AND(#REF!,"AAAAAHW4tkc=")</f>
        <v>#REF!</v>
      </c>
      <c r="BU39" t="e">
        <f>AND(#REF!,"AAAAAHW4tkg=")</f>
        <v>#REF!</v>
      </c>
      <c r="BV39" t="e">
        <f>AND(#REF!,"AAAAAHW4tkk=")</f>
        <v>#REF!</v>
      </c>
      <c r="BW39" t="e">
        <f>AND(#REF!,"AAAAAHW4tko=")</f>
        <v>#REF!</v>
      </c>
      <c r="BX39" t="e">
        <f>AND(#REF!,"AAAAAHW4tks=")</f>
        <v>#REF!</v>
      </c>
      <c r="BY39" t="e">
        <f>AND(#REF!,"AAAAAHW4tkw=")</f>
        <v>#REF!</v>
      </c>
      <c r="BZ39" t="e">
        <f>AND(#REF!,"AAAAAHW4tk0=")</f>
        <v>#REF!</v>
      </c>
      <c r="CA39" t="e">
        <f>AND(#REF!,"AAAAAHW4tk4=")</f>
        <v>#REF!</v>
      </c>
      <c r="CB39" t="e">
        <f>AND(#REF!,"AAAAAHW4tk8=")</f>
        <v>#REF!</v>
      </c>
      <c r="CC39" t="e">
        <f>AND(#REF!,"AAAAAHW4tlA=")</f>
        <v>#REF!</v>
      </c>
      <c r="CD39" t="e">
        <f>AND(#REF!,"AAAAAHW4tlE=")</f>
        <v>#REF!</v>
      </c>
      <c r="CE39" t="e">
        <f>AND(#REF!,"AAAAAHW4tlI=")</f>
        <v>#REF!</v>
      </c>
      <c r="CF39" t="e">
        <f>AND(#REF!,"AAAAAHW4tlM=")</f>
        <v>#REF!</v>
      </c>
      <c r="CG39" t="e">
        <f>AND(#REF!,"AAAAAHW4tlQ=")</f>
        <v>#REF!</v>
      </c>
      <c r="CH39" t="e">
        <f>AND(#REF!,"AAAAAHW4tlU=")</f>
        <v>#REF!</v>
      </c>
      <c r="CI39" t="e">
        <f>AND(#REF!,"AAAAAHW4tlY=")</f>
        <v>#REF!</v>
      </c>
      <c r="CJ39" t="e">
        <f>AND(#REF!,"AAAAAHW4tlc=")</f>
        <v>#REF!</v>
      </c>
      <c r="CK39" t="e">
        <f>AND(#REF!,"AAAAAHW4tlg=")</f>
        <v>#REF!</v>
      </c>
      <c r="CL39" t="e">
        <f>AND(#REF!,"AAAAAHW4tlk=")</f>
        <v>#REF!</v>
      </c>
      <c r="CM39" t="e">
        <f>AND(#REF!,"AAAAAHW4tlo=")</f>
        <v>#REF!</v>
      </c>
      <c r="CN39" t="e">
        <f>AND(#REF!,"AAAAAHW4tls=")</f>
        <v>#REF!</v>
      </c>
      <c r="CO39" t="e">
        <f>AND(#REF!,"AAAAAHW4tlw=")</f>
        <v>#REF!</v>
      </c>
      <c r="CP39" t="e">
        <f>AND(#REF!,"AAAAAHW4tl0=")</f>
        <v>#REF!</v>
      </c>
      <c r="CQ39" t="e">
        <f>AND(#REF!,"AAAAAHW4tl4=")</f>
        <v>#REF!</v>
      </c>
      <c r="CR39" t="e">
        <f>AND(#REF!,"AAAAAHW4tl8=")</f>
        <v>#REF!</v>
      </c>
      <c r="CS39" t="e">
        <f>AND(#REF!,"AAAAAHW4tmA=")</f>
        <v>#REF!</v>
      </c>
      <c r="CT39" t="e">
        <f>AND(#REF!,"AAAAAHW4tmE=")</f>
        <v>#REF!</v>
      </c>
      <c r="CU39" t="e">
        <f>AND(#REF!,"AAAAAHW4tmI=")</f>
        <v>#REF!</v>
      </c>
      <c r="CV39" t="e">
        <f>AND(#REF!,"AAAAAHW4tmM=")</f>
        <v>#REF!</v>
      </c>
      <c r="CW39" t="e">
        <f>AND(#REF!,"AAAAAHW4tmQ=")</f>
        <v>#REF!</v>
      </c>
      <c r="CX39" t="e">
        <f>AND(#REF!,"AAAAAHW4tmU=")</f>
        <v>#REF!</v>
      </c>
      <c r="CY39" t="e">
        <f>AND(#REF!,"AAAAAHW4tmY=")</f>
        <v>#REF!</v>
      </c>
      <c r="CZ39" t="e">
        <f>AND(#REF!,"AAAAAHW4tmc=")</f>
        <v>#REF!</v>
      </c>
      <c r="DA39" t="e">
        <f>AND(#REF!,"AAAAAHW4tmg=")</f>
        <v>#REF!</v>
      </c>
      <c r="DB39" t="e">
        <f>AND(#REF!,"AAAAAHW4tmk=")</f>
        <v>#REF!</v>
      </c>
      <c r="DC39" t="e">
        <f>AND(#REF!,"AAAAAHW4tmo=")</f>
        <v>#REF!</v>
      </c>
      <c r="DD39" t="e">
        <f>AND(#REF!,"AAAAAHW4tms=")</f>
        <v>#REF!</v>
      </c>
      <c r="DE39" t="e">
        <f>AND(#REF!,"AAAAAHW4tmw=")</f>
        <v>#REF!</v>
      </c>
      <c r="DF39" t="e">
        <f>AND(#REF!,"AAAAAHW4tm0=")</f>
        <v>#REF!</v>
      </c>
      <c r="DG39" t="e">
        <f>AND(#REF!,"AAAAAHW4tm4=")</f>
        <v>#REF!</v>
      </c>
      <c r="DH39" t="e">
        <f>AND(#REF!,"AAAAAHW4tm8=")</f>
        <v>#REF!</v>
      </c>
      <c r="DI39" t="e">
        <f>AND(#REF!,"AAAAAHW4tnA=")</f>
        <v>#REF!</v>
      </c>
      <c r="DJ39" t="e">
        <f>AND(#REF!,"AAAAAHW4tnE=")</f>
        <v>#REF!</v>
      </c>
      <c r="DK39" t="e">
        <f>AND(#REF!,"AAAAAHW4tnI=")</f>
        <v>#REF!</v>
      </c>
      <c r="DL39" t="e">
        <f>AND(#REF!,"AAAAAHW4tnM=")</f>
        <v>#REF!</v>
      </c>
      <c r="DM39" t="e">
        <f>AND(#REF!,"AAAAAHW4tnQ=")</f>
        <v>#REF!</v>
      </c>
      <c r="DN39" t="e">
        <f>AND(#REF!,"AAAAAHW4tnU=")</f>
        <v>#REF!</v>
      </c>
      <c r="DO39" t="e">
        <f>AND(#REF!,"AAAAAHW4tnY=")</f>
        <v>#REF!</v>
      </c>
      <c r="DP39" t="e">
        <f>AND(#REF!,"AAAAAHW4tnc=")</f>
        <v>#REF!</v>
      </c>
      <c r="DQ39" t="e">
        <f>AND(#REF!,"AAAAAHW4tng=")</f>
        <v>#REF!</v>
      </c>
      <c r="DR39" t="e">
        <f>AND(#REF!,"AAAAAHW4tnk=")</f>
        <v>#REF!</v>
      </c>
      <c r="DS39" t="e">
        <f>AND(#REF!,"AAAAAHW4tno=")</f>
        <v>#REF!</v>
      </c>
      <c r="DT39" t="e">
        <f>AND(#REF!,"AAAAAHW4tns=")</f>
        <v>#REF!</v>
      </c>
      <c r="DU39" t="e">
        <f>AND(#REF!,"AAAAAHW4tnw=")</f>
        <v>#REF!</v>
      </c>
      <c r="DV39" t="e">
        <f>AND(#REF!,"AAAAAHW4tn0=")</f>
        <v>#REF!</v>
      </c>
      <c r="DW39" t="e">
        <f>AND(#REF!,"AAAAAHW4tn4=")</f>
        <v>#REF!</v>
      </c>
      <c r="DX39" t="e">
        <f>AND(#REF!,"AAAAAHW4tn8=")</f>
        <v>#REF!</v>
      </c>
      <c r="DY39" t="e">
        <f>AND(#REF!,"AAAAAHW4toA=")</f>
        <v>#REF!</v>
      </c>
      <c r="DZ39" t="e">
        <f>AND(#REF!,"AAAAAHW4toE=")</f>
        <v>#REF!</v>
      </c>
      <c r="EA39" t="e">
        <f>AND(#REF!,"AAAAAHW4toI=")</f>
        <v>#REF!</v>
      </c>
      <c r="EB39" t="e">
        <f>AND(#REF!,"AAAAAHW4toM=")</f>
        <v>#REF!</v>
      </c>
      <c r="EC39" t="e">
        <f>AND(#REF!,"AAAAAHW4toQ=")</f>
        <v>#REF!</v>
      </c>
      <c r="ED39" t="e">
        <f>AND(#REF!,"AAAAAHW4toU=")</f>
        <v>#REF!</v>
      </c>
      <c r="EE39" t="e">
        <f>AND(#REF!,"AAAAAHW4toY=")</f>
        <v>#REF!</v>
      </c>
      <c r="EF39" t="e">
        <f>AND(#REF!,"AAAAAHW4toc=")</f>
        <v>#REF!</v>
      </c>
      <c r="EG39" t="e">
        <f>AND(#REF!,"AAAAAHW4tog=")</f>
        <v>#REF!</v>
      </c>
      <c r="EH39" t="e">
        <f>AND(#REF!,"AAAAAHW4tok=")</f>
        <v>#REF!</v>
      </c>
      <c r="EI39" t="e">
        <f>AND(#REF!,"AAAAAHW4too=")</f>
        <v>#REF!</v>
      </c>
      <c r="EJ39" t="e">
        <f>AND(#REF!,"AAAAAHW4tos=")</f>
        <v>#REF!</v>
      </c>
      <c r="EK39" t="e">
        <f>AND(#REF!,"AAAAAHW4tow=")</f>
        <v>#REF!</v>
      </c>
      <c r="EL39" t="e">
        <f>AND(#REF!,"AAAAAHW4to0=")</f>
        <v>#REF!</v>
      </c>
      <c r="EM39" t="e">
        <f>AND(#REF!,"AAAAAHW4to4=")</f>
        <v>#REF!</v>
      </c>
      <c r="EN39" t="e">
        <f>AND(#REF!,"AAAAAHW4to8=")</f>
        <v>#REF!</v>
      </c>
      <c r="EO39" t="e">
        <f>AND(#REF!,"AAAAAHW4tpA=")</f>
        <v>#REF!</v>
      </c>
      <c r="EP39" t="e">
        <f>AND(#REF!,"AAAAAHW4tpE=")</f>
        <v>#REF!</v>
      </c>
      <c r="EQ39" t="e">
        <f>AND(#REF!,"AAAAAHW4tpI=")</f>
        <v>#REF!</v>
      </c>
      <c r="ER39" t="e">
        <f>AND(#REF!,"AAAAAHW4tpM=")</f>
        <v>#REF!</v>
      </c>
      <c r="ES39" t="e">
        <f>AND(#REF!,"AAAAAHW4tpQ=")</f>
        <v>#REF!</v>
      </c>
      <c r="ET39" t="e">
        <f>AND(#REF!,"AAAAAHW4tpU=")</f>
        <v>#REF!</v>
      </c>
      <c r="EU39" t="e">
        <f>AND(#REF!,"AAAAAHW4tpY=")</f>
        <v>#REF!</v>
      </c>
      <c r="EV39" t="e">
        <f>AND(#REF!,"AAAAAHW4tpc=")</f>
        <v>#REF!</v>
      </c>
      <c r="EW39" t="e">
        <f>AND(#REF!,"AAAAAHW4tpg=")</f>
        <v>#REF!</v>
      </c>
      <c r="EX39" t="e">
        <f>AND(#REF!,"AAAAAHW4tpk=")</f>
        <v>#REF!</v>
      </c>
      <c r="EY39" t="e">
        <f>AND(#REF!,"AAAAAHW4tpo=")</f>
        <v>#REF!</v>
      </c>
      <c r="EZ39" t="e">
        <f>AND(#REF!,"AAAAAHW4tps=")</f>
        <v>#REF!</v>
      </c>
      <c r="FA39" t="e">
        <f>AND(#REF!,"AAAAAHW4tpw=")</f>
        <v>#REF!</v>
      </c>
      <c r="FB39" t="e">
        <f>AND(#REF!,"AAAAAHW4tp0=")</f>
        <v>#REF!</v>
      </c>
      <c r="FC39" t="e">
        <f>AND(#REF!,"AAAAAHW4tp4=")</f>
        <v>#REF!</v>
      </c>
      <c r="FD39" t="e">
        <f>AND(#REF!,"AAAAAHW4tp8=")</f>
        <v>#REF!</v>
      </c>
      <c r="FE39" t="e">
        <f>AND(#REF!,"AAAAAHW4tqA=")</f>
        <v>#REF!</v>
      </c>
      <c r="FF39" t="e">
        <f>AND(#REF!,"AAAAAHW4tqE=")</f>
        <v>#REF!</v>
      </c>
      <c r="FG39" t="e">
        <f>AND(#REF!,"AAAAAHW4tqI=")</f>
        <v>#REF!</v>
      </c>
      <c r="FH39" t="e">
        <f>AND(#REF!,"AAAAAHW4tqM=")</f>
        <v>#REF!</v>
      </c>
      <c r="FI39" t="e">
        <f>AND(#REF!,"AAAAAHW4tqQ=")</f>
        <v>#REF!</v>
      </c>
      <c r="FJ39" t="e">
        <f>AND(#REF!,"AAAAAHW4tqU=")</f>
        <v>#REF!</v>
      </c>
      <c r="FK39" t="e">
        <f>AND(#REF!,"AAAAAHW4tqY=")</f>
        <v>#REF!</v>
      </c>
      <c r="FL39" t="e">
        <f>AND(#REF!,"AAAAAHW4tqc=")</f>
        <v>#REF!</v>
      </c>
      <c r="FM39" t="e">
        <f>AND(#REF!,"AAAAAHW4tqg=")</f>
        <v>#REF!</v>
      </c>
      <c r="FN39" t="e">
        <f>AND(#REF!,"AAAAAHW4tqk=")</f>
        <v>#REF!</v>
      </c>
      <c r="FO39" t="e">
        <f>AND(#REF!,"AAAAAHW4tqo=")</f>
        <v>#REF!</v>
      </c>
      <c r="FP39" t="e">
        <f>AND(#REF!,"AAAAAHW4tqs=")</f>
        <v>#REF!</v>
      </c>
      <c r="FQ39" t="e">
        <f>AND(#REF!,"AAAAAHW4tqw=")</f>
        <v>#REF!</v>
      </c>
      <c r="FR39" t="e">
        <f>AND(#REF!,"AAAAAHW4tq0=")</f>
        <v>#REF!</v>
      </c>
      <c r="FS39" t="e">
        <f>AND(#REF!,"AAAAAHW4tq4=")</f>
        <v>#REF!</v>
      </c>
      <c r="FT39" t="e">
        <f>AND(#REF!,"AAAAAHW4tq8=")</f>
        <v>#REF!</v>
      </c>
      <c r="FU39" t="e">
        <f>AND(#REF!,"AAAAAHW4trA=")</f>
        <v>#REF!</v>
      </c>
      <c r="FV39" t="e">
        <f>AND(#REF!,"AAAAAHW4trE=")</f>
        <v>#REF!</v>
      </c>
      <c r="FW39" t="e">
        <f>AND(#REF!,"AAAAAHW4trI=")</f>
        <v>#REF!</v>
      </c>
      <c r="FX39" t="e">
        <f>AND(#REF!,"AAAAAHW4trM=")</f>
        <v>#REF!</v>
      </c>
      <c r="FY39" t="e">
        <f>AND(#REF!,"AAAAAHW4trQ=")</f>
        <v>#REF!</v>
      </c>
      <c r="FZ39" t="e">
        <f>AND(#REF!,"AAAAAHW4trU=")</f>
        <v>#REF!</v>
      </c>
      <c r="GA39" t="e">
        <f>AND(#REF!,"AAAAAHW4trY=")</f>
        <v>#REF!</v>
      </c>
      <c r="GB39" t="e">
        <f>AND(#REF!,"AAAAAHW4trc=")</f>
        <v>#REF!</v>
      </c>
      <c r="GC39" t="e">
        <f>AND(#REF!,"AAAAAHW4trg=")</f>
        <v>#REF!</v>
      </c>
      <c r="GD39" t="e">
        <f>AND(#REF!,"AAAAAHW4trk=")</f>
        <v>#REF!</v>
      </c>
      <c r="GE39" t="e">
        <f>AND(#REF!,"AAAAAHW4tro=")</f>
        <v>#REF!</v>
      </c>
      <c r="GF39" t="e">
        <f>AND(#REF!,"AAAAAHW4trs=")</f>
        <v>#REF!</v>
      </c>
      <c r="GG39" t="e">
        <f>AND(#REF!,"AAAAAHW4trw=")</f>
        <v>#REF!</v>
      </c>
      <c r="GH39" t="e">
        <f>AND(#REF!,"AAAAAHW4tr0=")</f>
        <v>#REF!</v>
      </c>
      <c r="GI39" t="e">
        <f>AND(#REF!,"AAAAAHW4tr4=")</f>
        <v>#REF!</v>
      </c>
      <c r="GJ39" t="e">
        <f>AND(#REF!,"AAAAAHW4tr8=")</f>
        <v>#REF!</v>
      </c>
      <c r="GK39" t="e">
        <f>AND(#REF!,"AAAAAHW4tsA=")</f>
        <v>#REF!</v>
      </c>
      <c r="GL39" t="e">
        <f>AND(#REF!,"AAAAAHW4tsE=")</f>
        <v>#REF!</v>
      </c>
      <c r="GM39" t="e">
        <f>AND(#REF!,"AAAAAHW4tsI=")</f>
        <v>#REF!</v>
      </c>
      <c r="GN39" t="e">
        <f>AND(#REF!,"AAAAAHW4tsM=")</f>
        <v>#REF!</v>
      </c>
      <c r="GO39" t="e">
        <f>AND(#REF!,"AAAAAHW4tsQ=")</f>
        <v>#REF!</v>
      </c>
      <c r="GP39" t="e">
        <f>AND(#REF!,"AAAAAHW4tsU=")</f>
        <v>#REF!</v>
      </c>
      <c r="GQ39" t="e">
        <f>AND(#REF!,"AAAAAHW4tsY=")</f>
        <v>#REF!</v>
      </c>
      <c r="GR39" t="e">
        <f>AND(#REF!,"AAAAAHW4tsc=")</f>
        <v>#REF!</v>
      </c>
      <c r="GS39" t="e">
        <f>AND(#REF!,"AAAAAHW4tsg=")</f>
        <v>#REF!</v>
      </c>
      <c r="GT39" t="e">
        <f>AND(#REF!,"AAAAAHW4tsk=")</f>
        <v>#REF!</v>
      </c>
      <c r="GU39" t="e">
        <f>AND(#REF!,"AAAAAHW4tso=")</f>
        <v>#REF!</v>
      </c>
      <c r="GV39" t="e">
        <f>AND(#REF!,"AAAAAHW4tss=")</f>
        <v>#REF!</v>
      </c>
      <c r="GW39" t="e">
        <f>AND(#REF!,"AAAAAHW4tsw=")</f>
        <v>#REF!</v>
      </c>
      <c r="GX39" t="e">
        <f>AND(#REF!,"AAAAAHW4ts0=")</f>
        <v>#REF!</v>
      </c>
      <c r="GY39" t="e">
        <f>AND(#REF!,"AAAAAHW4ts4=")</f>
        <v>#REF!</v>
      </c>
      <c r="GZ39" t="e">
        <f>AND(#REF!,"AAAAAHW4ts8=")</f>
        <v>#REF!</v>
      </c>
      <c r="HA39" t="e">
        <f>AND(#REF!,"AAAAAHW4ttA=")</f>
        <v>#REF!</v>
      </c>
      <c r="HB39" t="e">
        <f>AND(#REF!,"AAAAAHW4ttE=")</f>
        <v>#REF!</v>
      </c>
      <c r="HC39" t="e">
        <f>AND(#REF!,"AAAAAHW4ttI=")</f>
        <v>#REF!</v>
      </c>
      <c r="HD39" t="e">
        <f>AND(#REF!,"AAAAAHW4ttM=")</f>
        <v>#REF!</v>
      </c>
      <c r="HE39" t="e">
        <f>AND(#REF!,"AAAAAHW4ttQ=")</f>
        <v>#REF!</v>
      </c>
      <c r="HF39" t="e">
        <f>AND(#REF!,"AAAAAHW4ttU=")</f>
        <v>#REF!</v>
      </c>
      <c r="HG39" t="e">
        <f>AND(#REF!,"AAAAAHW4ttY=")</f>
        <v>#REF!</v>
      </c>
      <c r="HH39" t="e">
        <f>AND(#REF!,"AAAAAHW4ttc=")</f>
        <v>#REF!</v>
      </c>
      <c r="HI39" t="e">
        <f>AND(#REF!,"AAAAAHW4ttg=")</f>
        <v>#REF!</v>
      </c>
      <c r="HJ39" t="e">
        <f>AND(#REF!,"AAAAAHW4ttk=")</f>
        <v>#REF!</v>
      </c>
      <c r="HK39" t="e">
        <f>AND(#REF!,"AAAAAHW4tto=")</f>
        <v>#REF!</v>
      </c>
      <c r="HL39" t="e">
        <f>AND(#REF!,"AAAAAHW4tts=")</f>
        <v>#REF!</v>
      </c>
      <c r="HM39" t="e">
        <f>AND(#REF!,"AAAAAHW4ttw=")</f>
        <v>#REF!</v>
      </c>
      <c r="HN39" t="e">
        <f>AND(#REF!,"AAAAAHW4tt0=")</f>
        <v>#REF!</v>
      </c>
      <c r="HO39" t="e">
        <f>AND(#REF!,"AAAAAHW4tt4=")</f>
        <v>#REF!</v>
      </c>
      <c r="HP39" t="e">
        <f>AND(#REF!,"AAAAAHW4tt8=")</f>
        <v>#REF!</v>
      </c>
      <c r="HQ39" t="e">
        <f>AND(#REF!,"AAAAAHW4tuA=")</f>
        <v>#REF!</v>
      </c>
      <c r="HR39" t="e">
        <f>AND(#REF!,"AAAAAHW4tuE=")</f>
        <v>#REF!</v>
      </c>
      <c r="HS39" t="e">
        <f>AND(#REF!,"AAAAAHW4tuI=")</f>
        <v>#REF!</v>
      </c>
      <c r="HT39" t="e">
        <f>AND(#REF!,"AAAAAHW4tuM=")</f>
        <v>#REF!</v>
      </c>
      <c r="HU39" t="e">
        <f>AND(#REF!,"AAAAAHW4tuQ=")</f>
        <v>#REF!</v>
      </c>
      <c r="HV39" t="e">
        <f>AND(#REF!,"AAAAAHW4tuU=")</f>
        <v>#REF!</v>
      </c>
      <c r="HW39" t="e">
        <f>AND(#REF!,"AAAAAHW4tuY=")</f>
        <v>#REF!</v>
      </c>
      <c r="HX39" t="e">
        <f>AND(#REF!,"AAAAAHW4tuc=")</f>
        <v>#REF!</v>
      </c>
      <c r="HY39" t="e">
        <f>AND(#REF!,"AAAAAHW4tug=")</f>
        <v>#REF!</v>
      </c>
      <c r="HZ39" t="e">
        <f>AND(#REF!,"AAAAAHW4tuk=")</f>
        <v>#REF!</v>
      </c>
      <c r="IA39" t="e">
        <f>AND(#REF!,"AAAAAHW4tuo=")</f>
        <v>#REF!</v>
      </c>
      <c r="IB39" t="e">
        <f>AND(#REF!,"AAAAAHW4tus=")</f>
        <v>#REF!</v>
      </c>
      <c r="IC39" t="e">
        <f>AND(#REF!,"AAAAAHW4tuw=")</f>
        <v>#REF!</v>
      </c>
      <c r="ID39" t="e">
        <f>AND(#REF!,"AAAAAHW4tu0=")</f>
        <v>#REF!</v>
      </c>
      <c r="IE39" t="e">
        <f>AND(#REF!,"AAAAAHW4tu4=")</f>
        <v>#REF!</v>
      </c>
      <c r="IF39" t="e">
        <f>AND(#REF!,"AAAAAHW4tu8=")</f>
        <v>#REF!</v>
      </c>
      <c r="IG39" t="e">
        <f>AND(#REF!,"AAAAAHW4tvA=")</f>
        <v>#REF!</v>
      </c>
      <c r="IH39" t="e">
        <f>AND(#REF!,"AAAAAHW4tvE=")</f>
        <v>#REF!</v>
      </c>
      <c r="II39" t="e">
        <f>AND(#REF!,"AAAAAHW4tvI=")</f>
        <v>#REF!</v>
      </c>
      <c r="IJ39" t="e">
        <f>AND(#REF!,"AAAAAHW4tvM=")</f>
        <v>#REF!</v>
      </c>
      <c r="IK39" t="e">
        <f>IF(#REF!,"AAAAAHW4tvQ=",0)</f>
        <v>#REF!</v>
      </c>
      <c r="IL39" t="e">
        <f>AND(#REF!,"AAAAAHW4tvU=")</f>
        <v>#REF!</v>
      </c>
      <c r="IM39" t="e">
        <f>AND(#REF!,"AAAAAHW4tvY=")</f>
        <v>#REF!</v>
      </c>
      <c r="IN39" t="e">
        <f>AND(#REF!,"AAAAAHW4tvc=")</f>
        <v>#REF!</v>
      </c>
      <c r="IO39" t="e">
        <f>AND(#REF!,"AAAAAHW4tvg=")</f>
        <v>#REF!</v>
      </c>
      <c r="IP39" t="e">
        <f>AND(#REF!,"AAAAAHW4tvk=")</f>
        <v>#REF!</v>
      </c>
      <c r="IQ39" t="e">
        <f>AND(#REF!,"AAAAAHW4tvo=")</f>
        <v>#REF!</v>
      </c>
      <c r="IR39" t="e">
        <f>AND(#REF!,"AAAAAHW4tvs=")</f>
        <v>#REF!</v>
      </c>
      <c r="IS39" t="e">
        <f>AND(#REF!,"AAAAAHW4tvw=")</f>
        <v>#REF!</v>
      </c>
      <c r="IT39" t="e">
        <f>AND(#REF!,"AAAAAHW4tv0=")</f>
        <v>#REF!</v>
      </c>
      <c r="IU39" t="e">
        <f>AND(#REF!,"AAAAAHW4tv4=")</f>
        <v>#REF!</v>
      </c>
      <c r="IV39" t="e">
        <f>AND(#REF!,"AAAAAHW4tv8=")</f>
        <v>#REF!</v>
      </c>
    </row>
    <row r="40" spans="1:256" x14ac:dyDescent="0.2">
      <c r="A40" t="e">
        <f>AND(#REF!,"AAAAAGyx8wA=")</f>
        <v>#REF!</v>
      </c>
      <c r="B40" t="e">
        <f>AND(#REF!,"AAAAAGyx8wE=")</f>
        <v>#REF!</v>
      </c>
      <c r="C40" t="e">
        <f>AND(#REF!,"AAAAAGyx8wI=")</f>
        <v>#REF!</v>
      </c>
      <c r="D40" t="e">
        <f>AND(#REF!,"AAAAAGyx8wM=")</f>
        <v>#REF!</v>
      </c>
      <c r="E40" t="e">
        <f>AND(#REF!,"AAAAAGyx8wQ=")</f>
        <v>#REF!</v>
      </c>
      <c r="F40" t="e">
        <f>AND(#REF!,"AAAAAGyx8wU=")</f>
        <v>#REF!</v>
      </c>
      <c r="G40" t="e">
        <f>AND(#REF!,"AAAAAGyx8wY=")</f>
        <v>#REF!</v>
      </c>
      <c r="H40" t="e">
        <f>AND(#REF!,"AAAAAGyx8wc=")</f>
        <v>#REF!</v>
      </c>
      <c r="I40" t="e">
        <f>AND(#REF!,"AAAAAGyx8wg=")</f>
        <v>#REF!</v>
      </c>
      <c r="J40" t="e">
        <f>AND(#REF!,"AAAAAGyx8wk=")</f>
        <v>#REF!</v>
      </c>
      <c r="K40" t="e">
        <f>AND(#REF!,"AAAAAGyx8wo=")</f>
        <v>#REF!</v>
      </c>
      <c r="L40" t="e">
        <f>AND(#REF!,"AAAAAGyx8ws=")</f>
        <v>#REF!</v>
      </c>
      <c r="M40" t="e">
        <f>AND(#REF!,"AAAAAGyx8ww=")</f>
        <v>#REF!</v>
      </c>
      <c r="N40" t="e">
        <f>AND(#REF!,"AAAAAGyx8w0=")</f>
        <v>#REF!</v>
      </c>
      <c r="O40" t="e">
        <f>AND(#REF!,"AAAAAGyx8w4=")</f>
        <v>#REF!</v>
      </c>
      <c r="P40" t="e">
        <f>AND(#REF!,"AAAAAGyx8w8=")</f>
        <v>#REF!</v>
      </c>
      <c r="Q40" t="e">
        <f>AND(#REF!,"AAAAAGyx8xA=")</f>
        <v>#REF!</v>
      </c>
      <c r="R40" t="e">
        <f>AND(#REF!,"AAAAAGyx8xE=")</f>
        <v>#REF!</v>
      </c>
      <c r="S40" t="e">
        <f>AND(#REF!,"AAAAAGyx8xI=")</f>
        <v>#REF!</v>
      </c>
      <c r="T40" t="e">
        <f>AND(#REF!,"AAAAAGyx8xM=")</f>
        <v>#REF!</v>
      </c>
      <c r="U40" t="e">
        <f>AND(#REF!,"AAAAAGyx8xQ=")</f>
        <v>#REF!</v>
      </c>
      <c r="V40" t="e">
        <f>AND(#REF!,"AAAAAGyx8xU=")</f>
        <v>#REF!</v>
      </c>
      <c r="W40" t="e">
        <f>AND(#REF!,"AAAAAGyx8xY=")</f>
        <v>#REF!</v>
      </c>
      <c r="X40" t="e">
        <f>AND(#REF!,"AAAAAGyx8xc=")</f>
        <v>#REF!</v>
      </c>
      <c r="Y40" t="e">
        <f>AND(#REF!,"AAAAAGyx8xg=")</f>
        <v>#REF!</v>
      </c>
      <c r="Z40" t="e">
        <f>AND(#REF!,"AAAAAGyx8xk=")</f>
        <v>#REF!</v>
      </c>
      <c r="AA40" t="e">
        <f>AND(#REF!,"AAAAAGyx8xo=")</f>
        <v>#REF!</v>
      </c>
      <c r="AB40" t="e">
        <f>AND(#REF!,"AAAAAGyx8xs=")</f>
        <v>#REF!</v>
      </c>
      <c r="AC40" t="e">
        <f>AND(#REF!,"AAAAAGyx8xw=")</f>
        <v>#REF!</v>
      </c>
      <c r="AD40" t="e">
        <f>AND(#REF!,"AAAAAGyx8x0=")</f>
        <v>#REF!</v>
      </c>
      <c r="AE40" t="e">
        <f>AND(#REF!,"AAAAAGyx8x4=")</f>
        <v>#REF!</v>
      </c>
      <c r="AF40" t="e">
        <f>AND(#REF!,"AAAAAGyx8x8=")</f>
        <v>#REF!</v>
      </c>
      <c r="AG40" t="e">
        <f>AND(#REF!,"AAAAAGyx8yA=")</f>
        <v>#REF!</v>
      </c>
      <c r="AH40" t="e">
        <f>AND(#REF!,"AAAAAGyx8yE=")</f>
        <v>#REF!</v>
      </c>
      <c r="AI40" t="e">
        <f>AND(#REF!,"AAAAAGyx8yI=")</f>
        <v>#REF!</v>
      </c>
      <c r="AJ40" t="e">
        <f>AND(#REF!,"AAAAAGyx8yM=")</f>
        <v>#REF!</v>
      </c>
      <c r="AK40" t="e">
        <f>AND(#REF!,"AAAAAGyx8yQ=")</f>
        <v>#REF!</v>
      </c>
      <c r="AL40" t="e">
        <f>AND(#REF!,"AAAAAGyx8yU=")</f>
        <v>#REF!</v>
      </c>
      <c r="AM40" t="e">
        <f>AND(#REF!,"AAAAAGyx8yY=")</f>
        <v>#REF!</v>
      </c>
      <c r="AN40" t="e">
        <f>AND(#REF!,"AAAAAGyx8yc=")</f>
        <v>#REF!</v>
      </c>
      <c r="AO40" t="e">
        <f>AND(#REF!,"AAAAAGyx8yg=")</f>
        <v>#REF!</v>
      </c>
      <c r="AP40" t="e">
        <f>AND(#REF!,"AAAAAGyx8yk=")</f>
        <v>#REF!</v>
      </c>
      <c r="AQ40" t="e">
        <f>AND(#REF!,"AAAAAGyx8yo=")</f>
        <v>#REF!</v>
      </c>
      <c r="AR40" t="e">
        <f>AND(#REF!,"AAAAAGyx8ys=")</f>
        <v>#REF!</v>
      </c>
      <c r="AS40" t="e">
        <f>AND(#REF!,"AAAAAGyx8yw=")</f>
        <v>#REF!</v>
      </c>
      <c r="AT40" t="e">
        <f>AND(#REF!,"AAAAAGyx8y0=")</f>
        <v>#REF!</v>
      </c>
      <c r="AU40" t="e">
        <f>AND(#REF!,"AAAAAGyx8y4=")</f>
        <v>#REF!</v>
      </c>
      <c r="AV40" t="e">
        <f>AND(#REF!,"AAAAAGyx8y8=")</f>
        <v>#REF!</v>
      </c>
      <c r="AW40" t="e">
        <f>AND(#REF!,"AAAAAGyx8zA=")</f>
        <v>#REF!</v>
      </c>
      <c r="AX40" t="e">
        <f>AND(#REF!,"AAAAAGyx8zE=")</f>
        <v>#REF!</v>
      </c>
      <c r="AY40" t="e">
        <f>AND(#REF!,"AAAAAGyx8zI=")</f>
        <v>#REF!</v>
      </c>
      <c r="AZ40" t="e">
        <f>AND(#REF!,"AAAAAGyx8zM=")</f>
        <v>#REF!</v>
      </c>
      <c r="BA40" t="e">
        <f>AND(#REF!,"AAAAAGyx8zQ=")</f>
        <v>#REF!</v>
      </c>
      <c r="BB40" t="e">
        <f>AND(#REF!,"AAAAAGyx8zU=")</f>
        <v>#REF!</v>
      </c>
      <c r="BC40" t="e">
        <f>AND(#REF!,"AAAAAGyx8zY=")</f>
        <v>#REF!</v>
      </c>
      <c r="BD40" t="e">
        <f>AND(#REF!,"AAAAAGyx8zc=")</f>
        <v>#REF!</v>
      </c>
      <c r="BE40" t="e">
        <f>AND(#REF!,"AAAAAGyx8zg=")</f>
        <v>#REF!</v>
      </c>
      <c r="BF40" t="e">
        <f>AND(#REF!,"AAAAAGyx8zk=")</f>
        <v>#REF!</v>
      </c>
      <c r="BG40" t="e">
        <f>AND(#REF!,"AAAAAGyx8zo=")</f>
        <v>#REF!</v>
      </c>
      <c r="BH40" t="e">
        <f>AND(#REF!,"AAAAAGyx8zs=")</f>
        <v>#REF!</v>
      </c>
      <c r="BI40" t="e">
        <f>AND(#REF!,"AAAAAGyx8zw=")</f>
        <v>#REF!</v>
      </c>
      <c r="BJ40" t="e">
        <f>AND(#REF!,"AAAAAGyx8z0=")</f>
        <v>#REF!</v>
      </c>
      <c r="BK40" t="e">
        <f>AND(#REF!,"AAAAAGyx8z4=")</f>
        <v>#REF!</v>
      </c>
      <c r="BL40" t="e">
        <f>AND(#REF!,"AAAAAGyx8z8=")</f>
        <v>#REF!</v>
      </c>
      <c r="BM40" t="e">
        <f>AND(#REF!,"AAAAAGyx80A=")</f>
        <v>#REF!</v>
      </c>
      <c r="BN40" t="e">
        <f>AND(#REF!,"AAAAAGyx80E=")</f>
        <v>#REF!</v>
      </c>
      <c r="BO40" t="e">
        <f>AND(#REF!,"AAAAAGyx80I=")</f>
        <v>#REF!</v>
      </c>
      <c r="BP40" t="e">
        <f>AND(#REF!,"AAAAAGyx80M=")</f>
        <v>#REF!</v>
      </c>
      <c r="BQ40" t="e">
        <f>AND(#REF!,"AAAAAGyx80Q=")</f>
        <v>#REF!</v>
      </c>
      <c r="BR40" t="e">
        <f>AND(#REF!,"AAAAAGyx80U=")</f>
        <v>#REF!</v>
      </c>
      <c r="BS40" t="e">
        <f>AND(#REF!,"AAAAAGyx80Y=")</f>
        <v>#REF!</v>
      </c>
      <c r="BT40" t="e">
        <f>AND(#REF!,"AAAAAGyx80c=")</f>
        <v>#REF!</v>
      </c>
      <c r="BU40" t="e">
        <f>AND(#REF!,"AAAAAGyx80g=")</f>
        <v>#REF!</v>
      </c>
      <c r="BV40" t="e">
        <f>AND(#REF!,"AAAAAGyx80k=")</f>
        <v>#REF!</v>
      </c>
      <c r="BW40" t="e">
        <f>AND(#REF!,"AAAAAGyx80o=")</f>
        <v>#REF!</v>
      </c>
      <c r="BX40" t="e">
        <f>AND(#REF!,"AAAAAGyx80s=")</f>
        <v>#REF!</v>
      </c>
      <c r="BY40" t="e">
        <f>AND(#REF!,"AAAAAGyx80w=")</f>
        <v>#REF!</v>
      </c>
      <c r="BZ40" t="e">
        <f>AND(#REF!,"AAAAAGyx800=")</f>
        <v>#REF!</v>
      </c>
      <c r="CA40" t="e">
        <f>AND(#REF!,"AAAAAGyx804=")</f>
        <v>#REF!</v>
      </c>
      <c r="CB40" t="e">
        <f>AND(#REF!,"AAAAAGyx808=")</f>
        <v>#REF!</v>
      </c>
      <c r="CC40" t="e">
        <f>AND(#REF!,"AAAAAGyx81A=")</f>
        <v>#REF!</v>
      </c>
      <c r="CD40" t="e">
        <f>AND(#REF!,"AAAAAGyx81E=")</f>
        <v>#REF!</v>
      </c>
      <c r="CE40" t="e">
        <f>AND(#REF!,"AAAAAGyx81I=")</f>
        <v>#REF!</v>
      </c>
      <c r="CF40" t="e">
        <f>AND(#REF!,"AAAAAGyx81M=")</f>
        <v>#REF!</v>
      </c>
      <c r="CG40" t="e">
        <f>AND(#REF!,"AAAAAGyx81Q=")</f>
        <v>#REF!</v>
      </c>
      <c r="CH40" t="e">
        <f>AND(#REF!,"AAAAAGyx81U=")</f>
        <v>#REF!</v>
      </c>
      <c r="CI40" t="e">
        <f>AND(#REF!,"AAAAAGyx81Y=")</f>
        <v>#REF!</v>
      </c>
      <c r="CJ40" t="e">
        <f>AND(#REF!,"AAAAAGyx81c=")</f>
        <v>#REF!</v>
      </c>
      <c r="CK40" t="e">
        <f>AND(#REF!,"AAAAAGyx81g=")</f>
        <v>#REF!</v>
      </c>
      <c r="CL40" t="e">
        <f>AND(#REF!,"AAAAAGyx81k=")</f>
        <v>#REF!</v>
      </c>
      <c r="CM40" t="e">
        <f>AND(#REF!,"AAAAAGyx81o=")</f>
        <v>#REF!</v>
      </c>
      <c r="CN40" t="e">
        <f>AND(#REF!,"AAAAAGyx81s=")</f>
        <v>#REF!</v>
      </c>
      <c r="CO40" t="e">
        <f>AND(#REF!,"AAAAAGyx81w=")</f>
        <v>#REF!</v>
      </c>
      <c r="CP40" t="e">
        <f>AND(#REF!,"AAAAAGyx810=")</f>
        <v>#REF!</v>
      </c>
      <c r="CQ40" t="e">
        <f>AND(#REF!,"AAAAAGyx814=")</f>
        <v>#REF!</v>
      </c>
      <c r="CR40" t="e">
        <f>AND(#REF!,"AAAAAGyx818=")</f>
        <v>#REF!</v>
      </c>
      <c r="CS40" t="e">
        <f>AND(#REF!,"AAAAAGyx82A=")</f>
        <v>#REF!</v>
      </c>
      <c r="CT40" t="e">
        <f>AND(#REF!,"AAAAAGyx82E=")</f>
        <v>#REF!</v>
      </c>
      <c r="CU40" t="e">
        <f>AND(#REF!,"AAAAAGyx82I=")</f>
        <v>#REF!</v>
      </c>
      <c r="CV40" t="e">
        <f>AND(#REF!,"AAAAAGyx82M=")</f>
        <v>#REF!</v>
      </c>
      <c r="CW40" t="e">
        <f>AND(#REF!,"AAAAAGyx82Q=")</f>
        <v>#REF!</v>
      </c>
      <c r="CX40" t="e">
        <f>AND(#REF!,"AAAAAGyx82U=")</f>
        <v>#REF!</v>
      </c>
      <c r="CY40" t="e">
        <f>AND(#REF!,"AAAAAGyx82Y=")</f>
        <v>#REF!</v>
      </c>
      <c r="CZ40" t="e">
        <f>AND(#REF!,"AAAAAGyx82c=")</f>
        <v>#REF!</v>
      </c>
      <c r="DA40" t="e">
        <f>AND(#REF!,"AAAAAGyx82g=")</f>
        <v>#REF!</v>
      </c>
      <c r="DB40" t="e">
        <f>AND(#REF!,"AAAAAGyx82k=")</f>
        <v>#REF!</v>
      </c>
      <c r="DC40" t="e">
        <f>AND(#REF!,"AAAAAGyx82o=")</f>
        <v>#REF!</v>
      </c>
      <c r="DD40" t="e">
        <f>AND(#REF!,"AAAAAGyx82s=")</f>
        <v>#REF!</v>
      </c>
      <c r="DE40" t="e">
        <f>AND(#REF!,"AAAAAGyx82w=")</f>
        <v>#REF!</v>
      </c>
      <c r="DF40" t="e">
        <f>AND(#REF!,"AAAAAGyx820=")</f>
        <v>#REF!</v>
      </c>
      <c r="DG40" t="e">
        <f>AND(#REF!,"AAAAAGyx824=")</f>
        <v>#REF!</v>
      </c>
      <c r="DH40" t="e">
        <f>AND(#REF!,"AAAAAGyx828=")</f>
        <v>#REF!</v>
      </c>
      <c r="DI40" t="e">
        <f>AND(#REF!,"AAAAAGyx83A=")</f>
        <v>#REF!</v>
      </c>
      <c r="DJ40" t="e">
        <f>AND(#REF!,"AAAAAGyx83E=")</f>
        <v>#REF!</v>
      </c>
      <c r="DK40" t="e">
        <f>AND(#REF!,"AAAAAGyx83I=")</f>
        <v>#REF!</v>
      </c>
      <c r="DL40" t="e">
        <f>AND(#REF!,"AAAAAGyx83M=")</f>
        <v>#REF!</v>
      </c>
      <c r="DM40" t="e">
        <f>AND(#REF!,"AAAAAGyx83Q=")</f>
        <v>#REF!</v>
      </c>
      <c r="DN40" t="e">
        <f>AND(#REF!,"AAAAAGyx83U=")</f>
        <v>#REF!</v>
      </c>
      <c r="DO40" t="e">
        <f>AND(#REF!,"AAAAAGyx83Y=")</f>
        <v>#REF!</v>
      </c>
      <c r="DP40" t="e">
        <f>AND(#REF!,"AAAAAGyx83c=")</f>
        <v>#REF!</v>
      </c>
      <c r="DQ40" t="e">
        <f>AND(#REF!,"AAAAAGyx83g=")</f>
        <v>#REF!</v>
      </c>
      <c r="DR40" t="e">
        <f>AND(#REF!,"AAAAAGyx83k=")</f>
        <v>#REF!</v>
      </c>
      <c r="DS40" t="e">
        <f>AND(#REF!,"AAAAAGyx83o=")</f>
        <v>#REF!</v>
      </c>
      <c r="DT40" t="e">
        <f>AND(#REF!,"AAAAAGyx83s=")</f>
        <v>#REF!</v>
      </c>
      <c r="DU40" t="e">
        <f>AND(#REF!,"AAAAAGyx83w=")</f>
        <v>#REF!</v>
      </c>
      <c r="DV40" t="e">
        <f>AND(#REF!,"AAAAAGyx830=")</f>
        <v>#REF!</v>
      </c>
      <c r="DW40" t="e">
        <f>AND(#REF!,"AAAAAGyx834=")</f>
        <v>#REF!</v>
      </c>
      <c r="DX40" t="e">
        <f>AND(#REF!,"AAAAAGyx838=")</f>
        <v>#REF!</v>
      </c>
      <c r="DY40" t="e">
        <f>AND(#REF!,"AAAAAGyx84A=")</f>
        <v>#REF!</v>
      </c>
      <c r="DZ40" t="e">
        <f>AND(#REF!,"AAAAAGyx84E=")</f>
        <v>#REF!</v>
      </c>
      <c r="EA40" t="e">
        <f>AND(#REF!,"AAAAAGyx84I=")</f>
        <v>#REF!</v>
      </c>
      <c r="EB40" t="e">
        <f>AND(#REF!,"AAAAAGyx84M=")</f>
        <v>#REF!</v>
      </c>
      <c r="EC40" t="e">
        <f>AND(#REF!,"AAAAAGyx84Q=")</f>
        <v>#REF!</v>
      </c>
      <c r="ED40" t="e">
        <f>AND(#REF!,"AAAAAGyx84U=")</f>
        <v>#REF!</v>
      </c>
      <c r="EE40" t="e">
        <f>AND(#REF!,"AAAAAGyx84Y=")</f>
        <v>#REF!</v>
      </c>
      <c r="EF40" t="e">
        <f>AND(#REF!,"AAAAAGyx84c=")</f>
        <v>#REF!</v>
      </c>
      <c r="EG40" t="e">
        <f>AND(#REF!,"AAAAAGyx84g=")</f>
        <v>#REF!</v>
      </c>
      <c r="EH40" t="e">
        <f>AND(#REF!,"AAAAAGyx84k=")</f>
        <v>#REF!</v>
      </c>
      <c r="EI40" t="e">
        <f>AND(#REF!,"AAAAAGyx84o=")</f>
        <v>#REF!</v>
      </c>
      <c r="EJ40" t="e">
        <f>AND(#REF!,"AAAAAGyx84s=")</f>
        <v>#REF!</v>
      </c>
      <c r="EK40" t="e">
        <f>AND(#REF!,"AAAAAGyx84w=")</f>
        <v>#REF!</v>
      </c>
      <c r="EL40" t="e">
        <f>AND(#REF!,"AAAAAGyx840=")</f>
        <v>#REF!</v>
      </c>
      <c r="EM40" t="e">
        <f>AND(#REF!,"AAAAAGyx844=")</f>
        <v>#REF!</v>
      </c>
      <c r="EN40" t="e">
        <f>AND(#REF!,"AAAAAGyx848=")</f>
        <v>#REF!</v>
      </c>
      <c r="EO40" t="e">
        <f>AND(#REF!,"AAAAAGyx85A=")</f>
        <v>#REF!</v>
      </c>
      <c r="EP40" t="e">
        <f>AND(#REF!,"AAAAAGyx85E=")</f>
        <v>#REF!</v>
      </c>
      <c r="EQ40" t="e">
        <f>AND(#REF!,"AAAAAGyx85I=")</f>
        <v>#REF!</v>
      </c>
      <c r="ER40" t="e">
        <f>AND(#REF!,"AAAAAGyx85M=")</f>
        <v>#REF!</v>
      </c>
      <c r="ES40" t="e">
        <f>AND(#REF!,"AAAAAGyx85Q=")</f>
        <v>#REF!</v>
      </c>
      <c r="ET40" t="e">
        <f>AND(#REF!,"AAAAAGyx85U=")</f>
        <v>#REF!</v>
      </c>
      <c r="EU40" t="e">
        <f>AND(#REF!,"AAAAAGyx85Y=")</f>
        <v>#REF!</v>
      </c>
      <c r="EV40" t="e">
        <f>AND(#REF!,"AAAAAGyx85c=")</f>
        <v>#REF!</v>
      </c>
      <c r="EW40" t="e">
        <f>AND(#REF!,"AAAAAGyx85g=")</f>
        <v>#REF!</v>
      </c>
      <c r="EX40" t="e">
        <f>AND(#REF!,"AAAAAGyx85k=")</f>
        <v>#REF!</v>
      </c>
      <c r="EY40" t="e">
        <f>AND(#REF!,"AAAAAGyx85o=")</f>
        <v>#REF!</v>
      </c>
      <c r="EZ40" t="e">
        <f>AND(#REF!,"AAAAAGyx85s=")</f>
        <v>#REF!</v>
      </c>
      <c r="FA40" t="e">
        <f>AND(#REF!,"AAAAAGyx85w=")</f>
        <v>#REF!</v>
      </c>
      <c r="FB40" t="e">
        <f>AND(#REF!,"AAAAAGyx850=")</f>
        <v>#REF!</v>
      </c>
      <c r="FC40" t="e">
        <f>AND(#REF!,"AAAAAGyx854=")</f>
        <v>#REF!</v>
      </c>
      <c r="FD40" t="e">
        <f>AND(#REF!,"AAAAAGyx858=")</f>
        <v>#REF!</v>
      </c>
      <c r="FE40" t="e">
        <f>AND(#REF!,"AAAAAGyx86A=")</f>
        <v>#REF!</v>
      </c>
      <c r="FF40" t="e">
        <f>AND(#REF!,"AAAAAGyx86E=")</f>
        <v>#REF!</v>
      </c>
      <c r="FG40" t="e">
        <f>AND(#REF!,"AAAAAGyx86I=")</f>
        <v>#REF!</v>
      </c>
      <c r="FH40" t="e">
        <f>AND(#REF!,"AAAAAGyx86M=")</f>
        <v>#REF!</v>
      </c>
      <c r="FI40" t="e">
        <f>AND(#REF!,"AAAAAGyx86Q=")</f>
        <v>#REF!</v>
      </c>
      <c r="FJ40" t="e">
        <f>AND(#REF!,"AAAAAGyx86U=")</f>
        <v>#REF!</v>
      </c>
      <c r="FK40" t="e">
        <f>AND(#REF!,"AAAAAGyx86Y=")</f>
        <v>#REF!</v>
      </c>
      <c r="FL40" t="e">
        <f>AND(#REF!,"AAAAAGyx86c=")</f>
        <v>#REF!</v>
      </c>
      <c r="FM40" t="e">
        <f>AND(#REF!,"AAAAAGyx86g=")</f>
        <v>#REF!</v>
      </c>
      <c r="FN40" t="e">
        <f>IF(#REF!,"AAAAAGyx86k=",0)</f>
        <v>#REF!</v>
      </c>
      <c r="FO40" t="e">
        <f>AND(#REF!,"AAAAAGyx86o=")</f>
        <v>#REF!</v>
      </c>
      <c r="FP40" t="e">
        <f>AND(#REF!,"AAAAAGyx86s=")</f>
        <v>#REF!</v>
      </c>
      <c r="FQ40" t="e">
        <f>AND(#REF!,"AAAAAGyx86w=")</f>
        <v>#REF!</v>
      </c>
      <c r="FR40" t="e">
        <f>AND(#REF!,"AAAAAGyx860=")</f>
        <v>#REF!</v>
      </c>
      <c r="FS40" t="e">
        <f>AND(#REF!,"AAAAAGyx864=")</f>
        <v>#REF!</v>
      </c>
      <c r="FT40" t="e">
        <f>AND(#REF!,"AAAAAGyx868=")</f>
        <v>#REF!</v>
      </c>
      <c r="FU40" t="e">
        <f>AND(#REF!,"AAAAAGyx87A=")</f>
        <v>#REF!</v>
      </c>
      <c r="FV40" t="e">
        <f>AND(#REF!,"AAAAAGyx87E=")</f>
        <v>#REF!</v>
      </c>
      <c r="FW40" t="e">
        <f>AND(#REF!,"AAAAAGyx87I=")</f>
        <v>#REF!</v>
      </c>
      <c r="FX40" t="e">
        <f>AND(#REF!,"AAAAAGyx87M=")</f>
        <v>#REF!</v>
      </c>
      <c r="FY40" t="e">
        <f>AND(#REF!,"AAAAAGyx87Q=")</f>
        <v>#REF!</v>
      </c>
      <c r="FZ40" t="e">
        <f>AND(#REF!,"AAAAAGyx87U=")</f>
        <v>#REF!</v>
      </c>
      <c r="GA40" t="e">
        <f>AND(#REF!,"AAAAAGyx87Y=")</f>
        <v>#REF!</v>
      </c>
      <c r="GB40" t="e">
        <f>AND(#REF!,"AAAAAGyx87c=")</f>
        <v>#REF!</v>
      </c>
      <c r="GC40" t="e">
        <f>AND(#REF!,"AAAAAGyx87g=")</f>
        <v>#REF!</v>
      </c>
      <c r="GD40" t="e">
        <f>AND(#REF!,"AAAAAGyx87k=")</f>
        <v>#REF!</v>
      </c>
      <c r="GE40" t="e">
        <f>AND(#REF!,"AAAAAGyx87o=")</f>
        <v>#REF!</v>
      </c>
      <c r="GF40" t="e">
        <f>AND(#REF!,"AAAAAGyx87s=")</f>
        <v>#REF!</v>
      </c>
      <c r="GG40" t="e">
        <f>AND(#REF!,"AAAAAGyx87w=")</f>
        <v>#REF!</v>
      </c>
      <c r="GH40" t="e">
        <f>AND(#REF!,"AAAAAGyx870=")</f>
        <v>#REF!</v>
      </c>
      <c r="GI40" t="e">
        <f>AND(#REF!,"AAAAAGyx874=")</f>
        <v>#REF!</v>
      </c>
      <c r="GJ40" t="e">
        <f>AND(#REF!,"AAAAAGyx878=")</f>
        <v>#REF!</v>
      </c>
      <c r="GK40" t="e">
        <f>AND(#REF!,"AAAAAGyx88A=")</f>
        <v>#REF!</v>
      </c>
      <c r="GL40" t="e">
        <f>AND(#REF!,"AAAAAGyx88E=")</f>
        <v>#REF!</v>
      </c>
      <c r="GM40" t="e">
        <f>AND(#REF!,"AAAAAGyx88I=")</f>
        <v>#REF!</v>
      </c>
      <c r="GN40" t="e">
        <f>AND(#REF!,"AAAAAGyx88M=")</f>
        <v>#REF!</v>
      </c>
      <c r="GO40" t="e">
        <f>AND(#REF!,"AAAAAGyx88Q=")</f>
        <v>#REF!</v>
      </c>
      <c r="GP40" t="e">
        <f>AND(#REF!,"AAAAAGyx88U=")</f>
        <v>#REF!</v>
      </c>
      <c r="GQ40" t="e">
        <f>AND(#REF!,"AAAAAGyx88Y=")</f>
        <v>#REF!</v>
      </c>
      <c r="GR40" t="e">
        <f>AND(#REF!,"AAAAAGyx88c=")</f>
        <v>#REF!</v>
      </c>
      <c r="GS40" t="e">
        <f>AND(#REF!,"AAAAAGyx88g=")</f>
        <v>#REF!</v>
      </c>
      <c r="GT40" t="e">
        <f>AND(#REF!,"AAAAAGyx88k=")</f>
        <v>#REF!</v>
      </c>
      <c r="GU40" t="e">
        <f>AND(#REF!,"AAAAAGyx88o=")</f>
        <v>#REF!</v>
      </c>
      <c r="GV40" t="e">
        <f>AND(#REF!,"AAAAAGyx88s=")</f>
        <v>#REF!</v>
      </c>
      <c r="GW40" t="e">
        <f>AND(#REF!,"AAAAAGyx88w=")</f>
        <v>#REF!</v>
      </c>
      <c r="GX40" t="e">
        <f>AND(#REF!,"AAAAAGyx880=")</f>
        <v>#REF!</v>
      </c>
      <c r="GY40" t="e">
        <f>AND(#REF!,"AAAAAGyx884=")</f>
        <v>#REF!</v>
      </c>
      <c r="GZ40" t="e">
        <f>AND(#REF!,"AAAAAGyx888=")</f>
        <v>#REF!</v>
      </c>
      <c r="HA40" t="e">
        <f>AND(#REF!,"AAAAAGyx89A=")</f>
        <v>#REF!</v>
      </c>
      <c r="HB40" t="e">
        <f>AND(#REF!,"AAAAAGyx89E=")</f>
        <v>#REF!</v>
      </c>
      <c r="HC40" t="e">
        <f>AND(#REF!,"AAAAAGyx89I=")</f>
        <v>#REF!</v>
      </c>
      <c r="HD40" t="e">
        <f>AND(#REF!,"AAAAAGyx89M=")</f>
        <v>#REF!</v>
      </c>
      <c r="HE40" t="e">
        <f>AND(#REF!,"AAAAAGyx89Q=")</f>
        <v>#REF!</v>
      </c>
      <c r="HF40" t="e">
        <f>AND(#REF!,"AAAAAGyx89U=")</f>
        <v>#REF!</v>
      </c>
      <c r="HG40" t="e">
        <f>AND(#REF!,"AAAAAGyx89Y=")</f>
        <v>#REF!</v>
      </c>
      <c r="HH40" t="e">
        <f>AND(#REF!,"AAAAAGyx89c=")</f>
        <v>#REF!</v>
      </c>
      <c r="HI40" t="e">
        <f>AND(#REF!,"AAAAAGyx89g=")</f>
        <v>#REF!</v>
      </c>
      <c r="HJ40" t="e">
        <f>AND(#REF!,"AAAAAGyx89k=")</f>
        <v>#REF!</v>
      </c>
      <c r="HK40" t="e">
        <f>AND(#REF!,"AAAAAGyx89o=")</f>
        <v>#REF!</v>
      </c>
      <c r="HL40" t="e">
        <f>AND(#REF!,"AAAAAGyx89s=")</f>
        <v>#REF!</v>
      </c>
      <c r="HM40" t="e">
        <f>AND(#REF!,"AAAAAGyx89w=")</f>
        <v>#REF!</v>
      </c>
      <c r="HN40" t="e">
        <f>AND(#REF!,"AAAAAGyx890=")</f>
        <v>#REF!</v>
      </c>
      <c r="HO40" t="e">
        <f>AND(#REF!,"AAAAAGyx894=")</f>
        <v>#REF!</v>
      </c>
      <c r="HP40" t="e">
        <f>AND(#REF!,"AAAAAGyx898=")</f>
        <v>#REF!</v>
      </c>
      <c r="HQ40" t="e">
        <f>AND(#REF!,"AAAAAGyx8+A=")</f>
        <v>#REF!</v>
      </c>
      <c r="HR40" t="e">
        <f>AND(#REF!,"AAAAAGyx8+E=")</f>
        <v>#REF!</v>
      </c>
      <c r="HS40" t="e">
        <f>AND(#REF!,"AAAAAGyx8+I=")</f>
        <v>#REF!</v>
      </c>
      <c r="HT40" t="e">
        <f>AND(#REF!,"AAAAAGyx8+M=")</f>
        <v>#REF!</v>
      </c>
      <c r="HU40" t="e">
        <f>AND(#REF!,"AAAAAGyx8+Q=")</f>
        <v>#REF!</v>
      </c>
      <c r="HV40" t="e">
        <f>AND(#REF!,"AAAAAGyx8+U=")</f>
        <v>#REF!</v>
      </c>
      <c r="HW40" t="e">
        <f>AND(#REF!,"AAAAAGyx8+Y=")</f>
        <v>#REF!</v>
      </c>
      <c r="HX40" t="e">
        <f>AND(#REF!,"AAAAAGyx8+c=")</f>
        <v>#REF!</v>
      </c>
      <c r="HY40" t="e">
        <f>AND(#REF!,"AAAAAGyx8+g=")</f>
        <v>#REF!</v>
      </c>
      <c r="HZ40" t="e">
        <f>AND(#REF!,"AAAAAGyx8+k=")</f>
        <v>#REF!</v>
      </c>
      <c r="IA40" t="e">
        <f>AND(#REF!,"AAAAAGyx8+o=")</f>
        <v>#REF!</v>
      </c>
      <c r="IB40" t="e">
        <f>AND(#REF!,"AAAAAGyx8+s=")</f>
        <v>#REF!</v>
      </c>
      <c r="IC40" t="e">
        <f>AND(#REF!,"AAAAAGyx8+w=")</f>
        <v>#REF!</v>
      </c>
      <c r="ID40" t="e">
        <f>AND(#REF!,"AAAAAGyx8+0=")</f>
        <v>#REF!</v>
      </c>
      <c r="IE40" t="e">
        <f>AND(#REF!,"AAAAAGyx8+4=")</f>
        <v>#REF!</v>
      </c>
      <c r="IF40" t="e">
        <f>AND(#REF!,"AAAAAGyx8+8=")</f>
        <v>#REF!</v>
      </c>
      <c r="IG40" t="e">
        <f>AND(#REF!,"AAAAAGyx8/A=")</f>
        <v>#REF!</v>
      </c>
      <c r="IH40" t="e">
        <f>AND(#REF!,"AAAAAGyx8/E=")</f>
        <v>#REF!</v>
      </c>
      <c r="II40" t="e">
        <f>AND(#REF!,"AAAAAGyx8/I=")</f>
        <v>#REF!</v>
      </c>
      <c r="IJ40" t="e">
        <f>AND(#REF!,"AAAAAGyx8/M=")</f>
        <v>#REF!</v>
      </c>
      <c r="IK40" t="e">
        <f>AND(#REF!,"AAAAAGyx8/Q=")</f>
        <v>#REF!</v>
      </c>
      <c r="IL40" t="e">
        <f>AND(#REF!,"AAAAAGyx8/U=")</f>
        <v>#REF!</v>
      </c>
      <c r="IM40" t="e">
        <f>AND(#REF!,"AAAAAGyx8/Y=")</f>
        <v>#REF!</v>
      </c>
      <c r="IN40" t="e">
        <f>AND(#REF!,"AAAAAGyx8/c=")</f>
        <v>#REF!</v>
      </c>
      <c r="IO40" t="e">
        <f>AND(#REF!,"AAAAAGyx8/g=")</f>
        <v>#REF!</v>
      </c>
      <c r="IP40" t="e">
        <f>AND(#REF!,"AAAAAGyx8/k=")</f>
        <v>#REF!</v>
      </c>
      <c r="IQ40" t="e">
        <f>AND(#REF!,"AAAAAGyx8/o=")</f>
        <v>#REF!</v>
      </c>
      <c r="IR40" t="e">
        <f>AND(#REF!,"AAAAAGyx8/s=")</f>
        <v>#REF!</v>
      </c>
      <c r="IS40" t="e">
        <f>AND(#REF!,"AAAAAGyx8/w=")</f>
        <v>#REF!</v>
      </c>
      <c r="IT40" t="e">
        <f>AND(#REF!,"AAAAAGyx8/0=")</f>
        <v>#REF!</v>
      </c>
      <c r="IU40" t="e">
        <f>AND(#REF!,"AAAAAGyx8/4=")</f>
        <v>#REF!</v>
      </c>
      <c r="IV40" t="e">
        <f>AND(#REF!,"AAAAAGyx8/8=")</f>
        <v>#REF!</v>
      </c>
    </row>
    <row r="41" spans="1:256" x14ac:dyDescent="0.2">
      <c r="A41" t="e">
        <f>AND(#REF!,"AAAAAH9x/wA=")</f>
        <v>#REF!</v>
      </c>
      <c r="B41" t="e">
        <f>AND(#REF!,"AAAAAH9x/wE=")</f>
        <v>#REF!</v>
      </c>
      <c r="C41" t="e">
        <f>AND(#REF!,"AAAAAH9x/wI=")</f>
        <v>#REF!</v>
      </c>
      <c r="D41" t="e">
        <f>AND(#REF!,"AAAAAH9x/wM=")</f>
        <v>#REF!</v>
      </c>
      <c r="E41" t="e">
        <f>AND(#REF!,"AAAAAH9x/wQ=")</f>
        <v>#REF!</v>
      </c>
      <c r="F41" t="e">
        <f>AND(#REF!,"AAAAAH9x/wU=")</f>
        <v>#REF!</v>
      </c>
      <c r="G41" t="e">
        <f>AND(#REF!,"AAAAAH9x/wY=")</f>
        <v>#REF!</v>
      </c>
      <c r="H41" t="e">
        <f>AND(#REF!,"AAAAAH9x/wc=")</f>
        <v>#REF!</v>
      </c>
      <c r="I41" t="e">
        <f>AND(#REF!,"AAAAAH9x/wg=")</f>
        <v>#REF!</v>
      </c>
      <c r="J41" t="e">
        <f>AND(#REF!,"AAAAAH9x/wk=")</f>
        <v>#REF!</v>
      </c>
      <c r="K41" t="e">
        <f>AND(#REF!,"AAAAAH9x/wo=")</f>
        <v>#REF!</v>
      </c>
      <c r="L41" t="e">
        <f>AND(#REF!,"AAAAAH9x/ws=")</f>
        <v>#REF!</v>
      </c>
      <c r="M41" t="e">
        <f>AND(#REF!,"AAAAAH9x/ww=")</f>
        <v>#REF!</v>
      </c>
      <c r="N41" t="e">
        <f>AND(#REF!,"AAAAAH9x/w0=")</f>
        <v>#REF!</v>
      </c>
      <c r="O41" t="e">
        <f>AND(#REF!,"AAAAAH9x/w4=")</f>
        <v>#REF!</v>
      </c>
      <c r="P41" t="e">
        <f>AND(#REF!,"AAAAAH9x/w8=")</f>
        <v>#REF!</v>
      </c>
      <c r="Q41" t="e">
        <f>AND(#REF!,"AAAAAH9x/xA=")</f>
        <v>#REF!</v>
      </c>
      <c r="R41" t="e">
        <f>AND(#REF!,"AAAAAH9x/xE=")</f>
        <v>#REF!</v>
      </c>
      <c r="S41" t="e">
        <f>AND(#REF!,"AAAAAH9x/xI=")</f>
        <v>#REF!</v>
      </c>
      <c r="T41" t="e">
        <f>AND(#REF!,"AAAAAH9x/xM=")</f>
        <v>#REF!</v>
      </c>
      <c r="U41" t="e">
        <f>AND(#REF!,"AAAAAH9x/xQ=")</f>
        <v>#REF!</v>
      </c>
      <c r="V41" t="e">
        <f>AND(#REF!,"AAAAAH9x/xU=")</f>
        <v>#REF!</v>
      </c>
      <c r="W41" t="e">
        <f>AND(#REF!,"AAAAAH9x/xY=")</f>
        <v>#REF!</v>
      </c>
      <c r="X41" t="e">
        <f>AND(#REF!,"AAAAAH9x/xc=")</f>
        <v>#REF!</v>
      </c>
      <c r="Y41" t="e">
        <f>AND(#REF!,"AAAAAH9x/xg=")</f>
        <v>#REF!</v>
      </c>
      <c r="Z41" t="e">
        <f>AND(#REF!,"AAAAAH9x/xk=")</f>
        <v>#REF!</v>
      </c>
      <c r="AA41" t="e">
        <f>AND(#REF!,"AAAAAH9x/xo=")</f>
        <v>#REF!</v>
      </c>
      <c r="AB41" t="e">
        <f>AND(#REF!,"AAAAAH9x/xs=")</f>
        <v>#REF!</v>
      </c>
      <c r="AC41" t="e">
        <f>AND(#REF!,"AAAAAH9x/xw=")</f>
        <v>#REF!</v>
      </c>
      <c r="AD41" t="e">
        <f>AND(#REF!,"AAAAAH9x/x0=")</f>
        <v>#REF!</v>
      </c>
      <c r="AE41" t="e">
        <f>AND(#REF!,"AAAAAH9x/x4=")</f>
        <v>#REF!</v>
      </c>
      <c r="AF41" t="e">
        <f>AND(#REF!,"AAAAAH9x/x8=")</f>
        <v>#REF!</v>
      </c>
      <c r="AG41" t="e">
        <f>AND(#REF!,"AAAAAH9x/yA=")</f>
        <v>#REF!</v>
      </c>
      <c r="AH41" t="e">
        <f>AND(#REF!,"AAAAAH9x/yE=")</f>
        <v>#REF!</v>
      </c>
      <c r="AI41" t="e">
        <f>AND(#REF!,"AAAAAH9x/yI=")</f>
        <v>#REF!</v>
      </c>
      <c r="AJ41" t="e">
        <f>AND(#REF!,"AAAAAH9x/yM=")</f>
        <v>#REF!</v>
      </c>
      <c r="AK41" t="e">
        <f>AND(#REF!,"AAAAAH9x/yQ=")</f>
        <v>#REF!</v>
      </c>
      <c r="AL41" t="e">
        <f>AND(#REF!,"AAAAAH9x/yU=")</f>
        <v>#REF!</v>
      </c>
      <c r="AM41" t="e">
        <f>AND(#REF!,"AAAAAH9x/yY=")</f>
        <v>#REF!</v>
      </c>
      <c r="AN41" t="e">
        <f>AND(#REF!,"AAAAAH9x/yc=")</f>
        <v>#REF!</v>
      </c>
      <c r="AO41" t="e">
        <f>AND(#REF!,"AAAAAH9x/yg=")</f>
        <v>#REF!</v>
      </c>
      <c r="AP41" t="e">
        <f>AND(#REF!,"AAAAAH9x/yk=")</f>
        <v>#REF!</v>
      </c>
      <c r="AQ41" t="e">
        <f>AND(#REF!,"AAAAAH9x/yo=")</f>
        <v>#REF!</v>
      </c>
      <c r="AR41" t="e">
        <f>AND(#REF!,"AAAAAH9x/ys=")</f>
        <v>#REF!</v>
      </c>
      <c r="AS41" t="e">
        <f>AND(#REF!,"AAAAAH9x/yw=")</f>
        <v>#REF!</v>
      </c>
      <c r="AT41" t="e">
        <f>AND(#REF!,"AAAAAH9x/y0=")</f>
        <v>#REF!</v>
      </c>
      <c r="AU41" t="e">
        <f>AND(#REF!,"AAAAAH9x/y4=")</f>
        <v>#REF!</v>
      </c>
      <c r="AV41" t="e">
        <f>AND(#REF!,"AAAAAH9x/y8=")</f>
        <v>#REF!</v>
      </c>
      <c r="AW41" t="e">
        <f>AND(#REF!,"AAAAAH9x/zA=")</f>
        <v>#REF!</v>
      </c>
      <c r="AX41" t="e">
        <f>AND(#REF!,"AAAAAH9x/zE=")</f>
        <v>#REF!</v>
      </c>
      <c r="AY41" t="e">
        <f>AND(#REF!,"AAAAAH9x/zI=")</f>
        <v>#REF!</v>
      </c>
      <c r="AZ41" t="e">
        <f>AND(#REF!,"AAAAAH9x/zM=")</f>
        <v>#REF!</v>
      </c>
      <c r="BA41" t="e">
        <f>AND(#REF!,"AAAAAH9x/zQ=")</f>
        <v>#REF!</v>
      </c>
      <c r="BB41" t="e">
        <f>AND(#REF!,"AAAAAH9x/zU=")</f>
        <v>#REF!</v>
      </c>
      <c r="BC41" t="e">
        <f>AND(#REF!,"AAAAAH9x/zY=")</f>
        <v>#REF!</v>
      </c>
      <c r="BD41" t="e">
        <f>AND(#REF!,"AAAAAH9x/zc=")</f>
        <v>#REF!</v>
      </c>
      <c r="BE41" t="e">
        <f>AND(#REF!,"AAAAAH9x/zg=")</f>
        <v>#REF!</v>
      </c>
      <c r="BF41" t="e">
        <f>AND(#REF!,"AAAAAH9x/zk=")</f>
        <v>#REF!</v>
      </c>
      <c r="BG41" t="e">
        <f>AND(#REF!,"AAAAAH9x/zo=")</f>
        <v>#REF!</v>
      </c>
      <c r="BH41" t="e">
        <f>AND(#REF!,"AAAAAH9x/zs=")</f>
        <v>#REF!</v>
      </c>
      <c r="BI41" t="e">
        <f>AND(#REF!,"AAAAAH9x/zw=")</f>
        <v>#REF!</v>
      </c>
      <c r="BJ41" t="e">
        <f>AND(#REF!,"AAAAAH9x/z0=")</f>
        <v>#REF!</v>
      </c>
      <c r="BK41" t="e">
        <f>AND(#REF!,"AAAAAH9x/z4=")</f>
        <v>#REF!</v>
      </c>
      <c r="BL41" t="e">
        <f>AND(#REF!,"AAAAAH9x/z8=")</f>
        <v>#REF!</v>
      </c>
      <c r="BM41" t="e">
        <f>AND(#REF!,"AAAAAH9x/0A=")</f>
        <v>#REF!</v>
      </c>
      <c r="BN41" t="e">
        <f>AND(#REF!,"AAAAAH9x/0E=")</f>
        <v>#REF!</v>
      </c>
      <c r="BO41" t="e">
        <f>AND(#REF!,"AAAAAH9x/0I=")</f>
        <v>#REF!</v>
      </c>
      <c r="BP41" t="e">
        <f>AND(#REF!,"AAAAAH9x/0M=")</f>
        <v>#REF!</v>
      </c>
      <c r="BQ41" t="e">
        <f>AND(#REF!,"AAAAAH9x/0Q=")</f>
        <v>#REF!</v>
      </c>
      <c r="BR41" t="e">
        <f>AND(#REF!,"AAAAAH9x/0U=")</f>
        <v>#REF!</v>
      </c>
      <c r="BS41" t="e">
        <f>AND(#REF!,"AAAAAH9x/0Y=")</f>
        <v>#REF!</v>
      </c>
      <c r="BT41" t="e">
        <f>AND(#REF!,"AAAAAH9x/0c=")</f>
        <v>#REF!</v>
      </c>
      <c r="BU41" t="e">
        <f>AND(#REF!,"AAAAAH9x/0g=")</f>
        <v>#REF!</v>
      </c>
      <c r="BV41" t="e">
        <f>AND(#REF!,"AAAAAH9x/0k=")</f>
        <v>#REF!</v>
      </c>
      <c r="BW41" t="e">
        <f>AND(#REF!,"AAAAAH9x/0o=")</f>
        <v>#REF!</v>
      </c>
      <c r="BX41" t="e">
        <f>AND(#REF!,"AAAAAH9x/0s=")</f>
        <v>#REF!</v>
      </c>
      <c r="BY41" t="e">
        <f>AND(#REF!,"AAAAAH9x/0w=")</f>
        <v>#REF!</v>
      </c>
      <c r="BZ41" t="e">
        <f>AND(#REF!,"AAAAAH9x/00=")</f>
        <v>#REF!</v>
      </c>
      <c r="CA41" t="e">
        <f>AND(#REF!,"AAAAAH9x/04=")</f>
        <v>#REF!</v>
      </c>
      <c r="CB41" t="e">
        <f>AND(#REF!,"AAAAAH9x/08=")</f>
        <v>#REF!</v>
      </c>
      <c r="CC41" t="e">
        <f>AND(#REF!,"AAAAAH9x/1A=")</f>
        <v>#REF!</v>
      </c>
      <c r="CD41" t="e">
        <f>AND(#REF!,"AAAAAH9x/1E=")</f>
        <v>#REF!</v>
      </c>
      <c r="CE41" t="e">
        <f>AND(#REF!,"AAAAAH9x/1I=")</f>
        <v>#REF!</v>
      </c>
      <c r="CF41" t="e">
        <f>AND(#REF!,"AAAAAH9x/1M=")</f>
        <v>#REF!</v>
      </c>
      <c r="CG41" t="e">
        <f>AND(#REF!,"AAAAAH9x/1Q=")</f>
        <v>#REF!</v>
      </c>
      <c r="CH41" t="e">
        <f>AND(#REF!,"AAAAAH9x/1U=")</f>
        <v>#REF!</v>
      </c>
      <c r="CI41" t="e">
        <f>AND(#REF!,"AAAAAH9x/1Y=")</f>
        <v>#REF!</v>
      </c>
      <c r="CJ41" t="e">
        <f>AND(#REF!,"AAAAAH9x/1c=")</f>
        <v>#REF!</v>
      </c>
      <c r="CK41" t="e">
        <f>AND(#REF!,"AAAAAH9x/1g=")</f>
        <v>#REF!</v>
      </c>
      <c r="CL41" t="e">
        <f>AND(#REF!,"AAAAAH9x/1k=")</f>
        <v>#REF!</v>
      </c>
      <c r="CM41" t="e">
        <f>AND(#REF!,"AAAAAH9x/1o=")</f>
        <v>#REF!</v>
      </c>
      <c r="CN41" t="e">
        <f>AND(#REF!,"AAAAAH9x/1s=")</f>
        <v>#REF!</v>
      </c>
      <c r="CO41" t="e">
        <f>AND(#REF!,"AAAAAH9x/1w=")</f>
        <v>#REF!</v>
      </c>
      <c r="CP41" t="e">
        <f>AND(#REF!,"AAAAAH9x/10=")</f>
        <v>#REF!</v>
      </c>
      <c r="CQ41" t="e">
        <f>IF(#REF!,"AAAAAH9x/14=",0)</f>
        <v>#REF!</v>
      </c>
      <c r="CR41" t="e">
        <f>AND(#REF!,"AAAAAH9x/18=")</f>
        <v>#REF!</v>
      </c>
      <c r="CS41" t="e">
        <f>AND(#REF!,"AAAAAH9x/2A=")</f>
        <v>#REF!</v>
      </c>
      <c r="CT41" t="e">
        <f>AND(#REF!,"AAAAAH9x/2E=")</f>
        <v>#REF!</v>
      </c>
      <c r="CU41" t="e">
        <f>AND(#REF!,"AAAAAH9x/2I=")</f>
        <v>#REF!</v>
      </c>
      <c r="CV41" t="e">
        <f>AND(#REF!,"AAAAAH9x/2M=")</f>
        <v>#REF!</v>
      </c>
      <c r="CW41" t="e">
        <f>AND(#REF!,"AAAAAH9x/2Q=")</f>
        <v>#REF!</v>
      </c>
      <c r="CX41" t="e">
        <f>AND(#REF!,"AAAAAH9x/2U=")</f>
        <v>#REF!</v>
      </c>
      <c r="CY41" t="e">
        <f>AND(#REF!,"AAAAAH9x/2Y=")</f>
        <v>#REF!</v>
      </c>
      <c r="CZ41" t="e">
        <f>AND(#REF!,"AAAAAH9x/2c=")</f>
        <v>#REF!</v>
      </c>
      <c r="DA41" t="e">
        <f>AND(#REF!,"AAAAAH9x/2g=")</f>
        <v>#REF!</v>
      </c>
      <c r="DB41" t="e">
        <f>AND(#REF!,"AAAAAH9x/2k=")</f>
        <v>#REF!</v>
      </c>
      <c r="DC41" t="e">
        <f>AND(#REF!,"AAAAAH9x/2o=")</f>
        <v>#REF!</v>
      </c>
      <c r="DD41" t="e">
        <f>AND(#REF!,"AAAAAH9x/2s=")</f>
        <v>#REF!</v>
      </c>
      <c r="DE41" t="e">
        <f>AND(#REF!,"AAAAAH9x/2w=")</f>
        <v>#REF!</v>
      </c>
      <c r="DF41" t="e">
        <f>AND(#REF!,"AAAAAH9x/20=")</f>
        <v>#REF!</v>
      </c>
      <c r="DG41" t="e">
        <f>AND(#REF!,"AAAAAH9x/24=")</f>
        <v>#REF!</v>
      </c>
      <c r="DH41" t="e">
        <f>AND(#REF!,"AAAAAH9x/28=")</f>
        <v>#REF!</v>
      </c>
      <c r="DI41" t="e">
        <f>AND(#REF!,"AAAAAH9x/3A=")</f>
        <v>#REF!</v>
      </c>
      <c r="DJ41" t="e">
        <f>AND(#REF!,"AAAAAH9x/3E=")</f>
        <v>#REF!</v>
      </c>
      <c r="DK41" t="e">
        <f>AND(#REF!,"AAAAAH9x/3I=")</f>
        <v>#REF!</v>
      </c>
      <c r="DL41" t="e">
        <f>AND(#REF!,"AAAAAH9x/3M=")</f>
        <v>#REF!</v>
      </c>
      <c r="DM41" t="e">
        <f>AND(#REF!,"AAAAAH9x/3Q=")</f>
        <v>#REF!</v>
      </c>
      <c r="DN41" t="e">
        <f>AND(#REF!,"AAAAAH9x/3U=")</f>
        <v>#REF!</v>
      </c>
      <c r="DO41" t="e">
        <f>AND(#REF!,"AAAAAH9x/3Y=")</f>
        <v>#REF!</v>
      </c>
      <c r="DP41" t="e">
        <f>AND(#REF!,"AAAAAH9x/3c=")</f>
        <v>#REF!</v>
      </c>
      <c r="DQ41" t="e">
        <f>AND(#REF!,"AAAAAH9x/3g=")</f>
        <v>#REF!</v>
      </c>
      <c r="DR41" t="e">
        <f>AND(#REF!,"AAAAAH9x/3k=")</f>
        <v>#REF!</v>
      </c>
      <c r="DS41" t="e">
        <f>AND(#REF!,"AAAAAH9x/3o=")</f>
        <v>#REF!</v>
      </c>
      <c r="DT41" t="e">
        <f>AND(#REF!,"AAAAAH9x/3s=")</f>
        <v>#REF!</v>
      </c>
      <c r="DU41" t="e">
        <f>AND(#REF!,"AAAAAH9x/3w=")</f>
        <v>#REF!</v>
      </c>
      <c r="DV41" t="e">
        <f>AND(#REF!,"AAAAAH9x/30=")</f>
        <v>#REF!</v>
      </c>
      <c r="DW41" t="e">
        <f>AND(#REF!,"AAAAAH9x/34=")</f>
        <v>#REF!</v>
      </c>
      <c r="DX41" t="e">
        <f>AND(#REF!,"AAAAAH9x/38=")</f>
        <v>#REF!</v>
      </c>
      <c r="DY41" t="e">
        <f>AND(#REF!,"AAAAAH9x/4A=")</f>
        <v>#REF!</v>
      </c>
      <c r="DZ41" t="e">
        <f>AND(#REF!,"AAAAAH9x/4E=")</f>
        <v>#REF!</v>
      </c>
      <c r="EA41" t="e">
        <f>AND(#REF!,"AAAAAH9x/4I=")</f>
        <v>#REF!</v>
      </c>
      <c r="EB41" t="e">
        <f>AND(#REF!,"AAAAAH9x/4M=")</f>
        <v>#REF!</v>
      </c>
      <c r="EC41" t="e">
        <f>AND(#REF!,"AAAAAH9x/4Q=")</f>
        <v>#REF!</v>
      </c>
      <c r="ED41" t="e">
        <f>AND(#REF!,"AAAAAH9x/4U=")</f>
        <v>#REF!</v>
      </c>
      <c r="EE41" t="e">
        <f>AND(#REF!,"AAAAAH9x/4Y=")</f>
        <v>#REF!</v>
      </c>
      <c r="EF41" t="e">
        <f>AND(#REF!,"AAAAAH9x/4c=")</f>
        <v>#REF!</v>
      </c>
      <c r="EG41" t="e">
        <f>AND(#REF!,"AAAAAH9x/4g=")</f>
        <v>#REF!</v>
      </c>
      <c r="EH41" t="e">
        <f>AND(#REF!,"AAAAAH9x/4k=")</f>
        <v>#REF!</v>
      </c>
      <c r="EI41" t="e">
        <f>AND(#REF!,"AAAAAH9x/4o=")</f>
        <v>#REF!</v>
      </c>
      <c r="EJ41" t="e">
        <f>AND(#REF!,"AAAAAH9x/4s=")</f>
        <v>#REF!</v>
      </c>
      <c r="EK41" t="e">
        <f>AND(#REF!,"AAAAAH9x/4w=")</f>
        <v>#REF!</v>
      </c>
      <c r="EL41" t="e">
        <f>AND(#REF!,"AAAAAH9x/40=")</f>
        <v>#REF!</v>
      </c>
      <c r="EM41" t="e">
        <f>AND(#REF!,"AAAAAH9x/44=")</f>
        <v>#REF!</v>
      </c>
      <c r="EN41" t="e">
        <f>AND(#REF!,"AAAAAH9x/48=")</f>
        <v>#REF!</v>
      </c>
      <c r="EO41" t="e">
        <f>AND(#REF!,"AAAAAH9x/5A=")</f>
        <v>#REF!</v>
      </c>
      <c r="EP41" t="e">
        <f>AND(#REF!,"AAAAAH9x/5E=")</f>
        <v>#REF!</v>
      </c>
      <c r="EQ41" t="e">
        <f>AND(#REF!,"AAAAAH9x/5I=")</f>
        <v>#REF!</v>
      </c>
      <c r="ER41" t="e">
        <f>AND(#REF!,"AAAAAH9x/5M=")</f>
        <v>#REF!</v>
      </c>
      <c r="ES41" t="e">
        <f>AND(#REF!,"AAAAAH9x/5Q=")</f>
        <v>#REF!</v>
      </c>
      <c r="ET41" t="e">
        <f>AND(#REF!,"AAAAAH9x/5U=")</f>
        <v>#REF!</v>
      </c>
      <c r="EU41" t="e">
        <f>AND(#REF!,"AAAAAH9x/5Y=")</f>
        <v>#REF!</v>
      </c>
      <c r="EV41" t="e">
        <f>AND(#REF!,"AAAAAH9x/5c=")</f>
        <v>#REF!</v>
      </c>
      <c r="EW41" t="e">
        <f>AND(#REF!,"AAAAAH9x/5g=")</f>
        <v>#REF!</v>
      </c>
      <c r="EX41" t="e">
        <f>AND(#REF!,"AAAAAH9x/5k=")</f>
        <v>#REF!</v>
      </c>
      <c r="EY41" t="e">
        <f>AND(#REF!,"AAAAAH9x/5o=")</f>
        <v>#REF!</v>
      </c>
      <c r="EZ41" t="e">
        <f>AND(#REF!,"AAAAAH9x/5s=")</f>
        <v>#REF!</v>
      </c>
      <c r="FA41" t="e">
        <f>AND(#REF!,"AAAAAH9x/5w=")</f>
        <v>#REF!</v>
      </c>
      <c r="FB41" t="e">
        <f>AND(#REF!,"AAAAAH9x/50=")</f>
        <v>#REF!</v>
      </c>
      <c r="FC41" t="e">
        <f>AND(#REF!,"AAAAAH9x/54=")</f>
        <v>#REF!</v>
      </c>
      <c r="FD41" t="e">
        <f>AND(#REF!,"AAAAAH9x/58=")</f>
        <v>#REF!</v>
      </c>
      <c r="FE41" t="e">
        <f>AND(#REF!,"AAAAAH9x/6A=")</f>
        <v>#REF!</v>
      </c>
      <c r="FF41" t="e">
        <f>AND(#REF!,"AAAAAH9x/6E=")</f>
        <v>#REF!</v>
      </c>
      <c r="FG41" t="e">
        <f>AND(#REF!,"AAAAAH9x/6I=")</f>
        <v>#REF!</v>
      </c>
      <c r="FH41" t="e">
        <f>AND(#REF!,"AAAAAH9x/6M=")</f>
        <v>#REF!</v>
      </c>
      <c r="FI41" t="e">
        <f>AND(#REF!,"AAAAAH9x/6Q=")</f>
        <v>#REF!</v>
      </c>
      <c r="FJ41" t="e">
        <f>AND(#REF!,"AAAAAH9x/6U=")</f>
        <v>#REF!</v>
      </c>
      <c r="FK41" t="e">
        <f>AND(#REF!,"AAAAAH9x/6Y=")</f>
        <v>#REF!</v>
      </c>
      <c r="FL41" t="e">
        <f>AND(#REF!,"AAAAAH9x/6c=")</f>
        <v>#REF!</v>
      </c>
      <c r="FM41" t="e">
        <f>AND(#REF!,"AAAAAH9x/6g=")</f>
        <v>#REF!</v>
      </c>
      <c r="FN41" t="e">
        <f>AND(#REF!,"AAAAAH9x/6k=")</f>
        <v>#REF!</v>
      </c>
      <c r="FO41" t="e">
        <f>AND(#REF!,"AAAAAH9x/6o=")</f>
        <v>#REF!</v>
      </c>
      <c r="FP41" t="e">
        <f>AND(#REF!,"AAAAAH9x/6s=")</f>
        <v>#REF!</v>
      </c>
      <c r="FQ41" t="e">
        <f>AND(#REF!,"AAAAAH9x/6w=")</f>
        <v>#REF!</v>
      </c>
      <c r="FR41" t="e">
        <f>AND(#REF!,"AAAAAH9x/60=")</f>
        <v>#REF!</v>
      </c>
      <c r="FS41" t="e">
        <f>AND(#REF!,"AAAAAH9x/64=")</f>
        <v>#REF!</v>
      </c>
      <c r="FT41" t="e">
        <f>AND(#REF!,"AAAAAH9x/68=")</f>
        <v>#REF!</v>
      </c>
      <c r="FU41" t="e">
        <f>AND(#REF!,"AAAAAH9x/7A=")</f>
        <v>#REF!</v>
      </c>
      <c r="FV41" t="e">
        <f>AND(#REF!,"AAAAAH9x/7E=")</f>
        <v>#REF!</v>
      </c>
      <c r="FW41" t="e">
        <f>AND(#REF!,"AAAAAH9x/7I=")</f>
        <v>#REF!</v>
      </c>
      <c r="FX41" t="e">
        <f>AND(#REF!,"AAAAAH9x/7M=")</f>
        <v>#REF!</v>
      </c>
      <c r="FY41" t="e">
        <f>AND(#REF!,"AAAAAH9x/7Q=")</f>
        <v>#REF!</v>
      </c>
      <c r="FZ41" t="e">
        <f>AND(#REF!,"AAAAAH9x/7U=")</f>
        <v>#REF!</v>
      </c>
      <c r="GA41" t="e">
        <f>AND(#REF!,"AAAAAH9x/7Y=")</f>
        <v>#REF!</v>
      </c>
      <c r="GB41" t="e">
        <f>AND(#REF!,"AAAAAH9x/7c=")</f>
        <v>#REF!</v>
      </c>
      <c r="GC41" t="e">
        <f>AND(#REF!,"AAAAAH9x/7g=")</f>
        <v>#REF!</v>
      </c>
      <c r="GD41" t="e">
        <f>AND(#REF!,"AAAAAH9x/7k=")</f>
        <v>#REF!</v>
      </c>
      <c r="GE41" t="e">
        <f>AND(#REF!,"AAAAAH9x/7o=")</f>
        <v>#REF!</v>
      </c>
      <c r="GF41" t="e">
        <f>AND(#REF!,"AAAAAH9x/7s=")</f>
        <v>#REF!</v>
      </c>
      <c r="GG41" t="e">
        <f>AND(#REF!,"AAAAAH9x/7w=")</f>
        <v>#REF!</v>
      </c>
      <c r="GH41" t="e">
        <f>AND(#REF!,"AAAAAH9x/70=")</f>
        <v>#REF!</v>
      </c>
      <c r="GI41" t="e">
        <f>AND(#REF!,"AAAAAH9x/74=")</f>
        <v>#REF!</v>
      </c>
      <c r="GJ41" t="e">
        <f>AND(#REF!,"AAAAAH9x/78=")</f>
        <v>#REF!</v>
      </c>
      <c r="GK41" t="e">
        <f>AND(#REF!,"AAAAAH9x/8A=")</f>
        <v>#REF!</v>
      </c>
      <c r="GL41" t="e">
        <f>AND(#REF!,"AAAAAH9x/8E=")</f>
        <v>#REF!</v>
      </c>
      <c r="GM41" t="e">
        <f>AND(#REF!,"AAAAAH9x/8I=")</f>
        <v>#REF!</v>
      </c>
      <c r="GN41" t="e">
        <f>AND(#REF!,"AAAAAH9x/8M=")</f>
        <v>#REF!</v>
      </c>
      <c r="GO41" t="e">
        <f>AND(#REF!,"AAAAAH9x/8Q=")</f>
        <v>#REF!</v>
      </c>
      <c r="GP41" t="e">
        <f>AND(#REF!,"AAAAAH9x/8U=")</f>
        <v>#REF!</v>
      </c>
      <c r="GQ41" t="e">
        <f>AND(#REF!,"AAAAAH9x/8Y=")</f>
        <v>#REF!</v>
      </c>
      <c r="GR41" t="e">
        <f>AND(#REF!,"AAAAAH9x/8c=")</f>
        <v>#REF!</v>
      </c>
      <c r="GS41" t="e">
        <f>AND(#REF!,"AAAAAH9x/8g=")</f>
        <v>#REF!</v>
      </c>
      <c r="GT41" t="e">
        <f>AND(#REF!,"AAAAAH9x/8k=")</f>
        <v>#REF!</v>
      </c>
      <c r="GU41" t="e">
        <f>AND(#REF!,"AAAAAH9x/8o=")</f>
        <v>#REF!</v>
      </c>
      <c r="GV41" t="e">
        <f>AND(#REF!,"AAAAAH9x/8s=")</f>
        <v>#REF!</v>
      </c>
      <c r="GW41" t="e">
        <f>AND(#REF!,"AAAAAH9x/8w=")</f>
        <v>#REF!</v>
      </c>
      <c r="GX41" t="e">
        <f>AND(#REF!,"AAAAAH9x/80=")</f>
        <v>#REF!</v>
      </c>
      <c r="GY41" t="e">
        <f>AND(#REF!,"AAAAAH9x/84=")</f>
        <v>#REF!</v>
      </c>
      <c r="GZ41" t="e">
        <f>AND(#REF!,"AAAAAH9x/88=")</f>
        <v>#REF!</v>
      </c>
      <c r="HA41" t="e">
        <f>AND(#REF!,"AAAAAH9x/9A=")</f>
        <v>#REF!</v>
      </c>
      <c r="HB41" t="e">
        <f>AND(#REF!,"AAAAAH9x/9E=")</f>
        <v>#REF!</v>
      </c>
      <c r="HC41" t="e">
        <f>AND(#REF!,"AAAAAH9x/9I=")</f>
        <v>#REF!</v>
      </c>
      <c r="HD41" t="e">
        <f>AND(#REF!,"AAAAAH9x/9M=")</f>
        <v>#REF!</v>
      </c>
      <c r="HE41" t="e">
        <f>AND(#REF!,"AAAAAH9x/9Q=")</f>
        <v>#REF!</v>
      </c>
      <c r="HF41" t="e">
        <f>AND(#REF!,"AAAAAH9x/9U=")</f>
        <v>#REF!</v>
      </c>
      <c r="HG41" t="e">
        <f>AND(#REF!,"AAAAAH9x/9Y=")</f>
        <v>#REF!</v>
      </c>
      <c r="HH41" t="e">
        <f>AND(#REF!,"AAAAAH9x/9c=")</f>
        <v>#REF!</v>
      </c>
      <c r="HI41" t="e">
        <f>AND(#REF!,"AAAAAH9x/9g=")</f>
        <v>#REF!</v>
      </c>
      <c r="HJ41" t="e">
        <f>AND(#REF!,"AAAAAH9x/9k=")</f>
        <v>#REF!</v>
      </c>
      <c r="HK41" t="e">
        <f>AND(#REF!,"AAAAAH9x/9o=")</f>
        <v>#REF!</v>
      </c>
      <c r="HL41" t="e">
        <f>AND(#REF!,"AAAAAH9x/9s=")</f>
        <v>#REF!</v>
      </c>
      <c r="HM41" t="e">
        <f>AND(#REF!,"AAAAAH9x/9w=")</f>
        <v>#REF!</v>
      </c>
      <c r="HN41" t="e">
        <f>AND(#REF!,"AAAAAH9x/90=")</f>
        <v>#REF!</v>
      </c>
      <c r="HO41" t="e">
        <f>AND(#REF!,"AAAAAH9x/94=")</f>
        <v>#REF!</v>
      </c>
      <c r="HP41" t="e">
        <f>AND(#REF!,"AAAAAH9x/98=")</f>
        <v>#REF!</v>
      </c>
      <c r="HQ41" t="e">
        <f>AND(#REF!,"AAAAAH9x/+A=")</f>
        <v>#REF!</v>
      </c>
      <c r="HR41" t="e">
        <f>AND(#REF!,"AAAAAH9x/+E=")</f>
        <v>#REF!</v>
      </c>
      <c r="HS41" t="e">
        <f>AND(#REF!,"AAAAAH9x/+I=")</f>
        <v>#REF!</v>
      </c>
      <c r="HT41" t="e">
        <f>AND(#REF!,"AAAAAH9x/+M=")</f>
        <v>#REF!</v>
      </c>
      <c r="HU41" t="e">
        <f>AND(#REF!,"AAAAAH9x/+Q=")</f>
        <v>#REF!</v>
      </c>
      <c r="HV41" t="e">
        <f>AND(#REF!,"AAAAAH9x/+U=")</f>
        <v>#REF!</v>
      </c>
      <c r="HW41" t="e">
        <f>AND(#REF!,"AAAAAH9x/+Y=")</f>
        <v>#REF!</v>
      </c>
      <c r="HX41" t="e">
        <f>AND(#REF!,"AAAAAH9x/+c=")</f>
        <v>#REF!</v>
      </c>
      <c r="HY41" t="e">
        <f>AND(#REF!,"AAAAAH9x/+g=")</f>
        <v>#REF!</v>
      </c>
      <c r="HZ41" t="e">
        <f>AND(#REF!,"AAAAAH9x/+k=")</f>
        <v>#REF!</v>
      </c>
      <c r="IA41" t="e">
        <f>AND(#REF!,"AAAAAH9x/+o=")</f>
        <v>#REF!</v>
      </c>
      <c r="IB41" t="e">
        <f>AND(#REF!,"AAAAAH9x/+s=")</f>
        <v>#REF!</v>
      </c>
      <c r="IC41" t="e">
        <f>AND(#REF!,"AAAAAH9x/+w=")</f>
        <v>#REF!</v>
      </c>
      <c r="ID41" t="e">
        <f>AND(#REF!,"AAAAAH9x/+0=")</f>
        <v>#REF!</v>
      </c>
      <c r="IE41" t="e">
        <f>AND(#REF!,"AAAAAH9x/+4=")</f>
        <v>#REF!</v>
      </c>
      <c r="IF41" t="e">
        <f>AND(#REF!,"AAAAAH9x/+8=")</f>
        <v>#REF!</v>
      </c>
      <c r="IG41" t="e">
        <f>AND(#REF!,"AAAAAH9x//A=")</f>
        <v>#REF!</v>
      </c>
      <c r="IH41" t="e">
        <f>AND(#REF!,"AAAAAH9x//E=")</f>
        <v>#REF!</v>
      </c>
      <c r="II41" t="e">
        <f>AND(#REF!,"AAAAAH9x//I=")</f>
        <v>#REF!</v>
      </c>
      <c r="IJ41" t="e">
        <f>AND(#REF!,"AAAAAH9x//M=")</f>
        <v>#REF!</v>
      </c>
      <c r="IK41" t="e">
        <f>AND(#REF!,"AAAAAH9x//Q=")</f>
        <v>#REF!</v>
      </c>
      <c r="IL41" t="e">
        <f>AND(#REF!,"AAAAAH9x//U=")</f>
        <v>#REF!</v>
      </c>
      <c r="IM41" t="e">
        <f>AND(#REF!,"AAAAAH9x//Y=")</f>
        <v>#REF!</v>
      </c>
      <c r="IN41" t="e">
        <f>AND(#REF!,"AAAAAH9x//c=")</f>
        <v>#REF!</v>
      </c>
      <c r="IO41" t="e">
        <f>AND(#REF!,"AAAAAH9x//g=")</f>
        <v>#REF!</v>
      </c>
      <c r="IP41" t="e">
        <f>AND(#REF!,"AAAAAH9x//k=")</f>
        <v>#REF!</v>
      </c>
      <c r="IQ41" t="e">
        <f>AND(#REF!,"AAAAAH9x//o=")</f>
        <v>#REF!</v>
      </c>
      <c r="IR41" t="e">
        <f>AND(#REF!,"AAAAAH9x//s=")</f>
        <v>#REF!</v>
      </c>
      <c r="IS41" t="e">
        <f>AND(#REF!,"AAAAAH9x//w=")</f>
        <v>#REF!</v>
      </c>
      <c r="IT41" t="e">
        <f>AND(#REF!,"AAAAAH9x//0=")</f>
        <v>#REF!</v>
      </c>
      <c r="IU41" t="e">
        <f>AND(#REF!,"AAAAAH9x//4=")</f>
        <v>#REF!</v>
      </c>
      <c r="IV41" t="e">
        <f>AND(#REF!,"AAAAAH9x//8=")</f>
        <v>#REF!</v>
      </c>
    </row>
    <row r="42" spans="1:256" x14ac:dyDescent="0.2">
      <c r="A42" t="e">
        <f>AND(#REF!,"AAAAAG9vtwA=")</f>
        <v>#REF!</v>
      </c>
      <c r="B42" t="e">
        <f>AND(#REF!,"AAAAAG9vtwE=")</f>
        <v>#REF!</v>
      </c>
      <c r="C42" t="e">
        <f>AND(#REF!,"AAAAAG9vtwI=")</f>
        <v>#REF!</v>
      </c>
      <c r="D42" t="e">
        <f>AND(#REF!,"AAAAAG9vtwM=")</f>
        <v>#REF!</v>
      </c>
      <c r="E42" t="e">
        <f>AND(#REF!,"AAAAAG9vtwQ=")</f>
        <v>#REF!</v>
      </c>
      <c r="F42" t="e">
        <f>AND(#REF!,"AAAAAG9vtwU=")</f>
        <v>#REF!</v>
      </c>
      <c r="G42" t="e">
        <f>AND(#REF!,"AAAAAG9vtwY=")</f>
        <v>#REF!</v>
      </c>
      <c r="H42" t="e">
        <f>AND(#REF!,"AAAAAG9vtwc=")</f>
        <v>#REF!</v>
      </c>
      <c r="I42" t="e">
        <f>AND(#REF!,"AAAAAG9vtwg=")</f>
        <v>#REF!</v>
      </c>
      <c r="J42" t="e">
        <f>AND(#REF!,"AAAAAG9vtwk=")</f>
        <v>#REF!</v>
      </c>
      <c r="K42" t="e">
        <f>AND(#REF!,"AAAAAG9vtwo=")</f>
        <v>#REF!</v>
      </c>
      <c r="L42" t="e">
        <f>AND(#REF!,"AAAAAG9vtws=")</f>
        <v>#REF!</v>
      </c>
      <c r="M42" t="e">
        <f>AND(#REF!,"AAAAAG9vtww=")</f>
        <v>#REF!</v>
      </c>
      <c r="N42" t="e">
        <f>AND(#REF!,"AAAAAG9vtw0=")</f>
        <v>#REF!</v>
      </c>
      <c r="O42" t="e">
        <f>AND(#REF!,"AAAAAG9vtw4=")</f>
        <v>#REF!</v>
      </c>
      <c r="P42" t="e">
        <f>AND(#REF!,"AAAAAG9vtw8=")</f>
        <v>#REF!</v>
      </c>
      <c r="Q42" t="e">
        <f>AND(#REF!,"AAAAAG9vtxA=")</f>
        <v>#REF!</v>
      </c>
      <c r="R42" t="e">
        <f>AND(#REF!,"AAAAAG9vtxE=")</f>
        <v>#REF!</v>
      </c>
      <c r="S42" t="e">
        <f>AND(#REF!,"AAAAAG9vtxI=")</f>
        <v>#REF!</v>
      </c>
      <c r="T42" t="e">
        <f>IF(#REF!,"AAAAAG9vtxM=",0)</f>
        <v>#REF!</v>
      </c>
      <c r="U42" t="e">
        <f>AND(#REF!,"AAAAAG9vtxQ=")</f>
        <v>#REF!</v>
      </c>
      <c r="V42" t="e">
        <f>AND(#REF!,"AAAAAG9vtxU=")</f>
        <v>#REF!</v>
      </c>
      <c r="W42" t="e">
        <f>AND(#REF!,"AAAAAG9vtxY=")</f>
        <v>#REF!</v>
      </c>
      <c r="X42" t="e">
        <f>AND(#REF!,"AAAAAG9vtxc=")</f>
        <v>#REF!</v>
      </c>
      <c r="Y42" t="e">
        <f>AND(#REF!,"AAAAAG9vtxg=")</f>
        <v>#REF!</v>
      </c>
      <c r="Z42" t="e">
        <f>AND(#REF!,"AAAAAG9vtxk=")</f>
        <v>#REF!</v>
      </c>
      <c r="AA42" t="e">
        <f>AND(#REF!,"AAAAAG9vtxo=")</f>
        <v>#REF!</v>
      </c>
      <c r="AB42" t="e">
        <f>AND(#REF!,"AAAAAG9vtxs=")</f>
        <v>#REF!</v>
      </c>
      <c r="AC42" t="e">
        <f>AND(#REF!,"AAAAAG9vtxw=")</f>
        <v>#REF!</v>
      </c>
      <c r="AD42" t="e">
        <f>AND(#REF!,"AAAAAG9vtx0=")</f>
        <v>#REF!</v>
      </c>
      <c r="AE42" t="e">
        <f>AND(#REF!,"AAAAAG9vtx4=")</f>
        <v>#REF!</v>
      </c>
      <c r="AF42" t="e">
        <f>AND(#REF!,"AAAAAG9vtx8=")</f>
        <v>#REF!</v>
      </c>
      <c r="AG42" t="e">
        <f>AND(#REF!,"AAAAAG9vtyA=")</f>
        <v>#REF!</v>
      </c>
      <c r="AH42" t="e">
        <f>AND(#REF!,"AAAAAG9vtyE=")</f>
        <v>#REF!</v>
      </c>
      <c r="AI42" t="e">
        <f>AND(#REF!,"AAAAAG9vtyI=")</f>
        <v>#REF!</v>
      </c>
      <c r="AJ42" t="e">
        <f>AND(#REF!,"AAAAAG9vtyM=")</f>
        <v>#REF!</v>
      </c>
      <c r="AK42" t="e">
        <f>AND(#REF!,"AAAAAG9vtyQ=")</f>
        <v>#REF!</v>
      </c>
      <c r="AL42" t="e">
        <f>AND(#REF!,"AAAAAG9vtyU=")</f>
        <v>#REF!</v>
      </c>
      <c r="AM42" t="e">
        <f>AND(#REF!,"AAAAAG9vtyY=")</f>
        <v>#REF!</v>
      </c>
      <c r="AN42" t="e">
        <f>AND(#REF!,"AAAAAG9vtyc=")</f>
        <v>#REF!</v>
      </c>
      <c r="AO42" t="e">
        <f>AND(#REF!,"AAAAAG9vtyg=")</f>
        <v>#REF!</v>
      </c>
      <c r="AP42" t="e">
        <f>AND(#REF!,"AAAAAG9vtyk=")</f>
        <v>#REF!</v>
      </c>
      <c r="AQ42" t="e">
        <f>AND(#REF!,"AAAAAG9vtyo=")</f>
        <v>#REF!</v>
      </c>
      <c r="AR42" t="e">
        <f>AND(#REF!,"AAAAAG9vtys=")</f>
        <v>#REF!</v>
      </c>
      <c r="AS42" t="e">
        <f>AND(#REF!,"AAAAAG9vtyw=")</f>
        <v>#REF!</v>
      </c>
      <c r="AT42" t="e">
        <f>AND(#REF!,"AAAAAG9vty0=")</f>
        <v>#REF!</v>
      </c>
      <c r="AU42" t="e">
        <f>AND(#REF!,"AAAAAG9vty4=")</f>
        <v>#REF!</v>
      </c>
      <c r="AV42" t="e">
        <f>AND(#REF!,"AAAAAG9vty8=")</f>
        <v>#REF!</v>
      </c>
      <c r="AW42" t="e">
        <f>AND(#REF!,"AAAAAG9vtzA=")</f>
        <v>#REF!</v>
      </c>
      <c r="AX42" t="e">
        <f>AND(#REF!,"AAAAAG9vtzE=")</f>
        <v>#REF!</v>
      </c>
      <c r="AY42" t="e">
        <f>AND(#REF!,"AAAAAG9vtzI=")</f>
        <v>#REF!</v>
      </c>
      <c r="AZ42" t="e">
        <f>AND(#REF!,"AAAAAG9vtzM=")</f>
        <v>#REF!</v>
      </c>
      <c r="BA42" t="e">
        <f>AND(#REF!,"AAAAAG9vtzQ=")</f>
        <v>#REF!</v>
      </c>
      <c r="BB42" t="e">
        <f>AND(#REF!,"AAAAAG9vtzU=")</f>
        <v>#REF!</v>
      </c>
      <c r="BC42" t="e">
        <f>AND(#REF!,"AAAAAG9vtzY=")</f>
        <v>#REF!</v>
      </c>
      <c r="BD42" t="e">
        <f>AND(#REF!,"AAAAAG9vtzc=")</f>
        <v>#REF!</v>
      </c>
      <c r="BE42" t="e">
        <f>AND(#REF!,"AAAAAG9vtzg=")</f>
        <v>#REF!</v>
      </c>
      <c r="BF42" t="e">
        <f>AND(#REF!,"AAAAAG9vtzk=")</f>
        <v>#REF!</v>
      </c>
      <c r="BG42" t="e">
        <f>AND(#REF!,"AAAAAG9vtzo=")</f>
        <v>#REF!</v>
      </c>
      <c r="BH42" t="e">
        <f>AND(#REF!,"AAAAAG9vtzs=")</f>
        <v>#REF!</v>
      </c>
      <c r="BI42" t="e">
        <f>AND(#REF!,"AAAAAG9vtzw=")</f>
        <v>#REF!</v>
      </c>
      <c r="BJ42" t="e">
        <f>AND(#REF!,"AAAAAG9vtz0=")</f>
        <v>#REF!</v>
      </c>
      <c r="BK42" t="e">
        <f>AND(#REF!,"AAAAAG9vtz4=")</f>
        <v>#REF!</v>
      </c>
      <c r="BL42" t="e">
        <f>AND(#REF!,"AAAAAG9vtz8=")</f>
        <v>#REF!</v>
      </c>
      <c r="BM42" t="e">
        <f>AND(#REF!,"AAAAAG9vt0A=")</f>
        <v>#REF!</v>
      </c>
      <c r="BN42" t="e">
        <f>AND(#REF!,"AAAAAG9vt0E=")</f>
        <v>#REF!</v>
      </c>
      <c r="BO42" t="e">
        <f>AND(#REF!,"AAAAAG9vt0I=")</f>
        <v>#REF!</v>
      </c>
      <c r="BP42" t="e">
        <f>AND(#REF!,"AAAAAG9vt0M=")</f>
        <v>#REF!</v>
      </c>
      <c r="BQ42" t="e">
        <f>AND(#REF!,"AAAAAG9vt0Q=")</f>
        <v>#REF!</v>
      </c>
      <c r="BR42" t="e">
        <f>AND(#REF!,"AAAAAG9vt0U=")</f>
        <v>#REF!</v>
      </c>
      <c r="BS42" t="e">
        <f>AND(#REF!,"AAAAAG9vt0Y=")</f>
        <v>#REF!</v>
      </c>
      <c r="BT42" t="e">
        <f>AND(#REF!,"AAAAAG9vt0c=")</f>
        <v>#REF!</v>
      </c>
      <c r="BU42" t="e">
        <f>AND(#REF!,"AAAAAG9vt0g=")</f>
        <v>#REF!</v>
      </c>
      <c r="BV42" t="e">
        <f>AND(#REF!,"AAAAAG9vt0k=")</f>
        <v>#REF!</v>
      </c>
      <c r="BW42" t="e">
        <f>AND(#REF!,"AAAAAG9vt0o=")</f>
        <v>#REF!</v>
      </c>
      <c r="BX42" t="e">
        <f>AND(#REF!,"AAAAAG9vt0s=")</f>
        <v>#REF!</v>
      </c>
      <c r="BY42" t="e">
        <f>AND(#REF!,"AAAAAG9vt0w=")</f>
        <v>#REF!</v>
      </c>
      <c r="BZ42" t="e">
        <f>AND(#REF!,"AAAAAG9vt00=")</f>
        <v>#REF!</v>
      </c>
      <c r="CA42" t="e">
        <f>AND(#REF!,"AAAAAG9vt04=")</f>
        <v>#REF!</v>
      </c>
      <c r="CB42" t="e">
        <f>AND(#REF!,"AAAAAG9vt08=")</f>
        <v>#REF!</v>
      </c>
      <c r="CC42" t="e">
        <f>AND(#REF!,"AAAAAG9vt1A=")</f>
        <v>#REF!</v>
      </c>
      <c r="CD42" t="e">
        <f>AND(#REF!,"AAAAAG9vt1E=")</f>
        <v>#REF!</v>
      </c>
      <c r="CE42" t="e">
        <f>AND(#REF!,"AAAAAG9vt1I=")</f>
        <v>#REF!</v>
      </c>
      <c r="CF42" t="e">
        <f>AND(#REF!,"AAAAAG9vt1M=")</f>
        <v>#REF!</v>
      </c>
      <c r="CG42" t="e">
        <f>AND(#REF!,"AAAAAG9vt1Q=")</f>
        <v>#REF!</v>
      </c>
      <c r="CH42" t="e">
        <f>AND(#REF!,"AAAAAG9vt1U=")</f>
        <v>#REF!</v>
      </c>
      <c r="CI42" t="e">
        <f>AND(#REF!,"AAAAAG9vt1Y=")</f>
        <v>#REF!</v>
      </c>
      <c r="CJ42" t="e">
        <f>AND(#REF!,"AAAAAG9vt1c=")</f>
        <v>#REF!</v>
      </c>
      <c r="CK42" t="e">
        <f>AND(#REF!,"AAAAAG9vt1g=")</f>
        <v>#REF!</v>
      </c>
      <c r="CL42" t="e">
        <f>AND(#REF!,"AAAAAG9vt1k=")</f>
        <v>#REF!</v>
      </c>
      <c r="CM42" t="e">
        <f>AND(#REF!,"AAAAAG9vt1o=")</f>
        <v>#REF!</v>
      </c>
      <c r="CN42" t="e">
        <f>AND(#REF!,"AAAAAG9vt1s=")</f>
        <v>#REF!</v>
      </c>
      <c r="CO42" t="e">
        <f>AND(#REF!,"AAAAAG9vt1w=")</f>
        <v>#REF!</v>
      </c>
      <c r="CP42" t="e">
        <f>AND(#REF!,"AAAAAG9vt10=")</f>
        <v>#REF!</v>
      </c>
      <c r="CQ42" t="e">
        <f>AND(#REF!,"AAAAAG9vt14=")</f>
        <v>#REF!</v>
      </c>
      <c r="CR42" t="e">
        <f>AND(#REF!,"AAAAAG9vt18=")</f>
        <v>#REF!</v>
      </c>
      <c r="CS42" t="e">
        <f>AND(#REF!,"AAAAAG9vt2A=")</f>
        <v>#REF!</v>
      </c>
      <c r="CT42" t="e">
        <f>AND(#REF!,"AAAAAG9vt2E=")</f>
        <v>#REF!</v>
      </c>
      <c r="CU42" t="e">
        <f>AND(#REF!,"AAAAAG9vt2I=")</f>
        <v>#REF!</v>
      </c>
      <c r="CV42" t="e">
        <f>AND(#REF!,"AAAAAG9vt2M=")</f>
        <v>#REF!</v>
      </c>
      <c r="CW42" t="e">
        <f>AND(#REF!,"AAAAAG9vt2Q=")</f>
        <v>#REF!</v>
      </c>
      <c r="CX42" t="e">
        <f>AND(#REF!,"AAAAAG9vt2U=")</f>
        <v>#REF!</v>
      </c>
      <c r="CY42" t="e">
        <f>AND(#REF!,"AAAAAG9vt2Y=")</f>
        <v>#REF!</v>
      </c>
      <c r="CZ42" t="e">
        <f>AND(#REF!,"AAAAAG9vt2c=")</f>
        <v>#REF!</v>
      </c>
      <c r="DA42" t="e">
        <f>AND(#REF!,"AAAAAG9vt2g=")</f>
        <v>#REF!</v>
      </c>
      <c r="DB42" t="e">
        <f>AND(#REF!,"AAAAAG9vt2k=")</f>
        <v>#REF!</v>
      </c>
      <c r="DC42" t="e">
        <f>AND(#REF!,"AAAAAG9vt2o=")</f>
        <v>#REF!</v>
      </c>
      <c r="DD42" t="e">
        <f>AND(#REF!,"AAAAAG9vt2s=")</f>
        <v>#REF!</v>
      </c>
      <c r="DE42" t="e">
        <f>AND(#REF!,"AAAAAG9vt2w=")</f>
        <v>#REF!</v>
      </c>
      <c r="DF42" t="e">
        <f>AND(#REF!,"AAAAAG9vt20=")</f>
        <v>#REF!</v>
      </c>
      <c r="DG42" t="e">
        <f>AND(#REF!,"AAAAAG9vt24=")</f>
        <v>#REF!</v>
      </c>
      <c r="DH42" t="e">
        <f>AND(#REF!,"AAAAAG9vt28=")</f>
        <v>#REF!</v>
      </c>
      <c r="DI42" t="e">
        <f>AND(#REF!,"AAAAAG9vt3A=")</f>
        <v>#REF!</v>
      </c>
      <c r="DJ42" t="e">
        <f>AND(#REF!,"AAAAAG9vt3E=")</f>
        <v>#REF!</v>
      </c>
      <c r="DK42" t="e">
        <f>AND(#REF!,"AAAAAG9vt3I=")</f>
        <v>#REF!</v>
      </c>
      <c r="DL42" t="e">
        <f>AND(#REF!,"AAAAAG9vt3M=")</f>
        <v>#REF!</v>
      </c>
      <c r="DM42" t="e">
        <f>AND(#REF!,"AAAAAG9vt3Q=")</f>
        <v>#REF!</v>
      </c>
      <c r="DN42" t="e">
        <f>AND(#REF!,"AAAAAG9vt3U=")</f>
        <v>#REF!</v>
      </c>
      <c r="DO42" t="e">
        <f>AND(#REF!,"AAAAAG9vt3Y=")</f>
        <v>#REF!</v>
      </c>
      <c r="DP42" t="e">
        <f>AND(#REF!,"AAAAAG9vt3c=")</f>
        <v>#REF!</v>
      </c>
      <c r="DQ42" t="e">
        <f>AND(#REF!,"AAAAAG9vt3g=")</f>
        <v>#REF!</v>
      </c>
      <c r="DR42" t="e">
        <f>AND(#REF!,"AAAAAG9vt3k=")</f>
        <v>#REF!</v>
      </c>
      <c r="DS42" t="e">
        <f>AND(#REF!,"AAAAAG9vt3o=")</f>
        <v>#REF!</v>
      </c>
      <c r="DT42" t="e">
        <f>AND(#REF!,"AAAAAG9vt3s=")</f>
        <v>#REF!</v>
      </c>
      <c r="DU42" t="e">
        <f>AND(#REF!,"AAAAAG9vt3w=")</f>
        <v>#REF!</v>
      </c>
      <c r="DV42" t="e">
        <f>AND(#REF!,"AAAAAG9vt30=")</f>
        <v>#REF!</v>
      </c>
      <c r="DW42" t="e">
        <f>AND(#REF!,"AAAAAG9vt34=")</f>
        <v>#REF!</v>
      </c>
      <c r="DX42" t="e">
        <f>AND(#REF!,"AAAAAG9vt38=")</f>
        <v>#REF!</v>
      </c>
      <c r="DY42" t="e">
        <f>AND(#REF!,"AAAAAG9vt4A=")</f>
        <v>#REF!</v>
      </c>
      <c r="DZ42" t="e">
        <f>AND(#REF!,"AAAAAG9vt4E=")</f>
        <v>#REF!</v>
      </c>
      <c r="EA42" t="e">
        <f>AND(#REF!,"AAAAAG9vt4I=")</f>
        <v>#REF!</v>
      </c>
      <c r="EB42" t="e">
        <f>AND(#REF!,"AAAAAG9vt4M=")</f>
        <v>#REF!</v>
      </c>
      <c r="EC42" t="e">
        <f>AND(#REF!,"AAAAAG9vt4Q=")</f>
        <v>#REF!</v>
      </c>
      <c r="ED42" t="e">
        <f>AND(#REF!,"AAAAAG9vt4U=")</f>
        <v>#REF!</v>
      </c>
      <c r="EE42" t="e">
        <f>AND(#REF!,"AAAAAG9vt4Y=")</f>
        <v>#REF!</v>
      </c>
      <c r="EF42" t="e">
        <f>AND(#REF!,"AAAAAG9vt4c=")</f>
        <v>#REF!</v>
      </c>
      <c r="EG42" t="e">
        <f>AND(#REF!,"AAAAAG9vt4g=")</f>
        <v>#REF!</v>
      </c>
      <c r="EH42" t="e">
        <f>AND(#REF!,"AAAAAG9vt4k=")</f>
        <v>#REF!</v>
      </c>
      <c r="EI42" t="e">
        <f>AND(#REF!,"AAAAAG9vt4o=")</f>
        <v>#REF!</v>
      </c>
      <c r="EJ42" t="e">
        <f>AND(#REF!,"AAAAAG9vt4s=")</f>
        <v>#REF!</v>
      </c>
      <c r="EK42" t="e">
        <f>AND(#REF!,"AAAAAG9vt4w=")</f>
        <v>#REF!</v>
      </c>
      <c r="EL42" t="e">
        <f>AND(#REF!,"AAAAAG9vt40=")</f>
        <v>#REF!</v>
      </c>
      <c r="EM42" t="e">
        <f>AND(#REF!,"AAAAAG9vt44=")</f>
        <v>#REF!</v>
      </c>
      <c r="EN42" t="e">
        <f>AND(#REF!,"AAAAAG9vt48=")</f>
        <v>#REF!</v>
      </c>
      <c r="EO42" t="e">
        <f>AND(#REF!,"AAAAAG9vt5A=")</f>
        <v>#REF!</v>
      </c>
      <c r="EP42" t="e">
        <f>AND(#REF!,"AAAAAG9vt5E=")</f>
        <v>#REF!</v>
      </c>
      <c r="EQ42" t="e">
        <f>AND(#REF!,"AAAAAG9vt5I=")</f>
        <v>#REF!</v>
      </c>
      <c r="ER42" t="e">
        <f>AND(#REF!,"AAAAAG9vt5M=")</f>
        <v>#REF!</v>
      </c>
      <c r="ES42" t="e">
        <f>AND(#REF!,"AAAAAG9vt5Q=")</f>
        <v>#REF!</v>
      </c>
      <c r="ET42" t="e">
        <f>AND(#REF!,"AAAAAG9vt5U=")</f>
        <v>#REF!</v>
      </c>
      <c r="EU42" t="e">
        <f>AND(#REF!,"AAAAAG9vt5Y=")</f>
        <v>#REF!</v>
      </c>
      <c r="EV42" t="e">
        <f>AND(#REF!,"AAAAAG9vt5c=")</f>
        <v>#REF!</v>
      </c>
      <c r="EW42" t="e">
        <f>AND(#REF!,"AAAAAG9vt5g=")</f>
        <v>#REF!</v>
      </c>
      <c r="EX42" t="e">
        <f>AND(#REF!,"AAAAAG9vt5k=")</f>
        <v>#REF!</v>
      </c>
      <c r="EY42" t="e">
        <f>AND(#REF!,"AAAAAG9vt5o=")</f>
        <v>#REF!</v>
      </c>
      <c r="EZ42" t="e">
        <f>AND(#REF!,"AAAAAG9vt5s=")</f>
        <v>#REF!</v>
      </c>
      <c r="FA42" t="e">
        <f>AND(#REF!,"AAAAAG9vt5w=")</f>
        <v>#REF!</v>
      </c>
      <c r="FB42" t="e">
        <f>AND(#REF!,"AAAAAG9vt50=")</f>
        <v>#REF!</v>
      </c>
      <c r="FC42" t="e">
        <f>AND(#REF!,"AAAAAG9vt54=")</f>
        <v>#REF!</v>
      </c>
      <c r="FD42" t="e">
        <f>AND(#REF!,"AAAAAG9vt58=")</f>
        <v>#REF!</v>
      </c>
      <c r="FE42" t="e">
        <f>AND(#REF!,"AAAAAG9vt6A=")</f>
        <v>#REF!</v>
      </c>
      <c r="FF42" t="e">
        <f>AND(#REF!,"AAAAAG9vt6E=")</f>
        <v>#REF!</v>
      </c>
      <c r="FG42" t="e">
        <f>AND(#REF!,"AAAAAG9vt6I=")</f>
        <v>#REF!</v>
      </c>
      <c r="FH42" t="e">
        <f>AND(#REF!,"AAAAAG9vt6M=")</f>
        <v>#REF!</v>
      </c>
      <c r="FI42" t="e">
        <f>AND(#REF!,"AAAAAG9vt6Q=")</f>
        <v>#REF!</v>
      </c>
      <c r="FJ42" t="e">
        <f>AND(#REF!,"AAAAAG9vt6U=")</f>
        <v>#REF!</v>
      </c>
      <c r="FK42" t="e">
        <f>AND(#REF!,"AAAAAG9vt6Y=")</f>
        <v>#REF!</v>
      </c>
      <c r="FL42" t="e">
        <f>AND(#REF!,"AAAAAG9vt6c=")</f>
        <v>#REF!</v>
      </c>
      <c r="FM42" t="e">
        <f>AND(#REF!,"AAAAAG9vt6g=")</f>
        <v>#REF!</v>
      </c>
      <c r="FN42" t="e">
        <f>AND(#REF!,"AAAAAG9vt6k=")</f>
        <v>#REF!</v>
      </c>
      <c r="FO42" t="e">
        <f>AND(#REF!,"AAAAAG9vt6o=")</f>
        <v>#REF!</v>
      </c>
      <c r="FP42" t="e">
        <f>AND(#REF!,"AAAAAG9vt6s=")</f>
        <v>#REF!</v>
      </c>
      <c r="FQ42" t="e">
        <f>AND(#REF!,"AAAAAG9vt6w=")</f>
        <v>#REF!</v>
      </c>
      <c r="FR42" t="e">
        <f>AND(#REF!,"AAAAAG9vt60=")</f>
        <v>#REF!</v>
      </c>
      <c r="FS42" t="e">
        <f>AND(#REF!,"AAAAAG9vt64=")</f>
        <v>#REF!</v>
      </c>
      <c r="FT42" t="e">
        <f>AND(#REF!,"AAAAAG9vt68=")</f>
        <v>#REF!</v>
      </c>
      <c r="FU42" t="e">
        <f>AND(#REF!,"AAAAAG9vt7A=")</f>
        <v>#REF!</v>
      </c>
      <c r="FV42" t="e">
        <f>AND(#REF!,"AAAAAG9vt7E=")</f>
        <v>#REF!</v>
      </c>
      <c r="FW42" t="e">
        <f>AND(#REF!,"AAAAAG9vt7I=")</f>
        <v>#REF!</v>
      </c>
      <c r="FX42" t="e">
        <f>AND(#REF!,"AAAAAG9vt7M=")</f>
        <v>#REF!</v>
      </c>
      <c r="FY42" t="e">
        <f>AND(#REF!,"AAAAAG9vt7Q=")</f>
        <v>#REF!</v>
      </c>
      <c r="FZ42" t="e">
        <f>AND(#REF!,"AAAAAG9vt7U=")</f>
        <v>#REF!</v>
      </c>
      <c r="GA42" t="e">
        <f>AND(#REF!,"AAAAAG9vt7Y=")</f>
        <v>#REF!</v>
      </c>
      <c r="GB42" t="e">
        <f>AND(#REF!,"AAAAAG9vt7c=")</f>
        <v>#REF!</v>
      </c>
      <c r="GC42" t="e">
        <f>AND(#REF!,"AAAAAG9vt7g=")</f>
        <v>#REF!</v>
      </c>
      <c r="GD42" t="e">
        <f>AND(#REF!,"AAAAAG9vt7k=")</f>
        <v>#REF!</v>
      </c>
      <c r="GE42" t="e">
        <f>AND(#REF!,"AAAAAG9vt7o=")</f>
        <v>#REF!</v>
      </c>
      <c r="GF42" t="e">
        <f>AND(#REF!,"AAAAAG9vt7s=")</f>
        <v>#REF!</v>
      </c>
      <c r="GG42" t="e">
        <f>AND(#REF!,"AAAAAG9vt7w=")</f>
        <v>#REF!</v>
      </c>
      <c r="GH42" t="e">
        <f>AND(#REF!,"AAAAAG9vt70=")</f>
        <v>#REF!</v>
      </c>
      <c r="GI42" t="e">
        <f>AND(#REF!,"AAAAAG9vt74=")</f>
        <v>#REF!</v>
      </c>
      <c r="GJ42" t="e">
        <f>AND(#REF!,"AAAAAG9vt78=")</f>
        <v>#REF!</v>
      </c>
      <c r="GK42" t="e">
        <f>AND(#REF!,"AAAAAG9vt8A=")</f>
        <v>#REF!</v>
      </c>
      <c r="GL42" t="e">
        <f>AND(#REF!,"AAAAAG9vt8E=")</f>
        <v>#REF!</v>
      </c>
      <c r="GM42" t="e">
        <f>AND(#REF!,"AAAAAG9vt8I=")</f>
        <v>#REF!</v>
      </c>
      <c r="GN42" t="e">
        <f>AND(#REF!,"AAAAAG9vt8M=")</f>
        <v>#REF!</v>
      </c>
      <c r="GO42" t="e">
        <f>AND(#REF!,"AAAAAG9vt8Q=")</f>
        <v>#REF!</v>
      </c>
      <c r="GP42" t="e">
        <f>AND(#REF!,"AAAAAG9vt8U=")</f>
        <v>#REF!</v>
      </c>
      <c r="GQ42" t="e">
        <f>AND(#REF!,"AAAAAG9vt8Y=")</f>
        <v>#REF!</v>
      </c>
      <c r="GR42" t="e">
        <f>AND(#REF!,"AAAAAG9vt8c=")</f>
        <v>#REF!</v>
      </c>
      <c r="GS42" t="e">
        <f>IF(#REF!,"AAAAAG9vt8g=",0)</f>
        <v>#REF!</v>
      </c>
      <c r="GT42" t="e">
        <f>AND(#REF!,"AAAAAG9vt8k=")</f>
        <v>#REF!</v>
      </c>
      <c r="GU42" t="e">
        <f>AND(#REF!,"AAAAAG9vt8o=")</f>
        <v>#REF!</v>
      </c>
      <c r="GV42" t="e">
        <f>AND(#REF!,"AAAAAG9vt8s=")</f>
        <v>#REF!</v>
      </c>
      <c r="GW42" t="e">
        <f>AND(#REF!,"AAAAAG9vt8w=")</f>
        <v>#REF!</v>
      </c>
      <c r="GX42" t="e">
        <f>AND(#REF!,"AAAAAG9vt80=")</f>
        <v>#REF!</v>
      </c>
      <c r="GY42" t="e">
        <f>AND(#REF!,"AAAAAG9vt84=")</f>
        <v>#REF!</v>
      </c>
      <c r="GZ42" t="e">
        <f>AND(#REF!,"AAAAAG9vt88=")</f>
        <v>#REF!</v>
      </c>
      <c r="HA42" t="e">
        <f>AND(#REF!,"AAAAAG9vt9A=")</f>
        <v>#REF!</v>
      </c>
      <c r="HB42" t="e">
        <f>AND(#REF!,"AAAAAG9vt9E=")</f>
        <v>#REF!</v>
      </c>
      <c r="HC42" t="e">
        <f>AND(#REF!,"AAAAAG9vt9I=")</f>
        <v>#REF!</v>
      </c>
      <c r="HD42" t="e">
        <f>AND(#REF!,"AAAAAG9vt9M=")</f>
        <v>#REF!</v>
      </c>
      <c r="HE42" t="e">
        <f>AND(#REF!,"AAAAAG9vt9Q=")</f>
        <v>#REF!</v>
      </c>
      <c r="HF42" t="e">
        <f>AND(#REF!,"AAAAAG9vt9U=")</f>
        <v>#REF!</v>
      </c>
      <c r="HG42" t="e">
        <f>AND(#REF!,"AAAAAG9vt9Y=")</f>
        <v>#REF!</v>
      </c>
      <c r="HH42" t="e">
        <f>AND(#REF!,"AAAAAG9vt9c=")</f>
        <v>#REF!</v>
      </c>
      <c r="HI42" t="e">
        <f>AND(#REF!,"AAAAAG9vt9g=")</f>
        <v>#REF!</v>
      </c>
      <c r="HJ42" t="e">
        <f>AND(#REF!,"AAAAAG9vt9k=")</f>
        <v>#REF!</v>
      </c>
      <c r="HK42" t="e">
        <f>AND(#REF!,"AAAAAG9vt9o=")</f>
        <v>#REF!</v>
      </c>
      <c r="HL42" t="e">
        <f>AND(#REF!,"AAAAAG9vt9s=")</f>
        <v>#REF!</v>
      </c>
      <c r="HM42" t="e">
        <f>AND(#REF!,"AAAAAG9vt9w=")</f>
        <v>#REF!</v>
      </c>
      <c r="HN42" t="e">
        <f>AND(#REF!,"AAAAAG9vt90=")</f>
        <v>#REF!</v>
      </c>
      <c r="HO42" t="e">
        <f>AND(#REF!,"AAAAAG9vt94=")</f>
        <v>#REF!</v>
      </c>
      <c r="HP42" t="e">
        <f>AND(#REF!,"AAAAAG9vt98=")</f>
        <v>#REF!</v>
      </c>
      <c r="HQ42" t="e">
        <f>AND(#REF!,"AAAAAG9vt+A=")</f>
        <v>#REF!</v>
      </c>
      <c r="HR42" t="e">
        <f>AND(#REF!,"AAAAAG9vt+E=")</f>
        <v>#REF!</v>
      </c>
      <c r="HS42" t="e">
        <f>AND(#REF!,"AAAAAG9vt+I=")</f>
        <v>#REF!</v>
      </c>
      <c r="HT42" t="e">
        <f>AND(#REF!,"AAAAAG9vt+M=")</f>
        <v>#REF!</v>
      </c>
      <c r="HU42" t="e">
        <f>AND(#REF!,"AAAAAG9vt+Q=")</f>
        <v>#REF!</v>
      </c>
      <c r="HV42" t="e">
        <f>AND(#REF!,"AAAAAG9vt+U=")</f>
        <v>#REF!</v>
      </c>
      <c r="HW42" t="e">
        <f>AND(#REF!,"AAAAAG9vt+Y=")</f>
        <v>#REF!</v>
      </c>
      <c r="HX42" t="e">
        <f>AND(#REF!,"AAAAAG9vt+c=")</f>
        <v>#REF!</v>
      </c>
      <c r="HY42" t="e">
        <f>AND(#REF!,"AAAAAG9vt+g=")</f>
        <v>#REF!</v>
      </c>
      <c r="HZ42" t="e">
        <f>AND(#REF!,"AAAAAG9vt+k=")</f>
        <v>#REF!</v>
      </c>
      <c r="IA42" t="e">
        <f>AND(#REF!,"AAAAAG9vt+o=")</f>
        <v>#REF!</v>
      </c>
      <c r="IB42" t="e">
        <f>AND(#REF!,"AAAAAG9vt+s=")</f>
        <v>#REF!</v>
      </c>
      <c r="IC42" t="e">
        <f>AND(#REF!,"AAAAAG9vt+w=")</f>
        <v>#REF!</v>
      </c>
      <c r="ID42" t="e">
        <f>AND(#REF!,"AAAAAG9vt+0=")</f>
        <v>#REF!</v>
      </c>
      <c r="IE42" t="e">
        <f>AND(#REF!,"AAAAAG9vt+4=")</f>
        <v>#REF!</v>
      </c>
      <c r="IF42" t="e">
        <f>AND(#REF!,"AAAAAG9vt+8=")</f>
        <v>#REF!</v>
      </c>
      <c r="IG42" t="e">
        <f>AND(#REF!,"AAAAAG9vt/A=")</f>
        <v>#REF!</v>
      </c>
      <c r="IH42" t="e">
        <f>AND(#REF!,"AAAAAG9vt/E=")</f>
        <v>#REF!</v>
      </c>
      <c r="II42" t="e">
        <f>AND(#REF!,"AAAAAG9vt/I=")</f>
        <v>#REF!</v>
      </c>
      <c r="IJ42" t="e">
        <f>AND(#REF!,"AAAAAG9vt/M=")</f>
        <v>#REF!</v>
      </c>
      <c r="IK42" t="e">
        <f>AND(#REF!,"AAAAAG9vt/Q=")</f>
        <v>#REF!</v>
      </c>
      <c r="IL42" t="e">
        <f>AND(#REF!,"AAAAAG9vt/U=")</f>
        <v>#REF!</v>
      </c>
      <c r="IM42" t="e">
        <f>AND(#REF!,"AAAAAG9vt/Y=")</f>
        <v>#REF!</v>
      </c>
      <c r="IN42" t="e">
        <f>AND(#REF!,"AAAAAG9vt/c=")</f>
        <v>#REF!</v>
      </c>
      <c r="IO42" t="e">
        <f>AND(#REF!,"AAAAAG9vt/g=")</f>
        <v>#REF!</v>
      </c>
      <c r="IP42" t="e">
        <f>AND(#REF!,"AAAAAG9vt/k=")</f>
        <v>#REF!</v>
      </c>
      <c r="IQ42" t="e">
        <f>AND(#REF!,"AAAAAG9vt/o=")</f>
        <v>#REF!</v>
      </c>
      <c r="IR42" t="e">
        <f>AND(#REF!,"AAAAAG9vt/s=")</f>
        <v>#REF!</v>
      </c>
      <c r="IS42" t="e">
        <f>AND(#REF!,"AAAAAG9vt/w=")</f>
        <v>#REF!</v>
      </c>
      <c r="IT42" t="e">
        <f>AND(#REF!,"AAAAAG9vt/0=")</f>
        <v>#REF!</v>
      </c>
      <c r="IU42" t="e">
        <f>AND(#REF!,"AAAAAG9vt/4=")</f>
        <v>#REF!</v>
      </c>
      <c r="IV42" t="e">
        <f>AND(#REF!,"AAAAAG9vt/8=")</f>
        <v>#REF!</v>
      </c>
    </row>
    <row r="43" spans="1:256" x14ac:dyDescent="0.2">
      <c r="A43" t="e">
        <f>AND(#REF!,"AAAAAD4+GwA=")</f>
        <v>#REF!</v>
      </c>
      <c r="B43" t="e">
        <f>AND(#REF!,"AAAAAD4+GwE=")</f>
        <v>#REF!</v>
      </c>
      <c r="C43" t="e">
        <f>AND(#REF!,"AAAAAD4+GwI=")</f>
        <v>#REF!</v>
      </c>
      <c r="D43" t="e">
        <f>AND(#REF!,"AAAAAD4+GwM=")</f>
        <v>#REF!</v>
      </c>
      <c r="E43" t="e">
        <f>AND(#REF!,"AAAAAD4+GwQ=")</f>
        <v>#REF!</v>
      </c>
      <c r="F43" t="e">
        <f>AND(#REF!,"AAAAAD4+GwU=")</f>
        <v>#REF!</v>
      </c>
      <c r="G43" t="e">
        <f>AND(#REF!,"AAAAAD4+GwY=")</f>
        <v>#REF!</v>
      </c>
      <c r="H43" t="e">
        <f>AND(#REF!,"AAAAAD4+Gwc=")</f>
        <v>#REF!</v>
      </c>
      <c r="I43" t="e">
        <f>AND(#REF!,"AAAAAD4+Gwg=")</f>
        <v>#REF!</v>
      </c>
      <c r="J43" t="e">
        <f>AND(#REF!,"AAAAAD4+Gwk=")</f>
        <v>#REF!</v>
      </c>
      <c r="K43" t="e">
        <f>AND(#REF!,"AAAAAD4+Gwo=")</f>
        <v>#REF!</v>
      </c>
      <c r="L43" t="e">
        <f>AND(#REF!,"AAAAAD4+Gws=")</f>
        <v>#REF!</v>
      </c>
      <c r="M43" t="e">
        <f>AND(#REF!,"AAAAAD4+Gww=")</f>
        <v>#REF!</v>
      </c>
      <c r="N43" t="e">
        <f>AND(#REF!,"AAAAAD4+Gw0=")</f>
        <v>#REF!</v>
      </c>
      <c r="O43" t="e">
        <f>AND(#REF!,"AAAAAD4+Gw4=")</f>
        <v>#REF!</v>
      </c>
      <c r="P43" t="e">
        <f>AND(#REF!,"AAAAAD4+Gw8=")</f>
        <v>#REF!</v>
      </c>
      <c r="Q43" t="e">
        <f>AND(#REF!,"AAAAAD4+GxA=")</f>
        <v>#REF!</v>
      </c>
      <c r="R43" t="e">
        <f>AND(#REF!,"AAAAAD4+GxE=")</f>
        <v>#REF!</v>
      </c>
      <c r="S43" t="e">
        <f>AND(#REF!,"AAAAAD4+GxI=")</f>
        <v>#REF!</v>
      </c>
      <c r="T43" t="e">
        <f>AND(#REF!,"AAAAAD4+GxM=")</f>
        <v>#REF!</v>
      </c>
      <c r="U43" t="e">
        <f>AND(#REF!,"AAAAAD4+GxQ=")</f>
        <v>#REF!</v>
      </c>
      <c r="V43" t="e">
        <f>AND(#REF!,"AAAAAD4+GxU=")</f>
        <v>#REF!</v>
      </c>
      <c r="W43" t="e">
        <f>AND(#REF!,"AAAAAD4+GxY=")</f>
        <v>#REF!</v>
      </c>
      <c r="X43" t="e">
        <f>AND(#REF!,"AAAAAD4+Gxc=")</f>
        <v>#REF!</v>
      </c>
      <c r="Y43" t="e">
        <f>AND(#REF!,"AAAAAD4+Gxg=")</f>
        <v>#REF!</v>
      </c>
      <c r="Z43" t="e">
        <f>AND(#REF!,"AAAAAD4+Gxk=")</f>
        <v>#REF!</v>
      </c>
      <c r="AA43" t="e">
        <f>AND(#REF!,"AAAAAD4+Gxo=")</f>
        <v>#REF!</v>
      </c>
      <c r="AB43" t="e">
        <f>AND(#REF!,"AAAAAD4+Gxs=")</f>
        <v>#REF!</v>
      </c>
      <c r="AC43" t="e">
        <f>AND(#REF!,"AAAAAD4+Gxw=")</f>
        <v>#REF!</v>
      </c>
      <c r="AD43" t="e">
        <f>AND(#REF!,"AAAAAD4+Gx0=")</f>
        <v>#REF!</v>
      </c>
      <c r="AE43" t="e">
        <f>AND(#REF!,"AAAAAD4+Gx4=")</f>
        <v>#REF!</v>
      </c>
      <c r="AF43" t="e">
        <f>AND(#REF!,"AAAAAD4+Gx8=")</f>
        <v>#REF!</v>
      </c>
      <c r="AG43" t="e">
        <f>AND(#REF!,"AAAAAD4+GyA=")</f>
        <v>#REF!</v>
      </c>
      <c r="AH43" t="e">
        <f>AND(#REF!,"AAAAAD4+GyE=")</f>
        <v>#REF!</v>
      </c>
      <c r="AI43" t="e">
        <f>AND(#REF!,"AAAAAD4+GyI=")</f>
        <v>#REF!</v>
      </c>
      <c r="AJ43" t="e">
        <f>AND(#REF!,"AAAAAD4+GyM=")</f>
        <v>#REF!</v>
      </c>
      <c r="AK43" t="e">
        <f>AND(#REF!,"AAAAAD4+GyQ=")</f>
        <v>#REF!</v>
      </c>
      <c r="AL43" t="e">
        <f>AND(#REF!,"AAAAAD4+GyU=")</f>
        <v>#REF!</v>
      </c>
      <c r="AM43" t="e">
        <f>AND(#REF!,"AAAAAD4+GyY=")</f>
        <v>#REF!</v>
      </c>
      <c r="AN43" t="e">
        <f>AND(#REF!,"AAAAAD4+Gyc=")</f>
        <v>#REF!</v>
      </c>
      <c r="AO43" t="e">
        <f>AND(#REF!,"AAAAAD4+Gyg=")</f>
        <v>#REF!</v>
      </c>
      <c r="AP43" t="e">
        <f>AND(#REF!,"AAAAAD4+Gyk=")</f>
        <v>#REF!</v>
      </c>
      <c r="AQ43" t="e">
        <f>AND(#REF!,"AAAAAD4+Gyo=")</f>
        <v>#REF!</v>
      </c>
      <c r="AR43" t="e">
        <f>AND(#REF!,"AAAAAD4+Gys=")</f>
        <v>#REF!</v>
      </c>
      <c r="AS43" t="e">
        <f>AND(#REF!,"AAAAAD4+Gyw=")</f>
        <v>#REF!</v>
      </c>
      <c r="AT43" t="e">
        <f>AND(#REF!,"AAAAAD4+Gy0=")</f>
        <v>#REF!</v>
      </c>
      <c r="AU43" t="e">
        <f>AND(#REF!,"AAAAAD4+Gy4=")</f>
        <v>#REF!</v>
      </c>
      <c r="AV43" t="e">
        <f>AND(#REF!,"AAAAAD4+Gy8=")</f>
        <v>#REF!</v>
      </c>
      <c r="AW43" t="e">
        <f>AND(#REF!,"AAAAAD4+GzA=")</f>
        <v>#REF!</v>
      </c>
      <c r="AX43" t="e">
        <f>AND(#REF!,"AAAAAD4+GzE=")</f>
        <v>#REF!</v>
      </c>
      <c r="AY43" t="e">
        <f>AND(#REF!,"AAAAAD4+GzI=")</f>
        <v>#REF!</v>
      </c>
      <c r="AZ43" t="e">
        <f>AND(#REF!,"AAAAAD4+GzM=")</f>
        <v>#REF!</v>
      </c>
      <c r="BA43" t="e">
        <f>AND(#REF!,"AAAAAD4+GzQ=")</f>
        <v>#REF!</v>
      </c>
      <c r="BB43" t="e">
        <f>AND(#REF!,"AAAAAD4+GzU=")</f>
        <v>#REF!</v>
      </c>
      <c r="BC43" t="e">
        <f>AND(#REF!,"AAAAAD4+GzY=")</f>
        <v>#REF!</v>
      </c>
      <c r="BD43" t="e">
        <f>AND(#REF!,"AAAAAD4+Gzc=")</f>
        <v>#REF!</v>
      </c>
      <c r="BE43" t="e">
        <f>AND(#REF!,"AAAAAD4+Gzg=")</f>
        <v>#REF!</v>
      </c>
      <c r="BF43" t="e">
        <f>AND(#REF!,"AAAAAD4+Gzk=")</f>
        <v>#REF!</v>
      </c>
      <c r="BG43" t="e">
        <f>AND(#REF!,"AAAAAD4+Gzo=")</f>
        <v>#REF!</v>
      </c>
      <c r="BH43" t="e">
        <f>AND(#REF!,"AAAAAD4+Gzs=")</f>
        <v>#REF!</v>
      </c>
      <c r="BI43" t="e">
        <f>AND(#REF!,"AAAAAD4+Gzw=")</f>
        <v>#REF!</v>
      </c>
      <c r="BJ43" t="e">
        <f>AND(#REF!,"AAAAAD4+Gz0=")</f>
        <v>#REF!</v>
      </c>
      <c r="BK43" t="e">
        <f>AND(#REF!,"AAAAAD4+Gz4=")</f>
        <v>#REF!</v>
      </c>
      <c r="BL43" t="e">
        <f>AND(#REF!,"AAAAAD4+Gz8=")</f>
        <v>#REF!</v>
      </c>
      <c r="BM43" t="e">
        <f>AND(#REF!,"AAAAAD4+G0A=")</f>
        <v>#REF!</v>
      </c>
      <c r="BN43" t="e">
        <f>AND(#REF!,"AAAAAD4+G0E=")</f>
        <v>#REF!</v>
      </c>
      <c r="BO43" t="e">
        <f>AND(#REF!,"AAAAAD4+G0I=")</f>
        <v>#REF!</v>
      </c>
      <c r="BP43" t="e">
        <f>AND(#REF!,"AAAAAD4+G0M=")</f>
        <v>#REF!</v>
      </c>
      <c r="BQ43" t="e">
        <f>AND(#REF!,"AAAAAD4+G0Q=")</f>
        <v>#REF!</v>
      </c>
      <c r="BR43" t="e">
        <f>AND(#REF!,"AAAAAD4+G0U=")</f>
        <v>#REF!</v>
      </c>
      <c r="BS43" t="e">
        <f>AND(#REF!,"AAAAAD4+G0Y=")</f>
        <v>#REF!</v>
      </c>
      <c r="BT43" t="e">
        <f>AND(#REF!,"AAAAAD4+G0c=")</f>
        <v>#REF!</v>
      </c>
      <c r="BU43" t="e">
        <f>AND(#REF!,"AAAAAD4+G0g=")</f>
        <v>#REF!</v>
      </c>
      <c r="BV43" t="e">
        <f>AND(#REF!,"AAAAAD4+G0k=")</f>
        <v>#REF!</v>
      </c>
      <c r="BW43" t="e">
        <f>AND(#REF!,"AAAAAD4+G0o=")</f>
        <v>#REF!</v>
      </c>
      <c r="BX43" t="e">
        <f>AND(#REF!,"AAAAAD4+G0s=")</f>
        <v>#REF!</v>
      </c>
      <c r="BY43" t="e">
        <f>AND(#REF!,"AAAAAD4+G0w=")</f>
        <v>#REF!</v>
      </c>
      <c r="BZ43" t="e">
        <f>AND(#REF!,"AAAAAD4+G00=")</f>
        <v>#REF!</v>
      </c>
      <c r="CA43" t="e">
        <f>AND(#REF!,"AAAAAD4+G04=")</f>
        <v>#REF!</v>
      </c>
      <c r="CB43" t="e">
        <f>AND(#REF!,"AAAAAD4+G08=")</f>
        <v>#REF!</v>
      </c>
      <c r="CC43" t="e">
        <f>AND(#REF!,"AAAAAD4+G1A=")</f>
        <v>#REF!</v>
      </c>
      <c r="CD43" t="e">
        <f>AND(#REF!,"AAAAAD4+G1E=")</f>
        <v>#REF!</v>
      </c>
      <c r="CE43" t="e">
        <f>AND(#REF!,"AAAAAD4+G1I=")</f>
        <v>#REF!</v>
      </c>
      <c r="CF43" t="e">
        <f>AND(#REF!,"AAAAAD4+G1M=")</f>
        <v>#REF!</v>
      </c>
      <c r="CG43" t="e">
        <f>AND(#REF!,"AAAAAD4+G1Q=")</f>
        <v>#REF!</v>
      </c>
      <c r="CH43" t="e">
        <f>AND(#REF!,"AAAAAD4+G1U=")</f>
        <v>#REF!</v>
      </c>
      <c r="CI43" t="e">
        <f>AND(#REF!,"AAAAAD4+G1Y=")</f>
        <v>#REF!</v>
      </c>
      <c r="CJ43" t="e">
        <f>AND(#REF!,"AAAAAD4+G1c=")</f>
        <v>#REF!</v>
      </c>
      <c r="CK43" t="e">
        <f>AND(#REF!,"AAAAAD4+G1g=")</f>
        <v>#REF!</v>
      </c>
      <c r="CL43" t="e">
        <f>AND(#REF!,"AAAAAD4+G1k=")</f>
        <v>#REF!</v>
      </c>
      <c r="CM43" t="e">
        <f>AND(#REF!,"AAAAAD4+G1o=")</f>
        <v>#REF!</v>
      </c>
      <c r="CN43" t="e">
        <f>AND(#REF!,"AAAAAD4+G1s=")</f>
        <v>#REF!</v>
      </c>
      <c r="CO43" t="e">
        <f>AND(#REF!,"AAAAAD4+G1w=")</f>
        <v>#REF!</v>
      </c>
      <c r="CP43" t="e">
        <f>AND(#REF!,"AAAAAD4+G10=")</f>
        <v>#REF!</v>
      </c>
      <c r="CQ43" t="e">
        <f>AND(#REF!,"AAAAAD4+G14=")</f>
        <v>#REF!</v>
      </c>
      <c r="CR43" t="e">
        <f>AND(#REF!,"AAAAAD4+G18=")</f>
        <v>#REF!</v>
      </c>
      <c r="CS43" t="e">
        <f>AND(#REF!,"AAAAAD4+G2A=")</f>
        <v>#REF!</v>
      </c>
      <c r="CT43" t="e">
        <f>AND(#REF!,"AAAAAD4+G2E=")</f>
        <v>#REF!</v>
      </c>
      <c r="CU43" t="e">
        <f>AND(#REF!,"AAAAAD4+G2I=")</f>
        <v>#REF!</v>
      </c>
      <c r="CV43" t="e">
        <f>AND(#REF!,"AAAAAD4+G2M=")</f>
        <v>#REF!</v>
      </c>
      <c r="CW43" t="e">
        <f>AND(#REF!,"AAAAAD4+G2Q=")</f>
        <v>#REF!</v>
      </c>
      <c r="CX43" t="e">
        <f>AND(#REF!,"AAAAAD4+G2U=")</f>
        <v>#REF!</v>
      </c>
      <c r="CY43" t="e">
        <f>AND(#REF!,"AAAAAD4+G2Y=")</f>
        <v>#REF!</v>
      </c>
      <c r="CZ43" t="e">
        <f>AND(#REF!,"AAAAAD4+G2c=")</f>
        <v>#REF!</v>
      </c>
      <c r="DA43" t="e">
        <f>AND(#REF!,"AAAAAD4+G2g=")</f>
        <v>#REF!</v>
      </c>
      <c r="DB43" t="e">
        <f>AND(#REF!,"AAAAAD4+G2k=")</f>
        <v>#REF!</v>
      </c>
      <c r="DC43" t="e">
        <f>AND(#REF!,"AAAAAD4+G2o=")</f>
        <v>#REF!</v>
      </c>
      <c r="DD43" t="e">
        <f>AND(#REF!,"AAAAAD4+G2s=")</f>
        <v>#REF!</v>
      </c>
      <c r="DE43" t="e">
        <f>AND(#REF!,"AAAAAD4+G2w=")</f>
        <v>#REF!</v>
      </c>
      <c r="DF43" t="e">
        <f>AND(#REF!,"AAAAAD4+G20=")</f>
        <v>#REF!</v>
      </c>
      <c r="DG43" t="e">
        <f>AND(#REF!,"AAAAAD4+G24=")</f>
        <v>#REF!</v>
      </c>
      <c r="DH43" t="e">
        <f>AND(#REF!,"AAAAAD4+G28=")</f>
        <v>#REF!</v>
      </c>
      <c r="DI43" t="e">
        <f>AND(#REF!,"AAAAAD4+G3A=")</f>
        <v>#REF!</v>
      </c>
      <c r="DJ43" t="e">
        <f>AND(#REF!,"AAAAAD4+G3E=")</f>
        <v>#REF!</v>
      </c>
      <c r="DK43" t="e">
        <f>AND(#REF!,"AAAAAD4+G3I=")</f>
        <v>#REF!</v>
      </c>
      <c r="DL43" t="e">
        <f>AND(#REF!,"AAAAAD4+G3M=")</f>
        <v>#REF!</v>
      </c>
      <c r="DM43" t="e">
        <f>AND(#REF!,"AAAAAD4+G3Q=")</f>
        <v>#REF!</v>
      </c>
      <c r="DN43" t="e">
        <f>AND(#REF!,"AAAAAD4+G3U=")</f>
        <v>#REF!</v>
      </c>
      <c r="DO43" t="e">
        <f>AND(#REF!,"AAAAAD4+G3Y=")</f>
        <v>#REF!</v>
      </c>
      <c r="DP43" t="e">
        <f>AND(#REF!,"AAAAAD4+G3c=")</f>
        <v>#REF!</v>
      </c>
      <c r="DQ43" t="e">
        <f>AND(#REF!,"AAAAAD4+G3g=")</f>
        <v>#REF!</v>
      </c>
      <c r="DR43" t="e">
        <f>AND(#REF!,"AAAAAD4+G3k=")</f>
        <v>#REF!</v>
      </c>
      <c r="DS43" t="e">
        <f>AND(#REF!,"AAAAAD4+G3o=")</f>
        <v>#REF!</v>
      </c>
      <c r="DT43" t="e">
        <f>AND(#REF!,"AAAAAD4+G3s=")</f>
        <v>#REF!</v>
      </c>
      <c r="DU43" t="e">
        <f>AND(#REF!,"AAAAAD4+G3w=")</f>
        <v>#REF!</v>
      </c>
      <c r="DV43" t="e">
        <f>IF(#REF!,"AAAAAD4+G30=",0)</f>
        <v>#REF!</v>
      </c>
      <c r="DW43" t="e">
        <f>AND(#REF!,"AAAAAD4+G34=")</f>
        <v>#REF!</v>
      </c>
      <c r="DX43" t="e">
        <f>AND(#REF!,"AAAAAD4+G38=")</f>
        <v>#REF!</v>
      </c>
      <c r="DY43" t="e">
        <f>AND(#REF!,"AAAAAD4+G4A=")</f>
        <v>#REF!</v>
      </c>
      <c r="DZ43" t="e">
        <f>AND(#REF!,"AAAAAD4+G4E=")</f>
        <v>#REF!</v>
      </c>
      <c r="EA43" t="e">
        <f>AND(#REF!,"AAAAAD4+G4I=")</f>
        <v>#REF!</v>
      </c>
      <c r="EB43" t="e">
        <f>AND(#REF!,"AAAAAD4+G4M=")</f>
        <v>#REF!</v>
      </c>
      <c r="EC43" t="e">
        <f>AND(#REF!,"AAAAAD4+G4Q=")</f>
        <v>#REF!</v>
      </c>
      <c r="ED43" t="e">
        <f>AND(#REF!,"AAAAAD4+G4U=")</f>
        <v>#REF!</v>
      </c>
      <c r="EE43" t="e">
        <f>AND(#REF!,"AAAAAD4+G4Y=")</f>
        <v>#REF!</v>
      </c>
      <c r="EF43" t="e">
        <f>AND(#REF!,"AAAAAD4+G4c=")</f>
        <v>#REF!</v>
      </c>
      <c r="EG43" t="e">
        <f>AND(#REF!,"AAAAAD4+G4g=")</f>
        <v>#REF!</v>
      </c>
      <c r="EH43" t="e">
        <f>AND(#REF!,"AAAAAD4+G4k=")</f>
        <v>#REF!</v>
      </c>
      <c r="EI43" t="e">
        <f>AND(#REF!,"AAAAAD4+G4o=")</f>
        <v>#REF!</v>
      </c>
      <c r="EJ43" t="e">
        <f>AND(#REF!,"AAAAAD4+G4s=")</f>
        <v>#REF!</v>
      </c>
      <c r="EK43" t="e">
        <f>AND(#REF!,"AAAAAD4+G4w=")</f>
        <v>#REF!</v>
      </c>
      <c r="EL43" t="e">
        <f>AND(#REF!,"AAAAAD4+G40=")</f>
        <v>#REF!</v>
      </c>
      <c r="EM43" t="e">
        <f>AND(#REF!,"AAAAAD4+G44=")</f>
        <v>#REF!</v>
      </c>
      <c r="EN43" t="e">
        <f>AND(#REF!,"AAAAAD4+G48=")</f>
        <v>#REF!</v>
      </c>
      <c r="EO43" t="e">
        <f>AND(#REF!,"AAAAAD4+G5A=")</f>
        <v>#REF!</v>
      </c>
      <c r="EP43" t="e">
        <f>AND(#REF!,"AAAAAD4+G5E=")</f>
        <v>#REF!</v>
      </c>
      <c r="EQ43" t="e">
        <f>AND(#REF!,"AAAAAD4+G5I=")</f>
        <v>#REF!</v>
      </c>
      <c r="ER43" t="e">
        <f>AND(#REF!,"AAAAAD4+G5M=")</f>
        <v>#REF!</v>
      </c>
      <c r="ES43" t="e">
        <f>AND(#REF!,"AAAAAD4+G5Q=")</f>
        <v>#REF!</v>
      </c>
      <c r="ET43" t="e">
        <f>AND(#REF!,"AAAAAD4+G5U=")</f>
        <v>#REF!</v>
      </c>
      <c r="EU43" t="e">
        <f>AND(#REF!,"AAAAAD4+G5Y=")</f>
        <v>#REF!</v>
      </c>
      <c r="EV43" t="e">
        <f>AND(#REF!,"AAAAAD4+G5c=")</f>
        <v>#REF!</v>
      </c>
      <c r="EW43" t="e">
        <f>AND(#REF!,"AAAAAD4+G5g=")</f>
        <v>#REF!</v>
      </c>
      <c r="EX43" t="e">
        <f>AND(#REF!,"AAAAAD4+G5k=")</f>
        <v>#REF!</v>
      </c>
      <c r="EY43" t="e">
        <f>AND(#REF!,"AAAAAD4+G5o=")</f>
        <v>#REF!</v>
      </c>
      <c r="EZ43" t="e">
        <f>AND(#REF!,"AAAAAD4+G5s=")</f>
        <v>#REF!</v>
      </c>
      <c r="FA43" t="e">
        <f>AND(#REF!,"AAAAAD4+G5w=")</f>
        <v>#REF!</v>
      </c>
      <c r="FB43" t="e">
        <f>AND(#REF!,"AAAAAD4+G50=")</f>
        <v>#REF!</v>
      </c>
      <c r="FC43" t="e">
        <f>AND(#REF!,"AAAAAD4+G54=")</f>
        <v>#REF!</v>
      </c>
      <c r="FD43" t="e">
        <f>AND(#REF!,"AAAAAD4+G58=")</f>
        <v>#REF!</v>
      </c>
      <c r="FE43" t="e">
        <f>AND(#REF!,"AAAAAD4+G6A=")</f>
        <v>#REF!</v>
      </c>
      <c r="FF43" t="e">
        <f>AND(#REF!,"AAAAAD4+G6E=")</f>
        <v>#REF!</v>
      </c>
      <c r="FG43" t="e">
        <f>AND(#REF!,"AAAAAD4+G6I=")</f>
        <v>#REF!</v>
      </c>
      <c r="FH43" t="e">
        <f>AND(#REF!,"AAAAAD4+G6M=")</f>
        <v>#REF!</v>
      </c>
      <c r="FI43" t="e">
        <f>AND(#REF!,"AAAAAD4+G6Q=")</f>
        <v>#REF!</v>
      </c>
      <c r="FJ43" t="e">
        <f>AND(#REF!,"AAAAAD4+G6U=")</f>
        <v>#REF!</v>
      </c>
      <c r="FK43" t="e">
        <f>AND(#REF!,"AAAAAD4+G6Y=")</f>
        <v>#REF!</v>
      </c>
      <c r="FL43" t="e">
        <f>AND(#REF!,"AAAAAD4+G6c=")</f>
        <v>#REF!</v>
      </c>
      <c r="FM43" t="e">
        <f>AND(#REF!,"AAAAAD4+G6g=")</f>
        <v>#REF!</v>
      </c>
      <c r="FN43" t="e">
        <f>AND(#REF!,"AAAAAD4+G6k=")</f>
        <v>#REF!</v>
      </c>
      <c r="FO43" t="e">
        <f>AND(#REF!,"AAAAAD4+G6o=")</f>
        <v>#REF!</v>
      </c>
      <c r="FP43" t="e">
        <f>AND(#REF!,"AAAAAD4+G6s=")</f>
        <v>#REF!</v>
      </c>
      <c r="FQ43" t="e">
        <f>AND(#REF!,"AAAAAD4+G6w=")</f>
        <v>#REF!</v>
      </c>
      <c r="FR43" t="e">
        <f>AND(#REF!,"AAAAAD4+G60=")</f>
        <v>#REF!</v>
      </c>
      <c r="FS43" t="e">
        <f>AND(#REF!,"AAAAAD4+G64=")</f>
        <v>#REF!</v>
      </c>
      <c r="FT43" t="e">
        <f>AND(#REF!,"AAAAAD4+G68=")</f>
        <v>#REF!</v>
      </c>
      <c r="FU43" t="e">
        <f>AND(#REF!,"AAAAAD4+G7A=")</f>
        <v>#REF!</v>
      </c>
      <c r="FV43" t="e">
        <f>AND(#REF!,"AAAAAD4+G7E=")</f>
        <v>#REF!</v>
      </c>
      <c r="FW43" t="e">
        <f>AND(#REF!,"AAAAAD4+G7I=")</f>
        <v>#REF!</v>
      </c>
      <c r="FX43" t="e">
        <f>AND(#REF!,"AAAAAD4+G7M=")</f>
        <v>#REF!</v>
      </c>
      <c r="FY43" t="e">
        <f>AND(#REF!,"AAAAAD4+G7Q=")</f>
        <v>#REF!</v>
      </c>
      <c r="FZ43" t="e">
        <f>AND(#REF!,"AAAAAD4+G7U=")</f>
        <v>#REF!</v>
      </c>
      <c r="GA43" t="e">
        <f>AND(#REF!,"AAAAAD4+G7Y=")</f>
        <v>#REF!</v>
      </c>
      <c r="GB43" t="e">
        <f>AND(#REF!,"AAAAAD4+G7c=")</f>
        <v>#REF!</v>
      </c>
      <c r="GC43" t="e">
        <f>AND(#REF!,"AAAAAD4+G7g=")</f>
        <v>#REF!</v>
      </c>
      <c r="GD43" t="e">
        <f>AND(#REF!,"AAAAAD4+G7k=")</f>
        <v>#REF!</v>
      </c>
      <c r="GE43" t="e">
        <f>AND(#REF!,"AAAAAD4+G7o=")</f>
        <v>#REF!</v>
      </c>
      <c r="GF43" t="e">
        <f>AND(#REF!,"AAAAAD4+G7s=")</f>
        <v>#REF!</v>
      </c>
      <c r="GG43" t="e">
        <f>AND(#REF!,"AAAAAD4+G7w=")</f>
        <v>#REF!</v>
      </c>
      <c r="GH43" t="e">
        <f>AND(#REF!,"AAAAAD4+G70=")</f>
        <v>#REF!</v>
      </c>
      <c r="GI43" t="e">
        <f>AND(#REF!,"AAAAAD4+G74=")</f>
        <v>#REF!</v>
      </c>
      <c r="GJ43" t="e">
        <f>AND(#REF!,"AAAAAD4+G78=")</f>
        <v>#REF!</v>
      </c>
      <c r="GK43" t="e">
        <f>AND(#REF!,"AAAAAD4+G8A=")</f>
        <v>#REF!</v>
      </c>
      <c r="GL43" t="e">
        <f>AND(#REF!,"AAAAAD4+G8E=")</f>
        <v>#REF!</v>
      </c>
      <c r="GM43" t="e">
        <f>AND(#REF!,"AAAAAD4+G8I=")</f>
        <v>#REF!</v>
      </c>
      <c r="GN43" t="e">
        <f>AND(#REF!,"AAAAAD4+G8M=")</f>
        <v>#REF!</v>
      </c>
      <c r="GO43" t="e">
        <f>AND(#REF!,"AAAAAD4+G8Q=")</f>
        <v>#REF!</v>
      </c>
      <c r="GP43" t="e">
        <f>AND(#REF!,"AAAAAD4+G8U=")</f>
        <v>#REF!</v>
      </c>
      <c r="GQ43" t="e">
        <f>AND(#REF!,"AAAAAD4+G8Y=")</f>
        <v>#REF!</v>
      </c>
      <c r="GR43" t="e">
        <f>AND(#REF!,"AAAAAD4+G8c=")</f>
        <v>#REF!</v>
      </c>
      <c r="GS43" t="e">
        <f>AND(#REF!,"AAAAAD4+G8g=")</f>
        <v>#REF!</v>
      </c>
      <c r="GT43" t="e">
        <f>AND(#REF!,"AAAAAD4+G8k=")</f>
        <v>#REF!</v>
      </c>
      <c r="GU43" t="e">
        <f>AND(#REF!,"AAAAAD4+G8o=")</f>
        <v>#REF!</v>
      </c>
      <c r="GV43" t="e">
        <f>AND(#REF!,"AAAAAD4+G8s=")</f>
        <v>#REF!</v>
      </c>
      <c r="GW43" t="e">
        <f>AND(#REF!,"AAAAAD4+G8w=")</f>
        <v>#REF!</v>
      </c>
      <c r="GX43" t="e">
        <f>AND(#REF!,"AAAAAD4+G80=")</f>
        <v>#REF!</v>
      </c>
      <c r="GY43" t="e">
        <f>AND(#REF!,"AAAAAD4+G84=")</f>
        <v>#REF!</v>
      </c>
      <c r="GZ43" t="e">
        <f>AND(#REF!,"AAAAAD4+G88=")</f>
        <v>#REF!</v>
      </c>
      <c r="HA43" t="e">
        <f>AND(#REF!,"AAAAAD4+G9A=")</f>
        <v>#REF!</v>
      </c>
      <c r="HB43" t="e">
        <f>AND(#REF!,"AAAAAD4+G9E=")</f>
        <v>#REF!</v>
      </c>
      <c r="HC43" t="e">
        <f>AND(#REF!,"AAAAAD4+G9I=")</f>
        <v>#REF!</v>
      </c>
      <c r="HD43" t="e">
        <f>AND(#REF!,"AAAAAD4+G9M=")</f>
        <v>#REF!</v>
      </c>
      <c r="HE43" t="e">
        <f>AND(#REF!,"AAAAAD4+G9Q=")</f>
        <v>#REF!</v>
      </c>
      <c r="HF43" t="e">
        <f>AND(#REF!,"AAAAAD4+G9U=")</f>
        <v>#REF!</v>
      </c>
      <c r="HG43" t="e">
        <f>AND(#REF!,"AAAAAD4+G9Y=")</f>
        <v>#REF!</v>
      </c>
      <c r="HH43" t="e">
        <f>AND(#REF!,"AAAAAD4+G9c=")</f>
        <v>#REF!</v>
      </c>
      <c r="HI43" t="e">
        <f>AND(#REF!,"AAAAAD4+G9g=")</f>
        <v>#REF!</v>
      </c>
      <c r="HJ43" t="e">
        <f>AND(#REF!,"AAAAAD4+G9k=")</f>
        <v>#REF!</v>
      </c>
      <c r="HK43" t="e">
        <f>AND(#REF!,"AAAAAD4+G9o=")</f>
        <v>#REF!</v>
      </c>
      <c r="HL43" t="e">
        <f>AND(#REF!,"AAAAAD4+G9s=")</f>
        <v>#REF!</v>
      </c>
      <c r="HM43" t="e">
        <f>AND(#REF!,"AAAAAD4+G9w=")</f>
        <v>#REF!</v>
      </c>
      <c r="HN43" t="e">
        <f>AND(#REF!,"AAAAAD4+G90=")</f>
        <v>#REF!</v>
      </c>
      <c r="HO43" t="e">
        <f>AND(#REF!,"AAAAAD4+G94=")</f>
        <v>#REF!</v>
      </c>
      <c r="HP43" t="e">
        <f>AND(#REF!,"AAAAAD4+G98=")</f>
        <v>#REF!</v>
      </c>
      <c r="HQ43" t="e">
        <f>AND(#REF!,"AAAAAD4+G+A=")</f>
        <v>#REF!</v>
      </c>
      <c r="HR43" t="e">
        <f>AND(#REF!,"AAAAAD4+G+E=")</f>
        <v>#REF!</v>
      </c>
      <c r="HS43" t="e">
        <f>AND(#REF!,"AAAAAD4+G+I=")</f>
        <v>#REF!</v>
      </c>
      <c r="HT43" t="e">
        <f>AND(#REF!,"AAAAAD4+G+M=")</f>
        <v>#REF!</v>
      </c>
      <c r="HU43" t="e">
        <f>AND(#REF!,"AAAAAD4+G+Q=")</f>
        <v>#REF!</v>
      </c>
      <c r="HV43" t="e">
        <f>AND(#REF!,"AAAAAD4+G+U=")</f>
        <v>#REF!</v>
      </c>
      <c r="HW43" t="e">
        <f>AND(#REF!,"AAAAAD4+G+Y=")</f>
        <v>#REF!</v>
      </c>
      <c r="HX43" t="e">
        <f>AND(#REF!,"AAAAAD4+G+c=")</f>
        <v>#REF!</v>
      </c>
      <c r="HY43" t="e">
        <f>AND(#REF!,"AAAAAD4+G+g=")</f>
        <v>#REF!</v>
      </c>
      <c r="HZ43" t="e">
        <f>AND(#REF!,"AAAAAD4+G+k=")</f>
        <v>#REF!</v>
      </c>
      <c r="IA43" t="e">
        <f>AND(#REF!,"AAAAAD4+G+o=")</f>
        <v>#REF!</v>
      </c>
      <c r="IB43" t="e">
        <f>AND(#REF!,"AAAAAD4+G+s=")</f>
        <v>#REF!</v>
      </c>
      <c r="IC43" t="e">
        <f>AND(#REF!,"AAAAAD4+G+w=")</f>
        <v>#REF!</v>
      </c>
      <c r="ID43" t="e">
        <f>AND(#REF!,"AAAAAD4+G+0=")</f>
        <v>#REF!</v>
      </c>
      <c r="IE43" t="e">
        <f>AND(#REF!,"AAAAAD4+G+4=")</f>
        <v>#REF!</v>
      </c>
      <c r="IF43" t="e">
        <f>AND(#REF!,"AAAAAD4+G+8=")</f>
        <v>#REF!</v>
      </c>
      <c r="IG43" t="e">
        <f>AND(#REF!,"AAAAAD4+G/A=")</f>
        <v>#REF!</v>
      </c>
      <c r="IH43" t="e">
        <f>AND(#REF!,"AAAAAD4+G/E=")</f>
        <v>#REF!</v>
      </c>
      <c r="II43" t="e">
        <f>AND(#REF!,"AAAAAD4+G/I=")</f>
        <v>#REF!</v>
      </c>
      <c r="IJ43" t="e">
        <f>AND(#REF!,"AAAAAD4+G/M=")</f>
        <v>#REF!</v>
      </c>
      <c r="IK43" t="e">
        <f>AND(#REF!,"AAAAAD4+G/Q=")</f>
        <v>#REF!</v>
      </c>
      <c r="IL43" t="e">
        <f>AND(#REF!,"AAAAAD4+G/U=")</f>
        <v>#REF!</v>
      </c>
      <c r="IM43" t="e">
        <f>AND(#REF!,"AAAAAD4+G/Y=")</f>
        <v>#REF!</v>
      </c>
      <c r="IN43" t="e">
        <f>AND(#REF!,"AAAAAD4+G/c=")</f>
        <v>#REF!</v>
      </c>
      <c r="IO43" t="e">
        <f>AND(#REF!,"AAAAAD4+G/g=")</f>
        <v>#REF!</v>
      </c>
      <c r="IP43" t="e">
        <f>AND(#REF!,"AAAAAD4+G/k=")</f>
        <v>#REF!</v>
      </c>
      <c r="IQ43" t="e">
        <f>AND(#REF!,"AAAAAD4+G/o=")</f>
        <v>#REF!</v>
      </c>
      <c r="IR43" t="e">
        <f>AND(#REF!,"AAAAAD4+G/s=")</f>
        <v>#REF!</v>
      </c>
      <c r="IS43" t="e">
        <f>AND(#REF!,"AAAAAD4+G/w=")</f>
        <v>#REF!</v>
      </c>
      <c r="IT43" t="e">
        <f>AND(#REF!,"AAAAAD4+G/0=")</f>
        <v>#REF!</v>
      </c>
      <c r="IU43" t="e">
        <f>AND(#REF!,"AAAAAD4+G/4=")</f>
        <v>#REF!</v>
      </c>
      <c r="IV43" t="e">
        <f>AND(#REF!,"AAAAAD4+G/8=")</f>
        <v>#REF!</v>
      </c>
    </row>
    <row r="44" spans="1:256" x14ac:dyDescent="0.2">
      <c r="A44" t="e">
        <f>AND(#REF!,"AAAAAB90xwA=")</f>
        <v>#REF!</v>
      </c>
      <c r="B44" t="e">
        <f>AND(#REF!,"AAAAAB90xwE=")</f>
        <v>#REF!</v>
      </c>
      <c r="C44" t="e">
        <f>AND(#REF!,"AAAAAB90xwI=")</f>
        <v>#REF!</v>
      </c>
      <c r="D44" t="e">
        <f>AND(#REF!,"AAAAAB90xwM=")</f>
        <v>#REF!</v>
      </c>
      <c r="E44" t="e">
        <f>AND(#REF!,"AAAAAB90xwQ=")</f>
        <v>#REF!</v>
      </c>
      <c r="F44" t="e">
        <f>AND(#REF!,"AAAAAB90xwU=")</f>
        <v>#REF!</v>
      </c>
      <c r="G44" t="e">
        <f>AND(#REF!,"AAAAAB90xwY=")</f>
        <v>#REF!</v>
      </c>
      <c r="H44" t="e">
        <f>AND(#REF!,"AAAAAB90xwc=")</f>
        <v>#REF!</v>
      </c>
      <c r="I44" t="e">
        <f>AND(#REF!,"AAAAAB90xwg=")</f>
        <v>#REF!</v>
      </c>
      <c r="J44" t="e">
        <f>AND(#REF!,"AAAAAB90xwk=")</f>
        <v>#REF!</v>
      </c>
      <c r="K44" t="e">
        <f>AND(#REF!,"AAAAAB90xwo=")</f>
        <v>#REF!</v>
      </c>
      <c r="L44" t="e">
        <f>AND(#REF!,"AAAAAB90xws=")</f>
        <v>#REF!</v>
      </c>
      <c r="M44" t="e">
        <f>AND(#REF!,"AAAAAB90xww=")</f>
        <v>#REF!</v>
      </c>
      <c r="N44" t="e">
        <f>AND(#REF!,"AAAAAB90xw0=")</f>
        <v>#REF!</v>
      </c>
      <c r="O44" t="e">
        <f>AND(#REF!,"AAAAAB90xw4=")</f>
        <v>#REF!</v>
      </c>
      <c r="P44" t="e">
        <f>AND(#REF!,"AAAAAB90xw8=")</f>
        <v>#REF!</v>
      </c>
      <c r="Q44" t="e">
        <f>AND(#REF!,"AAAAAB90xxA=")</f>
        <v>#REF!</v>
      </c>
      <c r="R44" t="e">
        <f>AND(#REF!,"AAAAAB90xxE=")</f>
        <v>#REF!</v>
      </c>
      <c r="S44" t="e">
        <f>AND(#REF!,"AAAAAB90xxI=")</f>
        <v>#REF!</v>
      </c>
      <c r="T44" t="e">
        <f>AND(#REF!,"AAAAAB90xxM=")</f>
        <v>#REF!</v>
      </c>
      <c r="U44" t="e">
        <f>AND(#REF!,"AAAAAB90xxQ=")</f>
        <v>#REF!</v>
      </c>
      <c r="V44" t="e">
        <f>AND(#REF!,"AAAAAB90xxU=")</f>
        <v>#REF!</v>
      </c>
      <c r="W44" t="e">
        <f>AND(#REF!,"AAAAAB90xxY=")</f>
        <v>#REF!</v>
      </c>
      <c r="X44" t="e">
        <f>AND(#REF!,"AAAAAB90xxc=")</f>
        <v>#REF!</v>
      </c>
      <c r="Y44" t="e">
        <f>AND(#REF!,"AAAAAB90xxg=")</f>
        <v>#REF!</v>
      </c>
      <c r="Z44" t="e">
        <f>AND(#REF!,"AAAAAB90xxk=")</f>
        <v>#REF!</v>
      </c>
      <c r="AA44" t="e">
        <f>AND(#REF!,"AAAAAB90xxo=")</f>
        <v>#REF!</v>
      </c>
      <c r="AB44" t="e">
        <f>AND(#REF!,"AAAAAB90xxs=")</f>
        <v>#REF!</v>
      </c>
      <c r="AC44" t="e">
        <f>AND(#REF!,"AAAAAB90xxw=")</f>
        <v>#REF!</v>
      </c>
      <c r="AD44" t="e">
        <f>AND(#REF!,"AAAAAB90xx0=")</f>
        <v>#REF!</v>
      </c>
      <c r="AE44" t="e">
        <f>AND(#REF!,"AAAAAB90xx4=")</f>
        <v>#REF!</v>
      </c>
      <c r="AF44" t="e">
        <f>AND(#REF!,"AAAAAB90xx8=")</f>
        <v>#REF!</v>
      </c>
      <c r="AG44" t="e">
        <f>AND(#REF!,"AAAAAB90xyA=")</f>
        <v>#REF!</v>
      </c>
      <c r="AH44" t="e">
        <f>AND(#REF!,"AAAAAB90xyE=")</f>
        <v>#REF!</v>
      </c>
      <c r="AI44" t="e">
        <f>AND(#REF!,"AAAAAB90xyI=")</f>
        <v>#REF!</v>
      </c>
      <c r="AJ44" t="e">
        <f>AND(#REF!,"AAAAAB90xyM=")</f>
        <v>#REF!</v>
      </c>
      <c r="AK44" t="e">
        <f>AND(#REF!,"AAAAAB90xyQ=")</f>
        <v>#REF!</v>
      </c>
      <c r="AL44" t="e">
        <f>AND(#REF!,"AAAAAB90xyU=")</f>
        <v>#REF!</v>
      </c>
      <c r="AM44" t="e">
        <f>AND(#REF!,"AAAAAB90xyY=")</f>
        <v>#REF!</v>
      </c>
      <c r="AN44" t="e">
        <f>AND(#REF!,"AAAAAB90xyc=")</f>
        <v>#REF!</v>
      </c>
      <c r="AO44" t="e">
        <f>AND(#REF!,"AAAAAB90xyg=")</f>
        <v>#REF!</v>
      </c>
      <c r="AP44" t="e">
        <f>AND(#REF!,"AAAAAB90xyk=")</f>
        <v>#REF!</v>
      </c>
      <c r="AQ44" t="e">
        <f>AND(#REF!,"AAAAAB90xyo=")</f>
        <v>#REF!</v>
      </c>
      <c r="AR44" t="e">
        <f>AND(#REF!,"AAAAAB90xys=")</f>
        <v>#REF!</v>
      </c>
      <c r="AS44" t="e">
        <f>AND(#REF!,"AAAAAB90xyw=")</f>
        <v>#REF!</v>
      </c>
      <c r="AT44" t="e">
        <f>AND(#REF!,"AAAAAB90xy0=")</f>
        <v>#REF!</v>
      </c>
      <c r="AU44" t="e">
        <f>AND(#REF!,"AAAAAB90xy4=")</f>
        <v>#REF!</v>
      </c>
      <c r="AV44" t="e">
        <f>AND(#REF!,"AAAAAB90xy8=")</f>
        <v>#REF!</v>
      </c>
      <c r="AW44" t="e">
        <f>AND(#REF!,"AAAAAB90xzA=")</f>
        <v>#REF!</v>
      </c>
      <c r="AX44" t="e">
        <f>AND(#REF!,"AAAAAB90xzE=")</f>
        <v>#REF!</v>
      </c>
      <c r="AY44" t="e">
        <f>IF(#REF!,"AAAAAB90xzI=",0)</f>
        <v>#REF!</v>
      </c>
      <c r="AZ44" t="e">
        <f>AND(#REF!,"AAAAAB90xzM=")</f>
        <v>#REF!</v>
      </c>
      <c r="BA44" t="e">
        <f>AND(#REF!,"AAAAAB90xzQ=")</f>
        <v>#REF!</v>
      </c>
      <c r="BB44" t="e">
        <f>AND(#REF!,"AAAAAB90xzU=")</f>
        <v>#REF!</v>
      </c>
      <c r="BC44" t="e">
        <f>AND(#REF!,"AAAAAB90xzY=")</f>
        <v>#REF!</v>
      </c>
      <c r="BD44" t="e">
        <f>AND(#REF!,"AAAAAB90xzc=")</f>
        <v>#REF!</v>
      </c>
      <c r="BE44" t="e">
        <f>AND(#REF!,"AAAAAB90xzg=")</f>
        <v>#REF!</v>
      </c>
      <c r="BF44" t="e">
        <f>AND(#REF!,"AAAAAB90xzk=")</f>
        <v>#REF!</v>
      </c>
      <c r="BG44" t="e">
        <f>AND(#REF!,"AAAAAB90xzo=")</f>
        <v>#REF!</v>
      </c>
      <c r="BH44" t="e">
        <f>AND(#REF!,"AAAAAB90xzs=")</f>
        <v>#REF!</v>
      </c>
      <c r="BI44" t="e">
        <f>AND(#REF!,"AAAAAB90xzw=")</f>
        <v>#REF!</v>
      </c>
      <c r="BJ44" t="e">
        <f>AND(#REF!,"AAAAAB90xz0=")</f>
        <v>#REF!</v>
      </c>
      <c r="BK44" t="e">
        <f>AND(#REF!,"AAAAAB90xz4=")</f>
        <v>#REF!</v>
      </c>
      <c r="BL44" t="e">
        <f>AND(#REF!,"AAAAAB90xz8=")</f>
        <v>#REF!</v>
      </c>
      <c r="BM44" t="e">
        <f>AND(#REF!,"AAAAAB90x0A=")</f>
        <v>#REF!</v>
      </c>
      <c r="BN44" t="e">
        <f>AND(#REF!,"AAAAAB90x0E=")</f>
        <v>#REF!</v>
      </c>
      <c r="BO44" t="e">
        <f>AND(#REF!,"AAAAAB90x0I=")</f>
        <v>#REF!</v>
      </c>
      <c r="BP44" t="e">
        <f>AND(#REF!,"AAAAAB90x0M=")</f>
        <v>#REF!</v>
      </c>
      <c r="BQ44" t="e">
        <f>AND(#REF!,"AAAAAB90x0Q=")</f>
        <v>#REF!</v>
      </c>
      <c r="BR44" t="e">
        <f>AND(#REF!,"AAAAAB90x0U=")</f>
        <v>#REF!</v>
      </c>
      <c r="BS44" t="e">
        <f>AND(#REF!,"AAAAAB90x0Y=")</f>
        <v>#REF!</v>
      </c>
      <c r="BT44" t="e">
        <f>AND(#REF!,"AAAAAB90x0c=")</f>
        <v>#REF!</v>
      </c>
      <c r="BU44" t="e">
        <f>AND(#REF!,"AAAAAB90x0g=")</f>
        <v>#REF!</v>
      </c>
      <c r="BV44" t="e">
        <f>AND(#REF!,"AAAAAB90x0k=")</f>
        <v>#REF!</v>
      </c>
      <c r="BW44" t="e">
        <f>AND(#REF!,"AAAAAB90x0o=")</f>
        <v>#REF!</v>
      </c>
      <c r="BX44" t="e">
        <f>AND(#REF!,"AAAAAB90x0s=")</f>
        <v>#REF!</v>
      </c>
      <c r="BY44" t="e">
        <f>AND(#REF!,"AAAAAB90x0w=")</f>
        <v>#REF!</v>
      </c>
      <c r="BZ44" t="e">
        <f>AND(#REF!,"AAAAAB90x00=")</f>
        <v>#REF!</v>
      </c>
      <c r="CA44" t="e">
        <f>AND(#REF!,"AAAAAB90x04=")</f>
        <v>#REF!</v>
      </c>
      <c r="CB44" t="e">
        <f>AND(#REF!,"AAAAAB90x08=")</f>
        <v>#REF!</v>
      </c>
      <c r="CC44" t="e">
        <f>AND(#REF!,"AAAAAB90x1A=")</f>
        <v>#REF!</v>
      </c>
      <c r="CD44" t="e">
        <f>AND(#REF!,"AAAAAB90x1E=")</f>
        <v>#REF!</v>
      </c>
      <c r="CE44" t="e">
        <f>AND(#REF!,"AAAAAB90x1I=")</f>
        <v>#REF!</v>
      </c>
      <c r="CF44" t="e">
        <f>AND(#REF!,"AAAAAB90x1M=")</f>
        <v>#REF!</v>
      </c>
      <c r="CG44" t="e">
        <f>AND(#REF!,"AAAAAB90x1Q=")</f>
        <v>#REF!</v>
      </c>
      <c r="CH44" t="e">
        <f>AND(#REF!,"AAAAAB90x1U=")</f>
        <v>#REF!</v>
      </c>
      <c r="CI44" t="e">
        <f>AND(#REF!,"AAAAAB90x1Y=")</f>
        <v>#REF!</v>
      </c>
      <c r="CJ44" t="e">
        <f>AND(#REF!,"AAAAAB90x1c=")</f>
        <v>#REF!</v>
      </c>
      <c r="CK44" t="e">
        <f>AND(#REF!,"AAAAAB90x1g=")</f>
        <v>#REF!</v>
      </c>
      <c r="CL44" t="e">
        <f>AND(#REF!,"AAAAAB90x1k=")</f>
        <v>#REF!</v>
      </c>
      <c r="CM44" t="e">
        <f>AND(#REF!,"AAAAAB90x1o=")</f>
        <v>#REF!</v>
      </c>
      <c r="CN44" t="e">
        <f>AND(#REF!,"AAAAAB90x1s=")</f>
        <v>#REF!</v>
      </c>
      <c r="CO44" t="e">
        <f>AND(#REF!,"AAAAAB90x1w=")</f>
        <v>#REF!</v>
      </c>
      <c r="CP44" t="e">
        <f>AND(#REF!,"AAAAAB90x10=")</f>
        <v>#REF!</v>
      </c>
      <c r="CQ44" t="e">
        <f>AND(#REF!,"AAAAAB90x14=")</f>
        <v>#REF!</v>
      </c>
      <c r="CR44" t="e">
        <f>AND(#REF!,"AAAAAB90x18=")</f>
        <v>#REF!</v>
      </c>
      <c r="CS44" t="e">
        <f>AND(#REF!,"AAAAAB90x2A=")</f>
        <v>#REF!</v>
      </c>
      <c r="CT44" t="e">
        <f>AND(#REF!,"AAAAAB90x2E=")</f>
        <v>#REF!</v>
      </c>
      <c r="CU44" t="e">
        <f>AND(#REF!,"AAAAAB90x2I=")</f>
        <v>#REF!</v>
      </c>
      <c r="CV44" t="e">
        <f>AND(#REF!,"AAAAAB90x2M=")</f>
        <v>#REF!</v>
      </c>
      <c r="CW44" t="e">
        <f>AND(#REF!,"AAAAAB90x2Q=")</f>
        <v>#REF!</v>
      </c>
      <c r="CX44" t="e">
        <f>AND(#REF!,"AAAAAB90x2U=")</f>
        <v>#REF!</v>
      </c>
      <c r="CY44" t="e">
        <f>AND(#REF!,"AAAAAB90x2Y=")</f>
        <v>#REF!</v>
      </c>
      <c r="CZ44" t="e">
        <f>AND(#REF!,"AAAAAB90x2c=")</f>
        <v>#REF!</v>
      </c>
      <c r="DA44" t="e">
        <f>AND(#REF!,"AAAAAB90x2g=")</f>
        <v>#REF!</v>
      </c>
      <c r="DB44" t="e">
        <f>AND(#REF!,"AAAAAB90x2k=")</f>
        <v>#REF!</v>
      </c>
      <c r="DC44" t="e">
        <f>AND(#REF!,"AAAAAB90x2o=")</f>
        <v>#REF!</v>
      </c>
      <c r="DD44" t="e">
        <f>AND(#REF!,"AAAAAB90x2s=")</f>
        <v>#REF!</v>
      </c>
      <c r="DE44" t="e">
        <f>AND(#REF!,"AAAAAB90x2w=")</f>
        <v>#REF!</v>
      </c>
      <c r="DF44" t="e">
        <f>AND(#REF!,"AAAAAB90x20=")</f>
        <v>#REF!</v>
      </c>
      <c r="DG44" t="e">
        <f>AND(#REF!,"AAAAAB90x24=")</f>
        <v>#REF!</v>
      </c>
      <c r="DH44" t="e">
        <f>AND(#REF!,"AAAAAB90x28=")</f>
        <v>#REF!</v>
      </c>
      <c r="DI44" t="e">
        <f>AND(#REF!,"AAAAAB90x3A=")</f>
        <v>#REF!</v>
      </c>
      <c r="DJ44" t="e">
        <f>AND(#REF!,"AAAAAB90x3E=")</f>
        <v>#REF!</v>
      </c>
      <c r="DK44" t="e">
        <f>AND(#REF!,"AAAAAB90x3I=")</f>
        <v>#REF!</v>
      </c>
      <c r="DL44" t="e">
        <f>AND(#REF!,"AAAAAB90x3M=")</f>
        <v>#REF!</v>
      </c>
      <c r="DM44" t="e">
        <f>AND(#REF!,"AAAAAB90x3Q=")</f>
        <v>#REF!</v>
      </c>
      <c r="DN44" t="e">
        <f>AND(#REF!,"AAAAAB90x3U=")</f>
        <v>#REF!</v>
      </c>
      <c r="DO44" t="e">
        <f>AND(#REF!,"AAAAAB90x3Y=")</f>
        <v>#REF!</v>
      </c>
      <c r="DP44" t="e">
        <f>AND(#REF!,"AAAAAB90x3c=")</f>
        <v>#REF!</v>
      </c>
      <c r="DQ44" t="e">
        <f>AND(#REF!,"AAAAAB90x3g=")</f>
        <v>#REF!</v>
      </c>
      <c r="DR44" t="e">
        <f>AND(#REF!,"AAAAAB90x3k=")</f>
        <v>#REF!</v>
      </c>
      <c r="DS44" t="e">
        <f>AND(#REF!,"AAAAAB90x3o=")</f>
        <v>#REF!</v>
      </c>
      <c r="DT44" t="e">
        <f>AND(#REF!,"AAAAAB90x3s=")</f>
        <v>#REF!</v>
      </c>
      <c r="DU44" t="e">
        <f>AND(#REF!,"AAAAAB90x3w=")</f>
        <v>#REF!</v>
      </c>
      <c r="DV44" t="e">
        <f>AND(#REF!,"AAAAAB90x30=")</f>
        <v>#REF!</v>
      </c>
      <c r="DW44" t="e">
        <f>AND(#REF!,"AAAAAB90x34=")</f>
        <v>#REF!</v>
      </c>
      <c r="DX44" t="e">
        <f>AND(#REF!,"AAAAAB90x38=")</f>
        <v>#REF!</v>
      </c>
      <c r="DY44" t="e">
        <f>AND(#REF!,"AAAAAB90x4A=")</f>
        <v>#REF!</v>
      </c>
      <c r="DZ44" t="e">
        <f>AND(#REF!,"AAAAAB90x4E=")</f>
        <v>#REF!</v>
      </c>
      <c r="EA44" t="e">
        <f>AND(#REF!,"AAAAAB90x4I=")</f>
        <v>#REF!</v>
      </c>
      <c r="EB44" t="e">
        <f>AND(#REF!,"AAAAAB90x4M=")</f>
        <v>#REF!</v>
      </c>
      <c r="EC44" t="e">
        <f>AND(#REF!,"AAAAAB90x4Q=")</f>
        <v>#REF!</v>
      </c>
      <c r="ED44" t="e">
        <f>AND(#REF!,"AAAAAB90x4U=")</f>
        <v>#REF!</v>
      </c>
      <c r="EE44" t="e">
        <f>AND(#REF!,"AAAAAB90x4Y=")</f>
        <v>#REF!</v>
      </c>
      <c r="EF44" t="e">
        <f>AND(#REF!,"AAAAAB90x4c=")</f>
        <v>#REF!</v>
      </c>
      <c r="EG44" t="e">
        <f>AND(#REF!,"AAAAAB90x4g=")</f>
        <v>#REF!</v>
      </c>
      <c r="EH44" t="e">
        <f>AND(#REF!,"AAAAAB90x4k=")</f>
        <v>#REF!</v>
      </c>
      <c r="EI44" t="e">
        <f>AND(#REF!,"AAAAAB90x4o=")</f>
        <v>#REF!</v>
      </c>
      <c r="EJ44" t="e">
        <f>AND(#REF!,"AAAAAB90x4s=")</f>
        <v>#REF!</v>
      </c>
      <c r="EK44" t="e">
        <f>AND(#REF!,"AAAAAB90x4w=")</f>
        <v>#REF!</v>
      </c>
      <c r="EL44" t="e">
        <f>AND(#REF!,"AAAAAB90x40=")</f>
        <v>#REF!</v>
      </c>
      <c r="EM44" t="e">
        <f>AND(#REF!,"AAAAAB90x44=")</f>
        <v>#REF!</v>
      </c>
      <c r="EN44" t="e">
        <f>AND(#REF!,"AAAAAB90x48=")</f>
        <v>#REF!</v>
      </c>
      <c r="EO44" t="e">
        <f>AND(#REF!,"AAAAAB90x5A=")</f>
        <v>#REF!</v>
      </c>
      <c r="EP44" t="e">
        <f>AND(#REF!,"AAAAAB90x5E=")</f>
        <v>#REF!</v>
      </c>
      <c r="EQ44" t="e">
        <f>AND(#REF!,"AAAAAB90x5I=")</f>
        <v>#REF!</v>
      </c>
      <c r="ER44" t="e">
        <f>AND(#REF!,"AAAAAB90x5M=")</f>
        <v>#REF!</v>
      </c>
      <c r="ES44" t="e">
        <f>AND(#REF!,"AAAAAB90x5Q=")</f>
        <v>#REF!</v>
      </c>
      <c r="ET44" t="e">
        <f>AND(#REF!,"AAAAAB90x5U=")</f>
        <v>#REF!</v>
      </c>
      <c r="EU44" t="e">
        <f>AND(#REF!,"AAAAAB90x5Y=")</f>
        <v>#REF!</v>
      </c>
      <c r="EV44" t="e">
        <f>AND(#REF!,"AAAAAB90x5c=")</f>
        <v>#REF!</v>
      </c>
      <c r="EW44" t="e">
        <f>AND(#REF!,"AAAAAB90x5g=")</f>
        <v>#REF!</v>
      </c>
      <c r="EX44" t="e">
        <f>AND(#REF!,"AAAAAB90x5k=")</f>
        <v>#REF!</v>
      </c>
      <c r="EY44" t="e">
        <f>AND(#REF!,"AAAAAB90x5o=")</f>
        <v>#REF!</v>
      </c>
      <c r="EZ44" t="e">
        <f>AND(#REF!,"AAAAAB90x5s=")</f>
        <v>#REF!</v>
      </c>
      <c r="FA44" t="e">
        <f>AND(#REF!,"AAAAAB90x5w=")</f>
        <v>#REF!</v>
      </c>
      <c r="FB44" t="e">
        <f>AND(#REF!,"AAAAAB90x50=")</f>
        <v>#REF!</v>
      </c>
      <c r="FC44" t="e">
        <f>AND(#REF!,"AAAAAB90x54=")</f>
        <v>#REF!</v>
      </c>
      <c r="FD44" t="e">
        <f>AND(#REF!,"AAAAAB90x58=")</f>
        <v>#REF!</v>
      </c>
      <c r="FE44" t="e">
        <f>AND(#REF!,"AAAAAB90x6A=")</f>
        <v>#REF!</v>
      </c>
      <c r="FF44" t="e">
        <f>AND(#REF!,"AAAAAB90x6E=")</f>
        <v>#REF!</v>
      </c>
      <c r="FG44" t="e">
        <f>AND(#REF!,"AAAAAB90x6I=")</f>
        <v>#REF!</v>
      </c>
      <c r="FH44" t="e">
        <f>AND(#REF!,"AAAAAB90x6M=")</f>
        <v>#REF!</v>
      </c>
      <c r="FI44" t="e">
        <f>AND(#REF!,"AAAAAB90x6Q=")</f>
        <v>#REF!</v>
      </c>
      <c r="FJ44" t="e">
        <f>AND(#REF!,"AAAAAB90x6U=")</f>
        <v>#REF!</v>
      </c>
      <c r="FK44" t="e">
        <f>AND(#REF!,"AAAAAB90x6Y=")</f>
        <v>#REF!</v>
      </c>
      <c r="FL44" t="e">
        <f>AND(#REF!,"AAAAAB90x6c=")</f>
        <v>#REF!</v>
      </c>
      <c r="FM44" t="e">
        <f>AND(#REF!,"AAAAAB90x6g=")</f>
        <v>#REF!</v>
      </c>
      <c r="FN44" t="e">
        <f>AND(#REF!,"AAAAAB90x6k=")</f>
        <v>#REF!</v>
      </c>
      <c r="FO44" t="e">
        <f>AND(#REF!,"AAAAAB90x6o=")</f>
        <v>#REF!</v>
      </c>
      <c r="FP44" t="e">
        <f>AND(#REF!,"AAAAAB90x6s=")</f>
        <v>#REF!</v>
      </c>
      <c r="FQ44" t="e">
        <f>AND(#REF!,"AAAAAB90x6w=")</f>
        <v>#REF!</v>
      </c>
      <c r="FR44" t="e">
        <f>AND(#REF!,"AAAAAB90x60=")</f>
        <v>#REF!</v>
      </c>
      <c r="FS44" t="e">
        <f>AND(#REF!,"AAAAAB90x64=")</f>
        <v>#REF!</v>
      </c>
      <c r="FT44" t="e">
        <f>AND(#REF!,"AAAAAB90x68=")</f>
        <v>#REF!</v>
      </c>
      <c r="FU44" t="e">
        <f>AND(#REF!,"AAAAAB90x7A=")</f>
        <v>#REF!</v>
      </c>
      <c r="FV44" t="e">
        <f>AND(#REF!,"AAAAAB90x7E=")</f>
        <v>#REF!</v>
      </c>
      <c r="FW44" t="e">
        <f>AND(#REF!,"AAAAAB90x7I=")</f>
        <v>#REF!</v>
      </c>
      <c r="FX44" t="e">
        <f>AND(#REF!,"AAAAAB90x7M=")</f>
        <v>#REF!</v>
      </c>
      <c r="FY44" t="e">
        <f>AND(#REF!,"AAAAAB90x7Q=")</f>
        <v>#REF!</v>
      </c>
      <c r="FZ44" t="e">
        <f>AND(#REF!,"AAAAAB90x7U=")</f>
        <v>#REF!</v>
      </c>
      <c r="GA44" t="e">
        <f>AND(#REF!,"AAAAAB90x7Y=")</f>
        <v>#REF!</v>
      </c>
      <c r="GB44" t="e">
        <f>AND(#REF!,"AAAAAB90x7c=")</f>
        <v>#REF!</v>
      </c>
      <c r="GC44" t="e">
        <f>AND(#REF!,"AAAAAB90x7g=")</f>
        <v>#REF!</v>
      </c>
      <c r="GD44" t="e">
        <f>AND(#REF!,"AAAAAB90x7k=")</f>
        <v>#REF!</v>
      </c>
      <c r="GE44" t="e">
        <f>AND(#REF!,"AAAAAB90x7o=")</f>
        <v>#REF!</v>
      </c>
      <c r="GF44" t="e">
        <f>AND(#REF!,"AAAAAB90x7s=")</f>
        <v>#REF!</v>
      </c>
      <c r="GG44" t="e">
        <f>AND(#REF!,"AAAAAB90x7w=")</f>
        <v>#REF!</v>
      </c>
      <c r="GH44" t="e">
        <f>AND(#REF!,"AAAAAB90x70=")</f>
        <v>#REF!</v>
      </c>
      <c r="GI44" t="e">
        <f>AND(#REF!,"AAAAAB90x74=")</f>
        <v>#REF!</v>
      </c>
      <c r="GJ44" t="e">
        <f>AND(#REF!,"AAAAAB90x78=")</f>
        <v>#REF!</v>
      </c>
      <c r="GK44" t="e">
        <f>AND(#REF!,"AAAAAB90x8A=")</f>
        <v>#REF!</v>
      </c>
      <c r="GL44" t="e">
        <f>AND(#REF!,"AAAAAB90x8E=")</f>
        <v>#REF!</v>
      </c>
      <c r="GM44" t="e">
        <f>AND(#REF!,"AAAAAB90x8I=")</f>
        <v>#REF!</v>
      </c>
      <c r="GN44" t="e">
        <f>AND(#REF!,"AAAAAB90x8M=")</f>
        <v>#REF!</v>
      </c>
      <c r="GO44" t="e">
        <f>AND(#REF!,"AAAAAB90x8Q=")</f>
        <v>#REF!</v>
      </c>
      <c r="GP44" t="e">
        <f>AND(#REF!,"AAAAAB90x8U=")</f>
        <v>#REF!</v>
      </c>
      <c r="GQ44" t="e">
        <f>AND(#REF!,"AAAAAB90x8Y=")</f>
        <v>#REF!</v>
      </c>
      <c r="GR44" t="e">
        <f>AND(#REF!,"AAAAAB90x8c=")</f>
        <v>#REF!</v>
      </c>
      <c r="GS44" t="e">
        <f>AND(#REF!,"AAAAAB90x8g=")</f>
        <v>#REF!</v>
      </c>
      <c r="GT44" t="e">
        <f>AND(#REF!,"AAAAAB90x8k=")</f>
        <v>#REF!</v>
      </c>
      <c r="GU44" t="e">
        <f>AND(#REF!,"AAAAAB90x8o=")</f>
        <v>#REF!</v>
      </c>
      <c r="GV44" t="e">
        <f>AND(#REF!,"AAAAAB90x8s=")</f>
        <v>#REF!</v>
      </c>
      <c r="GW44" t="e">
        <f>AND(#REF!,"AAAAAB90x8w=")</f>
        <v>#REF!</v>
      </c>
      <c r="GX44" t="e">
        <f>AND(#REF!,"AAAAAB90x80=")</f>
        <v>#REF!</v>
      </c>
      <c r="GY44" t="e">
        <f>AND(#REF!,"AAAAAB90x84=")</f>
        <v>#REF!</v>
      </c>
      <c r="GZ44" t="e">
        <f>AND(#REF!,"AAAAAB90x88=")</f>
        <v>#REF!</v>
      </c>
      <c r="HA44" t="e">
        <f>AND(#REF!,"AAAAAB90x9A=")</f>
        <v>#REF!</v>
      </c>
      <c r="HB44" t="e">
        <f>AND(#REF!,"AAAAAB90x9E=")</f>
        <v>#REF!</v>
      </c>
      <c r="HC44" t="e">
        <f>AND(#REF!,"AAAAAB90x9I=")</f>
        <v>#REF!</v>
      </c>
      <c r="HD44" t="e">
        <f>AND(#REF!,"AAAAAB90x9M=")</f>
        <v>#REF!</v>
      </c>
      <c r="HE44" t="e">
        <f>AND(#REF!,"AAAAAB90x9Q=")</f>
        <v>#REF!</v>
      </c>
      <c r="HF44" t="e">
        <f>AND(#REF!,"AAAAAB90x9U=")</f>
        <v>#REF!</v>
      </c>
      <c r="HG44" t="e">
        <f>AND(#REF!,"AAAAAB90x9Y=")</f>
        <v>#REF!</v>
      </c>
      <c r="HH44" t="e">
        <f>AND(#REF!,"AAAAAB90x9c=")</f>
        <v>#REF!</v>
      </c>
      <c r="HI44" t="e">
        <f>AND(#REF!,"AAAAAB90x9g=")</f>
        <v>#REF!</v>
      </c>
      <c r="HJ44" t="e">
        <f>AND(#REF!,"AAAAAB90x9k=")</f>
        <v>#REF!</v>
      </c>
      <c r="HK44" t="e">
        <f>AND(#REF!,"AAAAAB90x9o=")</f>
        <v>#REF!</v>
      </c>
      <c r="HL44" t="e">
        <f>AND(#REF!,"AAAAAB90x9s=")</f>
        <v>#REF!</v>
      </c>
      <c r="HM44" t="e">
        <f>AND(#REF!,"AAAAAB90x9w=")</f>
        <v>#REF!</v>
      </c>
      <c r="HN44" t="e">
        <f>AND(#REF!,"AAAAAB90x90=")</f>
        <v>#REF!</v>
      </c>
      <c r="HO44" t="e">
        <f>AND(#REF!,"AAAAAB90x94=")</f>
        <v>#REF!</v>
      </c>
      <c r="HP44" t="e">
        <f>AND(#REF!,"AAAAAB90x98=")</f>
        <v>#REF!</v>
      </c>
      <c r="HQ44" t="e">
        <f>AND(#REF!,"AAAAAB90x+A=")</f>
        <v>#REF!</v>
      </c>
      <c r="HR44" t="e">
        <f>AND(#REF!,"AAAAAB90x+E=")</f>
        <v>#REF!</v>
      </c>
      <c r="HS44" t="e">
        <f>AND(#REF!,"AAAAAB90x+I=")</f>
        <v>#REF!</v>
      </c>
      <c r="HT44" t="e">
        <f>AND(#REF!,"AAAAAB90x+M=")</f>
        <v>#REF!</v>
      </c>
      <c r="HU44" t="e">
        <f>AND(#REF!,"AAAAAB90x+Q=")</f>
        <v>#REF!</v>
      </c>
      <c r="HV44" t="e">
        <f>AND(#REF!,"AAAAAB90x+U=")</f>
        <v>#REF!</v>
      </c>
      <c r="HW44" t="e">
        <f>AND(#REF!,"AAAAAB90x+Y=")</f>
        <v>#REF!</v>
      </c>
      <c r="HX44" t="e">
        <f>IF(#REF!,"AAAAAB90x+c=",0)</f>
        <v>#REF!</v>
      </c>
      <c r="HY44" t="e">
        <f>AND(#REF!,"AAAAAB90x+g=")</f>
        <v>#REF!</v>
      </c>
      <c r="HZ44" t="e">
        <f>AND(#REF!,"AAAAAB90x+k=")</f>
        <v>#REF!</v>
      </c>
      <c r="IA44" t="e">
        <f>AND(#REF!,"AAAAAB90x+o=")</f>
        <v>#REF!</v>
      </c>
      <c r="IB44" t="e">
        <f>AND(#REF!,"AAAAAB90x+s=")</f>
        <v>#REF!</v>
      </c>
      <c r="IC44" t="e">
        <f>AND(#REF!,"AAAAAB90x+w=")</f>
        <v>#REF!</v>
      </c>
      <c r="ID44" t="e">
        <f>AND(#REF!,"AAAAAB90x+0=")</f>
        <v>#REF!</v>
      </c>
      <c r="IE44" t="e">
        <f>AND(#REF!,"AAAAAB90x+4=")</f>
        <v>#REF!</v>
      </c>
      <c r="IF44" t="e">
        <f>AND(#REF!,"AAAAAB90x+8=")</f>
        <v>#REF!</v>
      </c>
      <c r="IG44" t="e">
        <f>AND(#REF!,"AAAAAB90x/A=")</f>
        <v>#REF!</v>
      </c>
      <c r="IH44" t="e">
        <f>AND(#REF!,"AAAAAB90x/E=")</f>
        <v>#REF!</v>
      </c>
      <c r="II44" t="e">
        <f>AND(#REF!,"AAAAAB90x/I=")</f>
        <v>#REF!</v>
      </c>
      <c r="IJ44" t="e">
        <f>AND(#REF!,"AAAAAB90x/M=")</f>
        <v>#REF!</v>
      </c>
      <c r="IK44" t="e">
        <f>AND(#REF!,"AAAAAB90x/Q=")</f>
        <v>#REF!</v>
      </c>
      <c r="IL44" t="e">
        <f>AND(#REF!,"AAAAAB90x/U=")</f>
        <v>#REF!</v>
      </c>
      <c r="IM44" t="e">
        <f>AND(#REF!,"AAAAAB90x/Y=")</f>
        <v>#REF!</v>
      </c>
      <c r="IN44" t="e">
        <f>AND(#REF!,"AAAAAB90x/c=")</f>
        <v>#REF!</v>
      </c>
      <c r="IO44" t="e">
        <f>AND(#REF!,"AAAAAB90x/g=")</f>
        <v>#REF!</v>
      </c>
      <c r="IP44" t="e">
        <f>AND(#REF!,"AAAAAB90x/k=")</f>
        <v>#REF!</v>
      </c>
      <c r="IQ44" t="e">
        <f>AND(#REF!,"AAAAAB90x/o=")</f>
        <v>#REF!</v>
      </c>
      <c r="IR44" t="e">
        <f>AND(#REF!,"AAAAAB90x/s=")</f>
        <v>#REF!</v>
      </c>
      <c r="IS44" t="e">
        <f>AND(#REF!,"AAAAAB90x/w=")</f>
        <v>#REF!</v>
      </c>
      <c r="IT44" t="e">
        <f>AND(#REF!,"AAAAAB90x/0=")</f>
        <v>#REF!</v>
      </c>
      <c r="IU44" t="e">
        <f>AND(#REF!,"AAAAAB90x/4=")</f>
        <v>#REF!</v>
      </c>
      <c r="IV44" t="e">
        <f>AND(#REF!,"AAAAAB90x/8=")</f>
        <v>#REF!</v>
      </c>
    </row>
    <row r="45" spans="1:256" x14ac:dyDescent="0.2">
      <c r="A45" t="e">
        <f>AND(#REF!,"AAAAADu+wwA=")</f>
        <v>#REF!</v>
      </c>
      <c r="B45" t="e">
        <f>AND(#REF!,"AAAAADu+wwE=")</f>
        <v>#REF!</v>
      </c>
      <c r="C45" t="e">
        <f>AND(#REF!,"AAAAADu+wwI=")</f>
        <v>#REF!</v>
      </c>
      <c r="D45" t="e">
        <f>AND(#REF!,"AAAAADu+wwM=")</f>
        <v>#REF!</v>
      </c>
      <c r="E45" t="e">
        <f>AND(#REF!,"AAAAADu+wwQ=")</f>
        <v>#REF!</v>
      </c>
      <c r="F45" t="e">
        <f>AND(#REF!,"AAAAADu+wwU=")</f>
        <v>#REF!</v>
      </c>
      <c r="G45" t="e">
        <f>AND(#REF!,"AAAAADu+wwY=")</f>
        <v>#REF!</v>
      </c>
      <c r="H45" t="e">
        <f>AND(#REF!,"AAAAADu+wwc=")</f>
        <v>#REF!</v>
      </c>
      <c r="I45" t="e">
        <f>AND(#REF!,"AAAAADu+wwg=")</f>
        <v>#REF!</v>
      </c>
      <c r="J45" t="e">
        <f>AND(#REF!,"AAAAADu+wwk=")</f>
        <v>#REF!</v>
      </c>
      <c r="K45" t="e">
        <f>AND(#REF!,"AAAAADu+wwo=")</f>
        <v>#REF!</v>
      </c>
      <c r="L45" t="e">
        <f>AND(#REF!,"AAAAADu+wws=")</f>
        <v>#REF!</v>
      </c>
      <c r="M45" t="e">
        <f>AND(#REF!,"AAAAADu+www=")</f>
        <v>#REF!</v>
      </c>
      <c r="N45" t="e">
        <f>AND(#REF!,"AAAAADu+ww0=")</f>
        <v>#REF!</v>
      </c>
      <c r="O45" t="e">
        <f>AND(#REF!,"AAAAADu+ww4=")</f>
        <v>#REF!</v>
      </c>
      <c r="P45" t="e">
        <f>AND(#REF!,"AAAAADu+ww8=")</f>
        <v>#REF!</v>
      </c>
      <c r="Q45" t="e">
        <f>AND(#REF!,"AAAAADu+wxA=")</f>
        <v>#REF!</v>
      </c>
      <c r="R45" t="e">
        <f>AND(#REF!,"AAAAADu+wxE=")</f>
        <v>#REF!</v>
      </c>
      <c r="S45" t="e">
        <f>AND(#REF!,"AAAAADu+wxI=")</f>
        <v>#REF!</v>
      </c>
      <c r="T45" t="e">
        <f>AND(#REF!,"AAAAADu+wxM=")</f>
        <v>#REF!</v>
      </c>
      <c r="U45" t="e">
        <f>AND(#REF!,"AAAAADu+wxQ=")</f>
        <v>#REF!</v>
      </c>
      <c r="V45" t="e">
        <f>AND(#REF!,"AAAAADu+wxU=")</f>
        <v>#REF!</v>
      </c>
      <c r="W45" t="e">
        <f>AND(#REF!,"AAAAADu+wxY=")</f>
        <v>#REF!</v>
      </c>
      <c r="X45" t="e">
        <f>AND(#REF!,"AAAAADu+wxc=")</f>
        <v>#REF!</v>
      </c>
      <c r="Y45" t="e">
        <f>AND(#REF!,"AAAAADu+wxg=")</f>
        <v>#REF!</v>
      </c>
      <c r="Z45" t="e">
        <f>AND(#REF!,"AAAAADu+wxk=")</f>
        <v>#REF!</v>
      </c>
      <c r="AA45" t="e">
        <f>AND(#REF!,"AAAAADu+wxo=")</f>
        <v>#REF!</v>
      </c>
      <c r="AB45" t="e">
        <f>AND(#REF!,"AAAAADu+wxs=")</f>
        <v>#REF!</v>
      </c>
      <c r="AC45" t="e">
        <f>AND(#REF!,"AAAAADu+wxw=")</f>
        <v>#REF!</v>
      </c>
      <c r="AD45" t="e">
        <f>AND(#REF!,"AAAAADu+wx0=")</f>
        <v>#REF!</v>
      </c>
      <c r="AE45" t="e">
        <f>AND(#REF!,"AAAAADu+wx4=")</f>
        <v>#REF!</v>
      </c>
      <c r="AF45" t="e">
        <f>AND(#REF!,"AAAAADu+wx8=")</f>
        <v>#REF!</v>
      </c>
      <c r="AG45" t="e">
        <f>AND(#REF!,"AAAAADu+wyA=")</f>
        <v>#REF!</v>
      </c>
      <c r="AH45" t="e">
        <f>AND(#REF!,"AAAAADu+wyE=")</f>
        <v>#REF!</v>
      </c>
      <c r="AI45" t="e">
        <f>AND(#REF!,"AAAAADu+wyI=")</f>
        <v>#REF!</v>
      </c>
      <c r="AJ45" t="e">
        <f>AND(#REF!,"AAAAADu+wyM=")</f>
        <v>#REF!</v>
      </c>
      <c r="AK45" t="e">
        <f>AND(#REF!,"AAAAADu+wyQ=")</f>
        <v>#REF!</v>
      </c>
      <c r="AL45" t="e">
        <f>AND(#REF!,"AAAAADu+wyU=")</f>
        <v>#REF!</v>
      </c>
      <c r="AM45" t="e">
        <f>AND(#REF!,"AAAAADu+wyY=")</f>
        <v>#REF!</v>
      </c>
      <c r="AN45" t="e">
        <f>AND(#REF!,"AAAAADu+wyc=")</f>
        <v>#REF!</v>
      </c>
      <c r="AO45" t="e">
        <f>AND(#REF!,"AAAAADu+wyg=")</f>
        <v>#REF!</v>
      </c>
      <c r="AP45" t="e">
        <f>AND(#REF!,"AAAAADu+wyk=")</f>
        <v>#REF!</v>
      </c>
      <c r="AQ45" t="e">
        <f>AND(#REF!,"AAAAADu+wyo=")</f>
        <v>#REF!</v>
      </c>
      <c r="AR45" t="e">
        <f>AND(#REF!,"AAAAADu+wys=")</f>
        <v>#REF!</v>
      </c>
      <c r="AS45" t="e">
        <f>AND(#REF!,"AAAAADu+wyw=")</f>
        <v>#REF!</v>
      </c>
      <c r="AT45" t="e">
        <f>AND(#REF!,"AAAAADu+wy0=")</f>
        <v>#REF!</v>
      </c>
      <c r="AU45" t="e">
        <f>AND(#REF!,"AAAAADu+wy4=")</f>
        <v>#REF!</v>
      </c>
      <c r="AV45" t="e">
        <f>AND(#REF!,"AAAAADu+wy8=")</f>
        <v>#REF!</v>
      </c>
      <c r="AW45" t="e">
        <f>AND(#REF!,"AAAAADu+wzA=")</f>
        <v>#REF!</v>
      </c>
      <c r="AX45" t="e">
        <f>AND(#REF!,"AAAAADu+wzE=")</f>
        <v>#REF!</v>
      </c>
      <c r="AY45" t="e">
        <f>AND(#REF!,"AAAAADu+wzI=")</f>
        <v>#REF!</v>
      </c>
      <c r="AZ45" t="e">
        <f>AND(#REF!,"AAAAADu+wzM=")</f>
        <v>#REF!</v>
      </c>
      <c r="BA45" t="e">
        <f>AND(#REF!,"AAAAADu+wzQ=")</f>
        <v>#REF!</v>
      </c>
      <c r="BB45" t="e">
        <f>AND(#REF!,"AAAAADu+wzU=")</f>
        <v>#REF!</v>
      </c>
      <c r="BC45" t="e">
        <f>AND(#REF!,"AAAAADu+wzY=")</f>
        <v>#REF!</v>
      </c>
      <c r="BD45" t="e">
        <f>AND(#REF!,"AAAAADu+wzc=")</f>
        <v>#REF!</v>
      </c>
      <c r="BE45" t="e">
        <f>AND(#REF!,"AAAAADu+wzg=")</f>
        <v>#REF!</v>
      </c>
      <c r="BF45" t="e">
        <f>AND(#REF!,"AAAAADu+wzk=")</f>
        <v>#REF!</v>
      </c>
      <c r="BG45" t="e">
        <f>AND(#REF!,"AAAAADu+wzo=")</f>
        <v>#REF!</v>
      </c>
      <c r="BH45" t="e">
        <f>AND(#REF!,"AAAAADu+wzs=")</f>
        <v>#REF!</v>
      </c>
      <c r="BI45" t="e">
        <f>AND(#REF!,"AAAAADu+wzw=")</f>
        <v>#REF!</v>
      </c>
      <c r="BJ45" t="e">
        <f>AND(#REF!,"AAAAADu+wz0=")</f>
        <v>#REF!</v>
      </c>
      <c r="BK45" t="e">
        <f>AND(#REF!,"AAAAADu+wz4=")</f>
        <v>#REF!</v>
      </c>
      <c r="BL45" t="e">
        <f>AND(#REF!,"AAAAADu+wz8=")</f>
        <v>#REF!</v>
      </c>
      <c r="BM45" t="e">
        <f>AND(#REF!,"AAAAADu+w0A=")</f>
        <v>#REF!</v>
      </c>
      <c r="BN45" t="e">
        <f>AND(#REF!,"AAAAADu+w0E=")</f>
        <v>#REF!</v>
      </c>
      <c r="BO45" t="e">
        <f>AND(#REF!,"AAAAADu+w0I=")</f>
        <v>#REF!</v>
      </c>
      <c r="BP45" t="e">
        <f>AND(#REF!,"AAAAADu+w0M=")</f>
        <v>#REF!</v>
      </c>
      <c r="BQ45" t="e">
        <f>AND(#REF!,"AAAAADu+w0Q=")</f>
        <v>#REF!</v>
      </c>
      <c r="BR45" t="e">
        <f>AND(#REF!,"AAAAADu+w0U=")</f>
        <v>#REF!</v>
      </c>
      <c r="BS45" t="e">
        <f>AND(#REF!,"AAAAADu+w0Y=")</f>
        <v>#REF!</v>
      </c>
      <c r="BT45" t="e">
        <f>AND(#REF!,"AAAAADu+w0c=")</f>
        <v>#REF!</v>
      </c>
      <c r="BU45" t="e">
        <f>AND(#REF!,"AAAAADu+w0g=")</f>
        <v>#REF!</v>
      </c>
      <c r="BV45" t="e">
        <f>AND(#REF!,"AAAAADu+w0k=")</f>
        <v>#REF!</v>
      </c>
      <c r="BW45" t="e">
        <f>AND(#REF!,"AAAAADu+w0o=")</f>
        <v>#REF!</v>
      </c>
      <c r="BX45" t="e">
        <f>AND(#REF!,"AAAAADu+w0s=")</f>
        <v>#REF!</v>
      </c>
      <c r="BY45" t="e">
        <f>AND(#REF!,"AAAAADu+w0w=")</f>
        <v>#REF!</v>
      </c>
      <c r="BZ45" t="e">
        <f>AND(#REF!,"AAAAADu+w00=")</f>
        <v>#REF!</v>
      </c>
      <c r="CA45" t="e">
        <f>AND(#REF!,"AAAAADu+w04=")</f>
        <v>#REF!</v>
      </c>
      <c r="CB45" t="e">
        <f>AND(#REF!,"AAAAADu+w08=")</f>
        <v>#REF!</v>
      </c>
      <c r="CC45" t="e">
        <f>AND(#REF!,"AAAAADu+w1A=")</f>
        <v>#REF!</v>
      </c>
      <c r="CD45" t="e">
        <f>AND(#REF!,"AAAAADu+w1E=")</f>
        <v>#REF!</v>
      </c>
      <c r="CE45" t="e">
        <f>AND(#REF!,"AAAAADu+w1I=")</f>
        <v>#REF!</v>
      </c>
      <c r="CF45" t="e">
        <f>AND(#REF!,"AAAAADu+w1M=")</f>
        <v>#REF!</v>
      </c>
      <c r="CG45" t="e">
        <f>AND(#REF!,"AAAAADu+w1Q=")</f>
        <v>#REF!</v>
      </c>
      <c r="CH45" t="e">
        <f>AND(#REF!,"AAAAADu+w1U=")</f>
        <v>#REF!</v>
      </c>
      <c r="CI45" t="e">
        <f>AND(#REF!,"AAAAADu+w1Y=")</f>
        <v>#REF!</v>
      </c>
      <c r="CJ45" t="e">
        <f>AND(#REF!,"AAAAADu+w1c=")</f>
        <v>#REF!</v>
      </c>
      <c r="CK45" t="e">
        <f>AND(#REF!,"AAAAADu+w1g=")</f>
        <v>#REF!</v>
      </c>
      <c r="CL45" t="e">
        <f>AND(#REF!,"AAAAADu+w1k=")</f>
        <v>#REF!</v>
      </c>
      <c r="CM45" t="e">
        <f>AND(#REF!,"AAAAADu+w1o=")</f>
        <v>#REF!</v>
      </c>
      <c r="CN45" t="e">
        <f>AND(#REF!,"AAAAADu+w1s=")</f>
        <v>#REF!</v>
      </c>
      <c r="CO45" t="e">
        <f>AND(#REF!,"AAAAADu+w1w=")</f>
        <v>#REF!</v>
      </c>
      <c r="CP45" t="e">
        <f>AND(#REF!,"AAAAADu+w10=")</f>
        <v>#REF!</v>
      </c>
      <c r="CQ45" t="e">
        <f>AND(#REF!,"AAAAADu+w14=")</f>
        <v>#REF!</v>
      </c>
      <c r="CR45" t="e">
        <f>AND(#REF!,"AAAAADu+w18=")</f>
        <v>#REF!</v>
      </c>
      <c r="CS45" t="e">
        <f>AND(#REF!,"AAAAADu+w2A=")</f>
        <v>#REF!</v>
      </c>
      <c r="CT45" t="e">
        <f>AND(#REF!,"AAAAADu+w2E=")</f>
        <v>#REF!</v>
      </c>
      <c r="CU45" t="e">
        <f>AND(#REF!,"AAAAADu+w2I=")</f>
        <v>#REF!</v>
      </c>
      <c r="CV45" t="e">
        <f>AND(#REF!,"AAAAADu+w2M=")</f>
        <v>#REF!</v>
      </c>
      <c r="CW45" t="e">
        <f>AND(#REF!,"AAAAADu+w2Q=")</f>
        <v>#REF!</v>
      </c>
      <c r="CX45" t="e">
        <f>AND(#REF!,"AAAAADu+w2U=")</f>
        <v>#REF!</v>
      </c>
      <c r="CY45" t="e">
        <f>AND(#REF!,"AAAAADu+w2Y=")</f>
        <v>#REF!</v>
      </c>
      <c r="CZ45" t="e">
        <f>AND(#REF!,"AAAAADu+w2c=")</f>
        <v>#REF!</v>
      </c>
      <c r="DA45" t="e">
        <f>AND(#REF!,"AAAAADu+w2g=")</f>
        <v>#REF!</v>
      </c>
      <c r="DB45" t="e">
        <f>AND(#REF!,"AAAAADu+w2k=")</f>
        <v>#REF!</v>
      </c>
      <c r="DC45" t="e">
        <f>AND(#REF!,"AAAAADu+w2o=")</f>
        <v>#REF!</v>
      </c>
      <c r="DD45" t="e">
        <f>AND(#REF!,"AAAAADu+w2s=")</f>
        <v>#REF!</v>
      </c>
      <c r="DE45" t="e">
        <f>AND(#REF!,"AAAAADu+w2w=")</f>
        <v>#REF!</v>
      </c>
      <c r="DF45" t="e">
        <f>AND(#REF!,"AAAAADu+w20=")</f>
        <v>#REF!</v>
      </c>
      <c r="DG45" t="e">
        <f>AND(#REF!,"AAAAADu+w24=")</f>
        <v>#REF!</v>
      </c>
      <c r="DH45" t="e">
        <f>AND(#REF!,"AAAAADu+w28=")</f>
        <v>#REF!</v>
      </c>
      <c r="DI45" t="e">
        <f>AND(#REF!,"AAAAADu+w3A=")</f>
        <v>#REF!</v>
      </c>
      <c r="DJ45" t="e">
        <f>AND(#REF!,"AAAAADu+w3E=")</f>
        <v>#REF!</v>
      </c>
      <c r="DK45" t="e">
        <f>AND(#REF!,"AAAAADu+w3I=")</f>
        <v>#REF!</v>
      </c>
      <c r="DL45" t="e">
        <f>AND(#REF!,"AAAAADu+w3M=")</f>
        <v>#REF!</v>
      </c>
      <c r="DM45" t="e">
        <f>AND(#REF!,"AAAAADu+w3Q=")</f>
        <v>#REF!</v>
      </c>
      <c r="DN45" t="e">
        <f>AND(#REF!,"AAAAADu+w3U=")</f>
        <v>#REF!</v>
      </c>
      <c r="DO45" t="e">
        <f>AND(#REF!,"AAAAADu+w3Y=")</f>
        <v>#REF!</v>
      </c>
      <c r="DP45" t="e">
        <f>AND(#REF!,"AAAAADu+w3c=")</f>
        <v>#REF!</v>
      </c>
      <c r="DQ45" t="e">
        <f>AND(#REF!,"AAAAADu+w3g=")</f>
        <v>#REF!</v>
      </c>
      <c r="DR45" t="e">
        <f>AND(#REF!,"AAAAADu+w3k=")</f>
        <v>#REF!</v>
      </c>
      <c r="DS45" t="e">
        <f>AND(#REF!,"AAAAADu+w3o=")</f>
        <v>#REF!</v>
      </c>
      <c r="DT45" t="e">
        <f>AND(#REF!,"AAAAADu+w3s=")</f>
        <v>#REF!</v>
      </c>
      <c r="DU45" t="e">
        <f>AND(#REF!,"AAAAADu+w3w=")</f>
        <v>#REF!</v>
      </c>
      <c r="DV45" t="e">
        <f>AND(#REF!,"AAAAADu+w30=")</f>
        <v>#REF!</v>
      </c>
      <c r="DW45" t="e">
        <f>AND(#REF!,"AAAAADu+w34=")</f>
        <v>#REF!</v>
      </c>
      <c r="DX45" t="e">
        <f>AND(#REF!,"AAAAADu+w38=")</f>
        <v>#REF!</v>
      </c>
      <c r="DY45" t="e">
        <f>AND(#REF!,"AAAAADu+w4A=")</f>
        <v>#REF!</v>
      </c>
      <c r="DZ45" t="e">
        <f>AND(#REF!,"AAAAADu+w4E=")</f>
        <v>#REF!</v>
      </c>
      <c r="EA45" t="e">
        <f>AND(#REF!,"AAAAADu+w4I=")</f>
        <v>#REF!</v>
      </c>
      <c r="EB45" t="e">
        <f>AND(#REF!,"AAAAADu+w4M=")</f>
        <v>#REF!</v>
      </c>
      <c r="EC45" t="e">
        <f>AND(#REF!,"AAAAADu+w4Q=")</f>
        <v>#REF!</v>
      </c>
      <c r="ED45" t="e">
        <f>AND(#REF!,"AAAAADu+w4U=")</f>
        <v>#REF!</v>
      </c>
      <c r="EE45" t="e">
        <f>AND(#REF!,"AAAAADu+w4Y=")</f>
        <v>#REF!</v>
      </c>
      <c r="EF45" t="e">
        <f>AND(#REF!,"AAAAADu+w4c=")</f>
        <v>#REF!</v>
      </c>
      <c r="EG45" t="e">
        <f>AND(#REF!,"AAAAADu+w4g=")</f>
        <v>#REF!</v>
      </c>
      <c r="EH45" t="e">
        <f>AND(#REF!,"AAAAADu+w4k=")</f>
        <v>#REF!</v>
      </c>
      <c r="EI45" t="e">
        <f>AND(#REF!,"AAAAADu+w4o=")</f>
        <v>#REF!</v>
      </c>
      <c r="EJ45" t="e">
        <f>AND(#REF!,"AAAAADu+w4s=")</f>
        <v>#REF!</v>
      </c>
      <c r="EK45" t="e">
        <f>AND(#REF!,"AAAAADu+w4w=")</f>
        <v>#REF!</v>
      </c>
      <c r="EL45" t="e">
        <f>AND(#REF!,"AAAAADu+w40=")</f>
        <v>#REF!</v>
      </c>
      <c r="EM45" t="e">
        <f>AND(#REF!,"AAAAADu+w44=")</f>
        <v>#REF!</v>
      </c>
      <c r="EN45" t="e">
        <f>AND(#REF!,"AAAAADu+w48=")</f>
        <v>#REF!</v>
      </c>
      <c r="EO45" t="e">
        <f>AND(#REF!,"AAAAADu+w5A=")</f>
        <v>#REF!</v>
      </c>
      <c r="EP45" t="e">
        <f>AND(#REF!,"AAAAADu+w5E=")</f>
        <v>#REF!</v>
      </c>
      <c r="EQ45" t="e">
        <f>AND(#REF!,"AAAAADu+w5I=")</f>
        <v>#REF!</v>
      </c>
      <c r="ER45" t="e">
        <f>AND(#REF!,"AAAAADu+w5M=")</f>
        <v>#REF!</v>
      </c>
      <c r="ES45" t="e">
        <f>AND(#REF!,"AAAAADu+w5Q=")</f>
        <v>#REF!</v>
      </c>
      <c r="ET45" t="e">
        <f>AND(#REF!,"AAAAADu+w5U=")</f>
        <v>#REF!</v>
      </c>
      <c r="EU45" t="e">
        <f>AND(#REF!,"AAAAADu+w5Y=")</f>
        <v>#REF!</v>
      </c>
      <c r="EV45" t="e">
        <f>AND(#REF!,"AAAAADu+w5c=")</f>
        <v>#REF!</v>
      </c>
      <c r="EW45" t="e">
        <f>AND(#REF!,"AAAAADu+w5g=")</f>
        <v>#REF!</v>
      </c>
      <c r="EX45" t="e">
        <f>AND(#REF!,"AAAAADu+w5k=")</f>
        <v>#REF!</v>
      </c>
      <c r="EY45" t="e">
        <f>AND(#REF!,"AAAAADu+w5o=")</f>
        <v>#REF!</v>
      </c>
      <c r="EZ45" t="e">
        <f>AND(#REF!,"AAAAADu+w5s=")</f>
        <v>#REF!</v>
      </c>
      <c r="FA45" t="e">
        <f>IF(#REF!,"AAAAADu+w5w=",0)</f>
        <v>#REF!</v>
      </c>
      <c r="FB45" t="e">
        <f>AND(#REF!,"AAAAADu+w50=")</f>
        <v>#REF!</v>
      </c>
      <c r="FC45" t="e">
        <f>AND(#REF!,"AAAAADu+w54=")</f>
        <v>#REF!</v>
      </c>
      <c r="FD45" t="e">
        <f>AND(#REF!,"AAAAADu+w58=")</f>
        <v>#REF!</v>
      </c>
      <c r="FE45" t="e">
        <f>AND(#REF!,"AAAAADu+w6A=")</f>
        <v>#REF!</v>
      </c>
      <c r="FF45" t="e">
        <f>AND(#REF!,"AAAAADu+w6E=")</f>
        <v>#REF!</v>
      </c>
      <c r="FG45" t="e">
        <f>AND(#REF!,"AAAAADu+w6I=")</f>
        <v>#REF!</v>
      </c>
      <c r="FH45" t="e">
        <f>AND(#REF!,"AAAAADu+w6M=")</f>
        <v>#REF!</v>
      </c>
      <c r="FI45" t="e">
        <f>AND(#REF!,"AAAAADu+w6Q=")</f>
        <v>#REF!</v>
      </c>
      <c r="FJ45" t="e">
        <f>AND(#REF!,"AAAAADu+w6U=")</f>
        <v>#REF!</v>
      </c>
      <c r="FK45" t="e">
        <f>AND(#REF!,"AAAAADu+w6Y=")</f>
        <v>#REF!</v>
      </c>
      <c r="FL45" t="e">
        <f>AND(#REF!,"AAAAADu+w6c=")</f>
        <v>#REF!</v>
      </c>
      <c r="FM45" t="e">
        <f>AND(#REF!,"AAAAADu+w6g=")</f>
        <v>#REF!</v>
      </c>
      <c r="FN45" t="e">
        <f>AND(#REF!,"AAAAADu+w6k=")</f>
        <v>#REF!</v>
      </c>
      <c r="FO45" t="e">
        <f>AND(#REF!,"AAAAADu+w6o=")</f>
        <v>#REF!</v>
      </c>
      <c r="FP45" t="e">
        <f>AND(#REF!,"AAAAADu+w6s=")</f>
        <v>#REF!</v>
      </c>
      <c r="FQ45" t="e">
        <f>AND(#REF!,"AAAAADu+w6w=")</f>
        <v>#REF!</v>
      </c>
      <c r="FR45" t="e">
        <f>AND(#REF!,"AAAAADu+w60=")</f>
        <v>#REF!</v>
      </c>
      <c r="FS45" t="e">
        <f>AND(#REF!,"AAAAADu+w64=")</f>
        <v>#REF!</v>
      </c>
      <c r="FT45" t="e">
        <f>AND(#REF!,"AAAAADu+w68=")</f>
        <v>#REF!</v>
      </c>
      <c r="FU45" t="e">
        <f>AND(#REF!,"AAAAADu+w7A=")</f>
        <v>#REF!</v>
      </c>
      <c r="FV45" t="e">
        <f>AND(#REF!,"AAAAADu+w7E=")</f>
        <v>#REF!</v>
      </c>
      <c r="FW45" t="e">
        <f>AND(#REF!,"AAAAADu+w7I=")</f>
        <v>#REF!</v>
      </c>
      <c r="FX45" t="e">
        <f>AND(#REF!,"AAAAADu+w7M=")</f>
        <v>#REF!</v>
      </c>
      <c r="FY45" t="e">
        <f>AND(#REF!,"AAAAADu+w7Q=")</f>
        <v>#REF!</v>
      </c>
      <c r="FZ45" t="e">
        <f>AND(#REF!,"AAAAADu+w7U=")</f>
        <v>#REF!</v>
      </c>
      <c r="GA45" t="e">
        <f>AND(#REF!,"AAAAADu+w7Y=")</f>
        <v>#REF!</v>
      </c>
      <c r="GB45" t="e">
        <f>AND(#REF!,"AAAAADu+w7c=")</f>
        <v>#REF!</v>
      </c>
      <c r="GC45" t="e">
        <f>AND(#REF!,"AAAAADu+w7g=")</f>
        <v>#REF!</v>
      </c>
      <c r="GD45" t="e">
        <f>AND(#REF!,"AAAAADu+w7k=")</f>
        <v>#REF!</v>
      </c>
      <c r="GE45" t="e">
        <f>AND(#REF!,"AAAAADu+w7o=")</f>
        <v>#REF!</v>
      </c>
      <c r="GF45" t="e">
        <f>AND(#REF!,"AAAAADu+w7s=")</f>
        <v>#REF!</v>
      </c>
      <c r="GG45" t="e">
        <f>AND(#REF!,"AAAAADu+w7w=")</f>
        <v>#REF!</v>
      </c>
      <c r="GH45" t="e">
        <f>AND(#REF!,"AAAAADu+w70=")</f>
        <v>#REF!</v>
      </c>
      <c r="GI45" t="e">
        <f>AND(#REF!,"AAAAADu+w74=")</f>
        <v>#REF!</v>
      </c>
      <c r="GJ45" t="e">
        <f>AND(#REF!,"AAAAADu+w78=")</f>
        <v>#REF!</v>
      </c>
      <c r="GK45" t="e">
        <f>AND(#REF!,"AAAAADu+w8A=")</f>
        <v>#REF!</v>
      </c>
      <c r="GL45" t="e">
        <f>AND(#REF!,"AAAAADu+w8E=")</f>
        <v>#REF!</v>
      </c>
      <c r="GM45" t="e">
        <f>AND(#REF!,"AAAAADu+w8I=")</f>
        <v>#REF!</v>
      </c>
      <c r="GN45" t="e">
        <f>AND(#REF!,"AAAAADu+w8M=")</f>
        <v>#REF!</v>
      </c>
      <c r="GO45" t="e">
        <f>AND(#REF!,"AAAAADu+w8Q=")</f>
        <v>#REF!</v>
      </c>
      <c r="GP45" t="e">
        <f>AND(#REF!,"AAAAADu+w8U=")</f>
        <v>#REF!</v>
      </c>
      <c r="GQ45" t="e">
        <f>AND(#REF!,"AAAAADu+w8Y=")</f>
        <v>#REF!</v>
      </c>
      <c r="GR45" t="e">
        <f>AND(#REF!,"AAAAADu+w8c=")</f>
        <v>#REF!</v>
      </c>
      <c r="GS45" t="e">
        <f>AND(#REF!,"AAAAADu+w8g=")</f>
        <v>#REF!</v>
      </c>
      <c r="GT45" t="e">
        <f>AND(#REF!,"AAAAADu+w8k=")</f>
        <v>#REF!</v>
      </c>
      <c r="GU45" t="e">
        <f>AND(#REF!,"AAAAADu+w8o=")</f>
        <v>#REF!</v>
      </c>
      <c r="GV45" t="e">
        <f>AND(#REF!,"AAAAADu+w8s=")</f>
        <v>#REF!</v>
      </c>
      <c r="GW45" t="e">
        <f>AND(#REF!,"AAAAADu+w8w=")</f>
        <v>#REF!</v>
      </c>
      <c r="GX45" t="e">
        <f>AND(#REF!,"AAAAADu+w80=")</f>
        <v>#REF!</v>
      </c>
      <c r="GY45" t="e">
        <f>AND(#REF!,"AAAAADu+w84=")</f>
        <v>#REF!</v>
      </c>
      <c r="GZ45" t="e">
        <f>AND(#REF!,"AAAAADu+w88=")</f>
        <v>#REF!</v>
      </c>
      <c r="HA45" t="e">
        <f>AND(#REF!,"AAAAADu+w9A=")</f>
        <v>#REF!</v>
      </c>
      <c r="HB45" t="e">
        <f>AND(#REF!,"AAAAADu+w9E=")</f>
        <v>#REF!</v>
      </c>
      <c r="HC45" t="e">
        <f>AND(#REF!,"AAAAADu+w9I=")</f>
        <v>#REF!</v>
      </c>
      <c r="HD45" t="e">
        <f>AND(#REF!,"AAAAADu+w9M=")</f>
        <v>#REF!</v>
      </c>
      <c r="HE45" t="e">
        <f>AND(#REF!,"AAAAADu+w9Q=")</f>
        <v>#REF!</v>
      </c>
      <c r="HF45" t="e">
        <f>AND(#REF!,"AAAAADu+w9U=")</f>
        <v>#REF!</v>
      </c>
      <c r="HG45" t="e">
        <f>AND(#REF!,"AAAAADu+w9Y=")</f>
        <v>#REF!</v>
      </c>
      <c r="HH45" t="e">
        <f>AND(#REF!,"AAAAADu+w9c=")</f>
        <v>#REF!</v>
      </c>
      <c r="HI45" t="e">
        <f>AND(#REF!,"AAAAADu+w9g=")</f>
        <v>#REF!</v>
      </c>
      <c r="HJ45" t="e">
        <f>AND(#REF!,"AAAAADu+w9k=")</f>
        <v>#REF!</v>
      </c>
      <c r="HK45" t="e">
        <f>AND(#REF!,"AAAAADu+w9o=")</f>
        <v>#REF!</v>
      </c>
      <c r="HL45" t="e">
        <f>AND(#REF!,"AAAAADu+w9s=")</f>
        <v>#REF!</v>
      </c>
      <c r="HM45" t="e">
        <f>AND(#REF!,"AAAAADu+w9w=")</f>
        <v>#REF!</v>
      </c>
      <c r="HN45" t="e">
        <f>AND(#REF!,"AAAAADu+w90=")</f>
        <v>#REF!</v>
      </c>
      <c r="HO45" t="e">
        <f>AND(#REF!,"AAAAADu+w94=")</f>
        <v>#REF!</v>
      </c>
      <c r="HP45" t="e">
        <f>AND(#REF!,"AAAAADu+w98=")</f>
        <v>#REF!</v>
      </c>
      <c r="HQ45" t="e">
        <f>AND(#REF!,"AAAAADu+w+A=")</f>
        <v>#REF!</v>
      </c>
      <c r="HR45" t="e">
        <f>AND(#REF!,"AAAAADu+w+E=")</f>
        <v>#REF!</v>
      </c>
      <c r="HS45" t="e">
        <f>AND(#REF!,"AAAAADu+w+I=")</f>
        <v>#REF!</v>
      </c>
      <c r="HT45" t="e">
        <f>AND(#REF!,"AAAAADu+w+M=")</f>
        <v>#REF!</v>
      </c>
      <c r="HU45" t="e">
        <f>AND(#REF!,"AAAAADu+w+Q=")</f>
        <v>#REF!</v>
      </c>
      <c r="HV45" t="e">
        <f>AND(#REF!,"AAAAADu+w+U=")</f>
        <v>#REF!</v>
      </c>
      <c r="HW45" t="e">
        <f>AND(#REF!,"AAAAADu+w+Y=")</f>
        <v>#REF!</v>
      </c>
      <c r="HX45" t="e">
        <f>AND(#REF!,"AAAAADu+w+c=")</f>
        <v>#REF!</v>
      </c>
      <c r="HY45" t="e">
        <f>AND(#REF!,"AAAAADu+w+g=")</f>
        <v>#REF!</v>
      </c>
      <c r="HZ45" t="e">
        <f>AND(#REF!,"AAAAADu+w+k=")</f>
        <v>#REF!</v>
      </c>
      <c r="IA45" t="e">
        <f>AND(#REF!,"AAAAADu+w+o=")</f>
        <v>#REF!</v>
      </c>
      <c r="IB45" t="e">
        <f>AND(#REF!,"AAAAADu+w+s=")</f>
        <v>#REF!</v>
      </c>
      <c r="IC45" t="e">
        <f>AND(#REF!,"AAAAADu+w+w=")</f>
        <v>#REF!</v>
      </c>
      <c r="ID45" t="e">
        <f>AND(#REF!,"AAAAADu+w+0=")</f>
        <v>#REF!</v>
      </c>
      <c r="IE45" t="e">
        <f>AND(#REF!,"AAAAADu+w+4=")</f>
        <v>#REF!</v>
      </c>
      <c r="IF45" t="e">
        <f>AND(#REF!,"AAAAADu+w+8=")</f>
        <v>#REF!</v>
      </c>
      <c r="IG45" t="e">
        <f>AND(#REF!,"AAAAADu+w/A=")</f>
        <v>#REF!</v>
      </c>
      <c r="IH45" t="e">
        <f>AND(#REF!,"AAAAADu+w/E=")</f>
        <v>#REF!</v>
      </c>
      <c r="II45" t="e">
        <f>AND(#REF!,"AAAAADu+w/I=")</f>
        <v>#REF!</v>
      </c>
      <c r="IJ45" t="e">
        <f>AND(#REF!,"AAAAADu+w/M=")</f>
        <v>#REF!</v>
      </c>
      <c r="IK45" t="e">
        <f>AND(#REF!,"AAAAADu+w/Q=")</f>
        <v>#REF!</v>
      </c>
      <c r="IL45" t="e">
        <f>AND(#REF!,"AAAAADu+w/U=")</f>
        <v>#REF!</v>
      </c>
      <c r="IM45" t="e">
        <f>AND(#REF!,"AAAAADu+w/Y=")</f>
        <v>#REF!</v>
      </c>
      <c r="IN45" t="e">
        <f>AND(#REF!,"AAAAADu+w/c=")</f>
        <v>#REF!</v>
      </c>
      <c r="IO45" t="e">
        <f>AND(#REF!,"AAAAADu+w/g=")</f>
        <v>#REF!</v>
      </c>
      <c r="IP45" t="e">
        <f>AND(#REF!,"AAAAADu+w/k=")</f>
        <v>#REF!</v>
      </c>
      <c r="IQ45" t="e">
        <f>AND(#REF!,"AAAAADu+w/o=")</f>
        <v>#REF!</v>
      </c>
      <c r="IR45" t="e">
        <f>AND(#REF!,"AAAAADu+w/s=")</f>
        <v>#REF!</v>
      </c>
      <c r="IS45" t="e">
        <f>AND(#REF!,"AAAAADu+w/w=")</f>
        <v>#REF!</v>
      </c>
      <c r="IT45" t="e">
        <f>AND(#REF!,"AAAAADu+w/0=")</f>
        <v>#REF!</v>
      </c>
      <c r="IU45" t="e">
        <f>AND(#REF!,"AAAAADu+w/4=")</f>
        <v>#REF!</v>
      </c>
      <c r="IV45" t="e">
        <f>AND(#REF!,"AAAAADu+w/8=")</f>
        <v>#REF!</v>
      </c>
    </row>
    <row r="46" spans="1:256" x14ac:dyDescent="0.2">
      <c r="A46" t="e">
        <f>AND(#REF!,"AAAAAGn/+gA=")</f>
        <v>#REF!</v>
      </c>
      <c r="B46" t="e">
        <f>AND(#REF!,"AAAAAGn/+gE=")</f>
        <v>#REF!</v>
      </c>
      <c r="C46" t="e">
        <f>AND(#REF!,"AAAAAGn/+gI=")</f>
        <v>#REF!</v>
      </c>
      <c r="D46" t="e">
        <f>AND(#REF!,"AAAAAGn/+gM=")</f>
        <v>#REF!</v>
      </c>
      <c r="E46" t="e">
        <f>AND(#REF!,"AAAAAGn/+gQ=")</f>
        <v>#REF!</v>
      </c>
      <c r="F46" t="e">
        <f>AND(#REF!,"AAAAAGn/+gU=")</f>
        <v>#REF!</v>
      </c>
      <c r="G46" t="e">
        <f>AND(#REF!,"AAAAAGn/+gY=")</f>
        <v>#REF!</v>
      </c>
      <c r="H46" t="e">
        <f>AND(#REF!,"AAAAAGn/+gc=")</f>
        <v>#REF!</v>
      </c>
      <c r="I46" t="e">
        <f>AND(#REF!,"AAAAAGn/+gg=")</f>
        <v>#REF!</v>
      </c>
      <c r="J46" t="e">
        <f>AND(#REF!,"AAAAAGn/+gk=")</f>
        <v>#REF!</v>
      </c>
      <c r="K46" t="e">
        <f>AND(#REF!,"AAAAAGn/+go=")</f>
        <v>#REF!</v>
      </c>
      <c r="L46" t="e">
        <f>AND(#REF!,"AAAAAGn/+gs=")</f>
        <v>#REF!</v>
      </c>
      <c r="M46" t="e">
        <f>AND(#REF!,"AAAAAGn/+gw=")</f>
        <v>#REF!</v>
      </c>
      <c r="N46" t="e">
        <f>AND(#REF!,"AAAAAGn/+g0=")</f>
        <v>#REF!</v>
      </c>
      <c r="O46" t="e">
        <f>AND(#REF!,"AAAAAGn/+g4=")</f>
        <v>#REF!</v>
      </c>
      <c r="P46" t="e">
        <f>AND(#REF!,"AAAAAGn/+g8=")</f>
        <v>#REF!</v>
      </c>
      <c r="Q46" t="e">
        <f>AND(#REF!,"AAAAAGn/+hA=")</f>
        <v>#REF!</v>
      </c>
      <c r="R46" t="e">
        <f>AND(#REF!,"AAAAAGn/+hE=")</f>
        <v>#REF!</v>
      </c>
      <c r="S46" t="e">
        <f>AND(#REF!,"AAAAAGn/+hI=")</f>
        <v>#REF!</v>
      </c>
      <c r="T46" t="e">
        <f>AND(#REF!,"AAAAAGn/+hM=")</f>
        <v>#REF!</v>
      </c>
      <c r="U46" t="e">
        <f>AND(#REF!,"AAAAAGn/+hQ=")</f>
        <v>#REF!</v>
      </c>
      <c r="V46" t="e">
        <f>AND(#REF!,"AAAAAGn/+hU=")</f>
        <v>#REF!</v>
      </c>
      <c r="W46" t="e">
        <f>AND(#REF!,"AAAAAGn/+hY=")</f>
        <v>#REF!</v>
      </c>
      <c r="X46" t="e">
        <f>AND(#REF!,"AAAAAGn/+hc=")</f>
        <v>#REF!</v>
      </c>
      <c r="Y46" t="e">
        <f>AND(#REF!,"AAAAAGn/+hg=")</f>
        <v>#REF!</v>
      </c>
      <c r="Z46" t="e">
        <f>AND(#REF!,"AAAAAGn/+hk=")</f>
        <v>#REF!</v>
      </c>
      <c r="AA46" t="e">
        <f>AND(#REF!,"AAAAAGn/+ho=")</f>
        <v>#REF!</v>
      </c>
      <c r="AB46" t="e">
        <f>AND(#REF!,"AAAAAGn/+hs=")</f>
        <v>#REF!</v>
      </c>
      <c r="AC46" t="e">
        <f>AND(#REF!,"AAAAAGn/+hw=")</f>
        <v>#REF!</v>
      </c>
      <c r="AD46" t="e">
        <f>AND(#REF!,"AAAAAGn/+h0=")</f>
        <v>#REF!</v>
      </c>
      <c r="AE46" t="e">
        <f>AND(#REF!,"AAAAAGn/+h4=")</f>
        <v>#REF!</v>
      </c>
      <c r="AF46" t="e">
        <f>AND(#REF!,"AAAAAGn/+h8=")</f>
        <v>#REF!</v>
      </c>
      <c r="AG46" t="e">
        <f>AND(#REF!,"AAAAAGn/+iA=")</f>
        <v>#REF!</v>
      </c>
      <c r="AH46" t="e">
        <f>AND(#REF!,"AAAAAGn/+iE=")</f>
        <v>#REF!</v>
      </c>
      <c r="AI46" t="e">
        <f>AND(#REF!,"AAAAAGn/+iI=")</f>
        <v>#REF!</v>
      </c>
      <c r="AJ46" t="e">
        <f>AND(#REF!,"AAAAAGn/+iM=")</f>
        <v>#REF!</v>
      </c>
      <c r="AK46" t="e">
        <f>AND(#REF!,"AAAAAGn/+iQ=")</f>
        <v>#REF!</v>
      </c>
      <c r="AL46" t="e">
        <f>AND(#REF!,"AAAAAGn/+iU=")</f>
        <v>#REF!</v>
      </c>
      <c r="AM46" t="e">
        <f>AND(#REF!,"AAAAAGn/+iY=")</f>
        <v>#REF!</v>
      </c>
      <c r="AN46" t="e">
        <f>AND(#REF!,"AAAAAGn/+ic=")</f>
        <v>#REF!</v>
      </c>
      <c r="AO46" t="e">
        <f>AND(#REF!,"AAAAAGn/+ig=")</f>
        <v>#REF!</v>
      </c>
      <c r="AP46" t="e">
        <f>AND(#REF!,"AAAAAGn/+ik=")</f>
        <v>#REF!</v>
      </c>
      <c r="AQ46" t="e">
        <f>AND(#REF!,"AAAAAGn/+io=")</f>
        <v>#REF!</v>
      </c>
      <c r="AR46" t="e">
        <f>AND(#REF!,"AAAAAGn/+is=")</f>
        <v>#REF!</v>
      </c>
      <c r="AS46" t="e">
        <f>AND(#REF!,"AAAAAGn/+iw=")</f>
        <v>#REF!</v>
      </c>
      <c r="AT46" t="e">
        <f>AND(#REF!,"AAAAAGn/+i0=")</f>
        <v>#REF!</v>
      </c>
      <c r="AU46" t="e">
        <f>AND(#REF!,"AAAAAGn/+i4=")</f>
        <v>#REF!</v>
      </c>
      <c r="AV46" t="e">
        <f>AND(#REF!,"AAAAAGn/+i8=")</f>
        <v>#REF!</v>
      </c>
      <c r="AW46" t="e">
        <f>AND(#REF!,"AAAAAGn/+jA=")</f>
        <v>#REF!</v>
      </c>
      <c r="AX46" t="e">
        <f>AND(#REF!,"AAAAAGn/+jE=")</f>
        <v>#REF!</v>
      </c>
      <c r="AY46" t="e">
        <f>AND(#REF!,"AAAAAGn/+jI=")</f>
        <v>#REF!</v>
      </c>
      <c r="AZ46" t="e">
        <f>AND(#REF!,"AAAAAGn/+jM=")</f>
        <v>#REF!</v>
      </c>
      <c r="BA46" t="e">
        <f>AND(#REF!,"AAAAAGn/+jQ=")</f>
        <v>#REF!</v>
      </c>
      <c r="BB46" t="e">
        <f>AND(#REF!,"AAAAAGn/+jU=")</f>
        <v>#REF!</v>
      </c>
      <c r="BC46" t="e">
        <f>AND(#REF!,"AAAAAGn/+jY=")</f>
        <v>#REF!</v>
      </c>
      <c r="BD46" t="e">
        <f>AND(#REF!,"AAAAAGn/+jc=")</f>
        <v>#REF!</v>
      </c>
      <c r="BE46" t="e">
        <f>AND(#REF!,"AAAAAGn/+jg=")</f>
        <v>#REF!</v>
      </c>
      <c r="BF46" t="e">
        <f>AND(#REF!,"AAAAAGn/+jk=")</f>
        <v>#REF!</v>
      </c>
      <c r="BG46" t="e">
        <f>AND(#REF!,"AAAAAGn/+jo=")</f>
        <v>#REF!</v>
      </c>
      <c r="BH46" t="e">
        <f>AND(#REF!,"AAAAAGn/+js=")</f>
        <v>#REF!</v>
      </c>
      <c r="BI46" t="e">
        <f>AND(#REF!,"AAAAAGn/+jw=")</f>
        <v>#REF!</v>
      </c>
      <c r="BJ46" t="e">
        <f>AND(#REF!,"AAAAAGn/+j0=")</f>
        <v>#REF!</v>
      </c>
      <c r="BK46" t="e">
        <f>AND(#REF!,"AAAAAGn/+j4=")</f>
        <v>#REF!</v>
      </c>
      <c r="BL46" t="e">
        <f>AND(#REF!,"AAAAAGn/+j8=")</f>
        <v>#REF!</v>
      </c>
      <c r="BM46" t="e">
        <f>AND(#REF!,"AAAAAGn/+kA=")</f>
        <v>#REF!</v>
      </c>
      <c r="BN46" t="e">
        <f>AND(#REF!,"AAAAAGn/+kE=")</f>
        <v>#REF!</v>
      </c>
      <c r="BO46" t="e">
        <f>AND(#REF!,"AAAAAGn/+kI=")</f>
        <v>#REF!</v>
      </c>
      <c r="BP46" t="e">
        <f>AND(#REF!,"AAAAAGn/+kM=")</f>
        <v>#REF!</v>
      </c>
      <c r="BQ46" t="e">
        <f>AND(#REF!,"AAAAAGn/+kQ=")</f>
        <v>#REF!</v>
      </c>
      <c r="BR46" t="e">
        <f>AND(#REF!,"AAAAAGn/+kU=")</f>
        <v>#REF!</v>
      </c>
      <c r="BS46" t="e">
        <f>AND(#REF!,"AAAAAGn/+kY=")</f>
        <v>#REF!</v>
      </c>
      <c r="BT46" t="e">
        <f>AND(#REF!,"AAAAAGn/+kc=")</f>
        <v>#REF!</v>
      </c>
      <c r="BU46" t="e">
        <f>AND(#REF!,"AAAAAGn/+kg=")</f>
        <v>#REF!</v>
      </c>
      <c r="BV46" t="e">
        <f>AND(#REF!,"AAAAAGn/+kk=")</f>
        <v>#REF!</v>
      </c>
      <c r="BW46" t="e">
        <f>AND(#REF!,"AAAAAGn/+ko=")</f>
        <v>#REF!</v>
      </c>
      <c r="BX46" t="e">
        <f>AND(#REF!,"AAAAAGn/+ks=")</f>
        <v>#REF!</v>
      </c>
      <c r="BY46" t="e">
        <f>AND(#REF!,"AAAAAGn/+kw=")</f>
        <v>#REF!</v>
      </c>
      <c r="BZ46" t="e">
        <f>AND(#REF!,"AAAAAGn/+k0=")</f>
        <v>#REF!</v>
      </c>
      <c r="CA46" t="e">
        <f>AND(#REF!,"AAAAAGn/+k4=")</f>
        <v>#REF!</v>
      </c>
      <c r="CB46" t="e">
        <f>AND(#REF!,"AAAAAGn/+k8=")</f>
        <v>#REF!</v>
      </c>
      <c r="CC46" t="e">
        <f>AND(#REF!,"AAAAAGn/+lA=")</f>
        <v>#REF!</v>
      </c>
      <c r="CD46" t="e">
        <f>IF(#REF!,"AAAAAGn/+lE=",0)</f>
        <v>#REF!</v>
      </c>
      <c r="CE46" t="e">
        <f>AND(#REF!,"AAAAAGn/+lI=")</f>
        <v>#REF!</v>
      </c>
      <c r="CF46" t="e">
        <f>AND(#REF!,"AAAAAGn/+lM=")</f>
        <v>#REF!</v>
      </c>
      <c r="CG46" t="e">
        <f>AND(#REF!,"AAAAAGn/+lQ=")</f>
        <v>#REF!</v>
      </c>
      <c r="CH46" t="e">
        <f>AND(#REF!,"AAAAAGn/+lU=")</f>
        <v>#REF!</v>
      </c>
      <c r="CI46" t="e">
        <f>AND(#REF!,"AAAAAGn/+lY=")</f>
        <v>#REF!</v>
      </c>
      <c r="CJ46" t="e">
        <f>AND(#REF!,"AAAAAGn/+lc=")</f>
        <v>#REF!</v>
      </c>
      <c r="CK46" t="e">
        <f>AND(#REF!,"AAAAAGn/+lg=")</f>
        <v>#REF!</v>
      </c>
      <c r="CL46" t="e">
        <f>AND(#REF!,"AAAAAGn/+lk=")</f>
        <v>#REF!</v>
      </c>
      <c r="CM46" t="e">
        <f>AND(#REF!,"AAAAAGn/+lo=")</f>
        <v>#REF!</v>
      </c>
      <c r="CN46" t="e">
        <f>AND(#REF!,"AAAAAGn/+ls=")</f>
        <v>#REF!</v>
      </c>
      <c r="CO46" t="e">
        <f>AND(#REF!,"AAAAAGn/+lw=")</f>
        <v>#REF!</v>
      </c>
      <c r="CP46" t="e">
        <f>AND(#REF!,"AAAAAGn/+l0=")</f>
        <v>#REF!</v>
      </c>
      <c r="CQ46" t="e">
        <f>AND(#REF!,"AAAAAGn/+l4=")</f>
        <v>#REF!</v>
      </c>
      <c r="CR46" t="e">
        <f>AND(#REF!,"AAAAAGn/+l8=")</f>
        <v>#REF!</v>
      </c>
      <c r="CS46" t="e">
        <f>AND(#REF!,"AAAAAGn/+mA=")</f>
        <v>#REF!</v>
      </c>
      <c r="CT46" t="e">
        <f>AND(#REF!,"AAAAAGn/+mE=")</f>
        <v>#REF!</v>
      </c>
      <c r="CU46" t="e">
        <f>AND(#REF!,"AAAAAGn/+mI=")</f>
        <v>#REF!</v>
      </c>
      <c r="CV46" t="e">
        <f>AND(#REF!,"AAAAAGn/+mM=")</f>
        <v>#REF!</v>
      </c>
      <c r="CW46" t="e">
        <f>AND(#REF!,"AAAAAGn/+mQ=")</f>
        <v>#REF!</v>
      </c>
      <c r="CX46" t="e">
        <f>AND(#REF!,"AAAAAGn/+mU=")</f>
        <v>#REF!</v>
      </c>
      <c r="CY46" t="e">
        <f>AND(#REF!,"AAAAAGn/+mY=")</f>
        <v>#REF!</v>
      </c>
      <c r="CZ46" t="e">
        <f>AND(#REF!,"AAAAAGn/+mc=")</f>
        <v>#REF!</v>
      </c>
      <c r="DA46" t="e">
        <f>AND(#REF!,"AAAAAGn/+mg=")</f>
        <v>#REF!</v>
      </c>
      <c r="DB46" t="e">
        <f>AND(#REF!,"AAAAAGn/+mk=")</f>
        <v>#REF!</v>
      </c>
      <c r="DC46" t="e">
        <f>AND(#REF!,"AAAAAGn/+mo=")</f>
        <v>#REF!</v>
      </c>
      <c r="DD46" t="e">
        <f>AND(#REF!,"AAAAAGn/+ms=")</f>
        <v>#REF!</v>
      </c>
      <c r="DE46" t="e">
        <f>AND(#REF!,"AAAAAGn/+mw=")</f>
        <v>#REF!</v>
      </c>
      <c r="DF46" t="e">
        <f>AND(#REF!,"AAAAAGn/+m0=")</f>
        <v>#REF!</v>
      </c>
      <c r="DG46" t="e">
        <f>AND(#REF!,"AAAAAGn/+m4=")</f>
        <v>#REF!</v>
      </c>
      <c r="DH46" t="e">
        <f>AND(#REF!,"AAAAAGn/+m8=")</f>
        <v>#REF!</v>
      </c>
      <c r="DI46" t="e">
        <f>AND(#REF!,"AAAAAGn/+nA=")</f>
        <v>#REF!</v>
      </c>
      <c r="DJ46" t="e">
        <f>AND(#REF!,"AAAAAGn/+nE=")</f>
        <v>#REF!</v>
      </c>
      <c r="DK46" t="e">
        <f>AND(#REF!,"AAAAAGn/+nI=")</f>
        <v>#REF!</v>
      </c>
      <c r="DL46" t="e">
        <f>AND(#REF!,"AAAAAGn/+nM=")</f>
        <v>#REF!</v>
      </c>
      <c r="DM46" t="e">
        <f>AND(#REF!,"AAAAAGn/+nQ=")</f>
        <v>#REF!</v>
      </c>
      <c r="DN46" t="e">
        <f>AND(#REF!,"AAAAAGn/+nU=")</f>
        <v>#REF!</v>
      </c>
      <c r="DO46" t="e">
        <f>AND(#REF!,"AAAAAGn/+nY=")</f>
        <v>#REF!</v>
      </c>
      <c r="DP46" t="e">
        <f>AND(#REF!,"AAAAAGn/+nc=")</f>
        <v>#REF!</v>
      </c>
      <c r="DQ46" t="e">
        <f>AND(#REF!,"AAAAAGn/+ng=")</f>
        <v>#REF!</v>
      </c>
      <c r="DR46" t="e">
        <f>AND(#REF!,"AAAAAGn/+nk=")</f>
        <v>#REF!</v>
      </c>
      <c r="DS46" t="e">
        <f>AND(#REF!,"AAAAAGn/+no=")</f>
        <v>#REF!</v>
      </c>
      <c r="DT46" t="e">
        <f>AND(#REF!,"AAAAAGn/+ns=")</f>
        <v>#REF!</v>
      </c>
      <c r="DU46" t="e">
        <f>AND(#REF!,"AAAAAGn/+nw=")</f>
        <v>#REF!</v>
      </c>
      <c r="DV46" t="e">
        <f>AND(#REF!,"AAAAAGn/+n0=")</f>
        <v>#REF!</v>
      </c>
      <c r="DW46" t="e">
        <f>AND(#REF!,"AAAAAGn/+n4=")</f>
        <v>#REF!</v>
      </c>
      <c r="DX46" t="e">
        <f>AND(#REF!,"AAAAAGn/+n8=")</f>
        <v>#REF!</v>
      </c>
      <c r="DY46" t="e">
        <f>AND(#REF!,"AAAAAGn/+oA=")</f>
        <v>#REF!</v>
      </c>
      <c r="DZ46" t="e">
        <f>AND(#REF!,"AAAAAGn/+oE=")</f>
        <v>#REF!</v>
      </c>
      <c r="EA46" t="e">
        <f>AND(#REF!,"AAAAAGn/+oI=")</f>
        <v>#REF!</v>
      </c>
      <c r="EB46" t="e">
        <f>AND(#REF!,"AAAAAGn/+oM=")</f>
        <v>#REF!</v>
      </c>
      <c r="EC46" t="e">
        <f>AND(#REF!,"AAAAAGn/+oQ=")</f>
        <v>#REF!</v>
      </c>
      <c r="ED46" t="e">
        <f>AND(#REF!,"AAAAAGn/+oU=")</f>
        <v>#REF!</v>
      </c>
      <c r="EE46" t="e">
        <f>AND(#REF!,"AAAAAGn/+oY=")</f>
        <v>#REF!</v>
      </c>
      <c r="EF46" t="e">
        <f>AND(#REF!,"AAAAAGn/+oc=")</f>
        <v>#REF!</v>
      </c>
      <c r="EG46" t="e">
        <f>AND(#REF!,"AAAAAGn/+og=")</f>
        <v>#REF!</v>
      </c>
      <c r="EH46" t="e">
        <f>AND(#REF!,"AAAAAGn/+ok=")</f>
        <v>#REF!</v>
      </c>
      <c r="EI46" t="e">
        <f>AND(#REF!,"AAAAAGn/+oo=")</f>
        <v>#REF!</v>
      </c>
      <c r="EJ46" t="e">
        <f>AND(#REF!,"AAAAAGn/+os=")</f>
        <v>#REF!</v>
      </c>
      <c r="EK46" t="e">
        <f>AND(#REF!,"AAAAAGn/+ow=")</f>
        <v>#REF!</v>
      </c>
      <c r="EL46" t="e">
        <f>AND(#REF!,"AAAAAGn/+o0=")</f>
        <v>#REF!</v>
      </c>
      <c r="EM46" t="e">
        <f>AND(#REF!,"AAAAAGn/+o4=")</f>
        <v>#REF!</v>
      </c>
      <c r="EN46" t="e">
        <f>AND(#REF!,"AAAAAGn/+o8=")</f>
        <v>#REF!</v>
      </c>
      <c r="EO46" t="e">
        <f>AND(#REF!,"AAAAAGn/+pA=")</f>
        <v>#REF!</v>
      </c>
      <c r="EP46" t="e">
        <f>AND(#REF!,"AAAAAGn/+pE=")</f>
        <v>#REF!</v>
      </c>
      <c r="EQ46" t="e">
        <f>AND(#REF!,"AAAAAGn/+pI=")</f>
        <v>#REF!</v>
      </c>
      <c r="ER46" t="e">
        <f>AND(#REF!,"AAAAAGn/+pM=")</f>
        <v>#REF!</v>
      </c>
      <c r="ES46" t="e">
        <f>AND(#REF!,"AAAAAGn/+pQ=")</f>
        <v>#REF!</v>
      </c>
      <c r="ET46" t="e">
        <f>AND(#REF!,"AAAAAGn/+pU=")</f>
        <v>#REF!</v>
      </c>
      <c r="EU46" t="e">
        <f>AND(#REF!,"AAAAAGn/+pY=")</f>
        <v>#REF!</v>
      </c>
      <c r="EV46" t="e">
        <f>AND(#REF!,"AAAAAGn/+pc=")</f>
        <v>#REF!</v>
      </c>
      <c r="EW46" t="e">
        <f>AND(#REF!,"AAAAAGn/+pg=")</f>
        <v>#REF!</v>
      </c>
      <c r="EX46" t="e">
        <f>AND(#REF!,"AAAAAGn/+pk=")</f>
        <v>#REF!</v>
      </c>
      <c r="EY46" t="e">
        <f>AND(#REF!,"AAAAAGn/+po=")</f>
        <v>#REF!</v>
      </c>
      <c r="EZ46" t="e">
        <f>AND(#REF!,"AAAAAGn/+ps=")</f>
        <v>#REF!</v>
      </c>
      <c r="FA46" t="e">
        <f>AND(#REF!,"AAAAAGn/+pw=")</f>
        <v>#REF!</v>
      </c>
      <c r="FB46" t="e">
        <f>AND(#REF!,"AAAAAGn/+p0=")</f>
        <v>#REF!</v>
      </c>
      <c r="FC46" t="e">
        <f>AND(#REF!,"AAAAAGn/+p4=")</f>
        <v>#REF!</v>
      </c>
      <c r="FD46" t="e">
        <f>AND(#REF!,"AAAAAGn/+p8=")</f>
        <v>#REF!</v>
      </c>
      <c r="FE46" t="e">
        <f>AND(#REF!,"AAAAAGn/+qA=")</f>
        <v>#REF!</v>
      </c>
      <c r="FF46" t="e">
        <f>AND(#REF!,"AAAAAGn/+qE=")</f>
        <v>#REF!</v>
      </c>
      <c r="FG46" t="e">
        <f>AND(#REF!,"AAAAAGn/+qI=")</f>
        <v>#REF!</v>
      </c>
      <c r="FH46" t="e">
        <f>AND(#REF!,"AAAAAGn/+qM=")</f>
        <v>#REF!</v>
      </c>
      <c r="FI46" t="e">
        <f>AND(#REF!,"AAAAAGn/+qQ=")</f>
        <v>#REF!</v>
      </c>
      <c r="FJ46" t="e">
        <f>AND(#REF!,"AAAAAGn/+qU=")</f>
        <v>#REF!</v>
      </c>
      <c r="FK46" t="e">
        <f>AND(#REF!,"AAAAAGn/+qY=")</f>
        <v>#REF!</v>
      </c>
      <c r="FL46" t="e">
        <f>AND(#REF!,"AAAAAGn/+qc=")</f>
        <v>#REF!</v>
      </c>
      <c r="FM46" t="e">
        <f>AND(#REF!,"AAAAAGn/+qg=")</f>
        <v>#REF!</v>
      </c>
      <c r="FN46" t="e">
        <f>AND(#REF!,"AAAAAGn/+qk=")</f>
        <v>#REF!</v>
      </c>
      <c r="FO46" t="e">
        <f>AND(#REF!,"AAAAAGn/+qo=")</f>
        <v>#REF!</v>
      </c>
      <c r="FP46" t="e">
        <f>AND(#REF!,"AAAAAGn/+qs=")</f>
        <v>#REF!</v>
      </c>
      <c r="FQ46" t="e">
        <f>AND(#REF!,"AAAAAGn/+qw=")</f>
        <v>#REF!</v>
      </c>
      <c r="FR46" t="e">
        <f>AND(#REF!,"AAAAAGn/+q0=")</f>
        <v>#REF!</v>
      </c>
      <c r="FS46" t="e">
        <f>AND(#REF!,"AAAAAGn/+q4=")</f>
        <v>#REF!</v>
      </c>
      <c r="FT46" t="e">
        <f>AND(#REF!,"AAAAAGn/+q8=")</f>
        <v>#REF!</v>
      </c>
      <c r="FU46" t="e">
        <f>AND(#REF!,"AAAAAGn/+rA=")</f>
        <v>#REF!</v>
      </c>
      <c r="FV46" t="e">
        <f>AND(#REF!,"AAAAAGn/+rE=")</f>
        <v>#REF!</v>
      </c>
      <c r="FW46" t="e">
        <f>AND(#REF!,"AAAAAGn/+rI=")</f>
        <v>#REF!</v>
      </c>
      <c r="FX46" t="e">
        <f>AND(#REF!,"AAAAAGn/+rM=")</f>
        <v>#REF!</v>
      </c>
      <c r="FY46" t="e">
        <f>AND(#REF!,"AAAAAGn/+rQ=")</f>
        <v>#REF!</v>
      </c>
      <c r="FZ46" t="e">
        <f>AND(#REF!,"AAAAAGn/+rU=")</f>
        <v>#REF!</v>
      </c>
      <c r="GA46" t="e">
        <f>AND(#REF!,"AAAAAGn/+rY=")</f>
        <v>#REF!</v>
      </c>
      <c r="GB46" t="e">
        <f>AND(#REF!,"AAAAAGn/+rc=")</f>
        <v>#REF!</v>
      </c>
      <c r="GC46" t="e">
        <f>AND(#REF!,"AAAAAGn/+rg=")</f>
        <v>#REF!</v>
      </c>
      <c r="GD46" t="e">
        <f>AND(#REF!,"AAAAAGn/+rk=")</f>
        <v>#REF!</v>
      </c>
      <c r="GE46" t="e">
        <f>AND(#REF!,"AAAAAGn/+ro=")</f>
        <v>#REF!</v>
      </c>
      <c r="GF46" t="e">
        <f>AND(#REF!,"AAAAAGn/+rs=")</f>
        <v>#REF!</v>
      </c>
      <c r="GG46" t="e">
        <f>AND(#REF!,"AAAAAGn/+rw=")</f>
        <v>#REF!</v>
      </c>
      <c r="GH46" t="e">
        <f>AND(#REF!,"AAAAAGn/+r0=")</f>
        <v>#REF!</v>
      </c>
      <c r="GI46" t="e">
        <f>AND(#REF!,"AAAAAGn/+r4=")</f>
        <v>#REF!</v>
      </c>
      <c r="GJ46" t="e">
        <f>AND(#REF!,"AAAAAGn/+r8=")</f>
        <v>#REF!</v>
      </c>
      <c r="GK46" t="e">
        <f>AND(#REF!,"AAAAAGn/+sA=")</f>
        <v>#REF!</v>
      </c>
      <c r="GL46" t="e">
        <f>AND(#REF!,"AAAAAGn/+sE=")</f>
        <v>#REF!</v>
      </c>
      <c r="GM46" t="e">
        <f>AND(#REF!,"AAAAAGn/+sI=")</f>
        <v>#REF!</v>
      </c>
      <c r="GN46" t="e">
        <f>AND(#REF!,"AAAAAGn/+sM=")</f>
        <v>#REF!</v>
      </c>
      <c r="GO46" t="e">
        <f>AND(#REF!,"AAAAAGn/+sQ=")</f>
        <v>#REF!</v>
      </c>
      <c r="GP46" t="e">
        <f>AND(#REF!,"AAAAAGn/+sU=")</f>
        <v>#REF!</v>
      </c>
      <c r="GQ46" t="e">
        <f>AND(#REF!,"AAAAAGn/+sY=")</f>
        <v>#REF!</v>
      </c>
      <c r="GR46" t="e">
        <f>AND(#REF!,"AAAAAGn/+sc=")</f>
        <v>#REF!</v>
      </c>
      <c r="GS46" t="e">
        <f>AND(#REF!,"AAAAAGn/+sg=")</f>
        <v>#REF!</v>
      </c>
      <c r="GT46" t="e">
        <f>AND(#REF!,"AAAAAGn/+sk=")</f>
        <v>#REF!</v>
      </c>
      <c r="GU46" t="e">
        <f>AND(#REF!,"AAAAAGn/+so=")</f>
        <v>#REF!</v>
      </c>
      <c r="GV46" t="e">
        <f>AND(#REF!,"AAAAAGn/+ss=")</f>
        <v>#REF!</v>
      </c>
      <c r="GW46" t="e">
        <f>AND(#REF!,"AAAAAGn/+sw=")</f>
        <v>#REF!</v>
      </c>
      <c r="GX46" t="e">
        <f>AND(#REF!,"AAAAAGn/+s0=")</f>
        <v>#REF!</v>
      </c>
      <c r="GY46" t="e">
        <f>AND(#REF!,"AAAAAGn/+s4=")</f>
        <v>#REF!</v>
      </c>
      <c r="GZ46" t="e">
        <f>AND(#REF!,"AAAAAGn/+s8=")</f>
        <v>#REF!</v>
      </c>
      <c r="HA46" t="e">
        <f>AND(#REF!,"AAAAAGn/+tA=")</f>
        <v>#REF!</v>
      </c>
      <c r="HB46" t="e">
        <f>AND(#REF!,"AAAAAGn/+tE=")</f>
        <v>#REF!</v>
      </c>
      <c r="HC46" t="e">
        <f>AND(#REF!,"AAAAAGn/+tI=")</f>
        <v>#REF!</v>
      </c>
      <c r="HD46" t="e">
        <f>AND(#REF!,"AAAAAGn/+tM=")</f>
        <v>#REF!</v>
      </c>
      <c r="HE46" t="e">
        <f>AND(#REF!,"AAAAAGn/+tQ=")</f>
        <v>#REF!</v>
      </c>
      <c r="HF46" t="e">
        <f>AND(#REF!,"AAAAAGn/+tU=")</f>
        <v>#REF!</v>
      </c>
      <c r="HG46" t="e">
        <f>AND(#REF!,"AAAAAGn/+tY=")</f>
        <v>#REF!</v>
      </c>
      <c r="HH46" t="e">
        <f>AND(#REF!,"AAAAAGn/+tc=")</f>
        <v>#REF!</v>
      </c>
      <c r="HI46" t="e">
        <f>AND(#REF!,"AAAAAGn/+tg=")</f>
        <v>#REF!</v>
      </c>
      <c r="HJ46" t="e">
        <f>AND(#REF!,"AAAAAGn/+tk=")</f>
        <v>#REF!</v>
      </c>
      <c r="HK46" t="e">
        <f>AND(#REF!,"AAAAAGn/+to=")</f>
        <v>#REF!</v>
      </c>
      <c r="HL46" t="e">
        <f>AND(#REF!,"AAAAAGn/+ts=")</f>
        <v>#REF!</v>
      </c>
      <c r="HM46" t="e">
        <f>AND(#REF!,"AAAAAGn/+tw=")</f>
        <v>#REF!</v>
      </c>
      <c r="HN46" t="e">
        <f>AND(#REF!,"AAAAAGn/+t0=")</f>
        <v>#REF!</v>
      </c>
      <c r="HO46" t="e">
        <f>AND(#REF!,"AAAAAGn/+t4=")</f>
        <v>#REF!</v>
      </c>
      <c r="HP46" t="e">
        <f>AND(#REF!,"AAAAAGn/+t8=")</f>
        <v>#REF!</v>
      </c>
      <c r="HQ46" t="e">
        <f>AND(#REF!,"AAAAAGn/+uA=")</f>
        <v>#REF!</v>
      </c>
      <c r="HR46" t="e">
        <f>AND(#REF!,"AAAAAGn/+uE=")</f>
        <v>#REF!</v>
      </c>
      <c r="HS46" t="e">
        <f>AND(#REF!,"AAAAAGn/+uI=")</f>
        <v>#REF!</v>
      </c>
      <c r="HT46" t="e">
        <f>AND(#REF!,"AAAAAGn/+uM=")</f>
        <v>#REF!</v>
      </c>
      <c r="HU46" t="e">
        <f>AND(#REF!,"AAAAAGn/+uQ=")</f>
        <v>#REF!</v>
      </c>
      <c r="HV46" t="e">
        <f>AND(#REF!,"AAAAAGn/+uU=")</f>
        <v>#REF!</v>
      </c>
      <c r="HW46" t="e">
        <f>AND(#REF!,"AAAAAGn/+uY=")</f>
        <v>#REF!</v>
      </c>
      <c r="HX46" t="e">
        <f>AND(#REF!,"AAAAAGn/+uc=")</f>
        <v>#REF!</v>
      </c>
      <c r="HY46" t="e">
        <f>AND(#REF!,"AAAAAGn/+ug=")</f>
        <v>#REF!</v>
      </c>
      <c r="HZ46" t="e">
        <f>AND(#REF!,"AAAAAGn/+uk=")</f>
        <v>#REF!</v>
      </c>
      <c r="IA46" t="e">
        <f>AND(#REF!,"AAAAAGn/+uo=")</f>
        <v>#REF!</v>
      </c>
      <c r="IB46" t="e">
        <f>AND(#REF!,"AAAAAGn/+us=")</f>
        <v>#REF!</v>
      </c>
      <c r="IC46" t="e">
        <f>AND(#REF!,"AAAAAGn/+uw=")</f>
        <v>#REF!</v>
      </c>
      <c r="ID46" t="e">
        <f>AND(#REF!,"AAAAAGn/+u0=")</f>
        <v>#REF!</v>
      </c>
      <c r="IE46" t="e">
        <f>AND(#REF!,"AAAAAGn/+u4=")</f>
        <v>#REF!</v>
      </c>
      <c r="IF46" t="e">
        <f>AND(#REF!,"AAAAAGn/+u8=")</f>
        <v>#REF!</v>
      </c>
      <c r="IG46" t="e">
        <f>AND(#REF!,"AAAAAGn/+vA=")</f>
        <v>#REF!</v>
      </c>
      <c r="IH46" t="e">
        <f>AND(#REF!,"AAAAAGn/+vE=")</f>
        <v>#REF!</v>
      </c>
      <c r="II46" t="e">
        <f>AND(#REF!,"AAAAAGn/+vI=")</f>
        <v>#REF!</v>
      </c>
      <c r="IJ46" t="e">
        <f>AND(#REF!,"AAAAAGn/+vM=")</f>
        <v>#REF!</v>
      </c>
      <c r="IK46" t="e">
        <f>AND(#REF!,"AAAAAGn/+vQ=")</f>
        <v>#REF!</v>
      </c>
      <c r="IL46" t="e">
        <f>AND(#REF!,"AAAAAGn/+vU=")</f>
        <v>#REF!</v>
      </c>
      <c r="IM46" t="e">
        <f>AND(#REF!,"AAAAAGn/+vY=")</f>
        <v>#REF!</v>
      </c>
      <c r="IN46" t="e">
        <f>AND(#REF!,"AAAAAGn/+vc=")</f>
        <v>#REF!</v>
      </c>
      <c r="IO46" t="e">
        <f>AND(#REF!,"AAAAAGn/+vg=")</f>
        <v>#REF!</v>
      </c>
      <c r="IP46" t="e">
        <f>AND(#REF!,"AAAAAGn/+vk=")</f>
        <v>#REF!</v>
      </c>
      <c r="IQ46" t="e">
        <f>AND(#REF!,"AAAAAGn/+vo=")</f>
        <v>#REF!</v>
      </c>
      <c r="IR46" t="e">
        <f>AND(#REF!,"AAAAAGn/+vs=")</f>
        <v>#REF!</v>
      </c>
      <c r="IS46" t="e">
        <f>AND(#REF!,"AAAAAGn/+vw=")</f>
        <v>#REF!</v>
      </c>
      <c r="IT46" t="e">
        <f>AND(#REF!,"AAAAAGn/+v0=")</f>
        <v>#REF!</v>
      </c>
      <c r="IU46" t="e">
        <f>AND(#REF!,"AAAAAGn/+v4=")</f>
        <v>#REF!</v>
      </c>
      <c r="IV46" t="e">
        <f>AND(#REF!,"AAAAAGn/+v8=")</f>
        <v>#REF!</v>
      </c>
    </row>
    <row r="47" spans="1:256" x14ac:dyDescent="0.2">
      <c r="A47" t="e">
        <f>AND(#REF!,"AAAAAA3V/QA=")</f>
        <v>#REF!</v>
      </c>
      <c r="B47" t="e">
        <f>AND(#REF!,"AAAAAA3V/QE=")</f>
        <v>#REF!</v>
      </c>
      <c r="C47" t="e">
        <f>AND(#REF!,"AAAAAA3V/QI=")</f>
        <v>#REF!</v>
      </c>
      <c r="D47" t="e">
        <f>AND(#REF!,"AAAAAA3V/QM=")</f>
        <v>#REF!</v>
      </c>
      <c r="E47" t="e">
        <f>AND(#REF!,"AAAAAA3V/QQ=")</f>
        <v>#REF!</v>
      </c>
      <c r="F47" t="e">
        <f>AND(#REF!,"AAAAAA3V/QU=")</f>
        <v>#REF!</v>
      </c>
      <c r="G47" t="e">
        <f>IF(#REF!,"AAAAAA3V/QY=",0)</f>
        <v>#REF!</v>
      </c>
      <c r="H47" t="e">
        <f>AND(#REF!,"AAAAAA3V/Qc=")</f>
        <v>#REF!</v>
      </c>
      <c r="I47" t="e">
        <f>AND(#REF!,"AAAAAA3V/Qg=")</f>
        <v>#REF!</v>
      </c>
      <c r="J47" t="e">
        <f>AND(#REF!,"AAAAAA3V/Qk=")</f>
        <v>#REF!</v>
      </c>
      <c r="K47" t="e">
        <f>AND(#REF!,"AAAAAA3V/Qo=")</f>
        <v>#REF!</v>
      </c>
      <c r="L47" t="e">
        <f>AND(#REF!,"AAAAAA3V/Qs=")</f>
        <v>#REF!</v>
      </c>
      <c r="M47" t="e">
        <f>AND(#REF!,"AAAAAA3V/Qw=")</f>
        <v>#REF!</v>
      </c>
      <c r="N47" t="e">
        <f>AND(#REF!,"AAAAAA3V/Q0=")</f>
        <v>#REF!</v>
      </c>
      <c r="O47" t="e">
        <f>AND(#REF!,"AAAAAA3V/Q4=")</f>
        <v>#REF!</v>
      </c>
      <c r="P47" t="e">
        <f>AND(#REF!,"AAAAAA3V/Q8=")</f>
        <v>#REF!</v>
      </c>
      <c r="Q47" t="e">
        <f>AND(#REF!,"AAAAAA3V/RA=")</f>
        <v>#REF!</v>
      </c>
      <c r="R47" t="e">
        <f>AND(#REF!,"AAAAAA3V/RE=")</f>
        <v>#REF!</v>
      </c>
      <c r="S47" t="e">
        <f>AND(#REF!,"AAAAAA3V/RI=")</f>
        <v>#REF!</v>
      </c>
      <c r="T47" t="e">
        <f>AND(#REF!,"AAAAAA3V/RM=")</f>
        <v>#REF!</v>
      </c>
      <c r="U47" t="e">
        <f>AND(#REF!,"AAAAAA3V/RQ=")</f>
        <v>#REF!</v>
      </c>
      <c r="V47" t="e">
        <f>AND(#REF!,"AAAAAA3V/RU=")</f>
        <v>#REF!</v>
      </c>
      <c r="W47" t="e">
        <f>AND(#REF!,"AAAAAA3V/RY=")</f>
        <v>#REF!</v>
      </c>
      <c r="X47" t="e">
        <f>AND(#REF!,"AAAAAA3V/Rc=")</f>
        <v>#REF!</v>
      </c>
      <c r="Y47" t="e">
        <f>AND(#REF!,"AAAAAA3V/Rg=")</f>
        <v>#REF!</v>
      </c>
      <c r="Z47" t="e">
        <f>AND(#REF!,"AAAAAA3V/Rk=")</f>
        <v>#REF!</v>
      </c>
      <c r="AA47" t="e">
        <f>AND(#REF!,"AAAAAA3V/Ro=")</f>
        <v>#REF!</v>
      </c>
      <c r="AB47" t="e">
        <f>AND(#REF!,"AAAAAA3V/Rs=")</f>
        <v>#REF!</v>
      </c>
      <c r="AC47" t="e">
        <f>AND(#REF!,"AAAAAA3V/Rw=")</f>
        <v>#REF!</v>
      </c>
      <c r="AD47" t="e">
        <f>AND(#REF!,"AAAAAA3V/R0=")</f>
        <v>#REF!</v>
      </c>
      <c r="AE47" t="e">
        <f>AND(#REF!,"AAAAAA3V/R4=")</f>
        <v>#REF!</v>
      </c>
      <c r="AF47" t="e">
        <f>AND(#REF!,"AAAAAA3V/R8=")</f>
        <v>#REF!</v>
      </c>
      <c r="AG47" t="e">
        <f>AND(#REF!,"AAAAAA3V/SA=")</f>
        <v>#REF!</v>
      </c>
      <c r="AH47" t="e">
        <f>AND(#REF!,"AAAAAA3V/SE=")</f>
        <v>#REF!</v>
      </c>
      <c r="AI47" t="e">
        <f>AND(#REF!,"AAAAAA3V/SI=")</f>
        <v>#REF!</v>
      </c>
      <c r="AJ47" t="e">
        <f>AND(#REF!,"AAAAAA3V/SM=")</f>
        <v>#REF!</v>
      </c>
      <c r="AK47" t="e">
        <f>AND(#REF!,"AAAAAA3V/SQ=")</f>
        <v>#REF!</v>
      </c>
      <c r="AL47" t="e">
        <f>AND(#REF!,"AAAAAA3V/SU=")</f>
        <v>#REF!</v>
      </c>
      <c r="AM47" t="e">
        <f>AND(#REF!,"AAAAAA3V/SY=")</f>
        <v>#REF!</v>
      </c>
      <c r="AN47" t="e">
        <f>AND(#REF!,"AAAAAA3V/Sc=")</f>
        <v>#REF!</v>
      </c>
      <c r="AO47" t="e">
        <f>AND(#REF!,"AAAAAA3V/Sg=")</f>
        <v>#REF!</v>
      </c>
      <c r="AP47" t="e">
        <f>AND(#REF!,"AAAAAA3V/Sk=")</f>
        <v>#REF!</v>
      </c>
      <c r="AQ47" t="e">
        <f>AND(#REF!,"AAAAAA3V/So=")</f>
        <v>#REF!</v>
      </c>
      <c r="AR47" t="e">
        <f>AND(#REF!,"AAAAAA3V/Ss=")</f>
        <v>#REF!</v>
      </c>
      <c r="AS47" t="e">
        <f>AND(#REF!,"AAAAAA3V/Sw=")</f>
        <v>#REF!</v>
      </c>
      <c r="AT47" t="e">
        <f>AND(#REF!,"AAAAAA3V/S0=")</f>
        <v>#REF!</v>
      </c>
      <c r="AU47" t="e">
        <f>AND(#REF!,"AAAAAA3V/S4=")</f>
        <v>#REF!</v>
      </c>
      <c r="AV47" t="e">
        <f>AND(#REF!,"AAAAAA3V/S8=")</f>
        <v>#REF!</v>
      </c>
      <c r="AW47" t="e">
        <f>AND(#REF!,"AAAAAA3V/TA=")</f>
        <v>#REF!</v>
      </c>
      <c r="AX47" t="e">
        <f>AND(#REF!,"AAAAAA3V/TE=")</f>
        <v>#REF!</v>
      </c>
      <c r="AY47" t="e">
        <f>AND(#REF!,"AAAAAA3V/TI=")</f>
        <v>#REF!</v>
      </c>
      <c r="AZ47" t="e">
        <f>AND(#REF!,"AAAAAA3V/TM=")</f>
        <v>#REF!</v>
      </c>
      <c r="BA47" t="e">
        <f>AND(#REF!,"AAAAAA3V/TQ=")</f>
        <v>#REF!</v>
      </c>
      <c r="BB47" t="e">
        <f>AND(#REF!,"AAAAAA3V/TU=")</f>
        <v>#REF!</v>
      </c>
      <c r="BC47" t="e">
        <f>AND(#REF!,"AAAAAA3V/TY=")</f>
        <v>#REF!</v>
      </c>
      <c r="BD47" t="e">
        <f>AND(#REF!,"AAAAAA3V/Tc=")</f>
        <v>#REF!</v>
      </c>
      <c r="BE47" t="e">
        <f>AND(#REF!,"AAAAAA3V/Tg=")</f>
        <v>#REF!</v>
      </c>
      <c r="BF47" t="e">
        <f>AND(#REF!,"AAAAAA3V/Tk=")</f>
        <v>#REF!</v>
      </c>
      <c r="BG47" t="e">
        <f>AND(#REF!,"AAAAAA3V/To=")</f>
        <v>#REF!</v>
      </c>
      <c r="BH47" t="e">
        <f>AND(#REF!,"AAAAAA3V/Ts=")</f>
        <v>#REF!</v>
      </c>
      <c r="BI47" t="e">
        <f>AND(#REF!,"AAAAAA3V/Tw=")</f>
        <v>#REF!</v>
      </c>
      <c r="BJ47" t="e">
        <f>AND(#REF!,"AAAAAA3V/T0=")</f>
        <v>#REF!</v>
      </c>
      <c r="BK47" t="e">
        <f>AND(#REF!,"AAAAAA3V/T4=")</f>
        <v>#REF!</v>
      </c>
      <c r="BL47" t="e">
        <f>AND(#REF!,"AAAAAA3V/T8=")</f>
        <v>#REF!</v>
      </c>
      <c r="BM47" t="e">
        <f>AND(#REF!,"AAAAAA3V/UA=")</f>
        <v>#REF!</v>
      </c>
      <c r="BN47" t="e">
        <f>AND(#REF!,"AAAAAA3V/UE=")</f>
        <v>#REF!</v>
      </c>
      <c r="BO47" t="e">
        <f>AND(#REF!,"AAAAAA3V/UI=")</f>
        <v>#REF!</v>
      </c>
      <c r="BP47" t="e">
        <f>AND(#REF!,"AAAAAA3V/UM=")</f>
        <v>#REF!</v>
      </c>
      <c r="BQ47" t="e">
        <f>AND(#REF!,"AAAAAA3V/UQ=")</f>
        <v>#REF!</v>
      </c>
      <c r="BR47" t="e">
        <f>AND(#REF!,"AAAAAA3V/UU=")</f>
        <v>#REF!</v>
      </c>
      <c r="BS47" t="e">
        <f>AND(#REF!,"AAAAAA3V/UY=")</f>
        <v>#REF!</v>
      </c>
      <c r="BT47" t="e">
        <f>AND(#REF!,"AAAAAA3V/Uc=")</f>
        <v>#REF!</v>
      </c>
      <c r="BU47" t="e">
        <f>AND(#REF!,"AAAAAA3V/Ug=")</f>
        <v>#REF!</v>
      </c>
      <c r="BV47" t="e">
        <f>AND(#REF!,"AAAAAA3V/Uk=")</f>
        <v>#REF!</v>
      </c>
      <c r="BW47" t="e">
        <f>AND(#REF!,"AAAAAA3V/Uo=")</f>
        <v>#REF!</v>
      </c>
      <c r="BX47" t="e">
        <f>AND(#REF!,"AAAAAA3V/Us=")</f>
        <v>#REF!</v>
      </c>
      <c r="BY47" t="e">
        <f>AND(#REF!,"AAAAAA3V/Uw=")</f>
        <v>#REF!</v>
      </c>
      <c r="BZ47" t="e">
        <f>AND(#REF!,"AAAAAA3V/U0=")</f>
        <v>#REF!</v>
      </c>
      <c r="CA47" t="e">
        <f>AND(#REF!,"AAAAAA3V/U4=")</f>
        <v>#REF!</v>
      </c>
      <c r="CB47" t="e">
        <f>AND(#REF!,"AAAAAA3V/U8=")</f>
        <v>#REF!</v>
      </c>
      <c r="CC47" t="e">
        <f>AND(#REF!,"AAAAAA3V/VA=")</f>
        <v>#REF!</v>
      </c>
      <c r="CD47" t="e">
        <f>AND(#REF!,"AAAAAA3V/VE=")</f>
        <v>#REF!</v>
      </c>
      <c r="CE47" t="e">
        <f>AND(#REF!,"AAAAAA3V/VI=")</f>
        <v>#REF!</v>
      </c>
      <c r="CF47" t="e">
        <f>AND(#REF!,"AAAAAA3V/VM=")</f>
        <v>#REF!</v>
      </c>
      <c r="CG47" t="e">
        <f>AND(#REF!,"AAAAAA3V/VQ=")</f>
        <v>#REF!</v>
      </c>
      <c r="CH47" t="e">
        <f>AND(#REF!,"AAAAAA3V/VU=")</f>
        <v>#REF!</v>
      </c>
      <c r="CI47" t="e">
        <f>AND(#REF!,"AAAAAA3V/VY=")</f>
        <v>#REF!</v>
      </c>
      <c r="CJ47" t="e">
        <f>AND(#REF!,"AAAAAA3V/Vc=")</f>
        <v>#REF!</v>
      </c>
      <c r="CK47" t="e">
        <f>AND(#REF!,"AAAAAA3V/Vg=")</f>
        <v>#REF!</v>
      </c>
      <c r="CL47" t="e">
        <f>AND(#REF!,"AAAAAA3V/Vk=")</f>
        <v>#REF!</v>
      </c>
      <c r="CM47" t="e">
        <f>AND(#REF!,"AAAAAA3V/Vo=")</f>
        <v>#REF!</v>
      </c>
      <c r="CN47" t="e">
        <f>AND(#REF!,"AAAAAA3V/Vs=")</f>
        <v>#REF!</v>
      </c>
      <c r="CO47" t="e">
        <f>AND(#REF!,"AAAAAA3V/Vw=")</f>
        <v>#REF!</v>
      </c>
      <c r="CP47" t="e">
        <f>AND(#REF!,"AAAAAA3V/V0=")</f>
        <v>#REF!</v>
      </c>
      <c r="CQ47" t="e">
        <f>AND(#REF!,"AAAAAA3V/V4=")</f>
        <v>#REF!</v>
      </c>
      <c r="CR47" t="e">
        <f>AND(#REF!,"AAAAAA3V/V8=")</f>
        <v>#REF!</v>
      </c>
      <c r="CS47" t="e">
        <f>AND(#REF!,"AAAAAA3V/WA=")</f>
        <v>#REF!</v>
      </c>
      <c r="CT47" t="e">
        <f>AND(#REF!,"AAAAAA3V/WE=")</f>
        <v>#REF!</v>
      </c>
      <c r="CU47" t="e">
        <f>AND(#REF!,"AAAAAA3V/WI=")</f>
        <v>#REF!</v>
      </c>
      <c r="CV47" t="e">
        <f>AND(#REF!,"AAAAAA3V/WM=")</f>
        <v>#REF!</v>
      </c>
      <c r="CW47" t="e">
        <f>AND(#REF!,"AAAAAA3V/WQ=")</f>
        <v>#REF!</v>
      </c>
      <c r="CX47" t="e">
        <f>AND(#REF!,"AAAAAA3V/WU=")</f>
        <v>#REF!</v>
      </c>
      <c r="CY47" t="e">
        <f>AND(#REF!,"AAAAAA3V/WY=")</f>
        <v>#REF!</v>
      </c>
      <c r="CZ47" t="e">
        <f>AND(#REF!,"AAAAAA3V/Wc=")</f>
        <v>#REF!</v>
      </c>
      <c r="DA47" t="e">
        <f>AND(#REF!,"AAAAAA3V/Wg=")</f>
        <v>#REF!</v>
      </c>
      <c r="DB47" t="e">
        <f>AND(#REF!,"AAAAAA3V/Wk=")</f>
        <v>#REF!</v>
      </c>
      <c r="DC47" t="e">
        <f>AND(#REF!,"AAAAAA3V/Wo=")</f>
        <v>#REF!</v>
      </c>
      <c r="DD47" t="e">
        <f>AND(#REF!,"AAAAAA3V/Ws=")</f>
        <v>#REF!</v>
      </c>
      <c r="DE47" t="e">
        <f>AND(#REF!,"AAAAAA3V/Ww=")</f>
        <v>#REF!</v>
      </c>
      <c r="DF47" t="e">
        <f>AND(#REF!,"AAAAAA3V/W0=")</f>
        <v>#REF!</v>
      </c>
      <c r="DG47" t="e">
        <f>AND(#REF!,"AAAAAA3V/W4=")</f>
        <v>#REF!</v>
      </c>
      <c r="DH47" t="e">
        <f>AND(#REF!,"AAAAAA3V/W8=")</f>
        <v>#REF!</v>
      </c>
      <c r="DI47" t="e">
        <f>AND(#REF!,"AAAAAA3V/XA=")</f>
        <v>#REF!</v>
      </c>
      <c r="DJ47" t="e">
        <f>AND(#REF!,"AAAAAA3V/XE=")</f>
        <v>#REF!</v>
      </c>
      <c r="DK47" t="e">
        <f>AND(#REF!,"AAAAAA3V/XI=")</f>
        <v>#REF!</v>
      </c>
      <c r="DL47" t="e">
        <f>AND(#REF!,"AAAAAA3V/XM=")</f>
        <v>#REF!</v>
      </c>
      <c r="DM47" t="e">
        <f>AND(#REF!,"AAAAAA3V/XQ=")</f>
        <v>#REF!</v>
      </c>
      <c r="DN47" t="e">
        <f>AND(#REF!,"AAAAAA3V/XU=")</f>
        <v>#REF!</v>
      </c>
      <c r="DO47" t="e">
        <f>AND(#REF!,"AAAAAA3V/XY=")</f>
        <v>#REF!</v>
      </c>
      <c r="DP47" t="e">
        <f>AND(#REF!,"AAAAAA3V/Xc=")</f>
        <v>#REF!</v>
      </c>
      <c r="DQ47" t="e">
        <f>AND(#REF!,"AAAAAA3V/Xg=")</f>
        <v>#REF!</v>
      </c>
      <c r="DR47" t="e">
        <f>AND(#REF!,"AAAAAA3V/Xk=")</f>
        <v>#REF!</v>
      </c>
      <c r="DS47" t="e">
        <f>AND(#REF!,"AAAAAA3V/Xo=")</f>
        <v>#REF!</v>
      </c>
      <c r="DT47" t="e">
        <f>AND(#REF!,"AAAAAA3V/Xs=")</f>
        <v>#REF!</v>
      </c>
      <c r="DU47" t="e">
        <f>AND(#REF!,"AAAAAA3V/Xw=")</f>
        <v>#REF!</v>
      </c>
      <c r="DV47" t="e">
        <f>AND(#REF!,"AAAAAA3V/X0=")</f>
        <v>#REF!</v>
      </c>
      <c r="DW47" t="e">
        <f>AND(#REF!,"AAAAAA3V/X4=")</f>
        <v>#REF!</v>
      </c>
      <c r="DX47" t="e">
        <f>AND(#REF!,"AAAAAA3V/X8=")</f>
        <v>#REF!</v>
      </c>
      <c r="DY47" t="e">
        <f>AND(#REF!,"AAAAAA3V/YA=")</f>
        <v>#REF!</v>
      </c>
      <c r="DZ47" t="e">
        <f>AND(#REF!,"AAAAAA3V/YE=")</f>
        <v>#REF!</v>
      </c>
      <c r="EA47" t="e">
        <f>AND(#REF!,"AAAAAA3V/YI=")</f>
        <v>#REF!</v>
      </c>
      <c r="EB47" t="e">
        <f>AND(#REF!,"AAAAAA3V/YM=")</f>
        <v>#REF!</v>
      </c>
      <c r="EC47" t="e">
        <f>AND(#REF!,"AAAAAA3V/YQ=")</f>
        <v>#REF!</v>
      </c>
      <c r="ED47" t="e">
        <f>AND(#REF!,"AAAAAA3V/YU=")</f>
        <v>#REF!</v>
      </c>
      <c r="EE47" t="e">
        <f>AND(#REF!,"AAAAAA3V/YY=")</f>
        <v>#REF!</v>
      </c>
      <c r="EF47" t="e">
        <f>AND(#REF!,"AAAAAA3V/Yc=")</f>
        <v>#REF!</v>
      </c>
      <c r="EG47" t="e">
        <f>AND(#REF!,"AAAAAA3V/Yg=")</f>
        <v>#REF!</v>
      </c>
      <c r="EH47" t="e">
        <f>AND(#REF!,"AAAAAA3V/Yk=")</f>
        <v>#REF!</v>
      </c>
      <c r="EI47" t="e">
        <f>AND(#REF!,"AAAAAA3V/Yo=")</f>
        <v>#REF!</v>
      </c>
      <c r="EJ47" t="e">
        <f>AND(#REF!,"AAAAAA3V/Ys=")</f>
        <v>#REF!</v>
      </c>
      <c r="EK47" t="e">
        <f>AND(#REF!,"AAAAAA3V/Yw=")</f>
        <v>#REF!</v>
      </c>
      <c r="EL47" t="e">
        <f>AND(#REF!,"AAAAAA3V/Y0=")</f>
        <v>#REF!</v>
      </c>
      <c r="EM47" t="e">
        <f>AND(#REF!,"AAAAAA3V/Y4=")</f>
        <v>#REF!</v>
      </c>
      <c r="EN47" t="e">
        <f>AND(#REF!,"AAAAAA3V/Y8=")</f>
        <v>#REF!</v>
      </c>
      <c r="EO47" t="e">
        <f>AND(#REF!,"AAAAAA3V/ZA=")</f>
        <v>#REF!</v>
      </c>
      <c r="EP47" t="e">
        <f>AND(#REF!,"AAAAAA3V/ZE=")</f>
        <v>#REF!</v>
      </c>
      <c r="EQ47" t="e">
        <f>AND(#REF!,"AAAAAA3V/ZI=")</f>
        <v>#REF!</v>
      </c>
      <c r="ER47" t="e">
        <f>AND(#REF!,"AAAAAA3V/ZM=")</f>
        <v>#REF!</v>
      </c>
      <c r="ES47" t="e">
        <f>AND(#REF!,"AAAAAA3V/ZQ=")</f>
        <v>#REF!</v>
      </c>
      <c r="ET47" t="e">
        <f>AND(#REF!,"AAAAAA3V/ZU=")</f>
        <v>#REF!</v>
      </c>
      <c r="EU47" t="e">
        <f>AND(#REF!,"AAAAAA3V/ZY=")</f>
        <v>#REF!</v>
      </c>
      <c r="EV47" t="e">
        <f>AND(#REF!,"AAAAAA3V/Zc=")</f>
        <v>#REF!</v>
      </c>
      <c r="EW47" t="e">
        <f>AND(#REF!,"AAAAAA3V/Zg=")</f>
        <v>#REF!</v>
      </c>
      <c r="EX47" t="e">
        <f>AND(#REF!,"AAAAAA3V/Zk=")</f>
        <v>#REF!</v>
      </c>
      <c r="EY47" t="e">
        <f>AND(#REF!,"AAAAAA3V/Zo=")</f>
        <v>#REF!</v>
      </c>
      <c r="EZ47" t="e">
        <f>AND(#REF!,"AAAAAA3V/Zs=")</f>
        <v>#REF!</v>
      </c>
      <c r="FA47" t="e">
        <f>AND(#REF!,"AAAAAA3V/Zw=")</f>
        <v>#REF!</v>
      </c>
      <c r="FB47" t="e">
        <f>AND(#REF!,"AAAAAA3V/Z0=")</f>
        <v>#REF!</v>
      </c>
      <c r="FC47" t="e">
        <f>AND(#REF!,"AAAAAA3V/Z4=")</f>
        <v>#REF!</v>
      </c>
      <c r="FD47" t="e">
        <f>AND(#REF!,"AAAAAA3V/Z8=")</f>
        <v>#REF!</v>
      </c>
      <c r="FE47" t="e">
        <f>AND(#REF!,"AAAAAA3V/aA=")</f>
        <v>#REF!</v>
      </c>
      <c r="FF47" t="e">
        <f>AND(#REF!,"AAAAAA3V/aE=")</f>
        <v>#REF!</v>
      </c>
      <c r="FG47" t="e">
        <f>AND(#REF!,"AAAAAA3V/aI=")</f>
        <v>#REF!</v>
      </c>
      <c r="FH47" t="e">
        <f>AND(#REF!,"AAAAAA3V/aM=")</f>
        <v>#REF!</v>
      </c>
      <c r="FI47" t="e">
        <f>AND(#REF!,"AAAAAA3V/aQ=")</f>
        <v>#REF!</v>
      </c>
      <c r="FJ47" t="e">
        <f>AND(#REF!,"AAAAAA3V/aU=")</f>
        <v>#REF!</v>
      </c>
      <c r="FK47" t="e">
        <f>AND(#REF!,"AAAAAA3V/aY=")</f>
        <v>#REF!</v>
      </c>
      <c r="FL47" t="e">
        <f>AND(#REF!,"AAAAAA3V/ac=")</f>
        <v>#REF!</v>
      </c>
      <c r="FM47" t="e">
        <f>AND(#REF!,"AAAAAA3V/ag=")</f>
        <v>#REF!</v>
      </c>
      <c r="FN47" t="e">
        <f>AND(#REF!,"AAAAAA3V/ak=")</f>
        <v>#REF!</v>
      </c>
      <c r="FO47" t="e">
        <f>AND(#REF!,"AAAAAA3V/ao=")</f>
        <v>#REF!</v>
      </c>
      <c r="FP47" t="e">
        <f>AND(#REF!,"AAAAAA3V/as=")</f>
        <v>#REF!</v>
      </c>
      <c r="FQ47" t="e">
        <f>AND(#REF!,"AAAAAA3V/aw=")</f>
        <v>#REF!</v>
      </c>
      <c r="FR47" t="e">
        <f>AND(#REF!,"AAAAAA3V/a0=")</f>
        <v>#REF!</v>
      </c>
      <c r="FS47" t="e">
        <f>AND(#REF!,"AAAAAA3V/a4=")</f>
        <v>#REF!</v>
      </c>
      <c r="FT47" t="e">
        <f>AND(#REF!,"AAAAAA3V/a8=")</f>
        <v>#REF!</v>
      </c>
      <c r="FU47" t="e">
        <f>AND(#REF!,"AAAAAA3V/bA=")</f>
        <v>#REF!</v>
      </c>
      <c r="FV47" t="e">
        <f>AND(#REF!,"AAAAAA3V/bE=")</f>
        <v>#REF!</v>
      </c>
      <c r="FW47" t="e">
        <f>AND(#REF!,"AAAAAA3V/bI=")</f>
        <v>#REF!</v>
      </c>
      <c r="FX47" t="e">
        <f>AND(#REF!,"AAAAAA3V/bM=")</f>
        <v>#REF!</v>
      </c>
      <c r="FY47" t="e">
        <f>AND(#REF!,"AAAAAA3V/bQ=")</f>
        <v>#REF!</v>
      </c>
      <c r="FZ47" t="e">
        <f>AND(#REF!,"AAAAAA3V/bU=")</f>
        <v>#REF!</v>
      </c>
      <c r="GA47" t="e">
        <f>AND(#REF!,"AAAAAA3V/bY=")</f>
        <v>#REF!</v>
      </c>
      <c r="GB47" t="e">
        <f>AND(#REF!,"AAAAAA3V/bc=")</f>
        <v>#REF!</v>
      </c>
      <c r="GC47" t="e">
        <f>AND(#REF!,"AAAAAA3V/bg=")</f>
        <v>#REF!</v>
      </c>
      <c r="GD47" t="e">
        <f>AND(#REF!,"AAAAAA3V/bk=")</f>
        <v>#REF!</v>
      </c>
      <c r="GE47" t="e">
        <f>AND(#REF!,"AAAAAA3V/bo=")</f>
        <v>#REF!</v>
      </c>
      <c r="GF47" t="e">
        <f>IF(#REF!,"AAAAAA3V/bs=",0)</f>
        <v>#REF!</v>
      </c>
      <c r="GG47" t="e">
        <f>AND(#REF!,"AAAAAA3V/bw=")</f>
        <v>#REF!</v>
      </c>
      <c r="GH47" t="e">
        <f>AND(#REF!,"AAAAAA3V/b0=")</f>
        <v>#REF!</v>
      </c>
      <c r="GI47" t="e">
        <f>AND(#REF!,"AAAAAA3V/b4=")</f>
        <v>#REF!</v>
      </c>
      <c r="GJ47" t="e">
        <f>AND(#REF!,"AAAAAA3V/b8=")</f>
        <v>#REF!</v>
      </c>
      <c r="GK47" t="e">
        <f>AND(#REF!,"AAAAAA3V/cA=")</f>
        <v>#REF!</v>
      </c>
      <c r="GL47" t="e">
        <f>AND(#REF!,"AAAAAA3V/cE=")</f>
        <v>#REF!</v>
      </c>
      <c r="GM47" t="e">
        <f>AND(#REF!,"AAAAAA3V/cI=")</f>
        <v>#REF!</v>
      </c>
      <c r="GN47" t="e">
        <f>AND(#REF!,"AAAAAA3V/cM=")</f>
        <v>#REF!</v>
      </c>
      <c r="GO47" t="e">
        <f>AND(#REF!,"AAAAAA3V/cQ=")</f>
        <v>#REF!</v>
      </c>
      <c r="GP47" t="e">
        <f>AND(#REF!,"AAAAAA3V/cU=")</f>
        <v>#REF!</v>
      </c>
      <c r="GQ47" t="e">
        <f>AND(#REF!,"AAAAAA3V/cY=")</f>
        <v>#REF!</v>
      </c>
      <c r="GR47" t="e">
        <f>AND(#REF!,"AAAAAA3V/cc=")</f>
        <v>#REF!</v>
      </c>
      <c r="GS47" t="e">
        <f>AND(#REF!,"AAAAAA3V/cg=")</f>
        <v>#REF!</v>
      </c>
      <c r="GT47" t="e">
        <f>AND(#REF!,"AAAAAA3V/ck=")</f>
        <v>#REF!</v>
      </c>
      <c r="GU47" t="e">
        <f>AND(#REF!,"AAAAAA3V/co=")</f>
        <v>#REF!</v>
      </c>
      <c r="GV47" t="e">
        <f>AND(#REF!,"AAAAAA3V/cs=")</f>
        <v>#REF!</v>
      </c>
      <c r="GW47" t="e">
        <f>AND(#REF!,"AAAAAA3V/cw=")</f>
        <v>#REF!</v>
      </c>
      <c r="GX47" t="e">
        <f>AND(#REF!,"AAAAAA3V/c0=")</f>
        <v>#REF!</v>
      </c>
      <c r="GY47" t="e">
        <f>AND(#REF!,"AAAAAA3V/c4=")</f>
        <v>#REF!</v>
      </c>
      <c r="GZ47" t="e">
        <f>AND(#REF!,"AAAAAA3V/c8=")</f>
        <v>#REF!</v>
      </c>
      <c r="HA47" t="e">
        <f>AND(#REF!,"AAAAAA3V/dA=")</f>
        <v>#REF!</v>
      </c>
      <c r="HB47" t="e">
        <f>AND(#REF!,"AAAAAA3V/dE=")</f>
        <v>#REF!</v>
      </c>
      <c r="HC47" t="e">
        <f>AND(#REF!,"AAAAAA3V/dI=")</f>
        <v>#REF!</v>
      </c>
      <c r="HD47" t="e">
        <f>AND(#REF!,"AAAAAA3V/dM=")</f>
        <v>#REF!</v>
      </c>
      <c r="HE47" t="e">
        <f>AND(#REF!,"AAAAAA3V/dQ=")</f>
        <v>#REF!</v>
      </c>
      <c r="HF47" t="e">
        <f>AND(#REF!,"AAAAAA3V/dU=")</f>
        <v>#REF!</v>
      </c>
      <c r="HG47" t="e">
        <f>AND(#REF!,"AAAAAA3V/dY=")</f>
        <v>#REF!</v>
      </c>
      <c r="HH47" t="e">
        <f>AND(#REF!,"AAAAAA3V/dc=")</f>
        <v>#REF!</v>
      </c>
      <c r="HI47" t="e">
        <f>AND(#REF!,"AAAAAA3V/dg=")</f>
        <v>#REF!</v>
      </c>
      <c r="HJ47" t="e">
        <f>AND(#REF!,"AAAAAA3V/dk=")</f>
        <v>#REF!</v>
      </c>
      <c r="HK47" t="e">
        <f>AND(#REF!,"AAAAAA3V/do=")</f>
        <v>#REF!</v>
      </c>
      <c r="HL47" t="e">
        <f>AND(#REF!,"AAAAAA3V/ds=")</f>
        <v>#REF!</v>
      </c>
      <c r="HM47" t="e">
        <f>AND(#REF!,"AAAAAA3V/dw=")</f>
        <v>#REF!</v>
      </c>
      <c r="HN47" t="e">
        <f>AND(#REF!,"AAAAAA3V/d0=")</f>
        <v>#REF!</v>
      </c>
      <c r="HO47" t="e">
        <f>AND(#REF!,"AAAAAA3V/d4=")</f>
        <v>#REF!</v>
      </c>
      <c r="HP47" t="e">
        <f>AND(#REF!,"AAAAAA3V/d8=")</f>
        <v>#REF!</v>
      </c>
      <c r="HQ47" t="e">
        <f>AND(#REF!,"AAAAAA3V/eA=")</f>
        <v>#REF!</v>
      </c>
      <c r="HR47" t="e">
        <f>AND(#REF!,"AAAAAA3V/eE=")</f>
        <v>#REF!</v>
      </c>
      <c r="HS47" t="e">
        <f>AND(#REF!,"AAAAAA3V/eI=")</f>
        <v>#REF!</v>
      </c>
      <c r="HT47" t="e">
        <f>AND(#REF!,"AAAAAA3V/eM=")</f>
        <v>#REF!</v>
      </c>
      <c r="HU47" t="e">
        <f>AND(#REF!,"AAAAAA3V/eQ=")</f>
        <v>#REF!</v>
      </c>
      <c r="HV47" t="e">
        <f>AND(#REF!,"AAAAAA3V/eU=")</f>
        <v>#REF!</v>
      </c>
      <c r="HW47" t="e">
        <f>AND(#REF!,"AAAAAA3V/eY=")</f>
        <v>#REF!</v>
      </c>
      <c r="HX47" t="e">
        <f>AND(#REF!,"AAAAAA3V/ec=")</f>
        <v>#REF!</v>
      </c>
      <c r="HY47" t="e">
        <f>AND(#REF!,"AAAAAA3V/eg=")</f>
        <v>#REF!</v>
      </c>
      <c r="HZ47" t="e">
        <f>AND(#REF!,"AAAAAA3V/ek=")</f>
        <v>#REF!</v>
      </c>
      <c r="IA47" t="e">
        <f>AND(#REF!,"AAAAAA3V/eo=")</f>
        <v>#REF!</v>
      </c>
      <c r="IB47" t="e">
        <f>AND(#REF!,"AAAAAA3V/es=")</f>
        <v>#REF!</v>
      </c>
      <c r="IC47" t="e">
        <f>AND(#REF!,"AAAAAA3V/ew=")</f>
        <v>#REF!</v>
      </c>
      <c r="ID47" t="e">
        <f>AND(#REF!,"AAAAAA3V/e0=")</f>
        <v>#REF!</v>
      </c>
      <c r="IE47" t="e">
        <f>AND(#REF!,"AAAAAA3V/e4=")</f>
        <v>#REF!</v>
      </c>
      <c r="IF47" t="e">
        <f>AND(#REF!,"AAAAAA3V/e8=")</f>
        <v>#REF!</v>
      </c>
      <c r="IG47" t="e">
        <f>AND(#REF!,"AAAAAA3V/fA=")</f>
        <v>#REF!</v>
      </c>
      <c r="IH47" t="e">
        <f>AND(#REF!,"AAAAAA3V/fE=")</f>
        <v>#REF!</v>
      </c>
      <c r="II47" t="e">
        <f>AND(#REF!,"AAAAAA3V/fI=")</f>
        <v>#REF!</v>
      </c>
      <c r="IJ47" t="e">
        <f>AND(#REF!,"AAAAAA3V/fM=")</f>
        <v>#REF!</v>
      </c>
      <c r="IK47" t="e">
        <f>AND(#REF!,"AAAAAA3V/fQ=")</f>
        <v>#REF!</v>
      </c>
      <c r="IL47" t="e">
        <f>AND(#REF!,"AAAAAA3V/fU=")</f>
        <v>#REF!</v>
      </c>
      <c r="IM47" t="e">
        <f>AND(#REF!,"AAAAAA3V/fY=")</f>
        <v>#REF!</v>
      </c>
      <c r="IN47" t="e">
        <f>AND(#REF!,"AAAAAA3V/fc=")</f>
        <v>#REF!</v>
      </c>
      <c r="IO47" t="e">
        <f>AND(#REF!,"AAAAAA3V/fg=")</f>
        <v>#REF!</v>
      </c>
      <c r="IP47" t="e">
        <f>AND(#REF!,"AAAAAA3V/fk=")</f>
        <v>#REF!</v>
      </c>
      <c r="IQ47" t="e">
        <f>AND(#REF!,"AAAAAA3V/fo=")</f>
        <v>#REF!</v>
      </c>
      <c r="IR47" t="e">
        <f>AND(#REF!,"AAAAAA3V/fs=")</f>
        <v>#REF!</v>
      </c>
      <c r="IS47" t="e">
        <f>AND(#REF!,"AAAAAA3V/fw=")</f>
        <v>#REF!</v>
      </c>
      <c r="IT47" t="e">
        <f>AND(#REF!,"AAAAAA3V/f0=")</f>
        <v>#REF!</v>
      </c>
      <c r="IU47" t="e">
        <f>AND(#REF!,"AAAAAA3V/f4=")</f>
        <v>#REF!</v>
      </c>
      <c r="IV47" t="e">
        <f>AND(#REF!,"AAAAAA3V/f8=")</f>
        <v>#REF!</v>
      </c>
    </row>
    <row r="48" spans="1:256" x14ac:dyDescent="0.2">
      <c r="A48" t="e">
        <f>AND(#REF!,"AAAAAHtb/gA=")</f>
        <v>#REF!</v>
      </c>
      <c r="B48" t="e">
        <f>AND(#REF!,"AAAAAHtb/gE=")</f>
        <v>#REF!</v>
      </c>
      <c r="C48" t="e">
        <f>AND(#REF!,"AAAAAHtb/gI=")</f>
        <v>#REF!</v>
      </c>
      <c r="D48" t="e">
        <f>AND(#REF!,"AAAAAHtb/gM=")</f>
        <v>#REF!</v>
      </c>
      <c r="E48" t="e">
        <f>AND(#REF!,"AAAAAHtb/gQ=")</f>
        <v>#REF!</v>
      </c>
      <c r="F48" t="e">
        <f>AND(#REF!,"AAAAAHtb/gU=")</f>
        <v>#REF!</v>
      </c>
      <c r="G48" t="e">
        <f>AND(#REF!,"AAAAAHtb/gY=")</f>
        <v>#REF!</v>
      </c>
      <c r="H48" t="e">
        <f>AND(#REF!,"AAAAAHtb/gc=")</f>
        <v>#REF!</v>
      </c>
      <c r="I48" t="e">
        <f>AND(#REF!,"AAAAAHtb/gg=")</f>
        <v>#REF!</v>
      </c>
      <c r="J48" t="e">
        <f>AND(#REF!,"AAAAAHtb/gk=")</f>
        <v>#REF!</v>
      </c>
      <c r="K48" t="e">
        <f>AND(#REF!,"AAAAAHtb/go=")</f>
        <v>#REF!</v>
      </c>
      <c r="L48" t="e">
        <f>AND(#REF!,"AAAAAHtb/gs=")</f>
        <v>#REF!</v>
      </c>
      <c r="M48" t="e">
        <f>AND(#REF!,"AAAAAHtb/gw=")</f>
        <v>#REF!</v>
      </c>
      <c r="N48" t="e">
        <f>AND(#REF!,"AAAAAHtb/g0=")</f>
        <v>#REF!</v>
      </c>
      <c r="O48" t="e">
        <f>AND(#REF!,"AAAAAHtb/g4=")</f>
        <v>#REF!</v>
      </c>
      <c r="P48" t="e">
        <f>AND(#REF!,"AAAAAHtb/g8=")</f>
        <v>#REF!</v>
      </c>
      <c r="Q48" t="e">
        <f>AND(#REF!,"AAAAAHtb/hA=")</f>
        <v>#REF!</v>
      </c>
      <c r="R48" t="e">
        <f>AND(#REF!,"AAAAAHtb/hE=")</f>
        <v>#REF!</v>
      </c>
      <c r="S48" t="e">
        <f>AND(#REF!,"AAAAAHtb/hI=")</f>
        <v>#REF!</v>
      </c>
      <c r="T48" t="e">
        <f>AND(#REF!,"AAAAAHtb/hM=")</f>
        <v>#REF!</v>
      </c>
      <c r="U48" t="e">
        <f>AND(#REF!,"AAAAAHtb/hQ=")</f>
        <v>#REF!</v>
      </c>
      <c r="V48" t="e">
        <f>AND(#REF!,"AAAAAHtb/hU=")</f>
        <v>#REF!</v>
      </c>
      <c r="W48" t="e">
        <f>AND(#REF!,"AAAAAHtb/hY=")</f>
        <v>#REF!</v>
      </c>
      <c r="X48" t="e">
        <f>AND(#REF!,"AAAAAHtb/hc=")</f>
        <v>#REF!</v>
      </c>
      <c r="Y48" t="e">
        <f>AND(#REF!,"AAAAAHtb/hg=")</f>
        <v>#REF!</v>
      </c>
      <c r="Z48" t="e">
        <f>AND(#REF!,"AAAAAHtb/hk=")</f>
        <v>#REF!</v>
      </c>
      <c r="AA48" t="e">
        <f>AND(#REF!,"AAAAAHtb/ho=")</f>
        <v>#REF!</v>
      </c>
      <c r="AB48" t="e">
        <f>AND(#REF!,"AAAAAHtb/hs=")</f>
        <v>#REF!</v>
      </c>
      <c r="AC48" t="e">
        <f>AND(#REF!,"AAAAAHtb/hw=")</f>
        <v>#REF!</v>
      </c>
      <c r="AD48" t="e">
        <f>AND(#REF!,"AAAAAHtb/h0=")</f>
        <v>#REF!</v>
      </c>
      <c r="AE48" t="e">
        <f>AND(#REF!,"AAAAAHtb/h4=")</f>
        <v>#REF!</v>
      </c>
      <c r="AF48" t="e">
        <f>AND(#REF!,"AAAAAHtb/h8=")</f>
        <v>#REF!</v>
      </c>
      <c r="AG48" t="e">
        <f>AND(#REF!,"AAAAAHtb/iA=")</f>
        <v>#REF!</v>
      </c>
      <c r="AH48" t="e">
        <f>AND(#REF!,"AAAAAHtb/iE=")</f>
        <v>#REF!</v>
      </c>
      <c r="AI48" t="e">
        <f>AND(#REF!,"AAAAAHtb/iI=")</f>
        <v>#REF!</v>
      </c>
      <c r="AJ48" t="e">
        <f>AND(#REF!,"AAAAAHtb/iM=")</f>
        <v>#REF!</v>
      </c>
      <c r="AK48" t="e">
        <f>AND(#REF!,"AAAAAHtb/iQ=")</f>
        <v>#REF!</v>
      </c>
      <c r="AL48" t="e">
        <f>AND(#REF!,"AAAAAHtb/iU=")</f>
        <v>#REF!</v>
      </c>
      <c r="AM48" t="e">
        <f>AND(#REF!,"AAAAAHtb/iY=")</f>
        <v>#REF!</v>
      </c>
      <c r="AN48" t="e">
        <f>AND(#REF!,"AAAAAHtb/ic=")</f>
        <v>#REF!</v>
      </c>
      <c r="AO48" t="e">
        <f>AND(#REF!,"AAAAAHtb/ig=")</f>
        <v>#REF!</v>
      </c>
      <c r="AP48" t="e">
        <f>AND(#REF!,"AAAAAHtb/ik=")</f>
        <v>#REF!</v>
      </c>
      <c r="AQ48" t="e">
        <f>AND(#REF!,"AAAAAHtb/io=")</f>
        <v>#REF!</v>
      </c>
      <c r="AR48" t="e">
        <f>AND(#REF!,"AAAAAHtb/is=")</f>
        <v>#REF!</v>
      </c>
      <c r="AS48" t="e">
        <f>AND(#REF!,"AAAAAHtb/iw=")</f>
        <v>#REF!</v>
      </c>
      <c r="AT48" t="e">
        <f>AND(#REF!,"AAAAAHtb/i0=")</f>
        <v>#REF!</v>
      </c>
      <c r="AU48" t="e">
        <f>AND(#REF!,"AAAAAHtb/i4=")</f>
        <v>#REF!</v>
      </c>
      <c r="AV48" t="e">
        <f>AND(#REF!,"AAAAAHtb/i8=")</f>
        <v>#REF!</v>
      </c>
      <c r="AW48" t="e">
        <f>AND(#REF!,"AAAAAHtb/jA=")</f>
        <v>#REF!</v>
      </c>
      <c r="AX48" t="e">
        <f>AND(#REF!,"AAAAAHtb/jE=")</f>
        <v>#REF!</v>
      </c>
      <c r="AY48" t="e">
        <f>AND(#REF!,"AAAAAHtb/jI=")</f>
        <v>#REF!</v>
      </c>
      <c r="AZ48" t="e">
        <f>AND(#REF!,"AAAAAHtb/jM=")</f>
        <v>#REF!</v>
      </c>
      <c r="BA48" t="e">
        <f>AND(#REF!,"AAAAAHtb/jQ=")</f>
        <v>#REF!</v>
      </c>
      <c r="BB48" t="e">
        <f>AND(#REF!,"AAAAAHtb/jU=")</f>
        <v>#REF!</v>
      </c>
      <c r="BC48" t="e">
        <f>AND(#REF!,"AAAAAHtb/jY=")</f>
        <v>#REF!</v>
      </c>
      <c r="BD48" t="e">
        <f>AND(#REF!,"AAAAAHtb/jc=")</f>
        <v>#REF!</v>
      </c>
      <c r="BE48" t="e">
        <f>AND(#REF!,"AAAAAHtb/jg=")</f>
        <v>#REF!</v>
      </c>
      <c r="BF48" t="e">
        <f>AND(#REF!,"AAAAAHtb/jk=")</f>
        <v>#REF!</v>
      </c>
      <c r="BG48" t="e">
        <f>AND(#REF!,"AAAAAHtb/jo=")</f>
        <v>#REF!</v>
      </c>
      <c r="BH48" t="e">
        <f>AND(#REF!,"AAAAAHtb/js=")</f>
        <v>#REF!</v>
      </c>
      <c r="BI48" t="e">
        <f>AND(#REF!,"AAAAAHtb/jw=")</f>
        <v>#REF!</v>
      </c>
      <c r="BJ48" t="e">
        <f>AND(#REF!,"AAAAAHtb/j0=")</f>
        <v>#REF!</v>
      </c>
      <c r="BK48" t="e">
        <f>AND(#REF!,"AAAAAHtb/j4=")</f>
        <v>#REF!</v>
      </c>
      <c r="BL48" t="e">
        <f>AND(#REF!,"AAAAAHtb/j8=")</f>
        <v>#REF!</v>
      </c>
      <c r="BM48" t="e">
        <f>AND(#REF!,"AAAAAHtb/kA=")</f>
        <v>#REF!</v>
      </c>
      <c r="BN48" t="e">
        <f>AND(#REF!,"AAAAAHtb/kE=")</f>
        <v>#REF!</v>
      </c>
      <c r="BO48" t="e">
        <f>AND(#REF!,"AAAAAHtb/kI=")</f>
        <v>#REF!</v>
      </c>
      <c r="BP48" t="e">
        <f>AND(#REF!,"AAAAAHtb/kM=")</f>
        <v>#REF!</v>
      </c>
      <c r="BQ48" t="e">
        <f>AND(#REF!,"AAAAAHtb/kQ=")</f>
        <v>#REF!</v>
      </c>
      <c r="BR48" t="e">
        <f>AND(#REF!,"AAAAAHtb/kU=")</f>
        <v>#REF!</v>
      </c>
      <c r="BS48" t="e">
        <f>AND(#REF!,"AAAAAHtb/kY=")</f>
        <v>#REF!</v>
      </c>
      <c r="BT48" t="e">
        <f>AND(#REF!,"AAAAAHtb/kc=")</f>
        <v>#REF!</v>
      </c>
      <c r="BU48" t="e">
        <f>AND(#REF!,"AAAAAHtb/kg=")</f>
        <v>#REF!</v>
      </c>
      <c r="BV48" t="e">
        <f>AND(#REF!,"AAAAAHtb/kk=")</f>
        <v>#REF!</v>
      </c>
      <c r="BW48" t="e">
        <f>AND(#REF!,"AAAAAHtb/ko=")</f>
        <v>#REF!</v>
      </c>
      <c r="BX48" t="e">
        <f>AND(#REF!,"AAAAAHtb/ks=")</f>
        <v>#REF!</v>
      </c>
      <c r="BY48" t="e">
        <f>AND(#REF!,"AAAAAHtb/kw=")</f>
        <v>#REF!</v>
      </c>
      <c r="BZ48" t="e">
        <f>AND(#REF!,"AAAAAHtb/k0=")</f>
        <v>#REF!</v>
      </c>
      <c r="CA48" t="e">
        <f>AND(#REF!,"AAAAAHtb/k4=")</f>
        <v>#REF!</v>
      </c>
      <c r="CB48" t="e">
        <f>AND(#REF!,"AAAAAHtb/k8=")</f>
        <v>#REF!</v>
      </c>
      <c r="CC48" t="e">
        <f>AND(#REF!,"AAAAAHtb/lA=")</f>
        <v>#REF!</v>
      </c>
      <c r="CD48" t="e">
        <f>AND(#REF!,"AAAAAHtb/lE=")</f>
        <v>#REF!</v>
      </c>
      <c r="CE48" t="e">
        <f>AND(#REF!,"AAAAAHtb/lI=")</f>
        <v>#REF!</v>
      </c>
      <c r="CF48" t="e">
        <f>AND(#REF!,"AAAAAHtb/lM=")</f>
        <v>#REF!</v>
      </c>
      <c r="CG48" t="e">
        <f>AND(#REF!,"AAAAAHtb/lQ=")</f>
        <v>#REF!</v>
      </c>
      <c r="CH48" t="e">
        <f>AND(#REF!,"AAAAAHtb/lU=")</f>
        <v>#REF!</v>
      </c>
      <c r="CI48" t="e">
        <f>AND(#REF!,"AAAAAHtb/lY=")</f>
        <v>#REF!</v>
      </c>
      <c r="CJ48" t="e">
        <f>AND(#REF!,"AAAAAHtb/lc=")</f>
        <v>#REF!</v>
      </c>
      <c r="CK48" t="e">
        <f>AND(#REF!,"AAAAAHtb/lg=")</f>
        <v>#REF!</v>
      </c>
      <c r="CL48" t="e">
        <f>AND(#REF!,"AAAAAHtb/lk=")</f>
        <v>#REF!</v>
      </c>
      <c r="CM48" t="e">
        <f>AND(#REF!,"AAAAAHtb/lo=")</f>
        <v>#REF!</v>
      </c>
      <c r="CN48" t="e">
        <f>AND(#REF!,"AAAAAHtb/ls=")</f>
        <v>#REF!</v>
      </c>
      <c r="CO48" t="e">
        <f>AND(#REF!,"AAAAAHtb/lw=")</f>
        <v>#REF!</v>
      </c>
      <c r="CP48" t="e">
        <f>AND(#REF!,"AAAAAHtb/l0=")</f>
        <v>#REF!</v>
      </c>
      <c r="CQ48" t="e">
        <f>AND(#REF!,"AAAAAHtb/l4=")</f>
        <v>#REF!</v>
      </c>
      <c r="CR48" t="e">
        <f>AND(#REF!,"AAAAAHtb/l8=")</f>
        <v>#REF!</v>
      </c>
      <c r="CS48" t="e">
        <f>AND(#REF!,"AAAAAHtb/mA=")</f>
        <v>#REF!</v>
      </c>
      <c r="CT48" t="e">
        <f>AND(#REF!,"AAAAAHtb/mE=")</f>
        <v>#REF!</v>
      </c>
      <c r="CU48" t="e">
        <f>AND(#REF!,"AAAAAHtb/mI=")</f>
        <v>#REF!</v>
      </c>
      <c r="CV48" t="e">
        <f>AND(#REF!,"AAAAAHtb/mM=")</f>
        <v>#REF!</v>
      </c>
      <c r="CW48" t="e">
        <f>AND(#REF!,"AAAAAHtb/mQ=")</f>
        <v>#REF!</v>
      </c>
      <c r="CX48" t="e">
        <f>AND(#REF!,"AAAAAHtb/mU=")</f>
        <v>#REF!</v>
      </c>
      <c r="CY48" t="e">
        <f>AND(#REF!,"AAAAAHtb/mY=")</f>
        <v>#REF!</v>
      </c>
      <c r="CZ48" t="e">
        <f>AND(#REF!,"AAAAAHtb/mc=")</f>
        <v>#REF!</v>
      </c>
      <c r="DA48" t="e">
        <f>AND(#REF!,"AAAAAHtb/mg=")</f>
        <v>#REF!</v>
      </c>
      <c r="DB48" t="e">
        <f>AND(#REF!,"AAAAAHtb/mk=")</f>
        <v>#REF!</v>
      </c>
      <c r="DC48" t="e">
        <f>AND(#REF!,"AAAAAHtb/mo=")</f>
        <v>#REF!</v>
      </c>
      <c r="DD48" t="e">
        <f>AND(#REF!,"AAAAAHtb/ms=")</f>
        <v>#REF!</v>
      </c>
      <c r="DE48" t="e">
        <f>AND(#REF!,"AAAAAHtb/mw=")</f>
        <v>#REF!</v>
      </c>
      <c r="DF48" t="e">
        <f>AND(#REF!,"AAAAAHtb/m0=")</f>
        <v>#REF!</v>
      </c>
      <c r="DG48" t="e">
        <f>AND(#REF!,"AAAAAHtb/m4=")</f>
        <v>#REF!</v>
      </c>
      <c r="DH48" t="e">
        <f>AND(#REF!,"AAAAAHtb/m8=")</f>
        <v>#REF!</v>
      </c>
      <c r="DI48" t="e">
        <f>IF(#REF!,"AAAAAHtb/nA=",0)</f>
        <v>#REF!</v>
      </c>
      <c r="DJ48" t="e">
        <f>AND(#REF!,"AAAAAHtb/nE=")</f>
        <v>#REF!</v>
      </c>
      <c r="DK48" t="e">
        <f>AND(#REF!,"AAAAAHtb/nI=")</f>
        <v>#REF!</v>
      </c>
      <c r="DL48" t="e">
        <f>AND(#REF!,"AAAAAHtb/nM=")</f>
        <v>#REF!</v>
      </c>
      <c r="DM48" t="e">
        <f>AND(#REF!,"AAAAAHtb/nQ=")</f>
        <v>#REF!</v>
      </c>
      <c r="DN48" t="e">
        <f>AND(#REF!,"AAAAAHtb/nU=")</f>
        <v>#REF!</v>
      </c>
      <c r="DO48" t="e">
        <f>AND(#REF!,"AAAAAHtb/nY=")</f>
        <v>#REF!</v>
      </c>
      <c r="DP48" t="e">
        <f>AND(#REF!,"AAAAAHtb/nc=")</f>
        <v>#REF!</v>
      </c>
      <c r="DQ48" t="e">
        <f>AND(#REF!,"AAAAAHtb/ng=")</f>
        <v>#REF!</v>
      </c>
      <c r="DR48" t="e">
        <f>AND(#REF!,"AAAAAHtb/nk=")</f>
        <v>#REF!</v>
      </c>
      <c r="DS48" t="e">
        <f>AND(#REF!,"AAAAAHtb/no=")</f>
        <v>#REF!</v>
      </c>
      <c r="DT48" t="e">
        <f>AND(#REF!,"AAAAAHtb/ns=")</f>
        <v>#REF!</v>
      </c>
      <c r="DU48" t="e">
        <f>AND(#REF!,"AAAAAHtb/nw=")</f>
        <v>#REF!</v>
      </c>
      <c r="DV48" t="e">
        <f>AND(#REF!,"AAAAAHtb/n0=")</f>
        <v>#REF!</v>
      </c>
      <c r="DW48" t="e">
        <f>AND(#REF!,"AAAAAHtb/n4=")</f>
        <v>#REF!</v>
      </c>
      <c r="DX48" t="e">
        <f>AND(#REF!,"AAAAAHtb/n8=")</f>
        <v>#REF!</v>
      </c>
      <c r="DY48" t="e">
        <f>AND(#REF!,"AAAAAHtb/oA=")</f>
        <v>#REF!</v>
      </c>
      <c r="DZ48" t="e">
        <f>AND(#REF!,"AAAAAHtb/oE=")</f>
        <v>#REF!</v>
      </c>
      <c r="EA48" t="e">
        <f>AND(#REF!,"AAAAAHtb/oI=")</f>
        <v>#REF!</v>
      </c>
      <c r="EB48" t="e">
        <f>AND(#REF!,"AAAAAHtb/oM=")</f>
        <v>#REF!</v>
      </c>
      <c r="EC48" t="e">
        <f>AND(#REF!,"AAAAAHtb/oQ=")</f>
        <v>#REF!</v>
      </c>
      <c r="ED48" t="e">
        <f>AND(#REF!,"AAAAAHtb/oU=")</f>
        <v>#REF!</v>
      </c>
      <c r="EE48" t="e">
        <f>AND(#REF!,"AAAAAHtb/oY=")</f>
        <v>#REF!</v>
      </c>
      <c r="EF48" t="e">
        <f>AND(#REF!,"AAAAAHtb/oc=")</f>
        <v>#REF!</v>
      </c>
      <c r="EG48" t="e">
        <f>AND(#REF!,"AAAAAHtb/og=")</f>
        <v>#REF!</v>
      </c>
      <c r="EH48" t="e">
        <f>AND(#REF!,"AAAAAHtb/ok=")</f>
        <v>#REF!</v>
      </c>
      <c r="EI48" t="e">
        <f>AND(#REF!,"AAAAAHtb/oo=")</f>
        <v>#REF!</v>
      </c>
      <c r="EJ48" t="e">
        <f>AND(#REF!,"AAAAAHtb/os=")</f>
        <v>#REF!</v>
      </c>
      <c r="EK48" t="e">
        <f>AND(#REF!,"AAAAAHtb/ow=")</f>
        <v>#REF!</v>
      </c>
      <c r="EL48" t="e">
        <f>AND(#REF!,"AAAAAHtb/o0=")</f>
        <v>#REF!</v>
      </c>
      <c r="EM48" t="e">
        <f>AND(#REF!,"AAAAAHtb/o4=")</f>
        <v>#REF!</v>
      </c>
      <c r="EN48" t="e">
        <f>AND(#REF!,"AAAAAHtb/o8=")</f>
        <v>#REF!</v>
      </c>
      <c r="EO48" t="e">
        <f>AND(#REF!,"AAAAAHtb/pA=")</f>
        <v>#REF!</v>
      </c>
      <c r="EP48" t="e">
        <f>AND(#REF!,"AAAAAHtb/pE=")</f>
        <v>#REF!</v>
      </c>
      <c r="EQ48" t="e">
        <f>AND(#REF!,"AAAAAHtb/pI=")</f>
        <v>#REF!</v>
      </c>
      <c r="ER48" t="e">
        <f>AND(#REF!,"AAAAAHtb/pM=")</f>
        <v>#REF!</v>
      </c>
      <c r="ES48" t="e">
        <f>AND(#REF!,"AAAAAHtb/pQ=")</f>
        <v>#REF!</v>
      </c>
      <c r="ET48" t="e">
        <f>AND(#REF!,"AAAAAHtb/pU=")</f>
        <v>#REF!</v>
      </c>
      <c r="EU48" t="e">
        <f>AND(#REF!,"AAAAAHtb/pY=")</f>
        <v>#REF!</v>
      </c>
      <c r="EV48" t="e">
        <f>AND(#REF!,"AAAAAHtb/pc=")</f>
        <v>#REF!</v>
      </c>
      <c r="EW48" t="e">
        <f>AND(#REF!,"AAAAAHtb/pg=")</f>
        <v>#REF!</v>
      </c>
      <c r="EX48" t="e">
        <f>AND(#REF!,"AAAAAHtb/pk=")</f>
        <v>#REF!</v>
      </c>
      <c r="EY48" t="e">
        <f>AND(#REF!,"AAAAAHtb/po=")</f>
        <v>#REF!</v>
      </c>
      <c r="EZ48" t="e">
        <f>AND(#REF!,"AAAAAHtb/ps=")</f>
        <v>#REF!</v>
      </c>
      <c r="FA48" t="e">
        <f>AND(#REF!,"AAAAAHtb/pw=")</f>
        <v>#REF!</v>
      </c>
      <c r="FB48" t="e">
        <f>AND(#REF!,"AAAAAHtb/p0=")</f>
        <v>#REF!</v>
      </c>
      <c r="FC48" t="e">
        <f>AND(#REF!,"AAAAAHtb/p4=")</f>
        <v>#REF!</v>
      </c>
      <c r="FD48" t="e">
        <f>AND(#REF!,"AAAAAHtb/p8=")</f>
        <v>#REF!</v>
      </c>
      <c r="FE48" t="e">
        <f>AND(#REF!,"AAAAAHtb/qA=")</f>
        <v>#REF!</v>
      </c>
      <c r="FF48" t="e">
        <f>AND(#REF!,"AAAAAHtb/qE=")</f>
        <v>#REF!</v>
      </c>
      <c r="FG48" t="e">
        <f>AND(#REF!,"AAAAAHtb/qI=")</f>
        <v>#REF!</v>
      </c>
      <c r="FH48" t="e">
        <f>AND(#REF!,"AAAAAHtb/qM=")</f>
        <v>#REF!</v>
      </c>
      <c r="FI48" t="e">
        <f>AND(#REF!,"AAAAAHtb/qQ=")</f>
        <v>#REF!</v>
      </c>
      <c r="FJ48" t="e">
        <f>AND(#REF!,"AAAAAHtb/qU=")</f>
        <v>#REF!</v>
      </c>
      <c r="FK48" t="e">
        <f>AND(#REF!,"AAAAAHtb/qY=")</f>
        <v>#REF!</v>
      </c>
      <c r="FL48" t="e">
        <f>AND(#REF!,"AAAAAHtb/qc=")</f>
        <v>#REF!</v>
      </c>
      <c r="FM48" t="e">
        <f>AND(#REF!,"AAAAAHtb/qg=")</f>
        <v>#REF!</v>
      </c>
      <c r="FN48" t="e">
        <f>AND(#REF!,"AAAAAHtb/qk=")</f>
        <v>#REF!</v>
      </c>
      <c r="FO48" t="e">
        <f>AND(#REF!,"AAAAAHtb/qo=")</f>
        <v>#REF!</v>
      </c>
      <c r="FP48" t="e">
        <f>AND(#REF!,"AAAAAHtb/qs=")</f>
        <v>#REF!</v>
      </c>
      <c r="FQ48" t="e">
        <f>AND(#REF!,"AAAAAHtb/qw=")</f>
        <v>#REF!</v>
      </c>
      <c r="FR48" t="e">
        <f>AND(#REF!,"AAAAAHtb/q0=")</f>
        <v>#REF!</v>
      </c>
      <c r="FS48" t="e">
        <f>AND(#REF!,"AAAAAHtb/q4=")</f>
        <v>#REF!</v>
      </c>
      <c r="FT48" t="e">
        <f>AND(#REF!,"AAAAAHtb/q8=")</f>
        <v>#REF!</v>
      </c>
      <c r="FU48" t="e">
        <f>AND(#REF!,"AAAAAHtb/rA=")</f>
        <v>#REF!</v>
      </c>
      <c r="FV48" t="e">
        <f>AND(#REF!,"AAAAAHtb/rE=")</f>
        <v>#REF!</v>
      </c>
      <c r="FW48" t="e">
        <f>AND(#REF!,"AAAAAHtb/rI=")</f>
        <v>#REF!</v>
      </c>
      <c r="FX48" t="e">
        <f>AND(#REF!,"AAAAAHtb/rM=")</f>
        <v>#REF!</v>
      </c>
      <c r="FY48" t="e">
        <f>AND(#REF!,"AAAAAHtb/rQ=")</f>
        <v>#REF!</v>
      </c>
      <c r="FZ48" t="e">
        <f>AND(#REF!,"AAAAAHtb/rU=")</f>
        <v>#REF!</v>
      </c>
      <c r="GA48" t="e">
        <f>AND(#REF!,"AAAAAHtb/rY=")</f>
        <v>#REF!</v>
      </c>
      <c r="GB48" t="e">
        <f>AND(#REF!,"AAAAAHtb/rc=")</f>
        <v>#REF!</v>
      </c>
      <c r="GC48" t="e">
        <f>AND(#REF!,"AAAAAHtb/rg=")</f>
        <v>#REF!</v>
      </c>
      <c r="GD48" t="e">
        <f>AND(#REF!,"AAAAAHtb/rk=")</f>
        <v>#REF!</v>
      </c>
      <c r="GE48" t="e">
        <f>AND(#REF!,"AAAAAHtb/ro=")</f>
        <v>#REF!</v>
      </c>
      <c r="GF48" t="e">
        <f>AND(#REF!,"AAAAAHtb/rs=")</f>
        <v>#REF!</v>
      </c>
      <c r="GG48" t="e">
        <f>AND(#REF!,"AAAAAHtb/rw=")</f>
        <v>#REF!</v>
      </c>
      <c r="GH48" t="e">
        <f>AND(#REF!,"AAAAAHtb/r0=")</f>
        <v>#REF!</v>
      </c>
      <c r="GI48" t="e">
        <f>AND(#REF!,"AAAAAHtb/r4=")</f>
        <v>#REF!</v>
      </c>
      <c r="GJ48" t="e">
        <f>AND(#REF!,"AAAAAHtb/r8=")</f>
        <v>#REF!</v>
      </c>
      <c r="GK48" t="e">
        <f>AND(#REF!,"AAAAAHtb/sA=")</f>
        <v>#REF!</v>
      </c>
      <c r="GL48" t="e">
        <f>AND(#REF!,"AAAAAHtb/sE=")</f>
        <v>#REF!</v>
      </c>
      <c r="GM48" t="e">
        <f>AND(#REF!,"AAAAAHtb/sI=")</f>
        <v>#REF!</v>
      </c>
      <c r="GN48" t="e">
        <f>AND(#REF!,"AAAAAHtb/sM=")</f>
        <v>#REF!</v>
      </c>
      <c r="GO48" t="e">
        <f>AND(#REF!,"AAAAAHtb/sQ=")</f>
        <v>#REF!</v>
      </c>
      <c r="GP48" t="e">
        <f>AND(#REF!,"AAAAAHtb/sU=")</f>
        <v>#REF!</v>
      </c>
      <c r="GQ48" t="e">
        <f>AND(#REF!,"AAAAAHtb/sY=")</f>
        <v>#REF!</v>
      </c>
      <c r="GR48" t="e">
        <f>AND(#REF!,"AAAAAHtb/sc=")</f>
        <v>#REF!</v>
      </c>
      <c r="GS48" t="e">
        <f>AND(#REF!,"AAAAAHtb/sg=")</f>
        <v>#REF!</v>
      </c>
      <c r="GT48" t="e">
        <f>AND(#REF!,"AAAAAHtb/sk=")</f>
        <v>#REF!</v>
      </c>
      <c r="GU48" t="e">
        <f>AND(#REF!,"AAAAAHtb/so=")</f>
        <v>#REF!</v>
      </c>
      <c r="GV48" t="e">
        <f>AND(#REF!,"AAAAAHtb/ss=")</f>
        <v>#REF!</v>
      </c>
      <c r="GW48" t="e">
        <f>AND(#REF!,"AAAAAHtb/sw=")</f>
        <v>#REF!</v>
      </c>
      <c r="GX48" t="e">
        <f>AND(#REF!,"AAAAAHtb/s0=")</f>
        <v>#REF!</v>
      </c>
      <c r="GY48" t="e">
        <f>AND(#REF!,"AAAAAHtb/s4=")</f>
        <v>#REF!</v>
      </c>
      <c r="GZ48" t="e">
        <f>AND(#REF!,"AAAAAHtb/s8=")</f>
        <v>#REF!</v>
      </c>
      <c r="HA48" t="e">
        <f>AND(#REF!,"AAAAAHtb/tA=")</f>
        <v>#REF!</v>
      </c>
      <c r="HB48" t="e">
        <f>AND(#REF!,"AAAAAHtb/tE=")</f>
        <v>#REF!</v>
      </c>
      <c r="HC48" t="e">
        <f>AND(#REF!,"AAAAAHtb/tI=")</f>
        <v>#REF!</v>
      </c>
      <c r="HD48" t="e">
        <f>AND(#REF!,"AAAAAHtb/tM=")</f>
        <v>#REF!</v>
      </c>
      <c r="HE48" t="e">
        <f>AND(#REF!,"AAAAAHtb/tQ=")</f>
        <v>#REF!</v>
      </c>
      <c r="HF48" t="e">
        <f>AND(#REF!,"AAAAAHtb/tU=")</f>
        <v>#REF!</v>
      </c>
      <c r="HG48" t="e">
        <f>AND(#REF!,"AAAAAHtb/tY=")</f>
        <v>#REF!</v>
      </c>
      <c r="HH48" t="e">
        <f>AND(#REF!,"AAAAAHtb/tc=")</f>
        <v>#REF!</v>
      </c>
      <c r="HI48" t="e">
        <f>AND(#REF!,"AAAAAHtb/tg=")</f>
        <v>#REF!</v>
      </c>
      <c r="HJ48" t="e">
        <f>AND(#REF!,"AAAAAHtb/tk=")</f>
        <v>#REF!</v>
      </c>
      <c r="HK48" t="e">
        <f>AND(#REF!,"AAAAAHtb/to=")</f>
        <v>#REF!</v>
      </c>
      <c r="HL48" t="e">
        <f>AND(#REF!,"AAAAAHtb/ts=")</f>
        <v>#REF!</v>
      </c>
      <c r="HM48" t="e">
        <f>AND(#REF!,"AAAAAHtb/tw=")</f>
        <v>#REF!</v>
      </c>
      <c r="HN48" t="e">
        <f>AND(#REF!,"AAAAAHtb/t0=")</f>
        <v>#REF!</v>
      </c>
      <c r="HO48" t="e">
        <f>AND(#REF!,"AAAAAHtb/t4=")</f>
        <v>#REF!</v>
      </c>
      <c r="HP48" t="e">
        <f>AND(#REF!,"AAAAAHtb/t8=")</f>
        <v>#REF!</v>
      </c>
      <c r="HQ48" t="e">
        <f>AND(#REF!,"AAAAAHtb/uA=")</f>
        <v>#REF!</v>
      </c>
      <c r="HR48" t="e">
        <f>AND(#REF!,"AAAAAHtb/uE=")</f>
        <v>#REF!</v>
      </c>
      <c r="HS48" t="e">
        <f>AND(#REF!,"AAAAAHtb/uI=")</f>
        <v>#REF!</v>
      </c>
      <c r="HT48" t="e">
        <f>AND(#REF!,"AAAAAHtb/uM=")</f>
        <v>#REF!</v>
      </c>
      <c r="HU48" t="e">
        <f>AND(#REF!,"AAAAAHtb/uQ=")</f>
        <v>#REF!</v>
      </c>
      <c r="HV48" t="e">
        <f>AND(#REF!,"AAAAAHtb/uU=")</f>
        <v>#REF!</v>
      </c>
      <c r="HW48" t="e">
        <f>AND(#REF!,"AAAAAHtb/uY=")</f>
        <v>#REF!</v>
      </c>
      <c r="HX48" t="e">
        <f>AND(#REF!,"AAAAAHtb/uc=")</f>
        <v>#REF!</v>
      </c>
      <c r="HY48" t="e">
        <f>AND(#REF!,"AAAAAHtb/ug=")</f>
        <v>#REF!</v>
      </c>
      <c r="HZ48" t="e">
        <f>AND(#REF!,"AAAAAHtb/uk=")</f>
        <v>#REF!</v>
      </c>
      <c r="IA48" t="e">
        <f>AND(#REF!,"AAAAAHtb/uo=")</f>
        <v>#REF!</v>
      </c>
      <c r="IB48" t="e">
        <f>AND(#REF!,"AAAAAHtb/us=")</f>
        <v>#REF!</v>
      </c>
      <c r="IC48" t="e">
        <f>AND(#REF!,"AAAAAHtb/uw=")</f>
        <v>#REF!</v>
      </c>
      <c r="ID48" t="e">
        <f>AND(#REF!,"AAAAAHtb/u0=")</f>
        <v>#REF!</v>
      </c>
      <c r="IE48" t="e">
        <f>AND(#REF!,"AAAAAHtb/u4=")</f>
        <v>#REF!</v>
      </c>
      <c r="IF48" t="e">
        <f>AND(#REF!,"AAAAAHtb/u8=")</f>
        <v>#REF!</v>
      </c>
      <c r="IG48" t="e">
        <f>AND(#REF!,"AAAAAHtb/vA=")</f>
        <v>#REF!</v>
      </c>
      <c r="IH48" t="e">
        <f>AND(#REF!,"AAAAAHtb/vE=")</f>
        <v>#REF!</v>
      </c>
      <c r="II48" t="e">
        <f>AND(#REF!,"AAAAAHtb/vI=")</f>
        <v>#REF!</v>
      </c>
      <c r="IJ48" t="e">
        <f>AND(#REF!,"AAAAAHtb/vM=")</f>
        <v>#REF!</v>
      </c>
      <c r="IK48" t="e">
        <f>AND(#REF!,"AAAAAHtb/vQ=")</f>
        <v>#REF!</v>
      </c>
      <c r="IL48" t="e">
        <f>AND(#REF!,"AAAAAHtb/vU=")</f>
        <v>#REF!</v>
      </c>
      <c r="IM48" t="e">
        <f>AND(#REF!,"AAAAAHtb/vY=")</f>
        <v>#REF!</v>
      </c>
      <c r="IN48" t="e">
        <f>AND(#REF!,"AAAAAHtb/vc=")</f>
        <v>#REF!</v>
      </c>
      <c r="IO48" t="e">
        <f>AND(#REF!,"AAAAAHtb/vg=")</f>
        <v>#REF!</v>
      </c>
      <c r="IP48" t="e">
        <f>AND(#REF!,"AAAAAHtb/vk=")</f>
        <v>#REF!</v>
      </c>
      <c r="IQ48" t="e">
        <f>AND(#REF!,"AAAAAHtb/vo=")</f>
        <v>#REF!</v>
      </c>
      <c r="IR48" t="e">
        <f>AND(#REF!,"AAAAAHtb/vs=")</f>
        <v>#REF!</v>
      </c>
      <c r="IS48" t="e">
        <f>AND(#REF!,"AAAAAHtb/vw=")</f>
        <v>#REF!</v>
      </c>
      <c r="IT48" t="e">
        <f>AND(#REF!,"AAAAAHtb/v0=")</f>
        <v>#REF!</v>
      </c>
      <c r="IU48" t="e">
        <f>AND(#REF!,"AAAAAHtb/v4=")</f>
        <v>#REF!</v>
      </c>
      <c r="IV48" t="e">
        <f>AND(#REF!,"AAAAAHtb/v8=")</f>
        <v>#REF!</v>
      </c>
    </row>
    <row r="49" spans="1:256" x14ac:dyDescent="0.2">
      <c r="A49" t="e">
        <f>AND(#REF!,"AAAAAHb++wA=")</f>
        <v>#REF!</v>
      </c>
      <c r="B49" t="e">
        <f>AND(#REF!,"AAAAAHb++wE=")</f>
        <v>#REF!</v>
      </c>
      <c r="C49" t="e">
        <f>AND(#REF!,"AAAAAHb++wI=")</f>
        <v>#REF!</v>
      </c>
      <c r="D49" t="e">
        <f>AND(#REF!,"AAAAAHb++wM=")</f>
        <v>#REF!</v>
      </c>
      <c r="E49" t="e">
        <f>AND(#REF!,"AAAAAHb++wQ=")</f>
        <v>#REF!</v>
      </c>
      <c r="F49" t="e">
        <f>AND(#REF!,"AAAAAHb++wU=")</f>
        <v>#REF!</v>
      </c>
      <c r="G49" t="e">
        <f>AND(#REF!,"AAAAAHb++wY=")</f>
        <v>#REF!</v>
      </c>
      <c r="H49" t="e">
        <f>AND(#REF!,"AAAAAHb++wc=")</f>
        <v>#REF!</v>
      </c>
      <c r="I49" t="e">
        <f>AND(#REF!,"AAAAAHb++wg=")</f>
        <v>#REF!</v>
      </c>
      <c r="J49" t="e">
        <f>AND(#REF!,"AAAAAHb++wk=")</f>
        <v>#REF!</v>
      </c>
      <c r="K49" t="e">
        <f>AND(#REF!,"AAAAAHb++wo=")</f>
        <v>#REF!</v>
      </c>
      <c r="L49" t="e">
        <f>AND(#REF!,"AAAAAHb++ws=")</f>
        <v>#REF!</v>
      </c>
      <c r="M49" t="e">
        <f>AND(#REF!,"AAAAAHb++ww=")</f>
        <v>#REF!</v>
      </c>
      <c r="N49" t="e">
        <f>AND(#REF!,"AAAAAHb++w0=")</f>
        <v>#REF!</v>
      </c>
      <c r="O49" t="e">
        <f>AND(#REF!,"AAAAAHb++w4=")</f>
        <v>#REF!</v>
      </c>
      <c r="P49" t="e">
        <f>AND(#REF!,"AAAAAHb++w8=")</f>
        <v>#REF!</v>
      </c>
      <c r="Q49" t="e">
        <f>AND(#REF!,"AAAAAHb++xA=")</f>
        <v>#REF!</v>
      </c>
      <c r="R49" t="e">
        <f>AND(#REF!,"AAAAAHb++xE=")</f>
        <v>#REF!</v>
      </c>
      <c r="S49" t="e">
        <f>AND(#REF!,"AAAAAHb++xI=")</f>
        <v>#REF!</v>
      </c>
      <c r="T49" t="e">
        <f>AND(#REF!,"AAAAAHb++xM=")</f>
        <v>#REF!</v>
      </c>
      <c r="U49" t="e">
        <f>AND(#REF!,"AAAAAHb++xQ=")</f>
        <v>#REF!</v>
      </c>
      <c r="V49" t="e">
        <f>AND(#REF!,"AAAAAHb++xU=")</f>
        <v>#REF!</v>
      </c>
      <c r="W49" t="e">
        <f>AND(#REF!,"AAAAAHb++xY=")</f>
        <v>#REF!</v>
      </c>
      <c r="X49" t="e">
        <f>AND(#REF!,"AAAAAHb++xc=")</f>
        <v>#REF!</v>
      </c>
      <c r="Y49" t="e">
        <f>AND(#REF!,"AAAAAHb++xg=")</f>
        <v>#REF!</v>
      </c>
      <c r="Z49" t="e">
        <f>AND(#REF!,"AAAAAHb++xk=")</f>
        <v>#REF!</v>
      </c>
      <c r="AA49" t="e">
        <f>AND(#REF!,"AAAAAHb++xo=")</f>
        <v>#REF!</v>
      </c>
      <c r="AB49" t="e">
        <f>AND(#REF!,"AAAAAHb++xs=")</f>
        <v>#REF!</v>
      </c>
      <c r="AC49" t="e">
        <f>AND(#REF!,"AAAAAHb++xw=")</f>
        <v>#REF!</v>
      </c>
      <c r="AD49" t="e">
        <f>AND(#REF!,"AAAAAHb++x0=")</f>
        <v>#REF!</v>
      </c>
      <c r="AE49" t="e">
        <f>AND(#REF!,"AAAAAHb++x4=")</f>
        <v>#REF!</v>
      </c>
      <c r="AF49" t="e">
        <f>AND(#REF!,"AAAAAHb++x8=")</f>
        <v>#REF!</v>
      </c>
      <c r="AG49" t="e">
        <f>AND(#REF!,"AAAAAHb++yA=")</f>
        <v>#REF!</v>
      </c>
      <c r="AH49" t="e">
        <f>AND(#REF!,"AAAAAHb++yE=")</f>
        <v>#REF!</v>
      </c>
      <c r="AI49" t="e">
        <f>AND(#REF!,"AAAAAHb++yI=")</f>
        <v>#REF!</v>
      </c>
      <c r="AJ49" t="e">
        <f>AND(#REF!,"AAAAAHb++yM=")</f>
        <v>#REF!</v>
      </c>
      <c r="AK49" t="e">
        <f>AND(#REF!,"AAAAAHb++yQ=")</f>
        <v>#REF!</v>
      </c>
      <c r="AL49" t="e">
        <f>IF(#REF!,"AAAAAHb++yU=",0)</f>
        <v>#REF!</v>
      </c>
      <c r="AM49" t="e">
        <f>AND(#REF!,"AAAAAHb++yY=")</f>
        <v>#REF!</v>
      </c>
      <c r="AN49" t="e">
        <f>AND(#REF!,"AAAAAHb++yc=")</f>
        <v>#REF!</v>
      </c>
      <c r="AO49" t="e">
        <f>AND(#REF!,"AAAAAHb++yg=")</f>
        <v>#REF!</v>
      </c>
      <c r="AP49" t="e">
        <f>AND(#REF!,"AAAAAHb++yk=")</f>
        <v>#REF!</v>
      </c>
      <c r="AQ49" t="e">
        <f>AND(#REF!,"AAAAAHb++yo=")</f>
        <v>#REF!</v>
      </c>
      <c r="AR49" t="e">
        <f>AND(#REF!,"AAAAAHb++ys=")</f>
        <v>#REF!</v>
      </c>
      <c r="AS49" t="e">
        <f>AND(#REF!,"AAAAAHb++yw=")</f>
        <v>#REF!</v>
      </c>
      <c r="AT49" t="e">
        <f>AND(#REF!,"AAAAAHb++y0=")</f>
        <v>#REF!</v>
      </c>
      <c r="AU49" t="e">
        <f>AND(#REF!,"AAAAAHb++y4=")</f>
        <v>#REF!</v>
      </c>
      <c r="AV49" t="e">
        <f>AND(#REF!,"AAAAAHb++y8=")</f>
        <v>#REF!</v>
      </c>
      <c r="AW49" t="e">
        <f>AND(#REF!,"AAAAAHb++zA=")</f>
        <v>#REF!</v>
      </c>
      <c r="AX49" t="e">
        <f>AND(#REF!,"AAAAAHb++zE=")</f>
        <v>#REF!</v>
      </c>
      <c r="AY49" t="e">
        <f>AND(#REF!,"AAAAAHb++zI=")</f>
        <v>#REF!</v>
      </c>
      <c r="AZ49" t="e">
        <f>AND(#REF!,"AAAAAHb++zM=")</f>
        <v>#REF!</v>
      </c>
      <c r="BA49" t="e">
        <f>AND(#REF!,"AAAAAHb++zQ=")</f>
        <v>#REF!</v>
      </c>
      <c r="BB49" t="e">
        <f>AND(#REF!,"AAAAAHb++zU=")</f>
        <v>#REF!</v>
      </c>
      <c r="BC49" t="e">
        <f>AND(#REF!,"AAAAAHb++zY=")</f>
        <v>#REF!</v>
      </c>
      <c r="BD49" t="e">
        <f>AND(#REF!,"AAAAAHb++zc=")</f>
        <v>#REF!</v>
      </c>
      <c r="BE49" t="e">
        <f>AND(#REF!,"AAAAAHb++zg=")</f>
        <v>#REF!</v>
      </c>
      <c r="BF49" t="e">
        <f>AND(#REF!,"AAAAAHb++zk=")</f>
        <v>#REF!</v>
      </c>
      <c r="BG49" t="e">
        <f>AND(#REF!,"AAAAAHb++zo=")</f>
        <v>#REF!</v>
      </c>
      <c r="BH49" t="e">
        <f>AND(#REF!,"AAAAAHb++zs=")</f>
        <v>#REF!</v>
      </c>
      <c r="BI49" t="e">
        <f>AND(#REF!,"AAAAAHb++zw=")</f>
        <v>#REF!</v>
      </c>
      <c r="BJ49" t="e">
        <f>AND(#REF!,"AAAAAHb++z0=")</f>
        <v>#REF!</v>
      </c>
      <c r="BK49" t="e">
        <f>AND(#REF!,"AAAAAHb++z4=")</f>
        <v>#REF!</v>
      </c>
      <c r="BL49" t="e">
        <f>AND(#REF!,"AAAAAHb++z8=")</f>
        <v>#REF!</v>
      </c>
      <c r="BM49" t="e">
        <f>AND(#REF!,"AAAAAHb++0A=")</f>
        <v>#REF!</v>
      </c>
      <c r="BN49" t="e">
        <f>AND(#REF!,"AAAAAHb++0E=")</f>
        <v>#REF!</v>
      </c>
      <c r="BO49" t="e">
        <f>AND(#REF!,"AAAAAHb++0I=")</f>
        <v>#REF!</v>
      </c>
      <c r="BP49" t="e">
        <f>AND(#REF!,"AAAAAHb++0M=")</f>
        <v>#REF!</v>
      </c>
      <c r="BQ49" t="e">
        <f>AND(#REF!,"AAAAAHb++0Q=")</f>
        <v>#REF!</v>
      </c>
      <c r="BR49" t="e">
        <f>AND(#REF!,"AAAAAHb++0U=")</f>
        <v>#REF!</v>
      </c>
      <c r="BS49" t="e">
        <f>AND(#REF!,"AAAAAHb++0Y=")</f>
        <v>#REF!</v>
      </c>
      <c r="BT49" t="e">
        <f>AND(#REF!,"AAAAAHb++0c=")</f>
        <v>#REF!</v>
      </c>
      <c r="BU49" t="e">
        <f>AND(#REF!,"AAAAAHb++0g=")</f>
        <v>#REF!</v>
      </c>
      <c r="BV49" t="e">
        <f>AND(#REF!,"AAAAAHb++0k=")</f>
        <v>#REF!</v>
      </c>
      <c r="BW49" t="e">
        <f>AND(#REF!,"AAAAAHb++0o=")</f>
        <v>#REF!</v>
      </c>
      <c r="BX49" t="e">
        <f>AND(#REF!,"AAAAAHb++0s=")</f>
        <v>#REF!</v>
      </c>
      <c r="BY49" t="e">
        <f>AND(#REF!,"AAAAAHb++0w=")</f>
        <v>#REF!</v>
      </c>
      <c r="BZ49" t="e">
        <f>AND(#REF!,"AAAAAHb++00=")</f>
        <v>#REF!</v>
      </c>
      <c r="CA49" t="e">
        <f>AND(#REF!,"AAAAAHb++04=")</f>
        <v>#REF!</v>
      </c>
      <c r="CB49" t="e">
        <f>AND(#REF!,"AAAAAHb++08=")</f>
        <v>#REF!</v>
      </c>
      <c r="CC49" t="e">
        <f>AND(#REF!,"AAAAAHb++1A=")</f>
        <v>#REF!</v>
      </c>
      <c r="CD49" t="e">
        <f>AND(#REF!,"AAAAAHb++1E=")</f>
        <v>#REF!</v>
      </c>
      <c r="CE49" t="e">
        <f>AND(#REF!,"AAAAAHb++1I=")</f>
        <v>#REF!</v>
      </c>
      <c r="CF49" t="e">
        <f>AND(#REF!,"AAAAAHb++1M=")</f>
        <v>#REF!</v>
      </c>
      <c r="CG49" t="e">
        <f>AND(#REF!,"AAAAAHb++1Q=")</f>
        <v>#REF!</v>
      </c>
      <c r="CH49" t="e">
        <f>AND(#REF!,"AAAAAHb++1U=")</f>
        <v>#REF!</v>
      </c>
      <c r="CI49" t="e">
        <f>AND(#REF!,"AAAAAHb++1Y=")</f>
        <v>#REF!</v>
      </c>
      <c r="CJ49" t="e">
        <f>AND(#REF!,"AAAAAHb++1c=")</f>
        <v>#REF!</v>
      </c>
      <c r="CK49" t="e">
        <f>AND(#REF!,"AAAAAHb++1g=")</f>
        <v>#REF!</v>
      </c>
      <c r="CL49" t="e">
        <f>AND(#REF!,"AAAAAHb++1k=")</f>
        <v>#REF!</v>
      </c>
      <c r="CM49" t="e">
        <f>AND(#REF!,"AAAAAHb++1o=")</f>
        <v>#REF!</v>
      </c>
      <c r="CN49" t="e">
        <f>AND(#REF!,"AAAAAHb++1s=")</f>
        <v>#REF!</v>
      </c>
      <c r="CO49" t="e">
        <f>AND(#REF!,"AAAAAHb++1w=")</f>
        <v>#REF!</v>
      </c>
      <c r="CP49" t="e">
        <f>AND(#REF!,"AAAAAHb++10=")</f>
        <v>#REF!</v>
      </c>
      <c r="CQ49" t="e">
        <f>AND(#REF!,"AAAAAHb++14=")</f>
        <v>#REF!</v>
      </c>
      <c r="CR49" t="e">
        <f>AND(#REF!,"AAAAAHb++18=")</f>
        <v>#REF!</v>
      </c>
      <c r="CS49" t="e">
        <f>AND(#REF!,"AAAAAHb++2A=")</f>
        <v>#REF!</v>
      </c>
      <c r="CT49" t="e">
        <f>AND(#REF!,"AAAAAHb++2E=")</f>
        <v>#REF!</v>
      </c>
      <c r="CU49" t="e">
        <f>AND(#REF!,"AAAAAHb++2I=")</f>
        <v>#REF!</v>
      </c>
      <c r="CV49" t="e">
        <f>AND(#REF!,"AAAAAHb++2M=")</f>
        <v>#REF!</v>
      </c>
      <c r="CW49" t="e">
        <f>AND(#REF!,"AAAAAHb++2Q=")</f>
        <v>#REF!</v>
      </c>
      <c r="CX49" t="e">
        <f>AND(#REF!,"AAAAAHb++2U=")</f>
        <v>#REF!</v>
      </c>
      <c r="CY49" t="e">
        <f>AND(#REF!,"AAAAAHb++2Y=")</f>
        <v>#REF!</v>
      </c>
      <c r="CZ49" t="e">
        <f>AND(#REF!,"AAAAAHb++2c=")</f>
        <v>#REF!</v>
      </c>
      <c r="DA49" t="e">
        <f>AND(#REF!,"AAAAAHb++2g=")</f>
        <v>#REF!</v>
      </c>
      <c r="DB49" t="e">
        <f>AND(#REF!,"AAAAAHb++2k=")</f>
        <v>#REF!</v>
      </c>
      <c r="DC49" t="e">
        <f>AND(#REF!,"AAAAAHb++2o=")</f>
        <v>#REF!</v>
      </c>
      <c r="DD49" t="e">
        <f>AND(#REF!,"AAAAAHb++2s=")</f>
        <v>#REF!</v>
      </c>
      <c r="DE49" t="e">
        <f>AND(#REF!,"AAAAAHb++2w=")</f>
        <v>#REF!</v>
      </c>
      <c r="DF49" t="e">
        <f>AND(#REF!,"AAAAAHb++20=")</f>
        <v>#REF!</v>
      </c>
      <c r="DG49" t="e">
        <f>AND(#REF!,"AAAAAHb++24=")</f>
        <v>#REF!</v>
      </c>
      <c r="DH49" t="e">
        <f>AND(#REF!,"AAAAAHb++28=")</f>
        <v>#REF!</v>
      </c>
      <c r="DI49" t="e">
        <f>AND(#REF!,"AAAAAHb++3A=")</f>
        <v>#REF!</v>
      </c>
      <c r="DJ49" t="e">
        <f>AND(#REF!,"AAAAAHb++3E=")</f>
        <v>#REF!</v>
      </c>
      <c r="DK49" t="e">
        <f>AND(#REF!,"AAAAAHb++3I=")</f>
        <v>#REF!</v>
      </c>
      <c r="DL49" t="e">
        <f>AND(#REF!,"AAAAAHb++3M=")</f>
        <v>#REF!</v>
      </c>
      <c r="DM49" t="e">
        <f>AND(#REF!,"AAAAAHb++3Q=")</f>
        <v>#REF!</v>
      </c>
      <c r="DN49" t="e">
        <f>AND(#REF!,"AAAAAHb++3U=")</f>
        <v>#REF!</v>
      </c>
      <c r="DO49" t="e">
        <f>AND(#REF!,"AAAAAHb++3Y=")</f>
        <v>#REF!</v>
      </c>
      <c r="DP49" t="e">
        <f>AND(#REF!,"AAAAAHb++3c=")</f>
        <v>#REF!</v>
      </c>
      <c r="DQ49" t="e">
        <f>AND(#REF!,"AAAAAHb++3g=")</f>
        <v>#REF!</v>
      </c>
      <c r="DR49" t="e">
        <f>AND(#REF!,"AAAAAHb++3k=")</f>
        <v>#REF!</v>
      </c>
      <c r="DS49" t="e">
        <f>AND(#REF!,"AAAAAHb++3o=")</f>
        <v>#REF!</v>
      </c>
      <c r="DT49" t="e">
        <f>AND(#REF!,"AAAAAHb++3s=")</f>
        <v>#REF!</v>
      </c>
      <c r="DU49" t="e">
        <f>AND(#REF!,"AAAAAHb++3w=")</f>
        <v>#REF!</v>
      </c>
      <c r="DV49" t="e">
        <f>AND(#REF!,"AAAAAHb++30=")</f>
        <v>#REF!</v>
      </c>
      <c r="DW49" t="e">
        <f>AND(#REF!,"AAAAAHb++34=")</f>
        <v>#REF!</v>
      </c>
      <c r="DX49" t="e">
        <f>AND(#REF!,"AAAAAHb++38=")</f>
        <v>#REF!</v>
      </c>
      <c r="DY49" t="e">
        <f>AND(#REF!,"AAAAAHb++4A=")</f>
        <v>#REF!</v>
      </c>
      <c r="DZ49" t="e">
        <f>AND(#REF!,"AAAAAHb++4E=")</f>
        <v>#REF!</v>
      </c>
      <c r="EA49" t="e">
        <f>AND(#REF!,"AAAAAHb++4I=")</f>
        <v>#REF!</v>
      </c>
      <c r="EB49" t="e">
        <f>AND(#REF!,"AAAAAHb++4M=")</f>
        <v>#REF!</v>
      </c>
      <c r="EC49" t="e">
        <f>AND(#REF!,"AAAAAHb++4Q=")</f>
        <v>#REF!</v>
      </c>
      <c r="ED49" t="e">
        <f>AND(#REF!,"AAAAAHb++4U=")</f>
        <v>#REF!</v>
      </c>
      <c r="EE49" t="e">
        <f>AND(#REF!,"AAAAAHb++4Y=")</f>
        <v>#REF!</v>
      </c>
      <c r="EF49" t="e">
        <f>AND(#REF!,"AAAAAHb++4c=")</f>
        <v>#REF!</v>
      </c>
      <c r="EG49" t="e">
        <f>AND(#REF!,"AAAAAHb++4g=")</f>
        <v>#REF!</v>
      </c>
      <c r="EH49" t="e">
        <f>AND(#REF!,"AAAAAHb++4k=")</f>
        <v>#REF!</v>
      </c>
      <c r="EI49" t="e">
        <f>AND(#REF!,"AAAAAHb++4o=")</f>
        <v>#REF!</v>
      </c>
      <c r="EJ49" t="e">
        <f>AND(#REF!,"AAAAAHb++4s=")</f>
        <v>#REF!</v>
      </c>
      <c r="EK49" t="e">
        <f>AND(#REF!,"AAAAAHb++4w=")</f>
        <v>#REF!</v>
      </c>
      <c r="EL49" t="e">
        <f>AND(#REF!,"AAAAAHb++40=")</f>
        <v>#REF!</v>
      </c>
      <c r="EM49" t="e">
        <f>AND(#REF!,"AAAAAHb++44=")</f>
        <v>#REF!</v>
      </c>
      <c r="EN49" t="e">
        <f>AND(#REF!,"AAAAAHb++48=")</f>
        <v>#REF!</v>
      </c>
      <c r="EO49" t="e">
        <f>AND(#REF!,"AAAAAHb++5A=")</f>
        <v>#REF!</v>
      </c>
      <c r="EP49" t="e">
        <f>AND(#REF!,"AAAAAHb++5E=")</f>
        <v>#REF!</v>
      </c>
      <c r="EQ49" t="e">
        <f>AND(#REF!,"AAAAAHb++5I=")</f>
        <v>#REF!</v>
      </c>
      <c r="ER49" t="e">
        <f>AND(#REF!,"AAAAAHb++5M=")</f>
        <v>#REF!</v>
      </c>
      <c r="ES49" t="e">
        <f>AND(#REF!,"AAAAAHb++5Q=")</f>
        <v>#REF!</v>
      </c>
      <c r="ET49" t="e">
        <f>AND(#REF!,"AAAAAHb++5U=")</f>
        <v>#REF!</v>
      </c>
      <c r="EU49" t="e">
        <f>AND(#REF!,"AAAAAHb++5Y=")</f>
        <v>#REF!</v>
      </c>
      <c r="EV49" t="e">
        <f>AND(#REF!,"AAAAAHb++5c=")</f>
        <v>#REF!</v>
      </c>
      <c r="EW49" t="e">
        <f>AND(#REF!,"AAAAAHb++5g=")</f>
        <v>#REF!</v>
      </c>
      <c r="EX49" t="e">
        <f>AND(#REF!,"AAAAAHb++5k=")</f>
        <v>#REF!</v>
      </c>
      <c r="EY49" t="e">
        <f>AND(#REF!,"AAAAAHb++5o=")</f>
        <v>#REF!</v>
      </c>
      <c r="EZ49" t="e">
        <f>AND(#REF!,"AAAAAHb++5s=")</f>
        <v>#REF!</v>
      </c>
      <c r="FA49" t="e">
        <f>AND(#REF!,"AAAAAHb++5w=")</f>
        <v>#REF!</v>
      </c>
      <c r="FB49" t="e">
        <f>AND(#REF!,"AAAAAHb++50=")</f>
        <v>#REF!</v>
      </c>
      <c r="FC49" t="e">
        <f>AND(#REF!,"AAAAAHb++54=")</f>
        <v>#REF!</v>
      </c>
      <c r="FD49" t="e">
        <f>AND(#REF!,"AAAAAHb++58=")</f>
        <v>#REF!</v>
      </c>
      <c r="FE49" t="e">
        <f>AND(#REF!,"AAAAAHb++6A=")</f>
        <v>#REF!</v>
      </c>
      <c r="FF49" t="e">
        <f>AND(#REF!,"AAAAAHb++6E=")</f>
        <v>#REF!</v>
      </c>
      <c r="FG49" t="e">
        <f>AND(#REF!,"AAAAAHb++6I=")</f>
        <v>#REF!</v>
      </c>
      <c r="FH49" t="e">
        <f>AND(#REF!,"AAAAAHb++6M=")</f>
        <v>#REF!</v>
      </c>
      <c r="FI49" t="e">
        <f>AND(#REF!,"AAAAAHb++6Q=")</f>
        <v>#REF!</v>
      </c>
      <c r="FJ49" t="e">
        <f>AND(#REF!,"AAAAAHb++6U=")</f>
        <v>#REF!</v>
      </c>
      <c r="FK49" t="e">
        <f>AND(#REF!,"AAAAAHb++6Y=")</f>
        <v>#REF!</v>
      </c>
      <c r="FL49" t="e">
        <f>AND(#REF!,"AAAAAHb++6c=")</f>
        <v>#REF!</v>
      </c>
      <c r="FM49" t="e">
        <f>AND(#REF!,"AAAAAHb++6g=")</f>
        <v>#REF!</v>
      </c>
      <c r="FN49" t="e">
        <f>AND(#REF!,"AAAAAHb++6k=")</f>
        <v>#REF!</v>
      </c>
      <c r="FO49" t="e">
        <f>AND(#REF!,"AAAAAHb++6o=")</f>
        <v>#REF!</v>
      </c>
      <c r="FP49" t="e">
        <f>AND(#REF!,"AAAAAHb++6s=")</f>
        <v>#REF!</v>
      </c>
      <c r="FQ49" t="e">
        <f>AND(#REF!,"AAAAAHb++6w=")</f>
        <v>#REF!</v>
      </c>
      <c r="FR49" t="e">
        <f>AND(#REF!,"AAAAAHb++60=")</f>
        <v>#REF!</v>
      </c>
      <c r="FS49" t="e">
        <f>AND(#REF!,"AAAAAHb++64=")</f>
        <v>#REF!</v>
      </c>
      <c r="FT49" t="e">
        <f>AND(#REF!,"AAAAAHb++68=")</f>
        <v>#REF!</v>
      </c>
      <c r="FU49" t="e">
        <f>AND(#REF!,"AAAAAHb++7A=")</f>
        <v>#REF!</v>
      </c>
      <c r="FV49" t="e">
        <f>AND(#REF!,"AAAAAHb++7E=")</f>
        <v>#REF!</v>
      </c>
      <c r="FW49" t="e">
        <f>AND(#REF!,"AAAAAHb++7I=")</f>
        <v>#REF!</v>
      </c>
      <c r="FX49" t="e">
        <f>AND(#REF!,"AAAAAHb++7M=")</f>
        <v>#REF!</v>
      </c>
      <c r="FY49" t="e">
        <f>AND(#REF!,"AAAAAHb++7Q=")</f>
        <v>#REF!</v>
      </c>
      <c r="FZ49" t="e">
        <f>AND(#REF!,"AAAAAHb++7U=")</f>
        <v>#REF!</v>
      </c>
      <c r="GA49" t="e">
        <f>AND(#REF!,"AAAAAHb++7Y=")</f>
        <v>#REF!</v>
      </c>
      <c r="GB49" t="e">
        <f>AND(#REF!,"AAAAAHb++7c=")</f>
        <v>#REF!</v>
      </c>
      <c r="GC49" t="e">
        <f>AND(#REF!,"AAAAAHb++7g=")</f>
        <v>#REF!</v>
      </c>
      <c r="GD49" t="e">
        <f>AND(#REF!,"AAAAAHb++7k=")</f>
        <v>#REF!</v>
      </c>
      <c r="GE49" t="e">
        <f>AND(#REF!,"AAAAAHb++7o=")</f>
        <v>#REF!</v>
      </c>
      <c r="GF49" t="e">
        <f>AND(#REF!,"AAAAAHb++7s=")</f>
        <v>#REF!</v>
      </c>
      <c r="GG49" t="e">
        <f>AND(#REF!,"AAAAAHb++7w=")</f>
        <v>#REF!</v>
      </c>
      <c r="GH49" t="e">
        <f>AND(#REF!,"AAAAAHb++70=")</f>
        <v>#REF!</v>
      </c>
      <c r="GI49" t="e">
        <f>AND(#REF!,"AAAAAHb++74=")</f>
        <v>#REF!</v>
      </c>
      <c r="GJ49" t="e">
        <f>AND(#REF!,"AAAAAHb++78=")</f>
        <v>#REF!</v>
      </c>
      <c r="GK49" t="e">
        <f>AND(#REF!,"AAAAAHb++8A=")</f>
        <v>#REF!</v>
      </c>
      <c r="GL49" t="e">
        <f>AND(#REF!,"AAAAAHb++8E=")</f>
        <v>#REF!</v>
      </c>
      <c r="GM49" t="e">
        <f>AND(#REF!,"AAAAAHb++8I=")</f>
        <v>#REF!</v>
      </c>
      <c r="GN49" t="e">
        <f>AND(#REF!,"AAAAAHb++8M=")</f>
        <v>#REF!</v>
      </c>
      <c r="GO49" t="e">
        <f>AND(#REF!,"AAAAAHb++8Q=")</f>
        <v>#REF!</v>
      </c>
      <c r="GP49" t="e">
        <f>AND(#REF!,"AAAAAHb++8U=")</f>
        <v>#REF!</v>
      </c>
      <c r="GQ49" t="e">
        <f>AND(#REF!,"AAAAAHb++8Y=")</f>
        <v>#REF!</v>
      </c>
      <c r="GR49" t="e">
        <f>AND(#REF!,"AAAAAHb++8c=")</f>
        <v>#REF!</v>
      </c>
      <c r="GS49" t="e">
        <f>AND(#REF!,"AAAAAHb++8g=")</f>
        <v>#REF!</v>
      </c>
      <c r="GT49" t="e">
        <f>AND(#REF!,"AAAAAHb++8k=")</f>
        <v>#REF!</v>
      </c>
      <c r="GU49" t="e">
        <f>AND(#REF!,"AAAAAHb++8o=")</f>
        <v>#REF!</v>
      </c>
      <c r="GV49" t="e">
        <f>AND(#REF!,"AAAAAHb++8s=")</f>
        <v>#REF!</v>
      </c>
      <c r="GW49" t="e">
        <f>AND(#REF!,"AAAAAHb++8w=")</f>
        <v>#REF!</v>
      </c>
      <c r="GX49" t="e">
        <f>AND(#REF!,"AAAAAHb++80=")</f>
        <v>#REF!</v>
      </c>
      <c r="GY49" t="e">
        <f>AND(#REF!,"AAAAAHb++84=")</f>
        <v>#REF!</v>
      </c>
      <c r="GZ49" t="e">
        <f>AND(#REF!,"AAAAAHb++88=")</f>
        <v>#REF!</v>
      </c>
      <c r="HA49" t="e">
        <f>AND(#REF!,"AAAAAHb++9A=")</f>
        <v>#REF!</v>
      </c>
      <c r="HB49" t="e">
        <f>AND(#REF!,"AAAAAHb++9E=")</f>
        <v>#REF!</v>
      </c>
      <c r="HC49" t="e">
        <f>AND(#REF!,"AAAAAHb++9I=")</f>
        <v>#REF!</v>
      </c>
      <c r="HD49" t="e">
        <f>AND(#REF!,"AAAAAHb++9M=")</f>
        <v>#REF!</v>
      </c>
      <c r="HE49" t="e">
        <f>AND(#REF!,"AAAAAHb++9Q=")</f>
        <v>#REF!</v>
      </c>
      <c r="HF49" t="e">
        <f>AND(#REF!,"AAAAAHb++9U=")</f>
        <v>#REF!</v>
      </c>
      <c r="HG49" t="e">
        <f>AND(#REF!,"AAAAAHb++9Y=")</f>
        <v>#REF!</v>
      </c>
      <c r="HH49" t="e">
        <f>AND(#REF!,"AAAAAHb++9c=")</f>
        <v>#REF!</v>
      </c>
      <c r="HI49" t="e">
        <f>AND(#REF!,"AAAAAHb++9g=")</f>
        <v>#REF!</v>
      </c>
      <c r="HJ49" t="e">
        <f>AND(#REF!,"AAAAAHb++9k=")</f>
        <v>#REF!</v>
      </c>
      <c r="HK49" t="e">
        <f>IF(#REF!,"AAAAAHb++9o=",0)</f>
        <v>#REF!</v>
      </c>
      <c r="HL49" t="e">
        <f>AND(#REF!,"AAAAAHb++9s=")</f>
        <v>#REF!</v>
      </c>
      <c r="HM49" t="e">
        <f>AND(#REF!,"AAAAAHb++9w=")</f>
        <v>#REF!</v>
      </c>
      <c r="HN49" t="e">
        <f>AND(#REF!,"AAAAAHb++90=")</f>
        <v>#REF!</v>
      </c>
      <c r="HO49" t="e">
        <f>AND(#REF!,"AAAAAHb++94=")</f>
        <v>#REF!</v>
      </c>
      <c r="HP49" t="e">
        <f>AND(#REF!,"AAAAAHb++98=")</f>
        <v>#REF!</v>
      </c>
      <c r="HQ49" t="e">
        <f>AND(#REF!,"AAAAAHb+++A=")</f>
        <v>#REF!</v>
      </c>
      <c r="HR49" t="e">
        <f>AND(#REF!,"AAAAAHb+++E=")</f>
        <v>#REF!</v>
      </c>
      <c r="HS49" t="e">
        <f>AND(#REF!,"AAAAAHb+++I=")</f>
        <v>#REF!</v>
      </c>
      <c r="HT49" t="e">
        <f>AND(#REF!,"AAAAAHb+++M=")</f>
        <v>#REF!</v>
      </c>
      <c r="HU49" t="e">
        <f>AND(#REF!,"AAAAAHb+++Q=")</f>
        <v>#REF!</v>
      </c>
      <c r="HV49" t="e">
        <f>AND(#REF!,"AAAAAHb+++U=")</f>
        <v>#REF!</v>
      </c>
      <c r="HW49" t="e">
        <f>AND(#REF!,"AAAAAHb+++Y=")</f>
        <v>#REF!</v>
      </c>
      <c r="HX49" t="e">
        <f>AND(#REF!,"AAAAAHb+++c=")</f>
        <v>#REF!</v>
      </c>
      <c r="HY49" t="e">
        <f>AND(#REF!,"AAAAAHb+++g=")</f>
        <v>#REF!</v>
      </c>
      <c r="HZ49" t="e">
        <f>AND(#REF!,"AAAAAHb+++k=")</f>
        <v>#REF!</v>
      </c>
      <c r="IA49" t="e">
        <f>AND(#REF!,"AAAAAHb+++o=")</f>
        <v>#REF!</v>
      </c>
      <c r="IB49" t="e">
        <f>AND(#REF!,"AAAAAHb+++s=")</f>
        <v>#REF!</v>
      </c>
      <c r="IC49" t="e">
        <f>AND(#REF!,"AAAAAHb+++w=")</f>
        <v>#REF!</v>
      </c>
      <c r="ID49" t="e">
        <f>AND(#REF!,"AAAAAHb+++0=")</f>
        <v>#REF!</v>
      </c>
      <c r="IE49" t="e">
        <f>AND(#REF!,"AAAAAHb+++4=")</f>
        <v>#REF!</v>
      </c>
      <c r="IF49" t="e">
        <f>AND(#REF!,"AAAAAHb+++8=")</f>
        <v>#REF!</v>
      </c>
      <c r="IG49" t="e">
        <f>AND(#REF!,"AAAAAHb++/A=")</f>
        <v>#REF!</v>
      </c>
      <c r="IH49" t="e">
        <f>AND(#REF!,"AAAAAHb++/E=")</f>
        <v>#REF!</v>
      </c>
      <c r="II49" t="e">
        <f>AND(#REF!,"AAAAAHb++/I=")</f>
        <v>#REF!</v>
      </c>
      <c r="IJ49" t="e">
        <f>AND(#REF!,"AAAAAHb++/M=")</f>
        <v>#REF!</v>
      </c>
      <c r="IK49" t="e">
        <f>AND(#REF!,"AAAAAHb++/Q=")</f>
        <v>#REF!</v>
      </c>
      <c r="IL49" t="e">
        <f>AND(#REF!,"AAAAAHb++/U=")</f>
        <v>#REF!</v>
      </c>
      <c r="IM49" t="e">
        <f>AND(#REF!,"AAAAAHb++/Y=")</f>
        <v>#REF!</v>
      </c>
      <c r="IN49" t="e">
        <f>AND(#REF!,"AAAAAHb++/c=")</f>
        <v>#REF!</v>
      </c>
      <c r="IO49" t="e">
        <f>AND(#REF!,"AAAAAHb++/g=")</f>
        <v>#REF!</v>
      </c>
      <c r="IP49" t="e">
        <f>AND(#REF!,"AAAAAHb++/k=")</f>
        <v>#REF!</v>
      </c>
      <c r="IQ49" t="e">
        <f>AND(#REF!,"AAAAAHb++/o=")</f>
        <v>#REF!</v>
      </c>
      <c r="IR49" t="e">
        <f>AND(#REF!,"AAAAAHb++/s=")</f>
        <v>#REF!</v>
      </c>
      <c r="IS49" t="e">
        <f>AND(#REF!,"AAAAAHb++/w=")</f>
        <v>#REF!</v>
      </c>
      <c r="IT49" t="e">
        <f>AND(#REF!,"AAAAAHb++/0=")</f>
        <v>#REF!</v>
      </c>
      <c r="IU49" t="e">
        <f>AND(#REF!,"AAAAAHb++/4=")</f>
        <v>#REF!</v>
      </c>
      <c r="IV49" t="e">
        <f>AND(#REF!,"AAAAAHb++/8=")</f>
        <v>#REF!</v>
      </c>
    </row>
    <row r="50" spans="1:256" x14ac:dyDescent="0.2">
      <c r="A50" t="e">
        <f>AND(#REF!,"AAAAAHW/sAA=")</f>
        <v>#REF!</v>
      </c>
      <c r="B50" t="e">
        <f>AND(#REF!,"AAAAAHW/sAE=")</f>
        <v>#REF!</v>
      </c>
      <c r="C50" t="e">
        <f>AND(#REF!,"AAAAAHW/sAI=")</f>
        <v>#REF!</v>
      </c>
      <c r="D50" t="e">
        <f>AND(#REF!,"AAAAAHW/sAM=")</f>
        <v>#REF!</v>
      </c>
      <c r="E50" t="e">
        <f>AND(#REF!,"AAAAAHW/sAQ=")</f>
        <v>#REF!</v>
      </c>
      <c r="F50" t="e">
        <f>AND(#REF!,"AAAAAHW/sAU=")</f>
        <v>#REF!</v>
      </c>
      <c r="G50" t="e">
        <f>AND(#REF!,"AAAAAHW/sAY=")</f>
        <v>#REF!</v>
      </c>
      <c r="H50" t="e">
        <f>AND(#REF!,"AAAAAHW/sAc=")</f>
        <v>#REF!</v>
      </c>
      <c r="I50" t="e">
        <f>AND(#REF!,"AAAAAHW/sAg=")</f>
        <v>#REF!</v>
      </c>
      <c r="J50" t="e">
        <f>AND(#REF!,"AAAAAHW/sAk=")</f>
        <v>#REF!</v>
      </c>
      <c r="K50" t="e">
        <f>AND(#REF!,"AAAAAHW/sAo=")</f>
        <v>#REF!</v>
      </c>
      <c r="L50" t="e">
        <f>AND(#REF!,"AAAAAHW/sAs=")</f>
        <v>#REF!</v>
      </c>
      <c r="M50" t="e">
        <f>AND(#REF!,"AAAAAHW/sAw=")</f>
        <v>#REF!</v>
      </c>
      <c r="N50" t="e">
        <f>AND(#REF!,"AAAAAHW/sA0=")</f>
        <v>#REF!</v>
      </c>
      <c r="O50" t="e">
        <f>AND(#REF!,"AAAAAHW/sA4=")</f>
        <v>#REF!</v>
      </c>
      <c r="P50" t="e">
        <f>AND(#REF!,"AAAAAHW/sA8=")</f>
        <v>#REF!</v>
      </c>
      <c r="Q50" t="e">
        <f>AND(#REF!,"AAAAAHW/sBA=")</f>
        <v>#REF!</v>
      </c>
      <c r="R50" t="e">
        <f>AND(#REF!,"AAAAAHW/sBE=")</f>
        <v>#REF!</v>
      </c>
      <c r="S50" t="e">
        <f>AND(#REF!,"AAAAAHW/sBI=")</f>
        <v>#REF!</v>
      </c>
      <c r="T50" t="e">
        <f>AND(#REF!,"AAAAAHW/sBM=")</f>
        <v>#REF!</v>
      </c>
      <c r="U50" t="e">
        <f>AND(#REF!,"AAAAAHW/sBQ=")</f>
        <v>#REF!</v>
      </c>
      <c r="V50" t="e">
        <f>AND(#REF!,"AAAAAHW/sBU=")</f>
        <v>#REF!</v>
      </c>
      <c r="W50" t="e">
        <f>AND(#REF!,"AAAAAHW/sBY=")</f>
        <v>#REF!</v>
      </c>
      <c r="X50" t="e">
        <f>AND(#REF!,"AAAAAHW/sBc=")</f>
        <v>#REF!</v>
      </c>
      <c r="Y50" t="e">
        <f>AND(#REF!,"AAAAAHW/sBg=")</f>
        <v>#REF!</v>
      </c>
      <c r="Z50" t="e">
        <f>AND(#REF!,"AAAAAHW/sBk=")</f>
        <v>#REF!</v>
      </c>
      <c r="AA50" t="e">
        <f>AND(#REF!,"AAAAAHW/sBo=")</f>
        <v>#REF!</v>
      </c>
      <c r="AB50" t="e">
        <f>AND(#REF!,"AAAAAHW/sBs=")</f>
        <v>#REF!</v>
      </c>
      <c r="AC50" t="e">
        <f>AND(#REF!,"AAAAAHW/sBw=")</f>
        <v>#REF!</v>
      </c>
      <c r="AD50" t="e">
        <f>AND(#REF!,"AAAAAHW/sB0=")</f>
        <v>#REF!</v>
      </c>
      <c r="AE50" t="e">
        <f>AND(#REF!,"AAAAAHW/sB4=")</f>
        <v>#REF!</v>
      </c>
      <c r="AF50" t="e">
        <f>AND(#REF!,"AAAAAHW/sB8=")</f>
        <v>#REF!</v>
      </c>
      <c r="AG50" t="e">
        <f>AND(#REF!,"AAAAAHW/sCA=")</f>
        <v>#REF!</v>
      </c>
      <c r="AH50" t="e">
        <f>AND(#REF!,"AAAAAHW/sCE=")</f>
        <v>#REF!</v>
      </c>
      <c r="AI50" t="e">
        <f>AND(#REF!,"AAAAAHW/sCI=")</f>
        <v>#REF!</v>
      </c>
      <c r="AJ50" t="e">
        <f>AND(#REF!,"AAAAAHW/sCM=")</f>
        <v>#REF!</v>
      </c>
      <c r="AK50" t="e">
        <f>AND(#REF!,"AAAAAHW/sCQ=")</f>
        <v>#REF!</v>
      </c>
      <c r="AL50" t="e">
        <f>AND(#REF!,"AAAAAHW/sCU=")</f>
        <v>#REF!</v>
      </c>
      <c r="AM50" t="e">
        <f>AND(#REF!,"AAAAAHW/sCY=")</f>
        <v>#REF!</v>
      </c>
      <c r="AN50" t="e">
        <f>AND(#REF!,"AAAAAHW/sCc=")</f>
        <v>#REF!</v>
      </c>
      <c r="AO50" t="e">
        <f>AND(#REF!,"AAAAAHW/sCg=")</f>
        <v>#REF!</v>
      </c>
      <c r="AP50" t="e">
        <f>AND(#REF!,"AAAAAHW/sCk=")</f>
        <v>#REF!</v>
      </c>
      <c r="AQ50" t="e">
        <f>AND(#REF!,"AAAAAHW/sCo=")</f>
        <v>#REF!</v>
      </c>
      <c r="AR50" t="e">
        <f>AND(#REF!,"AAAAAHW/sCs=")</f>
        <v>#REF!</v>
      </c>
      <c r="AS50" t="e">
        <f>AND(#REF!,"AAAAAHW/sCw=")</f>
        <v>#REF!</v>
      </c>
      <c r="AT50" t="e">
        <f>AND(#REF!,"AAAAAHW/sC0=")</f>
        <v>#REF!</v>
      </c>
      <c r="AU50" t="e">
        <f>AND(#REF!,"AAAAAHW/sC4=")</f>
        <v>#REF!</v>
      </c>
      <c r="AV50" t="e">
        <f>AND(#REF!,"AAAAAHW/sC8=")</f>
        <v>#REF!</v>
      </c>
      <c r="AW50" t="e">
        <f>AND(#REF!,"AAAAAHW/sDA=")</f>
        <v>#REF!</v>
      </c>
      <c r="AX50" t="e">
        <f>AND(#REF!,"AAAAAHW/sDE=")</f>
        <v>#REF!</v>
      </c>
      <c r="AY50" t="e">
        <f>AND(#REF!,"AAAAAHW/sDI=")</f>
        <v>#REF!</v>
      </c>
      <c r="AZ50" t="e">
        <f>AND(#REF!,"AAAAAHW/sDM=")</f>
        <v>#REF!</v>
      </c>
      <c r="BA50" t="e">
        <f>AND(#REF!,"AAAAAHW/sDQ=")</f>
        <v>#REF!</v>
      </c>
      <c r="BB50" t="e">
        <f>AND(#REF!,"AAAAAHW/sDU=")</f>
        <v>#REF!</v>
      </c>
      <c r="BC50" t="e">
        <f>AND(#REF!,"AAAAAHW/sDY=")</f>
        <v>#REF!</v>
      </c>
      <c r="BD50" t="e">
        <f>AND(#REF!,"AAAAAHW/sDc=")</f>
        <v>#REF!</v>
      </c>
      <c r="BE50" t="e">
        <f>AND(#REF!,"AAAAAHW/sDg=")</f>
        <v>#REF!</v>
      </c>
      <c r="BF50" t="e">
        <f>AND(#REF!,"AAAAAHW/sDk=")</f>
        <v>#REF!</v>
      </c>
      <c r="BG50" t="e">
        <f>AND(#REF!,"AAAAAHW/sDo=")</f>
        <v>#REF!</v>
      </c>
      <c r="BH50" t="e">
        <f>AND(#REF!,"AAAAAHW/sDs=")</f>
        <v>#REF!</v>
      </c>
      <c r="BI50" t="e">
        <f>AND(#REF!,"AAAAAHW/sDw=")</f>
        <v>#REF!</v>
      </c>
      <c r="BJ50" t="e">
        <f>AND(#REF!,"AAAAAHW/sD0=")</f>
        <v>#REF!</v>
      </c>
      <c r="BK50" t="e">
        <f>AND(#REF!,"AAAAAHW/sD4=")</f>
        <v>#REF!</v>
      </c>
      <c r="BL50" t="e">
        <f>AND(#REF!,"AAAAAHW/sD8=")</f>
        <v>#REF!</v>
      </c>
      <c r="BM50" t="e">
        <f>AND(#REF!,"AAAAAHW/sEA=")</f>
        <v>#REF!</v>
      </c>
      <c r="BN50" t="e">
        <f>AND(#REF!,"AAAAAHW/sEE=")</f>
        <v>#REF!</v>
      </c>
      <c r="BO50" t="e">
        <f>AND(#REF!,"AAAAAHW/sEI=")</f>
        <v>#REF!</v>
      </c>
      <c r="BP50" t="e">
        <f>AND(#REF!,"AAAAAHW/sEM=")</f>
        <v>#REF!</v>
      </c>
      <c r="BQ50" t="e">
        <f>AND(#REF!,"AAAAAHW/sEQ=")</f>
        <v>#REF!</v>
      </c>
      <c r="BR50" t="e">
        <f>AND(#REF!,"AAAAAHW/sEU=")</f>
        <v>#REF!</v>
      </c>
      <c r="BS50" t="e">
        <f>AND(#REF!,"AAAAAHW/sEY=")</f>
        <v>#REF!</v>
      </c>
      <c r="BT50" t="e">
        <f>AND(#REF!,"AAAAAHW/sEc=")</f>
        <v>#REF!</v>
      </c>
      <c r="BU50" t="e">
        <f>AND(#REF!,"AAAAAHW/sEg=")</f>
        <v>#REF!</v>
      </c>
      <c r="BV50" t="e">
        <f>AND(#REF!,"AAAAAHW/sEk=")</f>
        <v>#REF!</v>
      </c>
      <c r="BW50" t="e">
        <f>AND(#REF!,"AAAAAHW/sEo=")</f>
        <v>#REF!</v>
      </c>
      <c r="BX50" t="e">
        <f>AND(#REF!,"AAAAAHW/sEs=")</f>
        <v>#REF!</v>
      </c>
      <c r="BY50" t="e">
        <f>AND(#REF!,"AAAAAHW/sEw=")</f>
        <v>#REF!</v>
      </c>
      <c r="BZ50" t="e">
        <f>AND(#REF!,"AAAAAHW/sE0=")</f>
        <v>#REF!</v>
      </c>
      <c r="CA50" t="e">
        <f>AND(#REF!,"AAAAAHW/sE4=")</f>
        <v>#REF!</v>
      </c>
      <c r="CB50" t="e">
        <f>AND(#REF!,"AAAAAHW/sE8=")</f>
        <v>#REF!</v>
      </c>
      <c r="CC50" t="e">
        <f>AND(#REF!,"AAAAAHW/sFA=")</f>
        <v>#REF!</v>
      </c>
      <c r="CD50" t="e">
        <f>AND(#REF!,"AAAAAHW/sFE=")</f>
        <v>#REF!</v>
      </c>
      <c r="CE50" t="e">
        <f>AND(#REF!,"AAAAAHW/sFI=")</f>
        <v>#REF!</v>
      </c>
      <c r="CF50" t="e">
        <f>AND(#REF!,"AAAAAHW/sFM=")</f>
        <v>#REF!</v>
      </c>
      <c r="CG50" t="e">
        <f>AND(#REF!,"AAAAAHW/sFQ=")</f>
        <v>#REF!</v>
      </c>
      <c r="CH50" t="e">
        <f>AND(#REF!,"AAAAAHW/sFU=")</f>
        <v>#REF!</v>
      </c>
      <c r="CI50" t="e">
        <f>AND(#REF!,"AAAAAHW/sFY=")</f>
        <v>#REF!</v>
      </c>
      <c r="CJ50" t="e">
        <f>AND(#REF!,"AAAAAHW/sFc=")</f>
        <v>#REF!</v>
      </c>
      <c r="CK50" t="e">
        <f>AND(#REF!,"AAAAAHW/sFg=")</f>
        <v>#REF!</v>
      </c>
      <c r="CL50" t="e">
        <f>AND(#REF!,"AAAAAHW/sFk=")</f>
        <v>#REF!</v>
      </c>
      <c r="CM50" t="e">
        <f>AND(#REF!,"AAAAAHW/sFo=")</f>
        <v>#REF!</v>
      </c>
      <c r="CN50" t="e">
        <f>AND(#REF!,"AAAAAHW/sFs=")</f>
        <v>#REF!</v>
      </c>
      <c r="CO50" t="e">
        <f>AND(#REF!,"AAAAAHW/sFw=")</f>
        <v>#REF!</v>
      </c>
      <c r="CP50" t="e">
        <f>AND(#REF!,"AAAAAHW/sF0=")</f>
        <v>#REF!</v>
      </c>
      <c r="CQ50" t="e">
        <f>AND(#REF!,"AAAAAHW/sF4=")</f>
        <v>#REF!</v>
      </c>
      <c r="CR50" t="e">
        <f>AND(#REF!,"AAAAAHW/sF8=")</f>
        <v>#REF!</v>
      </c>
      <c r="CS50" t="e">
        <f>AND(#REF!,"AAAAAHW/sGA=")</f>
        <v>#REF!</v>
      </c>
      <c r="CT50" t="e">
        <f>AND(#REF!,"AAAAAHW/sGE=")</f>
        <v>#REF!</v>
      </c>
      <c r="CU50" t="e">
        <f>AND(#REF!,"AAAAAHW/sGI=")</f>
        <v>#REF!</v>
      </c>
      <c r="CV50" t="e">
        <f>AND(#REF!,"AAAAAHW/sGM=")</f>
        <v>#REF!</v>
      </c>
      <c r="CW50" t="e">
        <f>AND(#REF!,"AAAAAHW/sGQ=")</f>
        <v>#REF!</v>
      </c>
      <c r="CX50" t="e">
        <f>AND(#REF!,"AAAAAHW/sGU=")</f>
        <v>#REF!</v>
      </c>
      <c r="CY50" t="e">
        <f>AND(#REF!,"AAAAAHW/sGY=")</f>
        <v>#REF!</v>
      </c>
      <c r="CZ50" t="e">
        <f>AND(#REF!,"AAAAAHW/sGc=")</f>
        <v>#REF!</v>
      </c>
      <c r="DA50" t="e">
        <f>AND(#REF!,"AAAAAHW/sGg=")</f>
        <v>#REF!</v>
      </c>
      <c r="DB50" t="e">
        <f>AND(#REF!,"AAAAAHW/sGk=")</f>
        <v>#REF!</v>
      </c>
      <c r="DC50" t="e">
        <f>AND(#REF!,"AAAAAHW/sGo=")</f>
        <v>#REF!</v>
      </c>
      <c r="DD50" t="e">
        <f>AND(#REF!,"AAAAAHW/sGs=")</f>
        <v>#REF!</v>
      </c>
      <c r="DE50" t="e">
        <f>AND(#REF!,"AAAAAHW/sGw=")</f>
        <v>#REF!</v>
      </c>
      <c r="DF50" t="e">
        <f>AND(#REF!,"AAAAAHW/sG0=")</f>
        <v>#REF!</v>
      </c>
      <c r="DG50" t="e">
        <f>AND(#REF!,"AAAAAHW/sG4=")</f>
        <v>#REF!</v>
      </c>
      <c r="DH50" t="e">
        <f>AND(#REF!,"AAAAAHW/sG8=")</f>
        <v>#REF!</v>
      </c>
      <c r="DI50" t="e">
        <f>AND(#REF!,"AAAAAHW/sHA=")</f>
        <v>#REF!</v>
      </c>
      <c r="DJ50" t="e">
        <f>AND(#REF!,"AAAAAHW/sHE=")</f>
        <v>#REF!</v>
      </c>
      <c r="DK50" t="e">
        <f>AND(#REF!,"AAAAAHW/sHI=")</f>
        <v>#REF!</v>
      </c>
      <c r="DL50" t="e">
        <f>AND(#REF!,"AAAAAHW/sHM=")</f>
        <v>#REF!</v>
      </c>
      <c r="DM50" t="e">
        <f>AND(#REF!,"AAAAAHW/sHQ=")</f>
        <v>#REF!</v>
      </c>
      <c r="DN50" t="e">
        <f>AND(#REF!,"AAAAAHW/sHU=")</f>
        <v>#REF!</v>
      </c>
      <c r="DO50" t="e">
        <f>AND(#REF!,"AAAAAHW/sHY=")</f>
        <v>#REF!</v>
      </c>
      <c r="DP50" t="e">
        <f>AND(#REF!,"AAAAAHW/sHc=")</f>
        <v>#REF!</v>
      </c>
      <c r="DQ50" t="e">
        <f>AND(#REF!,"AAAAAHW/sHg=")</f>
        <v>#REF!</v>
      </c>
      <c r="DR50" t="e">
        <f>AND(#REF!,"AAAAAHW/sHk=")</f>
        <v>#REF!</v>
      </c>
      <c r="DS50" t="e">
        <f>AND(#REF!,"AAAAAHW/sHo=")</f>
        <v>#REF!</v>
      </c>
      <c r="DT50" t="e">
        <f>AND(#REF!,"AAAAAHW/sHs=")</f>
        <v>#REF!</v>
      </c>
      <c r="DU50" t="e">
        <f>AND(#REF!,"AAAAAHW/sHw=")</f>
        <v>#REF!</v>
      </c>
      <c r="DV50" t="e">
        <f>AND(#REF!,"AAAAAHW/sH0=")</f>
        <v>#REF!</v>
      </c>
      <c r="DW50" t="e">
        <f>AND(#REF!,"AAAAAHW/sH4=")</f>
        <v>#REF!</v>
      </c>
      <c r="DX50" t="e">
        <f>AND(#REF!,"AAAAAHW/sH8=")</f>
        <v>#REF!</v>
      </c>
      <c r="DY50" t="e">
        <f>AND(#REF!,"AAAAAHW/sIA=")</f>
        <v>#REF!</v>
      </c>
      <c r="DZ50" t="e">
        <f>AND(#REF!,"AAAAAHW/sIE=")</f>
        <v>#REF!</v>
      </c>
      <c r="EA50" t="e">
        <f>AND(#REF!,"AAAAAHW/sII=")</f>
        <v>#REF!</v>
      </c>
      <c r="EB50" t="e">
        <f>AND(#REF!,"AAAAAHW/sIM=")</f>
        <v>#REF!</v>
      </c>
      <c r="EC50" t="e">
        <f>AND(#REF!,"AAAAAHW/sIQ=")</f>
        <v>#REF!</v>
      </c>
      <c r="ED50" t="e">
        <f>AND(#REF!,"AAAAAHW/sIU=")</f>
        <v>#REF!</v>
      </c>
      <c r="EE50" t="e">
        <f>AND(#REF!,"AAAAAHW/sIY=")</f>
        <v>#REF!</v>
      </c>
      <c r="EF50" t="e">
        <f>AND(#REF!,"AAAAAHW/sIc=")</f>
        <v>#REF!</v>
      </c>
      <c r="EG50" t="e">
        <f>AND(#REF!,"AAAAAHW/sIg=")</f>
        <v>#REF!</v>
      </c>
      <c r="EH50" t="e">
        <f>AND(#REF!,"AAAAAHW/sIk=")</f>
        <v>#REF!</v>
      </c>
      <c r="EI50" t="e">
        <f>AND(#REF!,"AAAAAHW/sIo=")</f>
        <v>#REF!</v>
      </c>
      <c r="EJ50" t="e">
        <f>AND(#REF!,"AAAAAHW/sIs=")</f>
        <v>#REF!</v>
      </c>
      <c r="EK50" t="e">
        <f>AND(#REF!,"AAAAAHW/sIw=")</f>
        <v>#REF!</v>
      </c>
      <c r="EL50" t="e">
        <f>AND(#REF!,"AAAAAHW/sI0=")</f>
        <v>#REF!</v>
      </c>
      <c r="EM50" t="e">
        <f>AND(#REF!,"AAAAAHW/sI4=")</f>
        <v>#REF!</v>
      </c>
      <c r="EN50" t="e">
        <f>IF(#REF!,"AAAAAHW/sI8=",0)</f>
        <v>#REF!</v>
      </c>
      <c r="EO50" t="e">
        <f>AND(#REF!,"AAAAAHW/sJA=")</f>
        <v>#REF!</v>
      </c>
      <c r="EP50" t="e">
        <f>AND(#REF!,"AAAAAHW/sJE=")</f>
        <v>#REF!</v>
      </c>
      <c r="EQ50" t="e">
        <f>AND(#REF!,"AAAAAHW/sJI=")</f>
        <v>#REF!</v>
      </c>
      <c r="ER50" t="e">
        <f>AND(#REF!,"AAAAAHW/sJM=")</f>
        <v>#REF!</v>
      </c>
      <c r="ES50" t="e">
        <f>AND(#REF!,"AAAAAHW/sJQ=")</f>
        <v>#REF!</v>
      </c>
      <c r="ET50" t="e">
        <f>AND(#REF!,"AAAAAHW/sJU=")</f>
        <v>#REF!</v>
      </c>
      <c r="EU50" t="e">
        <f>AND(#REF!,"AAAAAHW/sJY=")</f>
        <v>#REF!</v>
      </c>
      <c r="EV50" t="e">
        <f>AND(#REF!,"AAAAAHW/sJc=")</f>
        <v>#REF!</v>
      </c>
      <c r="EW50" t="e">
        <f>AND(#REF!,"AAAAAHW/sJg=")</f>
        <v>#REF!</v>
      </c>
      <c r="EX50" t="e">
        <f>AND(#REF!,"AAAAAHW/sJk=")</f>
        <v>#REF!</v>
      </c>
      <c r="EY50" t="e">
        <f>AND(#REF!,"AAAAAHW/sJo=")</f>
        <v>#REF!</v>
      </c>
      <c r="EZ50" t="e">
        <f>AND(#REF!,"AAAAAHW/sJs=")</f>
        <v>#REF!</v>
      </c>
      <c r="FA50" t="e">
        <f>AND(#REF!,"AAAAAHW/sJw=")</f>
        <v>#REF!</v>
      </c>
      <c r="FB50" t="e">
        <f>AND(#REF!,"AAAAAHW/sJ0=")</f>
        <v>#REF!</v>
      </c>
      <c r="FC50" t="e">
        <f>AND(#REF!,"AAAAAHW/sJ4=")</f>
        <v>#REF!</v>
      </c>
      <c r="FD50" t="e">
        <f>AND(#REF!,"AAAAAHW/sJ8=")</f>
        <v>#REF!</v>
      </c>
      <c r="FE50" t="e">
        <f>AND(#REF!,"AAAAAHW/sKA=")</f>
        <v>#REF!</v>
      </c>
      <c r="FF50" t="e">
        <f>AND(#REF!,"AAAAAHW/sKE=")</f>
        <v>#REF!</v>
      </c>
      <c r="FG50" t="e">
        <f>AND(#REF!,"AAAAAHW/sKI=")</f>
        <v>#REF!</v>
      </c>
      <c r="FH50" t="e">
        <f>AND(#REF!,"AAAAAHW/sKM=")</f>
        <v>#REF!</v>
      </c>
      <c r="FI50" t="e">
        <f>AND(#REF!,"AAAAAHW/sKQ=")</f>
        <v>#REF!</v>
      </c>
      <c r="FJ50" t="e">
        <f>AND(#REF!,"AAAAAHW/sKU=")</f>
        <v>#REF!</v>
      </c>
      <c r="FK50" t="e">
        <f>AND(#REF!,"AAAAAHW/sKY=")</f>
        <v>#REF!</v>
      </c>
      <c r="FL50" t="e">
        <f>AND(#REF!,"AAAAAHW/sKc=")</f>
        <v>#REF!</v>
      </c>
      <c r="FM50" t="e">
        <f>AND(#REF!,"AAAAAHW/sKg=")</f>
        <v>#REF!</v>
      </c>
      <c r="FN50" t="e">
        <f>AND(#REF!,"AAAAAHW/sKk=")</f>
        <v>#REF!</v>
      </c>
      <c r="FO50" t="e">
        <f>AND(#REF!,"AAAAAHW/sKo=")</f>
        <v>#REF!</v>
      </c>
      <c r="FP50" t="e">
        <f>AND(#REF!,"AAAAAHW/sKs=")</f>
        <v>#REF!</v>
      </c>
      <c r="FQ50" t="e">
        <f>AND(#REF!,"AAAAAHW/sKw=")</f>
        <v>#REF!</v>
      </c>
      <c r="FR50" t="e">
        <f>AND(#REF!,"AAAAAHW/sK0=")</f>
        <v>#REF!</v>
      </c>
      <c r="FS50" t="e">
        <f>AND(#REF!,"AAAAAHW/sK4=")</f>
        <v>#REF!</v>
      </c>
      <c r="FT50" t="e">
        <f>AND(#REF!,"AAAAAHW/sK8=")</f>
        <v>#REF!</v>
      </c>
      <c r="FU50" t="e">
        <f>AND(#REF!,"AAAAAHW/sLA=")</f>
        <v>#REF!</v>
      </c>
      <c r="FV50" t="e">
        <f>AND(#REF!,"AAAAAHW/sLE=")</f>
        <v>#REF!</v>
      </c>
      <c r="FW50" t="e">
        <f>AND(#REF!,"AAAAAHW/sLI=")</f>
        <v>#REF!</v>
      </c>
      <c r="FX50" t="e">
        <f>AND(#REF!,"AAAAAHW/sLM=")</f>
        <v>#REF!</v>
      </c>
      <c r="FY50" t="e">
        <f>AND(#REF!,"AAAAAHW/sLQ=")</f>
        <v>#REF!</v>
      </c>
      <c r="FZ50" t="e">
        <f>AND(#REF!,"AAAAAHW/sLU=")</f>
        <v>#REF!</v>
      </c>
      <c r="GA50" t="e">
        <f>AND(#REF!,"AAAAAHW/sLY=")</f>
        <v>#REF!</v>
      </c>
      <c r="GB50" t="e">
        <f>AND(#REF!,"AAAAAHW/sLc=")</f>
        <v>#REF!</v>
      </c>
      <c r="GC50" t="e">
        <f>AND(#REF!,"AAAAAHW/sLg=")</f>
        <v>#REF!</v>
      </c>
      <c r="GD50" t="e">
        <f>AND(#REF!,"AAAAAHW/sLk=")</f>
        <v>#REF!</v>
      </c>
      <c r="GE50" t="e">
        <f>AND(#REF!,"AAAAAHW/sLo=")</f>
        <v>#REF!</v>
      </c>
      <c r="GF50" t="e">
        <f>AND(#REF!,"AAAAAHW/sLs=")</f>
        <v>#REF!</v>
      </c>
      <c r="GG50" t="e">
        <f>AND(#REF!,"AAAAAHW/sLw=")</f>
        <v>#REF!</v>
      </c>
      <c r="GH50" t="e">
        <f>AND(#REF!,"AAAAAHW/sL0=")</f>
        <v>#REF!</v>
      </c>
      <c r="GI50" t="e">
        <f>AND(#REF!,"AAAAAHW/sL4=")</f>
        <v>#REF!</v>
      </c>
      <c r="GJ50" t="e">
        <f>AND(#REF!,"AAAAAHW/sL8=")</f>
        <v>#REF!</v>
      </c>
      <c r="GK50" t="e">
        <f>AND(#REF!,"AAAAAHW/sMA=")</f>
        <v>#REF!</v>
      </c>
      <c r="GL50" t="e">
        <f>AND(#REF!,"AAAAAHW/sME=")</f>
        <v>#REF!</v>
      </c>
      <c r="GM50" t="e">
        <f>AND(#REF!,"AAAAAHW/sMI=")</f>
        <v>#REF!</v>
      </c>
      <c r="GN50" t="e">
        <f>AND(#REF!,"AAAAAHW/sMM=")</f>
        <v>#REF!</v>
      </c>
      <c r="GO50" t="e">
        <f>AND(#REF!,"AAAAAHW/sMQ=")</f>
        <v>#REF!</v>
      </c>
      <c r="GP50" t="e">
        <f>AND(#REF!,"AAAAAHW/sMU=")</f>
        <v>#REF!</v>
      </c>
      <c r="GQ50" t="e">
        <f>AND(#REF!,"AAAAAHW/sMY=")</f>
        <v>#REF!</v>
      </c>
      <c r="GR50" t="e">
        <f>AND(#REF!,"AAAAAHW/sMc=")</f>
        <v>#REF!</v>
      </c>
      <c r="GS50" t="e">
        <f>AND(#REF!,"AAAAAHW/sMg=")</f>
        <v>#REF!</v>
      </c>
      <c r="GT50" t="e">
        <f>AND(#REF!,"AAAAAHW/sMk=")</f>
        <v>#REF!</v>
      </c>
      <c r="GU50" t="e">
        <f>AND(#REF!,"AAAAAHW/sMo=")</f>
        <v>#REF!</v>
      </c>
      <c r="GV50" t="e">
        <f>AND(#REF!,"AAAAAHW/sMs=")</f>
        <v>#REF!</v>
      </c>
      <c r="GW50" t="e">
        <f>AND(#REF!,"AAAAAHW/sMw=")</f>
        <v>#REF!</v>
      </c>
      <c r="GX50" t="e">
        <f>AND(#REF!,"AAAAAHW/sM0=")</f>
        <v>#REF!</v>
      </c>
      <c r="GY50" t="e">
        <f>AND(#REF!,"AAAAAHW/sM4=")</f>
        <v>#REF!</v>
      </c>
      <c r="GZ50" t="e">
        <f>AND(#REF!,"AAAAAHW/sM8=")</f>
        <v>#REF!</v>
      </c>
      <c r="HA50" t="e">
        <f>AND(#REF!,"AAAAAHW/sNA=")</f>
        <v>#REF!</v>
      </c>
      <c r="HB50" t="e">
        <f>AND(#REF!,"AAAAAHW/sNE=")</f>
        <v>#REF!</v>
      </c>
      <c r="HC50" t="e">
        <f>AND(#REF!,"AAAAAHW/sNI=")</f>
        <v>#REF!</v>
      </c>
      <c r="HD50" t="e">
        <f>AND(#REF!,"AAAAAHW/sNM=")</f>
        <v>#REF!</v>
      </c>
      <c r="HE50" t="e">
        <f>AND(#REF!,"AAAAAHW/sNQ=")</f>
        <v>#REF!</v>
      </c>
      <c r="HF50" t="e">
        <f>AND(#REF!,"AAAAAHW/sNU=")</f>
        <v>#REF!</v>
      </c>
      <c r="HG50" t="e">
        <f>AND(#REF!,"AAAAAHW/sNY=")</f>
        <v>#REF!</v>
      </c>
      <c r="HH50" t="e">
        <f>AND(#REF!,"AAAAAHW/sNc=")</f>
        <v>#REF!</v>
      </c>
      <c r="HI50" t="e">
        <f>AND(#REF!,"AAAAAHW/sNg=")</f>
        <v>#REF!</v>
      </c>
      <c r="HJ50" t="e">
        <f>AND(#REF!,"AAAAAHW/sNk=")</f>
        <v>#REF!</v>
      </c>
      <c r="HK50" t="e">
        <f>AND(#REF!,"AAAAAHW/sNo=")</f>
        <v>#REF!</v>
      </c>
      <c r="HL50" t="e">
        <f>AND(#REF!,"AAAAAHW/sNs=")</f>
        <v>#REF!</v>
      </c>
      <c r="HM50" t="e">
        <f>AND(#REF!,"AAAAAHW/sNw=")</f>
        <v>#REF!</v>
      </c>
      <c r="HN50" t="e">
        <f>AND(#REF!,"AAAAAHW/sN0=")</f>
        <v>#REF!</v>
      </c>
      <c r="HO50" t="e">
        <f>AND(#REF!,"AAAAAHW/sN4=")</f>
        <v>#REF!</v>
      </c>
      <c r="HP50" t="e">
        <f>AND(#REF!,"AAAAAHW/sN8=")</f>
        <v>#REF!</v>
      </c>
      <c r="HQ50" t="e">
        <f>AND(#REF!,"AAAAAHW/sOA=")</f>
        <v>#REF!</v>
      </c>
      <c r="HR50" t="e">
        <f>AND(#REF!,"AAAAAHW/sOE=")</f>
        <v>#REF!</v>
      </c>
      <c r="HS50" t="e">
        <f>AND(#REF!,"AAAAAHW/sOI=")</f>
        <v>#REF!</v>
      </c>
      <c r="HT50" t="e">
        <f>AND(#REF!,"AAAAAHW/sOM=")</f>
        <v>#REF!</v>
      </c>
      <c r="HU50" t="e">
        <f>AND(#REF!,"AAAAAHW/sOQ=")</f>
        <v>#REF!</v>
      </c>
      <c r="HV50" t="e">
        <f>AND(#REF!,"AAAAAHW/sOU=")</f>
        <v>#REF!</v>
      </c>
      <c r="HW50" t="e">
        <f>AND(#REF!,"AAAAAHW/sOY=")</f>
        <v>#REF!</v>
      </c>
      <c r="HX50" t="e">
        <f>AND(#REF!,"AAAAAHW/sOc=")</f>
        <v>#REF!</v>
      </c>
      <c r="HY50" t="e">
        <f>AND(#REF!,"AAAAAHW/sOg=")</f>
        <v>#REF!</v>
      </c>
      <c r="HZ50" t="e">
        <f>AND(#REF!,"AAAAAHW/sOk=")</f>
        <v>#REF!</v>
      </c>
      <c r="IA50" t="e">
        <f>AND(#REF!,"AAAAAHW/sOo=")</f>
        <v>#REF!</v>
      </c>
      <c r="IB50" t="e">
        <f>AND(#REF!,"AAAAAHW/sOs=")</f>
        <v>#REF!</v>
      </c>
      <c r="IC50" t="e">
        <f>AND(#REF!,"AAAAAHW/sOw=")</f>
        <v>#REF!</v>
      </c>
      <c r="ID50" t="e">
        <f>AND(#REF!,"AAAAAHW/sO0=")</f>
        <v>#REF!</v>
      </c>
      <c r="IE50" t="e">
        <f>AND(#REF!,"AAAAAHW/sO4=")</f>
        <v>#REF!</v>
      </c>
      <c r="IF50" t="e">
        <f>AND(#REF!,"AAAAAHW/sO8=")</f>
        <v>#REF!</v>
      </c>
      <c r="IG50" t="e">
        <f>AND(#REF!,"AAAAAHW/sPA=")</f>
        <v>#REF!</v>
      </c>
      <c r="IH50" t="e">
        <f>AND(#REF!,"AAAAAHW/sPE=")</f>
        <v>#REF!</v>
      </c>
      <c r="II50" t="e">
        <f>AND(#REF!,"AAAAAHW/sPI=")</f>
        <v>#REF!</v>
      </c>
      <c r="IJ50" t="e">
        <f>AND(#REF!,"AAAAAHW/sPM=")</f>
        <v>#REF!</v>
      </c>
      <c r="IK50" t="e">
        <f>AND(#REF!,"AAAAAHW/sPQ=")</f>
        <v>#REF!</v>
      </c>
      <c r="IL50" t="e">
        <f>AND(#REF!,"AAAAAHW/sPU=")</f>
        <v>#REF!</v>
      </c>
      <c r="IM50" t="e">
        <f>AND(#REF!,"AAAAAHW/sPY=")</f>
        <v>#REF!</v>
      </c>
      <c r="IN50" t="e">
        <f>AND(#REF!,"AAAAAHW/sPc=")</f>
        <v>#REF!</v>
      </c>
      <c r="IO50" t="e">
        <f>AND(#REF!,"AAAAAHW/sPg=")</f>
        <v>#REF!</v>
      </c>
      <c r="IP50" t="e">
        <f>AND(#REF!,"AAAAAHW/sPk=")</f>
        <v>#REF!</v>
      </c>
      <c r="IQ50" t="e">
        <f>AND(#REF!,"AAAAAHW/sPo=")</f>
        <v>#REF!</v>
      </c>
      <c r="IR50" t="e">
        <f>AND(#REF!,"AAAAAHW/sPs=")</f>
        <v>#REF!</v>
      </c>
      <c r="IS50" t="e">
        <f>AND(#REF!,"AAAAAHW/sPw=")</f>
        <v>#REF!</v>
      </c>
      <c r="IT50" t="e">
        <f>AND(#REF!,"AAAAAHW/sP0=")</f>
        <v>#REF!</v>
      </c>
      <c r="IU50" t="e">
        <f>AND(#REF!,"AAAAAHW/sP4=")</f>
        <v>#REF!</v>
      </c>
      <c r="IV50" t="e">
        <f>AND(#REF!,"AAAAAHW/sP8=")</f>
        <v>#REF!</v>
      </c>
    </row>
    <row r="51" spans="1:256" x14ac:dyDescent="0.2">
      <c r="A51" t="e">
        <f>AND(#REF!,"AAAAAH/7bwA=")</f>
        <v>#REF!</v>
      </c>
      <c r="B51" t="e">
        <f>AND(#REF!,"AAAAAH/7bwE=")</f>
        <v>#REF!</v>
      </c>
      <c r="C51" t="e">
        <f>AND(#REF!,"AAAAAH/7bwI=")</f>
        <v>#REF!</v>
      </c>
      <c r="D51" t="e">
        <f>AND(#REF!,"AAAAAH/7bwM=")</f>
        <v>#REF!</v>
      </c>
      <c r="E51" t="e">
        <f>AND(#REF!,"AAAAAH/7bwQ=")</f>
        <v>#REF!</v>
      </c>
      <c r="F51" t="e">
        <f>AND(#REF!,"AAAAAH/7bwU=")</f>
        <v>#REF!</v>
      </c>
      <c r="G51" t="e">
        <f>AND(#REF!,"AAAAAH/7bwY=")</f>
        <v>#REF!</v>
      </c>
      <c r="H51" t="e">
        <f>AND(#REF!,"AAAAAH/7bwc=")</f>
        <v>#REF!</v>
      </c>
      <c r="I51" t="e">
        <f>AND(#REF!,"AAAAAH/7bwg=")</f>
        <v>#REF!</v>
      </c>
      <c r="J51" t="e">
        <f>AND(#REF!,"AAAAAH/7bwk=")</f>
        <v>#REF!</v>
      </c>
      <c r="K51" t="e">
        <f>AND(#REF!,"AAAAAH/7bwo=")</f>
        <v>#REF!</v>
      </c>
      <c r="L51" t="e">
        <f>AND(#REF!,"AAAAAH/7bws=")</f>
        <v>#REF!</v>
      </c>
      <c r="M51" t="e">
        <f>AND(#REF!,"AAAAAH/7bww=")</f>
        <v>#REF!</v>
      </c>
      <c r="N51" t="e">
        <f>AND(#REF!,"AAAAAH/7bw0=")</f>
        <v>#REF!</v>
      </c>
      <c r="O51" t="e">
        <f>AND(#REF!,"AAAAAH/7bw4=")</f>
        <v>#REF!</v>
      </c>
      <c r="P51" t="e">
        <f>AND(#REF!,"AAAAAH/7bw8=")</f>
        <v>#REF!</v>
      </c>
      <c r="Q51" t="e">
        <f>AND(#REF!,"AAAAAH/7bxA=")</f>
        <v>#REF!</v>
      </c>
      <c r="R51" t="e">
        <f>AND(#REF!,"AAAAAH/7bxE=")</f>
        <v>#REF!</v>
      </c>
      <c r="S51" t="e">
        <f>AND(#REF!,"AAAAAH/7bxI=")</f>
        <v>#REF!</v>
      </c>
      <c r="T51" t="e">
        <f>AND(#REF!,"AAAAAH/7bxM=")</f>
        <v>#REF!</v>
      </c>
      <c r="U51" t="e">
        <f>AND(#REF!,"AAAAAH/7bxQ=")</f>
        <v>#REF!</v>
      </c>
      <c r="V51" t="e">
        <f>AND(#REF!,"AAAAAH/7bxU=")</f>
        <v>#REF!</v>
      </c>
      <c r="W51" t="e">
        <f>AND(#REF!,"AAAAAH/7bxY=")</f>
        <v>#REF!</v>
      </c>
      <c r="X51" t="e">
        <f>AND(#REF!,"AAAAAH/7bxc=")</f>
        <v>#REF!</v>
      </c>
      <c r="Y51" t="e">
        <f>AND(#REF!,"AAAAAH/7bxg=")</f>
        <v>#REF!</v>
      </c>
      <c r="Z51" t="e">
        <f>AND(#REF!,"AAAAAH/7bxk=")</f>
        <v>#REF!</v>
      </c>
      <c r="AA51" t="e">
        <f>AND(#REF!,"AAAAAH/7bxo=")</f>
        <v>#REF!</v>
      </c>
      <c r="AB51" t="e">
        <f>AND(#REF!,"AAAAAH/7bxs=")</f>
        <v>#REF!</v>
      </c>
      <c r="AC51" t="e">
        <f>AND(#REF!,"AAAAAH/7bxw=")</f>
        <v>#REF!</v>
      </c>
      <c r="AD51" t="e">
        <f>AND(#REF!,"AAAAAH/7bx0=")</f>
        <v>#REF!</v>
      </c>
      <c r="AE51" t="e">
        <f>AND(#REF!,"AAAAAH/7bx4=")</f>
        <v>#REF!</v>
      </c>
      <c r="AF51" t="e">
        <f>AND(#REF!,"AAAAAH/7bx8=")</f>
        <v>#REF!</v>
      </c>
      <c r="AG51" t="e">
        <f>AND(#REF!,"AAAAAH/7byA=")</f>
        <v>#REF!</v>
      </c>
      <c r="AH51" t="e">
        <f>AND(#REF!,"AAAAAH/7byE=")</f>
        <v>#REF!</v>
      </c>
      <c r="AI51" t="e">
        <f>AND(#REF!,"AAAAAH/7byI=")</f>
        <v>#REF!</v>
      </c>
      <c r="AJ51" t="e">
        <f>AND(#REF!,"AAAAAH/7byM=")</f>
        <v>#REF!</v>
      </c>
      <c r="AK51" t="e">
        <f>AND(#REF!,"AAAAAH/7byQ=")</f>
        <v>#REF!</v>
      </c>
      <c r="AL51" t="e">
        <f>AND(#REF!,"AAAAAH/7byU=")</f>
        <v>#REF!</v>
      </c>
      <c r="AM51" t="e">
        <f>AND(#REF!,"AAAAAH/7byY=")</f>
        <v>#REF!</v>
      </c>
      <c r="AN51" t="e">
        <f>AND(#REF!,"AAAAAH/7byc=")</f>
        <v>#REF!</v>
      </c>
      <c r="AO51" t="e">
        <f>AND(#REF!,"AAAAAH/7byg=")</f>
        <v>#REF!</v>
      </c>
      <c r="AP51" t="e">
        <f>AND(#REF!,"AAAAAH/7byk=")</f>
        <v>#REF!</v>
      </c>
      <c r="AQ51" t="e">
        <f>AND(#REF!,"AAAAAH/7byo=")</f>
        <v>#REF!</v>
      </c>
      <c r="AR51" t="e">
        <f>AND(#REF!,"AAAAAH/7bys=")</f>
        <v>#REF!</v>
      </c>
      <c r="AS51" t="e">
        <f>AND(#REF!,"AAAAAH/7byw=")</f>
        <v>#REF!</v>
      </c>
      <c r="AT51" t="e">
        <f>AND(#REF!,"AAAAAH/7by0=")</f>
        <v>#REF!</v>
      </c>
      <c r="AU51" t="e">
        <f>AND(#REF!,"AAAAAH/7by4=")</f>
        <v>#REF!</v>
      </c>
      <c r="AV51" t="e">
        <f>AND(#REF!,"AAAAAH/7by8=")</f>
        <v>#REF!</v>
      </c>
      <c r="AW51" t="e">
        <f>AND(#REF!,"AAAAAH/7bzA=")</f>
        <v>#REF!</v>
      </c>
      <c r="AX51" t="e">
        <f>AND(#REF!,"AAAAAH/7bzE=")</f>
        <v>#REF!</v>
      </c>
      <c r="AY51" t="e">
        <f>AND(#REF!,"AAAAAH/7bzI=")</f>
        <v>#REF!</v>
      </c>
      <c r="AZ51" t="e">
        <f>AND(#REF!,"AAAAAH/7bzM=")</f>
        <v>#REF!</v>
      </c>
      <c r="BA51" t="e">
        <f>AND(#REF!,"AAAAAH/7bzQ=")</f>
        <v>#REF!</v>
      </c>
      <c r="BB51" t="e">
        <f>AND(#REF!,"AAAAAH/7bzU=")</f>
        <v>#REF!</v>
      </c>
      <c r="BC51" t="e">
        <f>AND(#REF!,"AAAAAH/7bzY=")</f>
        <v>#REF!</v>
      </c>
      <c r="BD51" t="e">
        <f>AND(#REF!,"AAAAAH/7bzc=")</f>
        <v>#REF!</v>
      </c>
      <c r="BE51" t="e">
        <f>AND(#REF!,"AAAAAH/7bzg=")</f>
        <v>#REF!</v>
      </c>
      <c r="BF51" t="e">
        <f>AND(#REF!,"AAAAAH/7bzk=")</f>
        <v>#REF!</v>
      </c>
      <c r="BG51" t="e">
        <f>AND(#REF!,"AAAAAH/7bzo=")</f>
        <v>#REF!</v>
      </c>
      <c r="BH51" t="e">
        <f>AND(#REF!,"AAAAAH/7bzs=")</f>
        <v>#REF!</v>
      </c>
      <c r="BI51" t="e">
        <f>AND(#REF!,"AAAAAH/7bzw=")</f>
        <v>#REF!</v>
      </c>
      <c r="BJ51" t="e">
        <f>AND(#REF!,"AAAAAH/7bz0=")</f>
        <v>#REF!</v>
      </c>
      <c r="BK51" t="e">
        <f>AND(#REF!,"AAAAAH/7bz4=")</f>
        <v>#REF!</v>
      </c>
      <c r="BL51" t="e">
        <f>AND(#REF!,"AAAAAH/7bz8=")</f>
        <v>#REF!</v>
      </c>
      <c r="BM51" t="e">
        <f>AND(#REF!,"AAAAAH/7b0A=")</f>
        <v>#REF!</v>
      </c>
      <c r="BN51" t="e">
        <f>AND(#REF!,"AAAAAH/7b0E=")</f>
        <v>#REF!</v>
      </c>
      <c r="BO51" t="e">
        <f>AND(#REF!,"AAAAAH/7b0I=")</f>
        <v>#REF!</v>
      </c>
      <c r="BP51" t="e">
        <f>AND(#REF!,"AAAAAH/7b0M=")</f>
        <v>#REF!</v>
      </c>
      <c r="BQ51" t="e">
        <f>IF(#REF!,"AAAAAH/7b0Q=",0)</f>
        <v>#REF!</v>
      </c>
      <c r="BR51" t="e">
        <f>AND(#REF!,"AAAAAH/7b0U=")</f>
        <v>#REF!</v>
      </c>
      <c r="BS51" t="e">
        <f>AND(#REF!,"AAAAAH/7b0Y=")</f>
        <v>#REF!</v>
      </c>
      <c r="BT51" t="e">
        <f>AND(#REF!,"AAAAAH/7b0c=")</f>
        <v>#REF!</v>
      </c>
      <c r="BU51" t="e">
        <f>AND(#REF!,"AAAAAH/7b0g=")</f>
        <v>#REF!</v>
      </c>
      <c r="BV51" t="e">
        <f>AND(#REF!,"AAAAAH/7b0k=")</f>
        <v>#REF!</v>
      </c>
      <c r="BW51" t="e">
        <f>AND(#REF!,"AAAAAH/7b0o=")</f>
        <v>#REF!</v>
      </c>
      <c r="BX51" t="e">
        <f>AND(#REF!,"AAAAAH/7b0s=")</f>
        <v>#REF!</v>
      </c>
      <c r="BY51" t="e">
        <f>AND(#REF!,"AAAAAH/7b0w=")</f>
        <v>#REF!</v>
      </c>
      <c r="BZ51" t="e">
        <f>AND(#REF!,"AAAAAH/7b00=")</f>
        <v>#REF!</v>
      </c>
      <c r="CA51" t="e">
        <f>AND(#REF!,"AAAAAH/7b04=")</f>
        <v>#REF!</v>
      </c>
      <c r="CB51" t="e">
        <f>AND(#REF!,"AAAAAH/7b08=")</f>
        <v>#REF!</v>
      </c>
      <c r="CC51" t="e">
        <f>AND(#REF!,"AAAAAH/7b1A=")</f>
        <v>#REF!</v>
      </c>
      <c r="CD51" t="e">
        <f>AND(#REF!,"AAAAAH/7b1E=")</f>
        <v>#REF!</v>
      </c>
      <c r="CE51" t="e">
        <f>AND(#REF!,"AAAAAH/7b1I=")</f>
        <v>#REF!</v>
      </c>
      <c r="CF51" t="e">
        <f>AND(#REF!,"AAAAAH/7b1M=")</f>
        <v>#REF!</v>
      </c>
      <c r="CG51" t="e">
        <f>AND(#REF!,"AAAAAH/7b1Q=")</f>
        <v>#REF!</v>
      </c>
      <c r="CH51" t="e">
        <f>AND(#REF!,"AAAAAH/7b1U=")</f>
        <v>#REF!</v>
      </c>
      <c r="CI51" t="e">
        <f>AND(#REF!,"AAAAAH/7b1Y=")</f>
        <v>#REF!</v>
      </c>
      <c r="CJ51" t="e">
        <f>AND(#REF!,"AAAAAH/7b1c=")</f>
        <v>#REF!</v>
      </c>
      <c r="CK51" t="e">
        <f>AND(#REF!,"AAAAAH/7b1g=")</f>
        <v>#REF!</v>
      </c>
      <c r="CL51" t="e">
        <f>AND(#REF!,"AAAAAH/7b1k=")</f>
        <v>#REF!</v>
      </c>
      <c r="CM51" t="e">
        <f>AND(#REF!,"AAAAAH/7b1o=")</f>
        <v>#REF!</v>
      </c>
      <c r="CN51" t="e">
        <f>AND(#REF!,"AAAAAH/7b1s=")</f>
        <v>#REF!</v>
      </c>
      <c r="CO51" t="e">
        <f>AND(#REF!,"AAAAAH/7b1w=")</f>
        <v>#REF!</v>
      </c>
      <c r="CP51" t="e">
        <f>AND(#REF!,"AAAAAH/7b10=")</f>
        <v>#REF!</v>
      </c>
      <c r="CQ51" t="e">
        <f>AND(#REF!,"AAAAAH/7b14=")</f>
        <v>#REF!</v>
      </c>
      <c r="CR51" t="e">
        <f>AND(#REF!,"AAAAAH/7b18=")</f>
        <v>#REF!</v>
      </c>
      <c r="CS51" t="e">
        <f>AND(#REF!,"AAAAAH/7b2A=")</f>
        <v>#REF!</v>
      </c>
      <c r="CT51" t="e">
        <f>AND(#REF!,"AAAAAH/7b2E=")</f>
        <v>#REF!</v>
      </c>
      <c r="CU51" t="e">
        <f>AND(#REF!,"AAAAAH/7b2I=")</f>
        <v>#REF!</v>
      </c>
      <c r="CV51" t="e">
        <f>AND(#REF!,"AAAAAH/7b2M=")</f>
        <v>#REF!</v>
      </c>
      <c r="CW51" t="e">
        <f>AND(#REF!,"AAAAAH/7b2Q=")</f>
        <v>#REF!</v>
      </c>
      <c r="CX51" t="e">
        <f>AND(#REF!,"AAAAAH/7b2U=")</f>
        <v>#REF!</v>
      </c>
      <c r="CY51" t="e">
        <f>AND(#REF!,"AAAAAH/7b2Y=")</f>
        <v>#REF!</v>
      </c>
      <c r="CZ51" t="e">
        <f>AND(#REF!,"AAAAAH/7b2c=")</f>
        <v>#REF!</v>
      </c>
      <c r="DA51" t="e">
        <f>AND(#REF!,"AAAAAH/7b2g=")</f>
        <v>#REF!</v>
      </c>
      <c r="DB51" t="e">
        <f>AND(#REF!,"AAAAAH/7b2k=")</f>
        <v>#REF!</v>
      </c>
      <c r="DC51" t="e">
        <f>AND(#REF!,"AAAAAH/7b2o=")</f>
        <v>#REF!</v>
      </c>
      <c r="DD51" t="e">
        <f>AND(#REF!,"AAAAAH/7b2s=")</f>
        <v>#REF!</v>
      </c>
      <c r="DE51" t="e">
        <f>AND(#REF!,"AAAAAH/7b2w=")</f>
        <v>#REF!</v>
      </c>
      <c r="DF51" t="e">
        <f>AND(#REF!,"AAAAAH/7b20=")</f>
        <v>#REF!</v>
      </c>
      <c r="DG51" t="e">
        <f>AND(#REF!,"AAAAAH/7b24=")</f>
        <v>#REF!</v>
      </c>
      <c r="DH51" t="e">
        <f>AND(#REF!,"AAAAAH/7b28=")</f>
        <v>#REF!</v>
      </c>
      <c r="DI51" t="e">
        <f>AND(#REF!,"AAAAAH/7b3A=")</f>
        <v>#REF!</v>
      </c>
      <c r="DJ51" t="e">
        <f>AND(#REF!,"AAAAAH/7b3E=")</f>
        <v>#REF!</v>
      </c>
      <c r="DK51" t="e">
        <f>AND(#REF!,"AAAAAH/7b3I=")</f>
        <v>#REF!</v>
      </c>
      <c r="DL51" t="e">
        <f>AND(#REF!,"AAAAAH/7b3M=")</f>
        <v>#REF!</v>
      </c>
      <c r="DM51" t="e">
        <f>AND(#REF!,"AAAAAH/7b3Q=")</f>
        <v>#REF!</v>
      </c>
      <c r="DN51" t="e">
        <f>AND(#REF!,"AAAAAH/7b3U=")</f>
        <v>#REF!</v>
      </c>
      <c r="DO51" t="e">
        <f>AND(#REF!,"AAAAAH/7b3Y=")</f>
        <v>#REF!</v>
      </c>
      <c r="DP51" t="e">
        <f>AND(#REF!,"AAAAAH/7b3c=")</f>
        <v>#REF!</v>
      </c>
      <c r="DQ51" t="e">
        <f>AND(#REF!,"AAAAAH/7b3g=")</f>
        <v>#REF!</v>
      </c>
      <c r="DR51" t="e">
        <f>AND(#REF!,"AAAAAH/7b3k=")</f>
        <v>#REF!</v>
      </c>
      <c r="DS51" t="e">
        <f>AND(#REF!,"AAAAAH/7b3o=")</f>
        <v>#REF!</v>
      </c>
      <c r="DT51" t="e">
        <f>AND(#REF!,"AAAAAH/7b3s=")</f>
        <v>#REF!</v>
      </c>
      <c r="DU51" t="e">
        <f>AND(#REF!,"AAAAAH/7b3w=")</f>
        <v>#REF!</v>
      </c>
      <c r="DV51" t="e">
        <f>AND(#REF!,"AAAAAH/7b30=")</f>
        <v>#REF!</v>
      </c>
      <c r="DW51" t="e">
        <f>AND(#REF!,"AAAAAH/7b34=")</f>
        <v>#REF!</v>
      </c>
      <c r="DX51" t="e">
        <f>AND(#REF!,"AAAAAH/7b38=")</f>
        <v>#REF!</v>
      </c>
      <c r="DY51" t="e">
        <f>AND(#REF!,"AAAAAH/7b4A=")</f>
        <v>#REF!</v>
      </c>
      <c r="DZ51" t="e">
        <f>AND(#REF!,"AAAAAH/7b4E=")</f>
        <v>#REF!</v>
      </c>
      <c r="EA51" t="e">
        <f>AND(#REF!,"AAAAAH/7b4I=")</f>
        <v>#REF!</v>
      </c>
      <c r="EB51" t="e">
        <f>AND(#REF!,"AAAAAH/7b4M=")</f>
        <v>#REF!</v>
      </c>
      <c r="EC51" t="e">
        <f>AND(#REF!,"AAAAAH/7b4Q=")</f>
        <v>#REF!</v>
      </c>
      <c r="ED51" t="e">
        <f>AND(#REF!,"AAAAAH/7b4U=")</f>
        <v>#REF!</v>
      </c>
      <c r="EE51" t="e">
        <f>AND(#REF!,"AAAAAH/7b4Y=")</f>
        <v>#REF!</v>
      </c>
      <c r="EF51" t="e">
        <f>AND(#REF!,"AAAAAH/7b4c=")</f>
        <v>#REF!</v>
      </c>
      <c r="EG51" t="e">
        <f>AND(#REF!,"AAAAAH/7b4g=")</f>
        <v>#REF!</v>
      </c>
      <c r="EH51" t="e">
        <f>AND(#REF!,"AAAAAH/7b4k=")</f>
        <v>#REF!</v>
      </c>
      <c r="EI51" t="e">
        <f>AND(#REF!,"AAAAAH/7b4o=")</f>
        <v>#REF!</v>
      </c>
      <c r="EJ51" t="e">
        <f>AND(#REF!,"AAAAAH/7b4s=")</f>
        <v>#REF!</v>
      </c>
      <c r="EK51" t="e">
        <f>AND(#REF!,"AAAAAH/7b4w=")</f>
        <v>#REF!</v>
      </c>
      <c r="EL51" t="e">
        <f>AND(#REF!,"AAAAAH/7b40=")</f>
        <v>#REF!</v>
      </c>
      <c r="EM51" t="e">
        <f>AND(#REF!,"AAAAAH/7b44=")</f>
        <v>#REF!</v>
      </c>
      <c r="EN51" t="e">
        <f>AND(#REF!,"AAAAAH/7b48=")</f>
        <v>#REF!</v>
      </c>
      <c r="EO51" t="e">
        <f>AND(#REF!,"AAAAAH/7b5A=")</f>
        <v>#REF!</v>
      </c>
      <c r="EP51" t="e">
        <f>AND(#REF!,"AAAAAH/7b5E=")</f>
        <v>#REF!</v>
      </c>
      <c r="EQ51" t="e">
        <f>AND(#REF!,"AAAAAH/7b5I=")</f>
        <v>#REF!</v>
      </c>
      <c r="ER51" t="e">
        <f>AND(#REF!,"AAAAAH/7b5M=")</f>
        <v>#REF!</v>
      </c>
      <c r="ES51" t="e">
        <f>AND(#REF!,"AAAAAH/7b5Q=")</f>
        <v>#REF!</v>
      </c>
      <c r="ET51" t="e">
        <f>AND(#REF!,"AAAAAH/7b5U=")</f>
        <v>#REF!</v>
      </c>
      <c r="EU51" t="e">
        <f>AND(#REF!,"AAAAAH/7b5Y=")</f>
        <v>#REF!</v>
      </c>
      <c r="EV51" t="e">
        <f>AND(#REF!,"AAAAAH/7b5c=")</f>
        <v>#REF!</v>
      </c>
      <c r="EW51" t="e">
        <f>AND(#REF!,"AAAAAH/7b5g=")</f>
        <v>#REF!</v>
      </c>
      <c r="EX51" t="e">
        <f>AND(#REF!,"AAAAAH/7b5k=")</f>
        <v>#REF!</v>
      </c>
      <c r="EY51" t="e">
        <f>AND(#REF!,"AAAAAH/7b5o=")</f>
        <v>#REF!</v>
      </c>
      <c r="EZ51" t="e">
        <f>AND(#REF!,"AAAAAH/7b5s=")</f>
        <v>#REF!</v>
      </c>
      <c r="FA51" t="e">
        <f>AND(#REF!,"AAAAAH/7b5w=")</f>
        <v>#REF!</v>
      </c>
      <c r="FB51" t="e">
        <f>AND(#REF!,"AAAAAH/7b50=")</f>
        <v>#REF!</v>
      </c>
      <c r="FC51" t="e">
        <f>AND(#REF!,"AAAAAH/7b54=")</f>
        <v>#REF!</v>
      </c>
      <c r="FD51" t="e">
        <f>AND(#REF!,"AAAAAH/7b58=")</f>
        <v>#REF!</v>
      </c>
      <c r="FE51" t="e">
        <f>AND(#REF!,"AAAAAH/7b6A=")</f>
        <v>#REF!</v>
      </c>
      <c r="FF51" t="e">
        <f>AND(#REF!,"AAAAAH/7b6E=")</f>
        <v>#REF!</v>
      </c>
      <c r="FG51" t="e">
        <f>AND(#REF!,"AAAAAH/7b6I=")</f>
        <v>#REF!</v>
      </c>
      <c r="FH51" t="e">
        <f>AND(#REF!,"AAAAAH/7b6M=")</f>
        <v>#REF!</v>
      </c>
      <c r="FI51" t="e">
        <f>AND(#REF!,"AAAAAH/7b6Q=")</f>
        <v>#REF!</v>
      </c>
      <c r="FJ51" t="e">
        <f>AND(#REF!,"AAAAAH/7b6U=")</f>
        <v>#REF!</v>
      </c>
      <c r="FK51" t="e">
        <f>AND(#REF!,"AAAAAH/7b6Y=")</f>
        <v>#REF!</v>
      </c>
      <c r="FL51" t="e">
        <f>AND(#REF!,"AAAAAH/7b6c=")</f>
        <v>#REF!</v>
      </c>
      <c r="FM51" t="e">
        <f>AND(#REF!,"AAAAAH/7b6g=")</f>
        <v>#REF!</v>
      </c>
      <c r="FN51" t="e">
        <f>AND(#REF!,"AAAAAH/7b6k=")</f>
        <v>#REF!</v>
      </c>
      <c r="FO51" t="e">
        <f>AND(#REF!,"AAAAAH/7b6o=")</f>
        <v>#REF!</v>
      </c>
      <c r="FP51" t="e">
        <f>AND(#REF!,"AAAAAH/7b6s=")</f>
        <v>#REF!</v>
      </c>
      <c r="FQ51" t="e">
        <f>AND(#REF!,"AAAAAH/7b6w=")</f>
        <v>#REF!</v>
      </c>
      <c r="FR51" t="e">
        <f>AND(#REF!,"AAAAAH/7b60=")</f>
        <v>#REF!</v>
      </c>
      <c r="FS51" t="e">
        <f>AND(#REF!,"AAAAAH/7b64=")</f>
        <v>#REF!</v>
      </c>
      <c r="FT51" t="e">
        <f>AND(#REF!,"AAAAAH/7b68=")</f>
        <v>#REF!</v>
      </c>
      <c r="FU51" t="e">
        <f>AND(#REF!,"AAAAAH/7b7A=")</f>
        <v>#REF!</v>
      </c>
      <c r="FV51" t="e">
        <f>AND(#REF!,"AAAAAH/7b7E=")</f>
        <v>#REF!</v>
      </c>
      <c r="FW51" t="e">
        <f>AND(#REF!,"AAAAAH/7b7I=")</f>
        <v>#REF!</v>
      </c>
      <c r="FX51" t="e">
        <f>AND(#REF!,"AAAAAH/7b7M=")</f>
        <v>#REF!</v>
      </c>
      <c r="FY51" t="e">
        <f>AND(#REF!,"AAAAAH/7b7Q=")</f>
        <v>#REF!</v>
      </c>
      <c r="FZ51" t="e">
        <f>AND(#REF!,"AAAAAH/7b7U=")</f>
        <v>#REF!</v>
      </c>
      <c r="GA51" t="e">
        <f>AND(#REF!,"AAAAAH/7b7Y=")</f>
        <v>#REF!</v>
      </c>
      <c r="GB51" t="e">
        <f>AND(#REF!,"AAAAAH/7b7c=")</f>
        <v>#REF!</v>
      </c>
      <c r="GC51" t="e">
        <f>AND(#REF!,"AAAAAH/7b7g=")</f>
        <v>#REF!</v>
      </c>
      <c r="GD51" t="e">
        <f>AND(#REF!,"AAAAAH/7b7k=")</f>
        <v>#REF!</v>
      </c>
      <c r="GE51" t="e">
        <f>AND(#REF!,"AAAAAH/7b7o=")</f>
        <v>#REF!</v>
      </c>
      <c r="GF51" t="e">
        <f>AND(#REF!,"AAAAAH/7b7s=")</f>
        <v>#REF!</v>
      </c>
      <c r="GG51" t="e">
        <f>AND(#REF!,"AAAAAH/7b7w=")</f>
        <v>#REF!</v>
      </c>
      <c r="GH51" t="e">
        <f>AND(#REF!,"AAAAAH/7b70=")</f>
        <v>#REF!</v>
      </c>
      <c r="GI51" t="e">
        <f>AND(#REF!,"AAAAAH/7b74=")</f>
        <v>#REF!</v>
      </c>
      <c r="GJ51" t="e">
        <f>AND(#REF!,"AAAAAH/7b78=")</f>
        <v>#REF!</v>
      </c>
      <c r="GK51" t="e">
        <f>AND(#REF!,"AAAAAH/7b8A=")</f>
        <v>#REF!</v>
      </c>
      <c r="GL51" t="e">
        <f>AND(#REF!,"AAAAAH/7b8E=")</f>
        <v>#REF!</v>
      </c>
      <c r="GM51" t="e">
        <f>AND(#REF!,"AAAAAH/7b8I=")</f>
        <v>#REF!</v>
      </c>
      <c r="GN51" t="e">
        <f>AND(#REF!,"AAAAAH/7b8M=")</f>
        <v>#REF!</v>
      </c>
      <c r="GO51" t="e">
        <f>AND(#REF!,"AAAAAH/7b8Q=")</f>
        <v>#REF!</v>
      </c>
      <c r="GP51" t="e">
        <f>AND(#REF!,"AAAAAH/7b8U=")</f>
        <v>#REF!</v>
      </c>
      <c r="GQ51" t="e">
        <f>AND(#REF!,"AAAAAH/7b8Y=")</f>
        <v>#REF!</v>
      </c>
      <c r="GR51" t="e">
        <f>AND(#REF!,"AAAAAH/7b8c=")</f>
        <v>#REF!</v>
      </c>
      <c r="GS51" t="e">
        <f>AND(#REF!,"AAAAAH/7b8g=")</f>
        <v>#REF!</v>
      </c>
      <c r="GT51" t="e">
        <f>AND(#REF!,"AAAAAH/7b8k=")</f>
        <v>#REF!</v>
      </c>
      <c r="GU51" t="e">
        <f>AND(#REF!,"AAAAAH/7b8o=")</f>
        <v>#REF!</v>
      </c>
      <c r="GV51" t="e">
        <f>AND(#REF!,"AAAAAH/7b8s=")</f>
        <v>#REF!</v>
      </c>
      <c r="GW51" t="e">
        <f>AND(#REF!,"AAAAAH/7b8w=")</f>
        <v>#REF!</v>
      </c>
      <c r="GX51" t="e">
        <f>AND(#REF!,"AAAAAH/7b80=")</f>
        <v>#REF!</v>
      </c>
      <c r="GY51" t="e">
        <f>AND(#REF!,"AAAAAH/7b84=")</f>
        <v>#REF!</v>
      </c>
      <c r="GZ51" t="e">
        <f>AND(#REF!,"AAAAAH/7b88=")</f>
        <v>#REF!</v>
      </c>
      <c r="HA51" t="e">
        <f>AND(#REF!,"AAAAAH/7b9A=")</f>
        <v>#REF!</v>
      </c>
      <c r="HB51" t="e">
        <f>AND(#REF!,"AAAAAH/7b9E=")</f>
        <v>#REF!</v>
      </c>
      <c r="HC51" t="e">
        <f>AND(#REF!,"AAAAAH/7b9I=")</f>
        <v>#REF!</v>
      </c>
      <c r="HD51" t="e">
        <f>AND(#REF!,"AAAAAH/7b9M=")</f>
        <v>#REF!</v>
      </c>
      <c r="HE51" t="e">
        <f>AND(#REF!,"AAAAAH/7b9Q=")</f>
        <v>#REF!</v>
      </c>
      <c r="HF51" t="e">
        <f>AND(#REF!,"AAAAAH/7b9U=")</f>
        <v>#REF!</v>
      </c>
      <c r="HG51" t="e">
        <f>AND(#REF!,"AAAAAH/7b9Y=")</f>
        <v>#REF!</v>
      </c>
      <c r="HH51" t="e">
        <f>AND(#REF!,"AAAAAH/7b9c=")</f>
        <v>#REF!</v>
      </c>
      <c r="HI51" t="e">
        <f>AND(#REF!,"AAAAAH/7b9g=")</f>
        <v>#REF!</v>
      </c>
      <c r="HJ51" t="e">
        <f>AND(#REF!,"AAAAAH/7b9k=")</f>
        <v>#REF!</v>
      </c>
      <c r="HK51" t="e">
        <f>AND(#REF!,"AAAAAH/7b9o=")</f>
        <v>#REF!</v>
      </c>
      <c r="HL51" t="e">
        <f>AND(#REF!,"AAAAAH/7b9s=")</f>
        <v>#REF!</v>
      </c>
      <c r="HM51" t="e">
        <f>AND(#REF!,"AAAAAH/7b9w=")</f>
        <v>#REF!</v>
      </c>
      <c r="HN51" t="e">
        <f>AND(#REF!,"AAAAAH/7b90=")</f>
        <v>#REF!</v>
      </c>
      <c r="HO51" t="e">
        <f>AND(#REF!,"AAAAAH/7b94=")</f>
        <v>#REF!</v>
      </c>
      <c r="HP51" t="e">
        <f>AND(#REF!,"AAAAAH/7b98=")</f>
        <v>#REF!</v>
      </c>
      <c r="HQ51" t="e">
        <f>AND(#REF!,"AAAAAH/7b+A=")</f>
        <v>#REF!</v>
      </c>
      <c r="HR51" t="e">
        <f>AND(#REF!,"AAAAAH/7b+E=")</f>
        <v>#REF!</v>
      </c>
      <c r="HS51" t="e">
        <f>AND(#REF!,"AAAAAH/7b+I=")</f>
        <v>#REF!</v>
      </c>
      <c r="HT51" t="e">
        <f>AND(#REF!,"AAAAAH/7b+M=")</f>
        <v>#REF!</v>
      </c>
      <c r="HU51" t="e">
        <f>AND(#REF!,"AAAAAH/7b+Q=")</f>
        <v>#REF!</v>
      </c>
      <c r="HV51" t="e">
        <f>AND(#REF!,"AAAAAH/7b+U=")</f>
        <v>#REF!</v>
      </c>
      <c r="HW51" t="e">
        <f>AND(#REF!,"AAAAAH/7b+Y=")</f>
        <v>#REF!</v>
      </c>
      <c r="HX51" t="e">
        <f>AND(#REF!,"AAAAAH/7b+c=")</f>
        <v>#REF!</v>
      </c>
      <c r="HY51" t="e">
        <f>AND(#REF!,"AAAAAH/7b+g=")</f>
        <v>#REF!</v>
      </c>
      <c r="HZ51" t="e">
        <f>AND(#REF!,"AAAAAH/7b+k=")</f>
        <v>#REF!</v>
      </c>
      <c r="IA51" t="e">
        <f>AND(#REF!,"AAAAAH/7b+o=")</f>
        <v>#REF!</v>
      </c>
      <c r="IB51" t="e">
        <f>AND(#REF!,"AAAAAH/7b+s=")</f>
        <v>#REF!</v>
      </c>
      <c r="IC51" t="e">
        <f>AND(#REF!,"AAAAAH/7b+w=")</f>
        <v>#REF!</v>
      </c>
      <c r="ID51" t="e">
        <f>AND(#REF!,"AAAAAH/7b+0=")</f>
        <v>#REF!</v>
      </c>
      <c r="IE51" t="e">
        <f>AND(#REF!,"AAAAAH/7b+4=")</f>
        <v>#REF!</v>
      </c>
      <c r="IF51" t="e">
        <f>AND(#REF!,"AAAAAH/7b+8=")</f>
        <v>#REF!</v>
      </c>
      <c r="IG51" t="e">
        <f>AND(#REF!,"AAAAAH/7b/A=")</f>
        <v>#REF!</v>
      </c>
      <c r="IH51" t="e">
        <f>AND(#REF!,"AAAAAH/7b/E=")</f>
        <v>#REF!</v>
      </c>
      <c r="II51" t="e">
        <f>AND(#REF!,"AAAAAH/7b/I=")</f>
        <v>#REF!</v>
      </c>
      <c r="IJ51" t="e">
        <f>AND(#REF!,"AAAAAH/7b/M=")</f>
        <v>#REF!</v>
      </c>
      <c r="IK51" t="e">
        <f>AND(#REF!,"AAAAAH/7b/Q=")</f>
        <v>#REF!</v>
      </c>
      <c r="IL51" t="e">
        <f>AND(#REF!,"AAAAAH/7b/U=")</f>
        <v>#REF!</v>
      </c>
      <c r="IM51" t="e">
        <f>AND(#REF!,"AAAAAH/7b/Y=")</f>
        <v>#REF!</v>
      </c>
      <c r="IN51" t="e">
        <f>AND(#REF!,"AAAAAH/7b/c=")</f>
        <v>#REF!</v>
      </c>
      <c r="IO51" t="e">
        <f>AND(#REF!,"AAAAAH/7b/g=")</f>
        <v>#REF!</v>
      </c>
      <c r="IP51" t="e">
        <f>IF(#REF!,"AAAAAH/7b/k=",0)</f>
        <v>#REF!</v>
      </c>
      <c r="IQ51" t="e">
        <f>AND(#REF!,"AAAAAH/7b/o=")</f>
        <v>#REF!</v>
      </c>
      <c r="IR51" t="e">
        <f>AND(#REF!,"AAAAAH/7b/s=")</f>
        <v>#REF!</v>
      </c>
      <c r="IS51" t="e">
        <f>AND(#REF!,"AAAAAH/7b/w=")</f>
        <v>#REF!</v>
      </c>
      <c r="IT51" t="e">
        <f>AND(#REF!,"AAAAAH/7b/0=")</f>
        <v>#REF!</v>
      </c>
      <c r="IU51" t="e">
        <f>AND(#REF!,"AAAAAH/7b/4=")</f>
        <v>#REF!</v>
      </c>
      <c r="IV51" t="e">
        <f>AND(#REF!,"AAAAAH/7b/8=")</f>
        <v>#REF!</v>
      </c>
    </row>
    <row r="52" spans="1:256" x14ac:dyDescent="0.2">
      <c r="A52" t="e">
        <f>AND(#REF!,"AAAAADn++gA=")</f>
        <v>#REF!</v>
      </c>
      <c r="B52" t="e">
        <f>AND(#REF!,"AAAAADn++gE=")</f>
        <v>#REF!</v>
      </c>
      <c r="C52" t="e">
        <f>AND(#REF!,"AAAAADn++gI=")</f>
        <v>#REF!</v>
      </c>
      <c r="D52" t="e">
        <f>AND(#REF!,"AAAAADn++gM=")</f>
        <v>#REF!</v>
      </c>
      <c r="E52" t="e">
        <f>AND(#REF!,"AAAAADn++gQ=")</f>
        <v>#REF!</v>
      </c>
      <c r="F52" t="e">
        <f>AND(#REF!,"AAAAADn++gU=")</f>
        <v>#REF!</v>
      </c>
      <c r="G52" t="e">
        <f>AND(#REF!,"AAAAADn++gY=")</f>
        <v>#REF!</v>
      </c>
      <c r="H52" t="e">
        <f>AND(#REF!,"AAAAADn++gc=")</f>
        <v>#REF!</v>
      </c>
      <c r="I52" t="e">
        <f>AND(#REF!,"AAAAADn++gg=")</f>
        <v>#REF!</v>
      </c>
      <c r="J52" t="e">
        <f>AND(#REF!,"AAAAADn++gk=")</f>
        <v>#REF!</v>
      </c>
      <c r="K52" t="e">
        <f>AND(#REF!,"AAAAADn++go=")</f>
        <v>#REF!</v>
      </c>
      <c r="L52" t="e">
        <f>AND(#REF!,"AAAAADn++gs=")</f>
        <v>#REF!</v>
      </c>
      <c r="M52" t="e">
        <f>AND(#REF!,"AAAAADn++gw=")</f>
        <v>#REF!</v>
      </c>
      <c r="N52" t="e">
        <f>AND(#REF!,"AAAAADn++g0=")</f>
        <v>#REF!</v>
      </c>
      <c r="O52" t="e">
        <f>AND(#REF!,"AAAAADn++g4=")</f>
        <v>#REF!</v>
      </c>
      <c r="P52" t="e">
        <f>AND(#REF!,"AAAAADn++g8=")</f>
        <v>#REF!</v>
      </c>
      <c r="Q52" t="e">
        <f>AND(#REF!,"AAAAADn++hA=")</f>
        <v>#REF!</v>
      </c>
      <c r="R52" t="e">
        <f>AND(#REF!,"AAAAADn++hE=")</f>
        <v>#REF!</v>
      </c>
      <c r="S52" t="e">
        <f>AND(#REF!,"AAAAADn++hI=")</f>
        <v>#REF!</v>
      </c>
      <c r="T52" t="e">
        <f>AND(#REF!,"AAAAADn++hM=")</f>
        <v>#REF!</v>
      </c>
      <c r="U52" t="e">
        <f>AND(#REF!,"AAAAADn++hQ=")</f>
        <v>#REF!</v>
      </c>
      <c r="V52" t="e">
        <f>AND(#REF!,"AAAAADn++hU=")</f>
        <v>#REF!</v>
      </c>
      <c r="W52" t="e">
        <f>AND(#REF!,"AAAAADn++hY=")</f>
        <v>#REF!</v>
      </c>
      <c r="X52" t="e">
        <f>AND(#REF!,"AAAAADn++hc=")</f>
        <v>#REF!</v>
      </c>
      <c r="Y52" t="e">
        <f>AND(#REF!,"AAAAADn++hg=")</f>
        <v>#REF!</v>
      </c>
      <c r="Z52" t="e">
        <f>AND(#REF!,"AAAAADn++hk=")</f>
        <v>#REF!</v>
      </c>
      <c r="AA52" t="e">
        <f>AND(#REF!,"AAAAADn++ho=")</f>
        <v>#REF!</v>
      </c>
      <c r="AB52" t="e">
        <f>AND(#REF!,"AAAAADn++hs=")</f>
        <v>#REF!</v>
      </c>
      <c r="AC52" t="e">
        <f>AND(#REF!,"AAAAADn++hw=")</f>
        <v>#REF!</v>
      </c>
      <c r="AD52" t="e">
        <f>AND(#REF!,"AAAAADn++h0=")</f>
        <v>#REF!</v>
      </c>
      <c r="AE52" t="e">
        <f>AND(#REF!,"AAAAADn++h4=")</f>
        <v>#REF!</v>
      </c>
      <c r="AF52" t="e">
        <f>AND(#REF!,"AAAAADn++h8=")</f>
        <v>#REF!</v>
      </c>
      <c r="AG52" t="e">
        <f>AND(#REF!,"AAAAADn++iA=")</f>
        <v>#REF!</v>
      </c>
      <c r="AH52" t="e">
        <f>AND(#REF!,"AAAAADn++iE=")</f>
        <v>#REF!</v>
      </c>
      <c r="AI52" t="e">
        <f>AND(#REF!,"AAAAADn++iI=")</f>
        <v>#REF!</v>
      </c>
      <c r="AJ52" t="e">
        <f>AND(#REF!,"AAAAADn++iM=")</f>
        <v>#REF!</v>
      </c>
      <c r="AK52" t="e">
        <f>AND(#REF!,"AAAAADn++iQ=")</f>
        <v>#REF!</v>
      </c>
      <c r="AL52" t="e">
        <f>AND(#REF!,"AAAAADn++iU=")</f>
        <v>#REF!</v>
      </c>
      <c r="AM52" t="e">
        <f>AND(#REF!,"AAAAADn++iY=")</f>
        <v>#REF!</v>
      </c>
      <c r="AN52" t="e">
        <f>AND(#REF!,"AAAAADn++ic=")</f>
        <v>#REF!</v>
      </c>
      <c r="AO52" t="e">
        <f>AND(#REF!,"AAAAADn++ig=")</f>
        <v>#REF!</v>
      </c>
      <c r="AP52" t="e">
        <f>AND(#REF!,"AAAAADn++ik=")</f>
        <v>#REF!</v>
      </c>
      <c r="AQ52" t="e">
        <f>AND(#REF!,"AAAAADn++io=")</f>
        <v>#REF!</v>
      </c>
      <c r="AR52" t="e">
        <f>AND(#REF!,"AAAAADn++is=")</f>
        <v>#REF!</v>
      </c>
      <c r="AS52" t="e">
        <f>AND(#REF!,"AAAAADn++iw=")</f>
        <v>#REF!</v>
      </c>
      <c r="AT52" t="e">
        <f>AND(#REF!,"AAAAADn++i0=")</f>
        <v>#REF!</v>
      </c>
      <c r="AU52" t="e">
        <f>AND(#REF!,"AAAAADn++i4=")</f>
        <v>#REF!</v>
      </c>
      <c r="AV52" t="e">
        <f>AND(#REF!,"AAAAADn++i8=")</f>
        <v>#REF!</v>
      </c>
      <c r="AW52" t="e">
        <f>AND(#REF!,"AAAAADn++jA=")</f>
        <v>#REF!</v>
      </c>
      <c r="AX52" t="e">
        <f>AND(#REF!,"AAAAADn++jE=")</f>
        <v>#REF!</v>
      </c>
      <c r="AY52" t="e">
        <f>AND(#REF!,"AAAAADn++jI=")</f>
        <v>#REF!</v>
      </c>
      <c r="AZ52" t="e">
        <f>AND(#REF!,"AAAAADn++jM=")</f>
        <v>#REF!</v>
      </c>
      <c r="BA52" t="e">
        <f>AND(#REF!,"AAAAADn++jQ=")</f>
        <v>#REF!</v>
      </c>
      <c r="BB52" t="e">
        <f>AND(#REF!,"AAAAADn++jU=")</f>
        <v>#REF!</v>
      </c>
      <c r="BC52" t="e">
        <f>AND(#REF!,"AAAAADn++jY=")</f>
        <v>#REF!</v>
      </c>
      <c r="BD52" t="e">
        <f>AND(#REF!,"AAAAADn++jc=")</f>
        <v>#REF!</v>
      </c>
      <c r="BE52" t="e">
        <f>AND(#REF!,"AAAAADn++jg=")</f>
        <v>#REF!</v>
      </c>
      <c r="BF52" t="e">
        <f>AND(#REF!,"AAAAADn++jk=")</f>
        <v>#REF!</v>
      </c>
      <c r="BG52" t="e">
        <f>AND(#REF!,"AAAAADn++jo=")</f>
        <v>#REF!</v>
      </c>
      <c r="BH52" t="e">
        <f>AND(#REF!,"AAAAADn++js=")</f>
        <v>#REF!</v>
      </c>
      <c r="BI52" t="e">
        <f>AND(#REF!,"AAAAADn++jw=")</f>
        <v>#REF!</v>
      </c>
      <c r="BJ52" t="e">
        <f>AND(#REF!,"AAAAADn++j0=")</f>
        <v>#REF!</v>
      </c>
      <c r="BK52" t="e">
        <f>AND(#REF!,"AAAAADn++j4=")</f>
        <v>#REF!</v>
      </c>
      <c r="BL52" t="e">
        <f>AND(#REF!,"AAAAADn++j8=")</f>
        <v>#REF!</v>
      </c>
      <c r="BM52" t="e">
        <f>AND(#REF!,"AAAAADn++kA=")</f>
        <v>#REF!</v>
      </c>
      <c r="BN52" t="e">
        <f>AND(#REF!,"AAAAADn++kE=")</f>
        <v>#REF!</v>
      </c>
      <c r="BO52" t="e">
        <f>AND(#REF!,"AAAAADn++kI=")</f>
        <v>#REF!</v>
      </c>
      <c r="BP52" t="e">
        <f>AND(#REF!,"AAAAADn++kM=")</f>
        <v>#REF!</v>
      </c>
      <c r="BQ52" t="e">
        <f>AND(#REF!,"AAAAADn++kQ=")</f>
        <v>#REF!</v>
      </c>
      <c r="BR52" t="e">
        <f>AND(#REF!,"AAAAADn++kU=")</f>
        <v>#REF!</v>
      </c>
      <c r="BS52" t="e">
        <f>AND(#REF!,"AAAAADn++kY=")</f>
        <v>#REF!</v>
      </c>
      <c r="BT52" t="e">
        <f>AND(#REF!,"AAAAADn++kc=")</f>
        <v>#REF!</v>
      </c>
      <c r="BU52" t="e">
        <f>AND(#REF!,"AAAAADn++kg=")</f>
        <v>#REF!</v>
      </c>
      <c r="BV52" t="e">
        <f>AND(#REF!,"AAAAADn++kk=")</f>
        <v>#REF!</v>
      </c>
      <c r="BW52" t="e">
        <f>AND(#REF!,"AAAAADn++ko=")</f>
        <v>#REF!</v>
      </c>
      <c r="BX52" t="e">
        <f>AND(#REF!,"AAAAADn++ks=")</f>
        <v>#REF!</v>
      </c>
      <c r="BY52" t="e">
        <f>AND(#REF!,"AAAAADn++kw=")</f>
        <v>#REF!</v>
      </c>
      <c r="BZ52" t="e">
        <f>AND(#REF!,"AAAAADn++k0=")</f>
        <v>#REF!</v>
      </c>
      <c r="CA52" t="e">
        <f>AND(#REF!,"AAAAADn++k4=")</f>
        <v>#REF!</v>
      </c>
      <c r="CB52" t="e">
        <f>AND(#REF!,"AAAAADn++k8=")</f>
        <v>#REF!</v>
      </c>
      <c r="CC52" t="e">
        <f>AND(#REF!,"AAAAADn++lA=")</f>
        <v>#REF!</v>
      </c>
      <c r="CD52" t="e">
        <f>AND(#REF!,"AAAAADn++lE=")</f>
        <v>#REF!</v>
      </c>
      <c r="CE52" t="e">
        <f>AND(#REF!,"AAAAADn++lI=")</f>
        <v>#REF!</v>
      </c>
      <c r="CF52" t="e">
        <f>AND(#REF!,"AAAAADn++lM=")</f>
        <v>#REF!</v>
      </c>
      <c r="CG52" t="e">
        <f>AND(#REF!,"AAAAADn++lQ=")</f>
        <v>#REF!</v>
      </c>
      <c r="CH52" t="e">
        <f>AND(#REF!,"AAAAADn++lU=")</f>
        <v>#REF!</v>
      </c>
      <c r="CI52" t="e">
        <f>AND(#REF!,"AAAAADn++lY=")</f>
        <v>#REF!</v>
      </c>
      <c r="CJ52" t="e">
        <f>AND(#REF!,"AAAAADn++lc=")</f>
        <v>#REF!</v>
      </c>
      <c r="CK52" t="e">
        <f>AND(#REF!,"AAAAADn++lg=")</f>
        <v>#REF!</v>
      </c>
      <c r="CL52" t="e">
        <f>AND(#REF!,"AAAAADn++lk=")</f>
        <v>#REF!</v>
      </c>
      <c r="CM52" t="e">
        <f>AND(#REF!,"AAAAADn++lo=")</f>
        <v>#REF!</v>
      </c>
      <c r="CN52" t="e">
        <f>AND(#REF!,"AAAAADn++ls=")</f>
        <v>#REF!</v>
      </c>
      <c r="CO52" t="e">
        <f>AND(#REF!,"AAAAADn++lw=")</f>
        <v>#REF!</v>
      </c>
      <c r="CP52" t="e">
        <f>AND(#REF!,"AAAAADn++l0=")</f>
        <v>#REF!</v>
      </c>
      <c r="CQ52" t="e">
        <f>AND(#REF!,"AAAAADn++l4=")</f>
        <v>#REF!</v>
      </c>
      <c r="CR52" t="e">
        <f>AND(#REF!,"AAAAADn++l8=")</f>
        <v>#REF!</v>
      </c>
      <c r="CS52" t="e">
        <f>AND(#REF!,"AAAAADn++mA=")</f>
        <v>#REF!</v>
      </c>
      <c r="CT52" t="e">
        <f>AND(#REF!,"AAAAADn++mE=")</f>
        <v>#REF!</v>
      </c>
      <c r="CU52" t="e">
        <f>AND(#REF!,"AAAAADn++mI=")</f>
        <v>#REF!</v>
      </c>
      <c r="CV52" t="e">
        <f>AND(#REF!,"AAAAADn++mM=")</f>
        <v>#REF!</v>
      </c>
      <c r="CW52" t="e">
        <f>AND(#REF!,"AAAAADn++mQ=")</f>
        <v>#REF!</v>
      </c>
      <c r="CX52" t="e">
        <f>AND(#REF!,"AAAAADn++mU=")</f>
        <v>#REF!</v>
      </c>
      <c r="CY52" t="e">
        <f>AND(#REF!,"AAAAADn++mY=")</f>
        <v>#REF!</v>
      </c>
      <c r="CZ52" t="e">
        <f>AND(#REF!,"AAAAADn++mc=")</f>
        <v>#REF!</v>
      </c>
      <c r="DA52" t="e">
        <f>AND(#REF!,"AAAAADn++mg=")</f>
        <v>#REF!</v>
      </c>
      <c r="DB52" t="e">
        <f>AND(#REF!,"AAAAADn++mk=")</f>
        <v>#REF!</v>
      </c>
      <c r="DC52" t="e">
        <f>AND(#REF!,"AAAAADn++mo=")</f>
        <v>#REF!</v>
      </c>
      <c r="DD52" t="e">
        <f>AND(#REF!,"AAAAADn++ms=")</f>
        <v>#REF!</v>
      </c>
      <c r="DE52" t="e">
        <f>AND(#REF!,"AAAAADn++mw=")</f>
        <v>#REF!</v>
      </c>
      <c r="DF52" t="e">
        <f>AND(#REF!,"AAAAADn++m0=")</f>
        <v>#REF!</v>
      </c>
      <c r="DG52" t="e">
        <f>AND(#REF!,"AAAAADn++m4=")</f>
        <v>#REF!</v>
      </c>
      <c r="DH52" t="e">
        <f>AND(#REF!,"AAAAADn++m8=")</f>
        <v>#REF!</v>
      </c>
      <c r="DI52" t="e">
        <f>AND(#REF!,"AAAAADn++nA=")</f>
        <v>#REF!</v>
      </c>
      <c r="DJ52" t="e">
        <f>AND(#REF!,"AAAAADn++nE=")</f>
        <v>#REF!</v>
      </c>
      <c r="DK52" t="e">
        <f>AND(#REF!,"AAAAADn++nI=")</f>
        <v>#REF!</v>
      </c>
      <c r="DL52" t="e">
        <f>AND(#REF!,"AAAAADn++nM=")</f>
        <v>#REF!</v>
      </c>
      <c r="DM52" t="e">
        <f>AND(#REF!,"AAAAADn++nQ=")</f>
        <v>#REF!</v>
      </c>
      <c r="DN52" t="e">
        <f>AND(#REF!,"AAAAADn++nU=")</f>
        <v>#REF!</v>
      </c>
      <c r="DO52" t="e">
        <f>AND(#REF!,"AAAAADn++nY=")</f>
        <v>#REF!</v>
      </c>
      <c r="DP52" t="e">
        <f>AND(#REF!,"AAAAADn++nc=")</f>
        <v>#REF!</v>
      </c>
      <c r="DQ52" t="e">
        <f>AND(#REF!,"AAAAADn++ng=")</f>
        <v>#REF!</v>
      </c>
      <c r="DR52" t="e">
        <f>AND(#REF!,"AAAAADn++nk=")</f>
        <v>#REF!</v>
      </c>
      <c r="DS52" t="e">
        <f>AND(#REF!,"AAAAADn++no=")</f>
        <v>#REF!</v>
      </c>
      <c r="DT52" t="e">
        <f>AND(#REF!,"AAAAADn++ns=")</f>
        <v>#REF!</v>
      </c>
      <c r="DU52" t="e">
        <f>AND(#REF!,"AAAAADn++nw=")</f>
        <v>#REF!</v>
      </c>
      <c r="DV52" t="e">
        <f>AND(#REF!,"AAAAADn++n0=")</f>
        <v>#REF!</v>
      </c>
      <c r="DW52" t="e">
        <f>AND(#REF!,"AAAAADn++n4=")</f>
        <v>#REF!</v>
      </c>
      <c r="DX52" t="e">
        <f>AND(#REF!,"AAAAADn++n8=")</f>
        <v>#REF!</v>
      </c>
      <c r="DY52" t="e">
        <f>AND(#REF!,"AAAAADn++oA=")</f>
        <v>#REF!</v>
      </c>
      <c r="DZ52" t="e">
        <f>AND(#REF!,"AAAAADn++oE=")</f>
        <v>#REF!</v>
      </c>
      <c r="EA52" t="e">
        <f>AND(#REF!,"AAAAADn++oI=")</f>
        <v>#REF!</v>
      </c>
      <c r="EB52" t="e">
        <f>AND(#REF!,"AAAAADn++oM=")</f>
        <v>#REF!</v>
      </c>
      <c r="EC52" t="e">
        <f>AND(#REF!,"AAAAADn++oQ=")</f>
        <v>#REF!</v>
      </c>
      <c r="ED52" t="e">
        <f>AND(#REF!,"AAAAADn++oU=")</f>
        <v>#REF!</v>
      </c>
      <c r="EE52" t="e">
        <f>AND(#REF!,"AAAAADn++oY=")</f>
        <v>#REF!</v>
      </c>
      <c r="EF52" t="e">
        <f>AND(#REF!,"AAAAADn++oc=")</f>
        <v>#REF!</v>
      </c>
      <c r="EG52" t="e">
        <f>AND(#REF!,"AAAAADn++og=")</f>
        <v>#REF!</v>
      </c>
      <c r="EH52" t="e">
        <f>AND(#REF!,"AAAAADn++ok=")</f>
        <v>#REF!</v>
      </c>
      <c r="EI52" t="e">
        <f>AND(#REF!,"AAAAADn++oo=")</f>
        <v>#REF!</v>
      </c>
      <c r="EJ52" t="e">
        <f>AND(#REF!,"AAAAADn++os=")</f>
        <v>#REF!</v>
      </c>
      <c r="EK52" t="e">
        <f>AND(#REF!,"AAAAADn++ow=")</f>
        <v>#REF!</v>
      </c>
      <c r="EL52" t="e">
        <f>AND(#REF!,"AAAAADn++o0=")</f>
        <v>#REF!</v>
      </c>
      <c r="EM52" t="e">
        <f>AND(#REF!,"AAAAADn++o4=")</f>
        <v>#REF!</v>
      </c>
      <c r="EN52" t="e">
        <f>AND(#REF!,"AAAAADn++o8=")</f>
        <v>#REF!</v>
      </c>
      <c r="EO52" t="e">
        <f>AND(#REF!,"AAAAADn++pA=")</f>
        <v>#REF!</v>
      </c>
      <c r="EP52" t="e">
        <f>AND(#REF!,"AAAAADn++pE=")</f>
        <v>#REF!</v>
      </c>
      <c r="EQ52" t="e">
        <f>AND(#REF!,"AAAAADn++pI=")</f>
        <v>#REF!</v>
      </c>
      <c r="ER52" t="e">
        <f>AND(#REF!,"AAAAADn++pM=")</f>
        <v>#REF!</v>
      </c>
      <c r="ES52" t="e">
        <f>AND(#REF!,"AAAAADn++pQ=")</f>
        <v>#REF!</v>
      </c>
      <c r="ET52" t="e">
        <f>AND(#REF!,"AAAAADn++pU=")</f>
        <v>#REF!</v>
      </c>
      <c r="EU52" t="e">
        <f>AND(#REF!,"AAAAADn++pY=")</f>
        <v>#REF!</v>
      </c>
      <c r="EV52" t="e">
        <f>AND(#REF!,"AAAAADn++pc=")</f>
        <v>#REF!</v>
      </c>
      <c r="EW52" t="e">
        <f>AND(#REF!,"AAAAADn++pg=")</f>
        <v>#REF!</v>
      </c>
      <c r="EX52" t="e">
        <f>AND(#REF!,"AAAAADn++pk=")</f>
        <v>#REF!</v>
      </c>
      <c r="EY52" t="e">
        <f>AND(#REF!,"AAAAADn++po=")</f>
        <v>#REF!</v>
      </c>
      <c r="EZ52" t="e">
        <f>AND(#REF!,"AAAAADn++ps=")</f>
        <v>#REF!</v>
      </c>
      <c r="FA52" t="e">
        <f>AND(#REF!,"AAAAADn++pw=")</f>
        <v>#REF!</v>
      </c>
      <c r="FB52" t="e">
        <f>AND(#REF!,"AAAAADn++p0=")</f>
        <v>#REF!</v>
      </c>
      <c r="FC52" t="e">
        <f>AND(#REF!,"AAAAADn++p4=")</f>
        <v>#REF!</v>
      </c>
      <c r="FD52" t="e">
        <f>AND(#REF!,"AAAAADn++p8=")</f>
        <v>#REF!</v>
      </c>
      <c r="FE52" t="e">
        <f>AND(#REF!,"AAAAADn++qA=")</f>
        <v>#REF!</v>
      </c>
      <c r="FF52" t="e">
        <f>AND(#REF!,"AAAAADn++qE=")</f>
        <v>#REF!</v>
      </c>
      <c r="FG52" t="e">
        <f>AND(#REF!,"AAAAADn++qI=")</f>
        <v>#REF!</v>
      </c>
      <c r="FH52" t="e">
        <f>AND(#REF!,"AAAAADn++qM=")</f>
        <v>#REF!</v>
      </c>
      <c r="FI52" t="e">
        <f>AND(#REF!,"AAAAADn++qQ=")</f>
        <v>#REF!</v>
      </c>
      <c r="FJ52" t="e">
        <f>AND(#REF!,"AAAAADn++qU=")</f>
        <v>#REF!</v>
      </c>
      <c r="FK52" t="e">
        <f>AND(#REF!,"AAAAADn++qY=")</f>
        <v>#REF!</v>
      </c>
      <c r="FL52" t="e">
        <f>AND(#REF!,"AAAAADn++qc=")</f>
        <v>#REF!</v>
      </c>
      <c r="FM52" t="e">
        <f>AND(#REF!,"AAAAADn++qg=")</f>
        <v>#REF!</v>
      </c>
      <c r="FN52" t="e">
        <f>AND(#REF!,"AAAAADn++qk=")</f>
        <v>#REF!</v>
      </c>
      <c r="FO52" t="e">
        <f>AND(#REF!,"AAAAADn++qo=")</f>
        <v>#REF!</v>
      </c>
      <c r="FP52" t="e">
        <f>AND(#REF!,"AAAAADn++qs=")</f>
        <v>#REF!</v>
      </c>
      <c r="FQ52" t="e">
        <f>AND(#REF!,"AAAAADn++qw=")</f>
        <v>#REF!</v>
      </c>
      <c r="FR52" t="e">
        <f>AND(#REF!,"AAAAADn++q0=")</f>
        <v>#REF!</v>
      </c>
      <c r="FS52" t="e">
        <f>IF(#REF!,"AAAAADn++q4=",0)</f>
        <v>#REF!</v>
      </c>
      <c r="FT52" t="e">
        <f>AND(#REF!,"AAAAADn++q8=")</f>
        <v>#REF!</v>
      </c>
      <c r="FU52" t="e">
        <f>AND(#REF!,"AAAAADn++rA=")</f>
        <v>#REF!</v>
      </c>
      <c r="FV52" t="e">
        <f>AND(#REF!,"AAAAADn++rE=")</f>
        <v>#REF!</v>
      </c>
      <c r="FW52" t="e">
        <f>AND(#REF!,"AAAAADn++rI=")</f>
        <v>#REF!</v>
      </c>
      <c r="FX52" t="e">
        <f>AND(#REF!,"AAAAADn++rM=")</f>
        <v>#REF!</v>
      </c>
      <c r="FY52" t="e">
        <f>AND(#REF!,"AAAAADn++rQ=")</f>
        <v>#REF!</v>
      </c>
      <c r="FZ52" t="e">
        <f>AND(#REF!,"AAAAADn++rU=")</f>
        <v>#REF!</v>
      </c>
      <c r="GA52" t="e">
        <f>AND(#REF!,"AAAAADn++rY=")</f>
        <v>#REF!</v>
      </c>
      <c r="GB52" t="e">
        <f>AND(#REF!,"AAAAADn++rc=")</f>
        <v>#REF!</v>
      </c>
      <c r="GC52" t="e">
        <f>AND(#REF!,"AAAAADn++rg=")</f>
        <v>#REF!</v>
      </c>
      <c r="GD52" t="e">
        <f>AND(#REF!,"AAAAADn++rk=")</f>
        <v>#REF!</v>
      </c>
      <c r="GE52" t="e">
        <f>AND(#REF!,"AAAAADn++ro=")</f>
        <v>#REF!</v>
      </c>
      <c r="GF52" t="e">
        <f>AND(#REF!,"AAAAADn++rs=")</f>
        <v>#REF!</v>
      </c>
      <c r="GG52" t="e">
        <f>AND(#REF!,"AAAAADn++rw=")</f>
        <v>#REF!</v>
      </c>
      <c r="GH52" t="e">
        <f>AND(#REF!,"AAAAADn++r0=")</f>
        <v>#REF!</v>
      </c>
      <c r="GI52" t="e">
        <f>AND(#REF!,"AAAAADn++r4=")</f>
        <v>#REF!</v>
      </c>
      <c r="GJ52" t="e">
        <f>AND(#REF!,"AAAAADn++r8=")</f>
        <v>#REF!</v>
      </c>
      <c r="GK52" t="e">
        <f>AND(#REF!,"AAAAADn++sA=")</f>
        <v>#REF!</v>
      </c>
      <c r="GL52" t="e">
        <f>AND(#REF!,"AAAAADn++sE=")</f>
        <v>#REF!</v>
      </c>
      <c r="GM52" t="e">
        <f>AND(#REF!,"AAAAADn++sI=")</f>
        <v>#REF!</v>
      </c>
      <c r="GN52" t="e">
        <f>AND(#REF!,"AAAAADn++sM=")</f>
        <v>#REF!</v>
      </c>
      <c r="GO52" t="e">
        <f>AND(#REF!,"AAAAADn++sQ=")</f>
        <v>#REF!</v>
      </c>
      <c r="GP52" t="e">
        <f>AND(#REF!,"AAAAADn++sU=")</f>
        <v>#REF!</v>
      </c>
      <c r="GQ52" t="e">
        <f>AND(#REF!,"AAAAADn++sY=")</f>
        <v>#REF!</v>
      </c>
      <c r="GR52" t="e">
        <f>AND(#REF!,"AAAAADn++sc=")</f>
        <v>#REF!</v>
      </c>
      <c r="GS52" t="e">
        <f>AND(#REF!,"AAAAADn++sg=")</f>
        <v>#REF!</v>
      </c>
      <c r="GT52" t="e">
        <f>AND(#REF!,"AAAAADn++sk=")</f>
        <v>#REF!</v>
      </c>
      <c r="GU52" t="e">
        <f>AND(#REF!,"AAAAADn++so=")</f>
        <v>#REF!</v>
      </c>
      <c r="GV52" t="e">
        <f>AND(#REF!,"AAAAADn++ss=")</f>
        <v>#REF!</v>
      </c>
      <c r="GW52" t="e">
        <f>AND(#REF!,"AAAAADn++sw=")</f>
        <v>#REF!</v>
      </c>
      <c r="GX52" t="e">
        <f>AND(#REF!,"AAAAADn++s0=")</f>
        <v>#REF!</v>
      </c>
      <c r="GY52" t="e">
        <f>AND(#REF!,"AAAAADn++s4=")</f>
        <v>#REF!</v>
      </c>
      <c r="GZ52" t="e">
        <f>AND(#REF!,"AAAAADn++s8=")</f>
        <v>#REF!</v>
      </c>
      <c r="HA52" t="e">
        <f>AND(#REF!,"AAAAADn++tA=")</f>
        <v>#REF!</v>
      </c>
      <c r="HB52" t="e">
        <f>AND(#REF!,"AAAAADn++tE=")</f>
        <v>#REF!</v>
      </c>
      <c r="HC52" t="e">
        <f>AND(#REF!,"AAAAADn++tI=")</f>
        <v>#REF!</v>
      </c>
      <c r="HD52" t="e">
        <f>AND(#REF!,"AAAAADn++tM=")</f>
        <v>#REF!</v>
      </c>
      <c r="HE52" t="e">
        <f>AND(#REF!,"AAAAADn++tQ=")</f>
        <v>#REF!</v>
      </c>
      <c r="HF52" t="e">
        <f>AND(#REF!,"AAAAADn++tU=")</f>
        <v>#REF!</v>
      </c>
      <c r="HG52" t="e">
        <f>AND(#REF!,"AAAAADn++tY=")</f>
        <v>#REF!</v>
      </c>
      <c r="HH52" t="e">
        <f>AND(#REF!,"AAAAADn++tc=")</f>
        <v>#REF!</v>
      </c>
      <c r="HI52" t="e">
        <f>AND(#REF!,"AAAAADn++tg=")</f>
        <v>#REF!</v>
      </c>
      <c r="HJ52" t="e">
        <f>AND(#REF!,"AAAAADn++tk=")</f>
        <v>#REF!</v>
      </c>
      <c r="HK52" t="e">
        <f>AND(#REF!,"AAAAADn++to=")</f>
        <v>#REF!</v>
      </c>
      <c r="HL52" t="e">
        <f>AND(#REF!,"AAAAADn++ts=")</f>
        <v>#REF!</v>
      </c>
      <c r="HM52" t="e">
        <f>AND(#REF!,"AAAAADn++tw=")</f>
        <v>#REF!</v>
      </c>
      <c r="HN52" t="e">
        <f>AND(#REF!,"AAAAADn++t0=")</f>
        <v>#REF!</v>
      </c>
      <c r="HO52" t="e">
        <f>AND(#REF!,"AAAAADn++t4=")</f>
        <v>#REF!</v>
      </c>
      <c r="HP52" t="e">
        <f>AND(#REF!,"AAAAADn++t8=")</f>
        <v>#REF!</v>
      </c>
      <c r="HQ52" t="e">
        <f>AND(#REF!,"AAAAADn++uA=")</f>
        <v>#REF!</v>
      </c>
      <c r="HR52" t="e">
        <f>AND(#REF!,"AAAAADn++uE=")</f>
        <v>#REF!</v>
      </c>
      <c r="HS52" t="e">
        <f>AND(#REF!,"AAAAADn++uI=")</f>
        <v>#REF!</v>
      </c>
      <c r="HT52" t="e">
        <f>AND(#REF!,"AAAAADn++uM=")</f>
        <v>#REF!</v>
      </c>
      <c r="HU52" t="e">
        <f>AND(#REF!,"AAAAADn++uQ=")</f>
        <v>#REF!</v>
      </c>
      <c r="HV52" t="e">
        <f>AND(#REF!,"AAAAADn++uU=")</f>
        <v>#REF!</v>
      </c>
      <c r="HW52" t="e">
        <f>AND(#REF!,"AAAAADn++uY=")</f>
        <v>#REF!</v>
      </c>
      <c r="HX52" t="e">
        <f>AND(#REF!,"AAAAADn++uc=")</f>
        <v>#REF!</v>
      </c>
      <c r="HY52" t="e">
        <f>AND(#REF!,"AAAAADn++ug=")</f>
        <v>#REF!</v>
      </c>
      <c r="HZ52" t="e">
        <f>AND(#REF!,"AAAAADn++uk=")</f>
        <v>#REF!</v>
      </c>
      <c r="IA52" t="e">
        <f>AND(#REF!,"AAAAADn++uo=")</f>
        <v>#REF!</v>
      </c>
      <c r="IB52" t="e">
        <f>AND(#REF!,"AAAAADn++us=")</f>
        <v>#REF!</v>
      </c>
      <c r="IC52" t="e">
        <f>AND(#REF!,"AAAAADn++uw=")</f>
        <v>#REF!</v>
      </c>
      <c r="ID52" t="e">
        <f>AND(#REF!,"AAAAADn++u0=")</f>
        <v>#REF!</v>
      </c>
      <c r="IE52" t="e">
        <f>AND(#REF!,"AAAAADn++u4=")</f>
        <v>#REF!</v>
      </c>
      <c r="IF52" t="e">
        <f>AND(#REF!,"AAAAADn++u8=")</f>
        <v>#REF!</v>
      </c>
      <c r="IG52" t="e">
        <f>AND(#REF!,"AAAAADn++vA=")</f>
        <v>#REF!</v>
      </c>
      <c r="IH52" t="e">
        <f>AND(#REF!,"AAAAADn++vE=")</f>
        <v>#REF!</v>
      </c>
      <c r="II52" t="e">
        <f>AND(#REF!,"AAAAADn++vI=")</f>
        <v>#REF!</v>
      </c>
      <c r="IJ52" t="e">
        <f>AND(#REF!,"AAAAADn++vM=")</f>
        <v>#REF!</v>
      </c>
      <c r="IK52" t="e">
        <f>AND(#REF!,"AAAAADn++vQ=")</f>
        <v>#REF!</v>
      </c>
      <c r="IL52" t="e">
        <f>AND(#REF!,"AAAAADn++vU=")</f>
        <v>#REF!</v>
      </c>
      <c r="IM52" t="e">
        <f>AND(#REF!,"AAAAADn++vY=")</f>
        <v>#REF!</v>
      </c>
      <c r="IN52" t="e">
        <f>AND(#REF!,"AAAAADn++vc=")</f>
        <v>#REF!</v>
      </c>
      <c r="IO52" t="e">
        <f>AND(#REF!,"AAAAADn++vg=")</f>
        <v>#REF!</v>
      </c>
      <c r="IP52" t="e">
        <f>AND(#REF!,"AAAAADn++vk=")</f>
        <v>#REF!</v>
      </c>
      <c r="IQ52" t="e">
        <f>AND(#REF!,"AAAAADn++vo=")</f>
        <v>#REF!</v>
      </c>
      <c r="IR52" t="e">
        <f>AND(#REF!,"AAAAADn++vs=")</f>
        <v>#REF!</v>
      </c>
      <c r="IS52" t="e">
        <f>AND(#REF!,"AAAAADn++vw=")</f>
        <v>#REF!</v>
      </c>
      <c r="IT52" t="e">
        <f>AND(#REF!,"AAAAADn++v0=")</f>
        <v>#REF!</v>
      </c>
      <c r="IU52" t="e">
        <f>AND(#REF!,"AAAAADn++v4=")</f>
        <v>#REF!</v>
      </c>
      <c r="IV52" t="e">
        <f>AND(#REF!,"AAAAADn++v8=")</f>
        <v>#REF!</v>
      </c>
    </row>
    <row r="53" spans="1:256" x14ac:dyDescent="0.2">
      <c r="A53" t="e">
        <f>AND(#REF!,"AAAAAGb/zgA=")</f>
        <v>#REF!</v>
      </c>
      <c r="B53" t="e">
        <f>AND(#REF!,"AAAAAGb/zgE=")</f>
        <v>#REF!</v>
      </c>
      <c r="C53" t="e">
        <f>AND(#REF!,"AAAAAGb/zgI=")</f>
        <v>#REF!</v>
      </c>
      <c r="D53" t="e">
        <f>AND(#REF!,"AAAAAGb/zgM=")</f>
        <v>#REF!</v>
      </c>
      <c r="E53" t="e">
        <f>AND(#REF!,"AAAAAGb/zgQ=")</f>
        <v>#REF!</v>
      </c>
      <c r="F53" t="e">
        <f>AND(#REF!,"AAAAAGb/zgU=")</f>
        <v>#REF!</v>
      </c>
      <c r="G53" t="e">
        <f>AND(#REF!,"AAAAAGb/zgY=")</f>
        <v>#REF!</v>
      </c>
      <c r="H53" t="e">
        <f>AND(#REF!,"AAAAAGb/zgc=")</f>
        <v>#REF!</v>
      </c>
      <c r="I53" t="e">
        <f>AND(#REF!,"AAAAAGb/zgg=")</f>
        <v>#REF!</v>
      </c>
      <c r="J53" t="e">
        <f>AND(#REF!,"AAAAAGb/zgk=")</f>
        <v>#REF!</v>
      </c>
      <c r="K53" t="e">
        <f>AND(#REF!,"AAAAAGb/zgo=")</f>
        <v>#REF!</v>
      </c>
      <c r="L53" t="e">
        <f>AND(#REF!,"AAAAAGb/zgs=")</f>
        <v>#REF!</v>
      </c>
      <c r="M53" t="e">
        <f>AND(#REF!,"AAAAAGb/zgw=")</f>
        <v>#REF!</v>
      </c>
      <c r="N53" t="e">
        <f>AND(#REF!,"AAAAAGb/zg0=")</f>
        <v>#REF!</v>
      </c>
      <c r="O53" t="e">
        <f>AND(#REF!,"AAAAAGb/zg4=")</f>
        <v>#REF!</v>
      </c>
      <c r="P53" t="e">
        <f>AND(#REF!,"AAAAAGb/zg8=")</f>
        <v>#REF!</v>
      </c>
      <c r="Q53" t="e">
        <f>AND(#REF!,"AAAAAGb/zhA=")</f>
        <v>#REF!</v>
      </c>
      <c r="R53" t="e">
        <f>AND(#REF!,"AAAAAGb/zhE=")</f>
        <v>#REF!</v>
      </c>
      <c r="S53" t="e">
        <f>AND(#REF!,"AAAAAGb/zhI=")</f>
        <v>#REF!</v>
      </c>
      <c r="T53" t="e">
        <f>AND(#REF!,"AAAAAGb/zhM=")</f>
        <v>#REF!</v>
      </c>
      <c r="U53" t="e">
        <f>AND(#REF!,"AAAAAGb/zhQ=")</f>
        <v>#REF!</v>
      </c>
      <c r="V53" t="e">
        <f>AND(#REF!,"AAAAAGb/zhU=")</f>
        <v>#REF!</v>
      </c>
      <c r="W53" t="e">
        <f>AND(#REF!,"AAAAAGb/zhY=")</f>
        <v>#REF!</v>
      </c>
      <c r="X53" t="e">
        <f>AND(#REF!,"AAAAAGb/zhc=")</f>
        <v>#REF!</v>
      </c>
      <c r="Y53" t="e">
        <f>AND(#REF!,"AAAAAGb/zhg=")</f>
        <v>#REF!</v>
      </c>
      <c r="Z53" t="e">
        <f>AND(#REF!,"AAAAAGb/zhk=")</f>
        <v>#REF!</v>
      </c>
      <c r="AA53" t="e">
        <f>AND(#REF!,"AAAAAGb/zho=")</f>
        <v>#REF!</v>
      </c>
      <c r="AB53" t="e">
        <f>AND(#REF!,"AAAAAGb/zhs=")</f>
        <v>#REF!</v>
      </c>
      <c r="AC53" t="e">
        <f>AND(#REF!,"AAAAAGb/zhw=")</f>
        <v>#REF!</v>
      </c>
      <c r="AD53" t="e">
        <f>AND(#REF!,"AAAAAGb/zh0=")</f>
        <v>#REF!</v>
      </c>
      <c r="AE53" t="e">
        <f>AND(#REF!,"AAAAAGb/zh4=")</f>
        <v>#REF!</v>
      </c>
      <c r="AF53" t="e">
        <f>AND(#REF!,"AAAAAGb/zh8=")</f>
        <v>#REF!</v>
      </c>
      <c r="AG53" t="e">
        <f>AND(#REF!,"AAAAAGb/ziA=")</f>
        <v>#REF!</v>
      </c>
      <c r="AH53" t="e">
        <f>AND(#REF!,"AAAAAGb/ziE=")</f>
        <v>#REF!</v>
      </c>
      <c r="AI53" t="e">
        <f>AND(#REF!,"AAAAAGb/ziI=")</f>
        <v>#REF!</v>
      </c>
      <c r="AJ53" t="e">
        <f>AND(#REF!,"AAAAAGb/ziM=")</f>
        <v>#REF!</v>
      </c>
      <c r="AK53" t="e">
        <f>AND(#REF!,"AAAAAGb/ziQ=")</f>
        <v>#REF!</v>
      </c>
      <c r="AL53" t="e">
        <f>AND(#REF!,"AAAAAGb/ziU=")</f>
        <v>#REF!</v>
      </c>
      <c r="AM53" t="e">
        <f>AND(#REF!,"AAAAAGb/ziY=")</f>
        <v>#REF!</v>
      </c>
      <c r="AN53" t="e">
        <f>AND(#REF!,"AAAAAGb/zic=")</f>
        <v>#REF!</v>
      </c>
      <c r="AO53" t="e">
        <f>AND(#REF!,"AAAAAGb/zig=")</f>
        <v>#REF!</v>
      </c>
      <c r="AP53" t="e">
        <f>AND(#REF!,"AAAAAGb/zik=")</f>
        <v>#REF!</v>
      </c>
      <c r="AQ53" t="e">
        <f>AND(#REF!,"AAAAAGb/zio=")</f>
        <v>#REF!</v>
      </c>
      <c r="AR53" t="e">
        <f>AND(#REF!,"AAAAAGb/zis=")</f>
        <v>#REF!</v>
      </c>
      <c r="AS53" t="e">
        <f>AND(#REF!,"AAAAAGb/ziw=")</f>
        <v>#REF!</v>
      </c>
      <c r="AT53" t="e">
        <f>AND(#REF!,"AAAAAGb/zi0=")</f>
        <v>#REF!</v>
      </c>
      <c r="AU53" t="e">
        <f>AND(#REF!,"AAAAAGb/zi4=")</f>
        <v>#REF!</v>
      </c>
      <c r="AV53" t="e">
        <f>AND(#REF!,"AAAAAGb/zi8=")</f>
        <v>#REF!</v>
      </c>
      <c r="AW53" t="e">
        <f>AND(#REF!,"AAAAAGb/zjA=")</f>
        <v>#REF!</v>
      </c>
      <c r="AX53" t="e">
        <f>AND(#REF!,"AAAAAGb/zjE=")</f>
        <v>#REF!</v>
      </c>
      <c r="AY53" t="e">
        <f>AND(#REF!,"AAAAAGb/zjI=")</f>
        <v>#REF!</v>
      </c>
      <c r="AZ53" t="e">
        <f>AND(#REF!,"AAAAAGb/zjM=")</f>
        <v>#REF!</v>
      </c>
      <c r="BA53" t="e">
        <f>AND(#REF!,"AAAAAGb/zjQ=")</f>
        <v>#REF!</v>
      </c>
      <c r="BB53" t="e">
        <f>AND(#REF!,"AAAAAGb/zjU=")</f>
        <v>#REF!</v>
      </c>
      <c r="BC53" t="e">
        <f>AND(#REF!,"AAAAAGb/zjY=")</f>
        <v>#REF!</v>
      </c>
      <c r="BD53" t="e">
        <f>AND(#REF!,"AAAAAGb/zjc=")</f>
        <v>#REF!</v>
      </c>
      <c r="BE53" t="e">
        <f>AND(#REF!,"AAAAAGb/zjg=")</f>
        <v>#REF!</v>
      </c>
      <c r="BF53" t="e">
        <f>AND(#REF!,"AAAAAGb/zjk=")</f>
        <v>#REF!</v>
      </c>
      <c r="BG53" t="e">
        <f>AND(#REF!,"AAAAAGb/zjo=")</f>
        <v>#REF!</v>
      </c>
      <c r="BH53" t="e">
        <f>AND(#REF!,"AAAAAGb/zjs=")</f>
        <v>#REF!</v>
      </c>
      <c r="BI53" t="e">
        <f>AND(#REF!,"AAAAAGb/zjw=")</f>
        <v>#REF!</v>
      </c>
      <c r="BJ53" t="e">
        <f>AND(#REF!,"AAAAAGb/zj0=")</f>
        <v>#REF!</v>
      </c>
      <c r="BK53" t="e">
        <f>AND(#REF!,"AAAAAGb/zj4=")</f>
        <v>#REF!</v>
      </c>
      <c r="BL53" t="e">
        <f>AND(#REF!,"AAAAAGb/zj8=")</f>
        <v>#REF!</v>
      </c>
      <c r="BM53" t="e">
        <f>AND(#REF!,"AAAAAGb/zkA=")</f>
        <v>#REF!</v>
      </c>
      <c r="BN53" t="e">
        <f>AND(#REF!,"AAAAAGb/zkE=")</f>
        <v>#REF!</v>
      </c>
      <c r="BO53" t="e">
        <f>AND(#REF!,"AAAAAGb/zkI=")</f>
        <v>#REF!</v>
      </c>
      <c r="BP53" t="e">
        <f>AND(#REF!,"AAAAAGb/zkM=")</f>
        <v>#REF!</v>
      </c>
      <c r="BQ53" t="e">
        <f>AND(#REF!,"AAAAAGb/zkQ=")</f>
        <v>#REF!</v>
      </c>
      <c r="BR53" t="e">
        <f>AND(#REF!,"AAAAAGb/zkU=")</f>
        <v>#REF!</v>
      </c>
      <c r="BS53" t="e">
        <f>AND(#REF!,"AAAAAGb/zkY=")</f>
        <v>#REF!</v>
      </c>
      <c r="BT53" t="e">
        <f>AND(#REF!,"AAAAAGb/zkc=")</f>
        <v>#REF!</v>
      </c>
      <c r="BU53" t="e">
        <f>AND(#REF!,"AAAAAGb/zkg=")</f>
        <v>#REF!</v>
      </c>
      <c r="BV53" t="e">
        <f>AND(#REF!,"AAAAAGb/zkk=")</f>
        <v>#REF!</v>
      </c>
      <c r="BW53" t="e">
        <f>AND(#REF!,"AAAAAGb/zko=")</f>
        <v>#REF!</v>
      </c>
      <c r="BX53" t="e">
        <f>AND(#REF!,"AAAAAGb/zks=")</f>
        <v>#REF!</v>
      </c>
      <c r="BY53" t="e">
        <f>AND(#REF!,"AAAAAGb/zkw=")</f>
        <v>#REF!</v>
      </c>
      <c r="BZ53" t="e">
        <f>AND(#REF!,"AAAAAGb/zk0=")</f>
        <v>#REF!</v>
      </c>
      <c r="CA53" t="e">
        <f>AND(#REF!,"AAAAAGb/zk4=")</f>
        <v>#REF!</v>
      </c>
      <c r="CB53" t="e">
        <f>AND(#REF!,"AAAAAGb/zk8=")</f>
        <v>#REF!</v>
      </c>
      <c r="CC53" t="e">
        <f>AND(#REF!,"AAAAAGb/zlA=")</f>
        <v>#REF!</v>
      </c>
      <c r="CD53" t="e">
        <f>AND(#REF!,"AAAAAGb/zlE=")</f>
        <v>#REF!</v>
      </c>
      <c r="CE53" t="e">
        <f>AND(#REF!,"AAAAAGb/zlI=")</f>
        <v>#REF!</v>
      </c>
      <c r="CF53" t="e">
        <f>AND(#REF!,"AAAAAGb/zlM=")</f>
        <v>#REF!</v>
      </c>
      <c r="CG53" t="e">
        <f>AND(#REF!,"AAAAAGb/zlQ=")</f>
        <v>#REF!</v>
      </c>
      <c r="CH53" t="e">
        <f>AND(#REF!,"AAAAAGb/zlU=")</f>
        <v>#REF!</v>
      </c>
      <c r="CI53" t="e">
        <f>AND(#REF!,"AAAAAGb/zlY=")</f>
        <v>#REF!</v>
      </c>
      <c r="CJ53" t="e">
        <f>AND(#REF!,"AAAAAGb/zlc=")</f>
        <v>#REF!</v>
      </c>
      <c r="CK53" t="e">
        <f>AND(#REF!,"AAAAAGb/zlg=")</f>
        <v>#REF!</v>
      </c>
      <c r="CL53" t="e">
        <f>AND(#REF!,"AAAAAGb/zlk=")</f>
        <v>#REF!</v>
      </c>
      <c r="CM53" t="e">
        <f>AND(#REF!,"AAAAAGb/zlo=")</f>
        <v>#REF!</v>
      </c>
      <c r="CN53" t="e">
        <f>AND(#REF!,"AAAAAGb/zls=")</f>
        <v>#REF!</v>
      </c>
      <c r="CO53" t="e">
        <f>AND(#REF!,"AAAAAGb/zlw=")</f>
        <v>#REF!</v>
      </c>
      <c r="CP53" t="e">
        <f>AND(#REF!,"AAAAAGb/zl0=")</f>
        <v>#REF!</v>
      </c>
      <c r="CQ53" t="e">
        <f>AND(#REF!,"AAAAAGb/zl4=")</f>
        <v>#REF!</v>
      </c>
      <c r="CR53" t="e">
        <f>AND(#REF!,"AAAAAGb/zl8=")</f>
        <v>#REF!</v>
      </c>
      <c r="CS53" t="e">
        <f>AND(#REF!,"AAAAAGb/zmA=")</f>
        <v>#REF!</v>
      </c>
      <c r="CT53" t="e">
        <f>AND(#REF!,"AAAAAGb/zmE=")</f>
        <v>#REF!</v>
      </c>
      <c r="CU53" t="e">
        <f>AND(#REF!,"AAAAAGb/zmI=")</f>
        <v>#REF!</v>
      </c>
      <c r="CV53" t="e">
        <f>IF(#REF!,"AAAAAGb/zmM=",0)</f>
        <v>#REF!</v>
      </c>
      <c r="CW53" t="e">
        <f>AND(#REF!,"AAAAAGb/zmQ=")</f>
        <v>#REF!</v>
      </c>
      <c r="CX53" t="e">
        <f>AND(#REF!,"AAAAAGb/zmU=")</f>
        <v>#REF!</v>
      </c>
      <c r="CY53" t="e">
        <f>AND(#REF!,"AAAAAGb/zmY=")</f>
        <v>#REF!</v>
      </c>
      <c r="CZ53" t="e">
        <f>AND(#REF!,"AAAAAGb/zmc=")</f>
        <v>#REF!</v>
      </c>
      <c r="DA53" t="e">
        <f>AND(#REF!,"AAAAAGb/zmg=")</f>
        <v>#REF!</v>
      </c>
      <c r="DB53" t="e">
        <f>AND(#REF!,"AAAAAGb/zmk=")</f>
        <v>#REF!</v>
      </c>
      <c r="DC53" t="e">
        <f>AND(#REF!,"AAAAAGb/zmo=")</f>
        <v>#REF!</v>
      </c>
      <c r="DD53" t="e">
        <f>AND(#REF!,"AAAAAGb/zms=")</f>
        <v>#REF!</v>
      </c>
      <c r="DE53" t="e">
        <f>AND(#REF!,"AAAAAGb/zmw=")</f>
        <v>#REF!</v>
      </c>
      <c r="DF53" t="e">
        <f>AND(#REF!,"AAAAAGb/zm0=")</f>
        <v>#REF!</v>
      </c>
      <c r="DG53" t="e">
        <f>AND(#REF!,"AAAAAGb/zm4=")</f>
        <v>#REF!</v>
      </c>
      <c r="DH53" t="e">
        <f>AND(#REF!,"AAAAAGb/zm8=")</f>
        <v>#REF!</v>
      </c>
      <c r="DI53" t="e">
        <f>AND(#REF!,"AAAAAGb/znA=")</f>
        <v>#REF!</v>
      </c>
      <c r="DJ53" t="e">
        <f>AND(#REF!,"AAAAAGb/znE=")</f>
        <v>#REF!</v>
      </c>
      <c r="DK53" t="e">
        <f>AND(#REF!,"AAAAAGb/znI=")</f>
        <v>#REF!</v>
      </c>
      <c r="DL53" t="e">
        <f>AND(#REF!,"AAAAAGb/znM=")</f>
        <v>#REF!</v>
      </c>
      <c r="DM53" t="e">
        <f>AND(#REF!,"AAAAAGb/znQ=")</f>
        <v>#REF!</v>
      </c>
      <c r="DN53" t="e">
        <f>AND(#REF!,"AAAAAGb/znU=")</f>
        <v>#REF!</v>
      </c>
      <c r="DO53" t="e">
        <f>AND(#REF!,"AAAAAGb/znY=")</f>
        <v>#REF!</v>
      </c>
      <c r="DP53" t="e">
        <f>AND(#REF!,"AAAAAGb/znc=")</f>
        <v>#REF!</v>
      </c>
      <c r="DQ53" t="e">
        <f>AND(#REF!,"AAAAAGb/zng=")</f>
        <v>#REF!</v>
      </c>
      <c r="DR53" t="e">
        <f>AND(#REF!,"AAAAAGb/znk=")</f>
        <v>#REF!</v>
      </c>
      <c r="DS53" t="e">
        <f>AND(#REF!,"AAAAAGb/zno=")</f>
        <v>#REF!</v>
      </c>
      <c r="DT53" t="e">
        <f>AND(#REF!,"AAAAAGb/zns=")</f>
        <v>#REF!</v>
      </c>
      <c r="DU53" t="e">
        <f>AND(#REF!,"AAAAAGb/znw=")</f>
        <v>#REF!</v>
      </c>
      <c r="DV53" t="e">
        <f>AND(#REF!,"AAAAAGb/zn0=")</f>
        <v>#REF!</v>
      </c>
      <c r="DW53" t="e">
        <f>AND(#REF!,"AAAAAGb/zn4=")</f>
        <v>#REF!</v>
      </c>
      <c r="DX53" t="e">
        <f>AND(#REF!,"AAAAAGb/zn8=")</f>
        <v>#REF!</v>
      </c>
      <c r="DY53" t="e">
        <f>AND(#REF!,"AAAAAGb/zoA=")</f>
        <v>#REF!</v>
      </c>
      <c r="DZ53" t="e">
        <f>AND(#REF!,"AAAAAGb/zoE=")</f>
        <v>#REF!</v>
      </c>
      <c r="EA53" t="e">
        <f>AND(#REF!,"AAAAAGb/zoI=")</f>
        <v>#REF!</v>
      </c>
      <c r="EB53" t="e">
        <f>AND(#REF!,"AAAAAGb/zoM=")</f>
        <v>#REF!</v>
      </c>
      <c r="EC53" t="e">
        <f>AND(#REF!,"AAAAAGb/zoQ=")</f>
        <v>#REF!</v>
      </c>
      <c r="ED53" t="e">
        <f>AND(#REF!,"AAAAAGb/zoU=")</f>
        <v>#REF!</v>
      </c>
      <c r="EE53" t="e">
        <f>AND(#REF!,"AAAAAGb/zoY=")</f>
        <v>#REF!</v>
      </c>
      <c r="EF53" t="e">
        <f>AND(#REF!,"AAAAAGb/zoc=")</f>
        <v>#REF!</v>
      </c>
      <c r="EG53" t="e">
        <f>AND(#REF!,"AAAAAGb/zog=")</f>
        <v>#REF!</v>
      </c>
      <c r="EH53" t="e">
        <f>AND(#REF!,"AAAAAGb/zok=")</f>
        <v>#REF!</v>
      </c>
      <c r="EI53" t="e">
        <f>AND(#REF!,"AAAAAGb/zoo=")</f>
        <v>#REF!</v>
      </c>
      <c r="EJ53" t="e">
        <f>AND(#REF!,"AAAAAGb/zos=")</f>
        <v>#REF!</v>
      </c>
      <c r="EK53" t="e">
        <f>AND(#REF!,"AAAAAGb/zow=")</f>
        <v>#REF!</v>
      </c>
      <c r="EL53" t="e">
        <f>AND(#REF!,"AAAAAGb/zo0=")</f>
        <v>#REF!</v>
      </c>
      <c r="EM53" t="e">
        <f>AND(#REF!,"AAAAAGb/zo4=")</f>
        <v>#REF!</v>
      </c>
      <c r="EN53" t="e">
        <f>AND(#REF!,"AAAAAGb/zo8=")</f>
        <v>#REF!</v>
      </c>
      <c r="EO53" t="e">
        <f>AND(#REF!,"AAAAAGb/zpA=")</f>
        <v>#REF!</v>
      </c>
      <c r="EP53" t="e">
        <f>AND(#REF!,"AAAAAGb/zpE=")</f>
        <v>#REF!</v>
      </c>
      <c r="EQ53" t="e">
        <f>AND(#REF!,"AAAAAGb/zpI=")</f>
        <v>#REF!</v>
      </c>
      <c r="ER53" t="e">
        <f>AND(#REF!,"AAAAAGb/zpM=")</f>
        <v>#REF!</v>
      </c>
      <c r="ES53" t="e">
        <f>AND(#REF!,"AAAAAGb/zpQ=")</f>
        <v>#REF!</v>
      </c>
      <c r="ET53" t="e">
        <f>AND(#REF!,"AAAAAGb/zpU=")</f>
        <v>#REF!</v>
      </c>
      <c r="EU53" t="e">
        <f>AND(#REF!,"AAAAAGb/zpY=")</f>
        <v>#REF!</v>
      </c>
      <c r="EV53" t="e">
        <f>AND(#REF!,"AAAAAGb/zpc=")</f>
        <v>#REF!</v>
      </c>
      <c r="EW53" t="e">
        <f>AND(#REF!,"AAAAAGb/zpg=")</f>
        <v>#REF!</v>
      </c>
      <c r="EX53" t="e">
        <f>AND(#REF!,"AAAAAGb/zpk=")</f>
        <v>#REF!</v>
      </c>
      <c r="EY53" t="e">
        <f>AND(#REF!,"AAAAAGb/zpo=")</f>
        <v>#REF!</v>
      </c>
      <c r="EZ53" t="e">
        <f>AND(#REF!,"AAAAAGb/zps=")</f>
        <v>#REF!</v>
      </c>
      <c r="FA53" t="e">
        <f>AND(#REF!,"AAAAAGb/zpw=")</f>
        <v>#REF!</v>
      </c>
      <c r="FB53" t="e">
        <f>AND(#REF!,"AAAAAGb/zp0=")</f>
        <v>#REF!</v>
      </c>
      <c r="FC53" t="e">
        <f>AND(#REF!,"AAAAAGb/zp4=")</f>
        <v>#REF!</v>
      </c>
      <c r="FD53" t="e">
        <f>AND(#REF!,"AAAAAGb/zp8=")</f>
        <v>#REF!</v>
      </c>
      <c r="FE53" t="e">
        <f>AND(#REF!,"AAAAAGb/zqA=")</f>
        <v>#REF!</v>
      </c>
      <c r="FF53" t="e">
        <f>AND(#REF!,"AAAAAGb/zqE=")</f>
        <v>#REF!</v>
      </c>
      <c r="FG53" t="e">
        <f>AND(#REF!,"AAAAAGb/zqI=")</f>
        <v>#REF!</v>
      </c>
      <c r="FH53" t="e">
        <f>AND(#REF!,"AAAAAGb/zqM=")</f>
        <v>#REF!</v>
      </c>
      <c r="FI53" t="e">
        <f>AND(#REF!,"AAAAAGb/zqQ=")</f>
        <v>#REF!</v>
      </c>
      <c r="FJ53" t="e">
        <f>AND(#REF!,"AAAAAGb/zqU=")</f>
        <v>#REF!</v>
      </c>
      <c r="FK53" t="e">
        <f>AND(#REF!,"AAAAAGb/zqY=")</f>
        <v>#REF!</v>
      </c>
      <c r="FL53" t="e">
        <f>AND(#REF!,"AAAAAGb/zqc=")</f>
        <v>#REF!</v>
      </c>
      <c r="FM53" t="e">
        <f>AND(#REF!,"AAAAAGb/zqg=")</f>
        <v>#REF!</v>
      </c>
      <c r="FN53" t="e">
        <f>AND(#REF!,"AAAAAGb/zqk=")</f>
        <v>#REF!</v>
      </c>
      <c r="FO53" t="e">
        <f>AND(#REF!,"AAAAAGb/zqo=")</f>
        <v>#REF!</v>
      </c>
      <c r="FP53" t="e">
        <f>AND(#REF!,"AAAAAGb/zqs=")</f>
        <v>#REF!</v>
      </c>
      <c r="FQ53" t="e">
        <f>AND(#REF!,"AAAAAGb/zqw=")</f>
        <v>#REF!</v>
      </c>
      <c r="FR53" t="e">
        <f>AND(#REF!,"AAAAAGb/zq0=")</f>
        <v>#REF!</v>
      </c>
      <c r="FS53" t="e">
        <f>AND(#REF!,"AAAAAGb/zq4=")</f>
        <v>#REF!</v>
      </c>
      <c r="FT53" t="e">
        <f>AND(#REF!,"AAAAAGb/zq8=")</f>
        <v>#REF!</v>
      </c>
      <c r="FU53" t="e">
        <f>AND(#REF!,"AAAAAGb/zrA=")</f>
        <v>#REF!</v>
      </c>
      <c r="FV53" t="e">
        <f>AND(#REF!,"AAAAAGb/zrE=")</f>
        <v>#REF!</v>
      </c>
      <c r="FW53" t="e">
        <f>AND(#REF!,"AAAAAGb/zrI=")</f>
        <v>#REF!</v>
      </c>
      <c r="FX53" t="e">
        <f>AND(#REF!,"AAAAAGb/zrM=")</f>
        <v>#REF!</v>
      </c>
      <c r="FY53" t="e">
        <f>AND(#REF!,"AAAAAGb/zrQ=")</f>
        <v>#REF!</v>
      </c>
      <c r="FZ53" t="e">
        <f>AND(#REF!,"AAAAAGb/zrU=")</f>
        <v>#REF!</v>
      </c>
      <c r="GA53" t="e">
        <f>AND(#REF!,"AAAAAGb/zrY=")</f>
        <v>#REF!</v>
      </c>
      <c r="GB53" t="e">
        <f>AND(#REF!,"AAAAAGb/zrc=")</f>
        <v>#REF!</v>
      </c>
      <c r="GC53" t="e">
        <f>AND(#REF!,"AAAAAGb/zrg=")</f>
        <v>#REF!</v>
      </c>
      <c r="GD53" t="e">
        <f>AND(#REF!,"AAAAAGb/zrk=")</f>
        <v>#REF!</v>
      </c>
      <c r="GE53" t="e">
        <f>AND(#REF!,"AAAAAGb/zro=")</f>
        <v>#REF!</v>
      </c>
      <c r="GF53" t="e">
        <f>AND(#REF!,"AAAAAGb/zrs=")</f>
        <v>#REF!</v>
      </c>
      <c r="GG53" t="e">
        <f>AND(#REF!,"AAAAAGb/zrw=")</f>
        <v>#REF!</v>
      </c>
      <c r="GH53" t="e">
        <f>AND(#REF!,"AAAAAGb/zr0=")</f>
        <v>#REF!</v>
      </c>
      <c r="GI53" t="e">
        <f>AND(#REF!,"AAAAAGb/zr4=")</f>
        <v>#REF!</v>
      </c>
      <c r="GJ53" t="e">
        <f>AND(#REF!,"AAAAAGb/zr8=")</f>
        <v>#REF!</v>
      </c>
      <c r="GK53" t="e">
        <f>AND(#REF!,"AAAAAGb/zsA=")</f>
        <v>#REF!</v>
      </c>
      <c r="GL53" t="e">
        <f>AND(#REF!,"AAAAAGb/zsE=")</f>
        <v>#REF!</v>
      </c>
      <c r="GM53" t="e">
        <f>AND(#REF!,"AAAAAGb/zsI=")</f>
        <v>#REF!</v>
      </c>
      <c r="GN53" t="e">
        <f>AND(#REF!,"AAAAAGb/zsM=")</f>
        <v>#REF!</v>
      </c>
      <c r="GO53" t="e">
        <f>AND(#REF!,"AAAAAGb/zsQ=")</f>
        <v>#REF!</v>
      </c>
      <c r="GP53" t="e">
        <f>AND(#REF!,"AAAAAGb/zsU=")</f>
        <v>#REF!</v>
      </c>
      <c r="GQ53" t="e">
        <f>AND(#REF!,"AAAAAGb/zsY=")</f>
        <v>#REF!</v>
      </c>
      <c r="GR53" t="e">
        <f>AND(#REF!,"AAAAAGb/zsc=")</f>
        <v>#REF!</v>
      </c>
      <c r="GS53" t="e">
        <f>AND(#REF!,"AAAAAGb/zsg=")</f>
        <v>#REF!</v>
      </c>
      <c r="GT53" t="e">
        <f>AND(#REF!,"AAAAAGb/zsk=")</f>
        <v>#REF!</v>
      </c>
      <c r="GU53" t="e">
        <f>AND(#REF!,"AAAAAGb/zso=")</f>
        <v>#REF!</v>
      </c>
      <c r="GV53" t="e">
        <f>AND(#REF!,"AAAAAGb/zss=")</f>
        <v>#REF!</v>
      </c>
      <c r="GW53" t="e">
        <f>AND(#REF!,"AAAAAGb/zsw=")</f>
        <v>#REF!</v>
      </c>
      <c r="GX53" t="e">
        <f>AND(#REF!,"AAAAAGb/zs0=")</f>
        <v>#REF!</v>
      </c>
      <c r="GY53" t="e">
        <f>AND(#REF!,"AAAAAGb/zs4=")</f>
        <v>#REF!</v>
      </c>
      <c r="GZ53" t="e">
        <f>AND(#REF!,"AAAAAGb/zs8=")</f>
        <v>#REF!</v>
      </c>
      <c r="HA53" t="e">
        <f>AND(#REF!,"AAAAAGb/ztA=")</f>
        <v>#REF!</v>
      </c>
      <c r="HB53" t="e">
        <f>AND(#REF!,"AAAAAGb/ztE=")</f>
        <v>#REF!</v>
      </c>
      <c r="HC53" t="e">
        <f>AND(#REF!,"AAAAAGb/ztI=")</f>
        <v>#REF!</v>
      </c>
      <c r="HD53" t="e">
        <f>AND(#REF!,"AAAAAGb/ztM=")</f>
        <v>#REF!</v>
      </c>
      <c r="HE53" t="e">
        <f>AND(#REF!,"AAAAAGb/ztQ=")</f>
        <v>#REF!</v>
      </c>
      <c r="HF53" t="e">
        <f>AND(#REF!,"AAAAAGb/ztU=")</f>
        <v>#REF!</v>
      </c>
      <c r="HG53" t="e">
        <f>AND(#REF!,"AAAAAGb/ztY=")</f>
        <v>#REF!</v>
      </c>
      <c r="HH53" t="e">
        <f>AND(#REF!,"AAAAAGb/ztc=")</f>
        <v>#REF!</v>
      </c>
      <c r="HI53" t="e">
        <f>AND(#REF!,"AAAAAGb/ztg=")</f>
        <v>#REF!</v>
      </c>
      <c r="HJ53" t="e">
        <f>AND(#REF!,"AAAAAGb/ztk=")</f>
        <v>#REF!</v>
      </c>
      <c r="HK53" t="e">
        <f>AND(#REF!,"AAAAAGb/zto=")</f>
        <v>#REF!</v>
      </c>
      <c r="HL53" t="e">
        <f>AND(#REF!,"AAAAAGb/zts=")</f>
        <v>#REF!</v>
      </c>
      <c r="HM53" t="e">
        <f>AND(#REF!,"AAAAAGb/ztw=")</f>
        <v>#REF!</v>
      </c>
      <c r="HN53" t="e">
        <f>AND(#REF!,"AAAAAGb/zt0=")</f>
        <v>#REF!</v>
      </c>
      <c r="HO53" t="e">
        <f>AND(#REF!,"AAAAAGb/zt4=")</f>
        <v>#REF!</v>
      </c>
      <c r="HP53" t="e">
        <f>AND(#REF!,"AAAAAGb/zt8=")</f>
        <v>#REF!</v>
      </c>
      <c r="HQ53" t="e">
        <f>AND(#REF!,"AAAAAGb/zuA=")</f>
        <v>#REF!</v>
      </c>
      <c r="HR53" t="e">
        <f>AND(#REF!,"AAAAAGb/zuE=")</f>
        <v>#REF!</v>
      </c>
      <c r="HS53" t="e">
        <f>AND(#REF!,"AAAAAGb/zuI=")</f>
        <v>#REF!</v>
      </c>
      <c r="HT53" t="e">
        <f>AND(#REF!,"AAAAAGb/zuM=")</f>
        <v>#REF!</v>
      </c>
      <c r="HU53" t="e">
        <f>AND(#REF!,"AAAAAGb/zuQ=")</f>
        <v>#REF!</v>
      </c>
      <c r="HV53" t="e">
        <f>AND(#REF!,"AAAAAGb/zuU=")</f>
        <v>#REF!</v>
      </c>
      <c r="HW53" t="e">
        <f>AND(#REF!,"AAAAAGb/zuY=")</f>
        <v>#REF!</v>
      </c>
      <c r="HX53" t="e">
        <f>AND(#REF!,"AAAAAGb/zuc=")</f>
        <v>#REF!</v>
      </c>
      <c r="HY53" t="e">
        <f>AND(#REF!,"AAAAAGb/zug=")</f>
        <v>#REF!</v>
      </c>
      <c r="HZ53" t="e">
        <f>AND(#REF!,"AAAAAGb/zuk=")</f>
        <v>#REF!</v>
      </c>
      <c r="IA53" t="e">
        <f>AND(#REF!,"AAAAAGb/zuo=")</f>
        <v>#REF!</v>
      </c>
      <c r="IB53" t="e">
        <f>AND(#REF!,"AAAAAGb/zus=")</f>
        <v>#REF!</v>
      </c>
      <c r="IC53" t="e">
        <f>AND(#REF!,"AAAAAGb/zuw=")</f>
        <v>#REF!</v>
      </c>
      <c r="ID53" t="e">
        <f>AND(#REF!,"AAAAAGb/zu0=")</f>
        <v>#REF!</v>
      </c>
      <c r="IE53" t="e">
        <f>AND(#REF!,"AAAAAGb/zu4=")</f>
        <v>#REF!</v>
      </c>
      <c r="IF53" t="e">
        <f>AND(#REF!,"AAAAAGb/zu8=")</f>
        <v>#REF!</v>
      </c>
      <c r="IG53" t="e">
        <f>AND(#REF!,"AAAAAGb/zvA=")</f>
        <v>#REF!</v>
      </c>
      <c r="IH53" t="e">
        <f>AND(#REF!,"AAAAAGb/zvE=")</f>
        <v>#REF!</v>
      </c>
      <c r="II53" t="e">
        <f>AND(#REF!,"AAAAAGb/zvI=")</f>
        <v>#REF!</v>
      </c>
      <c r="IJ53" t="e">
        <f>AND(#REF!,"AAAAAGb/zvM=")</f>
        <v>#REF!</v>
      </c>
      <c r="IK53" t="e">
        <f>AND(#REF!,"AAAAAGb/zvQ=")</f>
        <v>#REF!</v>
      </c>
      <c r="IL53" t="e">
        <f>AND(#REF!,"AAAAAGb/zvU=")</f>
        <v>#REF!</v>
      </c>
      <c r="IM53" t="e">
        <f>AND(#REF!,"AAAAAGb/zvY=")</f>
        <v>#REF!</v>
      </c>
      <c r="IN53" t="e">
        <f>AND(#REF!,"AAAAAGb/zvc=")</f>
        <v>#REF!</v>
      </c>
      <c r="IO53" t="e">
        <f>AND(#REF!,"AAAAAGb/zvg=")</f>
        <v>#REF!</v>
      </c>
      <c r="IP53" t="e">
        <f>AND(#REF!,"AAAAAGb/zvk=")</f>
        <v>#REF!</v>
      </c>
      <c r="IQ53" t="e">
        <f>AND(#REF!,"AAAAAGb/zvo=")</f>
        <v>#REF!</v>
      </c>
      <c r="IR53" t="e">
        <f>AND(#REF!,"AAAAAGb/zvs=")</f>
        <v>#REF!</v>
      </c>
      <c r="IS53" t="e">
        <f>AND(#REF!,"AAAAAGb/zvw=")</f>
        <v>#REF!</v>
      </c>
      <c r="IT53" t="e">
        <f>AND(#REF!,"AAAAAGb/zv0=")</f>
        <v>#REF!</v>
      </c>
      <c r="IU53" t="e">
        <f>AND(#REF!,"AAAAAGb/zv4=")</f>
        <v>#REF!</v>
      </c>
      <c r="IV53" t="e">
        <f>AND(#REF!,"AAAAAGb/zv8=")</f>
        <v>#REF!</v>
      </c>
    </row>
    <row r="54" spans="1:256" x14ac:dyDescent="0.2">
      <c r="A54" t="e">
        <f>AND(#REF!,"AAAAAFvsdwA=")</f>
        <v>#REF!</v>
      </c>
      <c r="B54" t="e">
        <f>AND(#REF!,"AAAAAFvsdwE=")</f>
        <v>#REF!</v>
      </c>
      <c r="C54" t="e">
        <f>AND(#REF!,"AAAAAFvsdwI=")</f>
        <v>#REF!</v>
      </c>
      <c r="D54" t="e">
        <f>AND(#REF!,"AAAAAFvsdwM=")</f>
        <v>#REF!</v>
      </c>
      <c r="E54" t="e">
        <f>AND(#REF!,"AAAAAFvsdwQ=")</f>
        <v>#REF!</v>
      </c>
      <c r="F54" t="e">
        <f>AND(#REF!,"AAAAAFvsdwU=")</f>
        <v>#REF!</v>
      </c>
      <c r="G54" t="e">
        <f>AND(#REF!,"AAAAAFvsdwY=")</f>
        <v>#REF!</v>
      </c>
      <c r="H54" t="e">
        <f>AND(#REF!,"AAAAAFvsdwc=")</f>
        <v>#REF!</v>
      </c>
      <c r="I54" t="e">
        <f>AND(#REF!,"AAAAAFvsdwg=")</f>
        <v>#REF!</v>
      </c>
      <c r="J54" t="e">
        <f>AND(#REF!,"AAAAAFvsdwk=")</f>
        <v>#REF!</v>
      </c>
      <c r="K54" t="e">
        <f>AND(#REF!,"AAAAAFvsdwo=")</f>
        <v>#REF!</v>
      </c>
      <c r="L54" t="e">
        <f>AND(#REF!,"AAAAAFvsdws=")</f>
        <v>#REF!</v>
      </c>
      <c r="M54" t="e">
        <f>AND(#REF!,"AAAAAFvsdww=")</f>
        <v>#REF!</v>
      </c>
      <c r="N54" t="e">
        <f>AND(#REF!,"AAAAAFvsdw0=")</f>
        <v>#REF!</v>
      </c>
      <c r="O54" t="e">
        <f>AND(#REF!,"AAAAAFvsdw4=")</f>
        <v>#REF!</v>
      </c>
      <c r="P54" t="e">
        <f>AND(#REF!,"AAAAAFvsdw8=")</f>
        <v>#REF!</v>
      </c>
      <c r="Q54" t="e">
        <f>AND(#REF!,"AAAAAFvsdxA=")</f>
        <v>#REF!</v>
      </c>
      <c r="R54" t="e">
        <f>AND(#REF!,"AAAAAFvsdxE=")</f>
        <v>#REF!</v>
      </c>
      <c r="S54" t="e">
        <f>AND(#REF!,"AAAAAFvsdxI=")</f>
        <v>#REF!</v>
      </c>
      <c r="T54" t="e">
        <f>AND(#REF!,"AAAAAFvsdxM=")</f>
        <v>#REF!</v>
      </c>
      <c r="U54" t="e">
        <f>AND(#REF!,"AAAAAFvsdxQ=")</f>
        <v>#REF!</v>
      </c>
      <c r="V54" t="e">
        <f>AND(#REF!,"AAAAAFvsdxU=")</f>
        <v>#REF!</v>
      </c>
      <c r="W54" t="e">
        <f>AND(#REF!,"AAAAAFvsdxY=")</f>
        <v>#REF!</v>
      </c>
      <c r="X54" t="e">
        <f>AND(#REF!,"AAAAAFvsdxc=")</f>
        <v>#REF!</v>
      </c>
      <c r="Y54" t="e">
        <f>IF(#REF!,"AAAAAFvsdxg=",0)</f>
        <v>#REF!</v>
      </c>
      <c r="Z54" t="e">
        <f>AND(#REF!,"AAAAAFvsdxk=")</f>
        <v>#REF!</v>
      </c>
      <c r="AA54" t="e">
        <f>AND(#REF!,"AAAAAFvsdxo=")</f>
        <v>#REF!</v>
      </c>
      <c r="AB54" t="e">
        <f>AND(#REF!,"AAAAAFvsdxs=")</f>
        <v>#REF!</v>
      </c>
      <c r="AC54" t="e">
        <f>AND(#REF!,"AAAAAFvsdxw=")</f>
        <v>#REF!</v>
      </c>
      <c r="AD54" t="e">
        <f>AND(#REF!,"AAAAAFvsdx0=")</f>
        <v>#REF!</v>
      </c>
      <c r="AE54" t="e">
        <f>AND(#REF!,"AAAAAFvsdx4=")</f>
        <v>#REF!</v>
      </c>
      <c r="AF54" t="e">
        <f>AND(#REF!,"AAAAAFvsdx8=")</f>
        <v>#REF!</v>
      </c>
      <c r="AG54" t="e">
        <f>AND(#REF!,"AAAAAFvsdyA=")</f>
        <v>#REF!</v>
      </c>
      <c r="AH54" t="e">
        <f>AND(#REF!,"AAAAAFvsdyE=")</f>
        <v>#REF!</v>
      </c>
      <c r="AI54" t="e">
        <f>AND(#REF!,"AAAAAFvsdyI=")</f>
        <v>#REF!</v>
      </c>
      <c r="AJ54" t="e">
        <f>AND(#REF!,"AAAAAFvsdyM=")</f>
        <v>#REF!</v>
      </c>
      <c r="AK54" t="e">
        <f>AND(#REF!,"AAAAAFvsdyQ=")</f>
        <v>#REF!</v>
      </c>
      <c r="AL54" t="e">
        <f>AND(#REF!,"AAAAAFvsdyU=")</f>
        <v>#REF!</v>
      </c>
      <c r="AM54" t="e">
        <f>AND(#REF!,"AAAAAFvsdyY=")</f>
        <v>#REF!</v>
      </c>
      <c r="AN54" t="e">
        <f>AND(#REF!,"AAAAAFvsdyc=")</f>
        <v>#REF!</v>
      </c>
      <c r="AO54" t="e">
        <f>AND(#REF!,"AAAAAFvsdyg=")</f>
        <v>#REF!</v>
      </c>
      <c r="AP54" t="e">
        <f>AND(#REF!,"AAAAAFvsdyk=")</f>
        <v>#REF!</v>
      </c>
      <c r="AQ54" t="e">
        <f>AND(#REF!,"AAAAAFvsdyo=")</f>
        <v>#REF!</v>
      </c>
      <c r="AR54" t="e">
        <f>AND(#REF!,"AAAAAFvsdys=")</f>
        <v>#REF!</v>
      </c>
      <c r="AS54" t="e">
        <f>AND(#REF!,"AAAAAFvsdyw=")</f>
        <v>#REF!</v>
      </c>
      <c r="AT54" t="e">
        <f>AND(#REF!,"AAAAAFvsdy0=")</f>
        <v>#REF!</v>
      </c>
      <c r="AU54" t="e">
        <f>AND(#REF!,"AAAAAFvsdy4=")</f>
        <v>#REF!</v>
      </c>
      <c r="AV54" t="e">
        <f>AND(#REF!,"AAAAAFvsdy8=")</f>
        <v>#REF!</v>
      </c>
      <c r="AW54" t="e">
        <f>AND(#REF!,"AAAAAFvsdzA=")</f>
        <v>#REF!</v>
      </c>
      <c r="AX54" t="e">
        <f>AND(#REF!,"AAAAAFvsdzE=")</f>
        <v>#REF!</v>
      </c>
      <c r="AY54" t="e">
        <f>AND(#REF!,"AAAAAFvsdzI=")</f>
        <v>#REF!</v>
      </c>
      <c r="AZ54" t="e">
        <f>AND(#REF!,"AAAAAFvsdzM=")</f>
        <v>#REF!</v>
      </c>
      <c r="BA54" t="e">
        <f>AND(#REF!,"AAAAAFvsdzQ=")</f>
        <v>#REF!</v>
      </c>
      <c r="BB54" t="e">
        <f>AND(#REF!,"AAAAAFvsdzU=")</f>
        <v>#REF!</v>
      </c>
      <c r="BC54" t="e">
        <f>AND(#REF!,"AAAAAFvsdzY=")</f>
        <v>#REF!</v>
      </c>
      <c r="BD54" t="e">
        <f>AND(#REF!,"AAAAAFvsdzc=")</f>
        <v>#REF!</v>
      </c>
      <c r="BE54" t="e">
        <f>AND(#REF!,"AAAAAFvsdzg=")</f>
        <v>#REF!</v>
      </c>
      <c r="BF54" t="e">
        <f>AND(#REF!,"AAAAAFvsdzk=")</f>
        <v>#REF!</v>
      </c>
      <c r="BG54" t="e">
        <f>AND(#REF!,"AAAAAFvsdzo=")</f>
        <v>#REF!</v>
      </c>
      <c r="BH54" t="e">
        <f>AND(#REF!,"AAAAAFvsdzs=")</f>
        <v>#REF!</v>
      </c>
      <c r="BI54" t="e">
        <f>AND(#REF!,"AAAAAFvsdzw=")</f>
        <v>#REF!</v>
      </c>
      <c r="BJ54" t="e">
        <f>AND(#REF!,"AAAAAFvsdz0=")</f>
        <v>#REF!</v>
      </c>
      <c r="BK54" t="e">
        <f>AND(#REF!,"AAAAAFvsdz4=")</f>
        <v>#REF!</v>
      </c>
      <c r="BL54" t="e">
        <f>AND(#REF!,"AAAAAFvsdz8=")</f>
        <v>#REF!</v>
      </c>
      <c r="BM54" t="e">
        <f>AND(#REF!,"AAAAAFvsd0A=")</f>
        <v>#REF!</v>
      </c>
      <c r="BN54" t="e">
        <f>AND(#REF!,"AAAAAFvsd0E=")</f>
        <v>#REF!</v>
      </c>
      <c r="BO54" t="e">
        <f>AND(#REF!,"AAAAAFvsd0I=")</f>
        <v>#REF!</v>
      </c>
      <c r="BP54" t="e">
        <f>AND(#REF!,"AAAAAFvsd0M=")</f>
        <v>#REF!</v>
      </c>
      <c r="BQ54" t="e">
        <f>AND(#REF!,"AAAAAFvsd0Q=")</f>
        <v>#REF!</v>
      </c>
      <c r="BR54" t="e">
        <f>AND(#REF!,"AAAAAFvsd0U=")</f>
        <v>#REF!</v>
      </c>
      <c r="BS54" t="e">
        <f>AND(#REF!,"AAAAAFvsd0Y=")</f>
        <v>#REF!</v>
      </c>
      <c r="BT54" t="e">
        <f>AND(#REF!,"AAAAAFvsd0c=")</f>
        <v>#REF!</v>
      </c>
      <c r="BU54" t="e">
        <f>AND(#REF!,"AAAAAFvsd0g=")</f>
        <v>#REF!</v>
      </c>
      <c r="BV54" t="e">
        <f>AND(#REF!,"AAAAAFvsd0k=")</f>
        <v>#REF!</v>
      </c>
      <c r="BW54" t="e">
        <f>AND(#REF!,"AAAAAFvsd0o=")</f>
        <v>#REF!</v>
      </c>
      <c r="BX54" t="e">
        <f>AND(#REF!,"AAAAAFvsd0s=")</f>
        <v>#REF!</v>
      </c>
      <c r="BY54" t="e">
        <f>AND(#REF!,"AAAAAFvsd0w=")</f>
        <v>#REF!</v>
      </c>
      <c r="BZ54" t="e">
        <f>AND(#REF!,"AAAAAFvsd00=")</f>
        <v>#REF!</v>
      </c>
      <c r="CA54" t="e">
        <f>AND(#REF!,"AAAAAFvsd04=")</f>
        <v>#REF!</v>
      </c>
      <c r="CB54" t="e">
        <f>AND(#REF!,"AAAAAFvsd08=")</f>
        <v>#REF!</v>
      </c>
      <c r="CC54" t="e">
        <f>AND(#REF!,"AAAAAFvsd1A=")</f>
        <v>#REF!</v>
      </c>
      <c r="CD54" t="e">
        <f>AND(#REF!,"AAAAAFvsd1E=")</f>
        <v>#REF!</v>
      </c>
      <c r="CE54" t="e">
        <f>AND(#REF!,"AAAAAFvsd1I=")</f>
        <v>#REF!</v>
      </c>
      <c r="CF54" t="e">
        <f>AND(#REF!,"AAAAAFvsd1M=")</f>
        <v>#REF!</v>
      </c>
      <c r="CG54" t="e">
        <f>AND(#REF!,"AAAAAFvsd1Q=")</f>
        <v>#REF!</v>
      </c>
      <c r="CH54" t="e">
        <f>AND(#REF!,"AAAAAFvsd1U=")</f>
        <v>#REF!</v>
      </c>
      <c r="CI54" t="e">
        <f>AND(#REF!,"AAAAAFvsd1Y=")</f>
        <v>#REF!</v>
      </c>
      <c r="CJ54" t="e">
        <f>AND(#REF!,"AAAAAFvsd1c=")</f>
        <v>#REF!</v>
      </c>
      <c r="CK54" t="e">
        <f>AND(#REF!,"AAAAAFvsd1g=")</f>
        <v>#REF!</v>
      </c>
      <c r="CL54" t="e">
        <f>AND(#REF!,"AAAAAFvsd1k=")</f>
        <v>#REF!</v>
      </c>
      <c r="CM54" t="e">
        <f>AND(#REF!,"AAAAAFvsd1o=")</f>
        <v>#REF!</v>
      </c>
      <c r="CN54" t="e">
        <f>AND(#REF!,"AAAAAFvsd1s=")</f>
        <v>#REF!</v>
      </c>
      <c r="CO54" t="e">
        <f>AND(#REF!,"AAAAAFvsd1w=")</f>
        <v>#REF!</v>
      </c>
      <c r="CP54" t="e">
        <f>AND(#REF!,"AAAAAFvsd10=")</f>
        <v>#REF!</v>
      </c>
      <c r="CQ54" t="e">
        <f>AND(#REF!,"AAAAAFvsd14=")</f>
        <v>#REF!</v>
      </c>
      <c r="CR54" t="e">
        <f>AND(#REF!,"AAAAAFvsd18=")</f>
        <v>#REF!</v>
      </c>
      <c r="CS54" t="e">
        <f>AND(#REF!,"AAAAAFvsd2A=")</f>
        <v>#REF!</v>
      </c>
      <c r="CT54" t="e">
        <f>AND(#REF!,"AAAAAFvsd2E=")</f>
        <v>#REF!</v>
      </c>
      <c r="CU54" t="e">
        <f>AND(#REF!,"AAAAAFvsd2I=")</f>
        <v>#REF!</v>
      </c>
      <c r="CV54" t="e">
        <f>AND(#REF!,"AAAAAFvsd2M=")</f>
        <v>#REF!</v>
      </c>
      <c r="CW54" t="e">
        <f>AND(#REF!,"AAAAAFvsd2Q=")</f>
        <v>#REF!</v>
      </c>
      <c r="CX54" t="e">
        <f>AND(#REF!,"AAAAAFvsd2U=")</f>
        <v>#REF!</v>
      </c>
      <c r="CY54" t="e">
        <f>AND(#REF!,"AAAAAFvsd2Y=")</f>
        <v>#REF!</v>
      </c>
      <c r="CZ54" t="e">
        <f>AND(#REF!,"AAAAAFvsd2c=")</f>
        <v>#REF!</v>
      </c>
      <c r="DA54" t="e">
        <f>AND(#REF!,"AAAAAFvsd2g=")</f>
        <v>#REF!</v>
      </c>
      <c r="DB54" t="e">
        <f>AND(#REF!,"AAAAAFvsd2k=")</f>
        <v>#REF!</v>
      </c>
      <c r="DC54" t="e">
        <f>AND(#REF!,"AAAAAFvsd2o=")</f>
        <v>#REF!</v>
      </c>
      <c r="DD54" t="e">
        <f>AND(#REF!,"AAAAAFvsd2s=")</f>
        <v>#REF!</v>
      </c>
      <c r="DE54" t="e">
        <f>AND(#REF!,"AAAAAFvsd2w=")</f>
        <v>#REF!</v>
      </c>
      <c r="DF54" t="e">
        <f>AND(#REF!,"AAAAAFvsd20=")</f>
        <v>#REF!</v>
      </c>
      <c r="DG54" t="e">
        <f>AND(#REF!,"AAAAAFvsd24=")</f>
        <v>#REF!</v>
      </c>
      <c r="DH54" t="e">
        <f>AND(#REF!,"AAAAAFvsd28=")</f>
        <v>#REF!</v>
      </c>
      <c r="DI54" t="e">
        <f>AND(#REF!,"AAAAAFvsd3A=")</f>
        <v>#REF!</v>
      </c>
      <c r="DJ54" t="e">
        <f>AND(#REF!,"AAAAAFvsd3E=")</f>
        <v>#REF!</v>
      </c>
      <c r="DK54" t="e">
        <f>AND(#REF!,"AAAAAFvsd3I=")</f>
        <v>#REF!</v>
      </c>
      <c r="DL54" t="e">
        <f>AND(#REF!,"AAAAAFvsd3M=")</f>
        <v>#REF!</v>
      </c>
      <c r="DM54" t="e">
        <f>AND(#REF!,"AAAAAFvsd3Q=")</f>
        <v>#REF!</v>
      </c>
      <c r="DN54" t="e">
        <f>AND(#REF!,"AAAAAFvsd3U=")</f>
        <v>#REF!</v>
      </c>
      <c r="DO54" t="e">
        <f>AND(#REF!,"AAAAAFvsd3Y=")</f>
        <v>#REF!</v>
      </c>
      <c r="DP54" t="e">
        <f>AND(#REF!,"AAAAAFvsd3c=")</f>
        <v>#REF!</v>
      </c>
      <c r="DQ54" t="e">
        <f>AND(#REF!,"AAAAAFvsd3g=")</f>
        <v>#REF!</v>
      </c>
      <c r="DR54" t="e">
        <f>AND(#REF!,"AAAAAFvsd3k=")</f>
        <v>#REF!</v>
      </c>
      <c r="DS54" t="e">
        <f>AND(#REF!,"AAAAAFvsd3o=")</f>
        <v>#REF!</v>
      </c>
      <c r="DT54" t="e">
        <f>AND(#REF!,"AAAAAFvsd3s=")</f>
        <v>#REF!</v>
      </c>
      <c r="DU54" t="e">
        <f>AND(#REF!,"AAAAAFvsd3w=")</f>
        <v>#REF!</v>
      </c>
      <c r="DV54" t="e">
        <f>AND(#REF!,"AAAAAFvsd30=")</f>
        <v>#REF!</v>
      </c>
      <c r="DW54" t="e">
        <f>AND(#REF!,"AAAAAFvsd34=")</f>
        <v>#REF!</v>
      </c>
      <c r="DX54" t="e">
        <f>AND(#REF!,"AAAAAFvsd38=")</f>
        <v>#REF!</v>
      </c>
      <c r="DY54" t="e">
        <f>AND(#REF!,"AAAAAFvsd4A=")</f>
        <v>#REF!</v>
      </c>
      <c r="DZ54" t="e">
        <f>AND(#REF!,"AAAAAFvsd4E=")</f>
        <v>#REF!</v>
      </c>
      <c r="EA54" t="e">
        <f>AND(#REF!,"AAAAAFvsd4I=")</f>
        <v>#REF!</v>
      </c>
      <c r="EB54" t="e">
        <f>AND(#REF!,"AAAAAFvsd4M=")</f>
        <v>#REF!</v>
      </c>
      <c r="EC54" t="e">
        <f>AND(#REF!,"AAAAAFvsd4Q=")</f>
        <v>#REF!</v>
      </c>
      <c r="ED54" t="e">
        <f>AND(#REF!,"AAAAAFvsd4U=")</f>
        <v>#REF!</v>
      </c>
      <c r="EE54" t="e">
        <f>AND(#REF!,"AAAAAFvsd4Y=")</f>
        <v>#REF!</v>
      </c>
      <c r="EF54" t="e">
        <f>AND(#REF!,"AAAAAFvsd4c=")</f>
        <v>#REF!</v>
      </c>
      <c r="EG54" t="e">
        <f>AND(#REF!,"AAAAAFvsd4g=")</f>
        <v>#REF!</v>
      </c>
      <c r="EH54" t="e">
        <f>AND(#REF!,"AAAAAFvsd4k=")</f>
        <v>#REF!</v>
      </c>
      <c r="EI54" t="e">
        <f>AND(#REF!,"AAAAAFvsd4o=")</f>
        <v>#REF!</v>
      </c>
      <c r="EJ54" t="e">
        <f>AND(#REF!,"AAAAAFvsd4s=")</f>
        <v>#REF!</v>
      </c>
      <c r="EK54" t="e">
        <f>AND(#REF!,"AAAAAFvsd4w=")</f>
        <v>#REF!</v>
      </c>
      <c r="EL54" t="e">
        <f>AND(#REF!,"AAAAAFvsd40=")</f>
        <v>#REF!</v>
      </c>
      <c r="EM54" t="e">
        <f>AND(#REF!,"AAAAAFvsd44=")</f>
        <v>#REF!</v>
      </c>
      <c r="EN54" t="e">
        <f>AND(#REF!,"AAAAAFvsd48=")</f>
        <v>#REF!</v>
      </c>
      <c r="EO54" t="e">
        <f>AND(#REF!,"AAAAAFvsd5A=")</f>
        <v>#REF!</v>
      </c>
      <c r="EP54" t="e">
        <f>AND(#REF!,"AAAAAFvsd5E=")</f>
        <v>#REF!</v>
      </c>
      <c r="EQ54" t="e">
        <f>AND(#REF!,"AAAAAFvsd5I=")</f>
        <v>#REF!</v>
      </c>
      <c r="ER54" t="e">
        <f>AND(#REF!,"AAAAAFvsd5M=")</f>
        <v>#REF!</v>
      </c>
      <c r="ES54" t="e">
        <f>AND(#REF!,"AAAAAFvsd5Q=")</f>
        <v>#REF!</v>
      </c>
      <c r="ET54" t="e">
        <f>AND(#REF!,"AAAAAFvsd5U=")</f>
        <v>#REF!</v>
      </c>
      <c r="EU54" t="e">
        <f>AND(#REF!,"AAAAAFvsd5Y=")</f>
        <v>#REF!</v>
      </c>
      <c r="EV54" t="e">
        <f>AND(#REF!,"AAAAAFvsd5c=")</f>
        <v>#REF!</v>
      </c>
      <c r="EW54" t="e">
        <f>AND(#REF!,"AAAAAFvsd5g=")</f>
        <v>#REF!</v>
      </c>
      <c r="EX54" t="e">
        <f>AND(#REF!,"AAAAAFvsd5k=")</f>
        <v>#REF!</v>
      </c>
      <c r="EY54" t="e">
        <f>AND(#REF!,"AAAAAFvsd5o=")</f>
        <v>#REF!</v>
      </c>
      <c r="EZ54" t="e">
        <f>AND(#REF!,"AAAAAFvsd5s=")</f>
        <v>#REF!</v>
      </c>
      <c r="FA54" t="e">
        <f>AND(#REF!,"AAAAAFvsd5w=")</f>
        <v>#REF!</v>
      </c>
      <c r="FB54" t="e">
        <f>AND(#REF!,"AAAAAFvsd50=")</f>
        <v>#REF!</v>
      </c>
      <c r="FC54" t="e">
        <f>AND(#REF!,"AAAAAFvsd54=")</f>
        <v>#REF!</v>
      </c>
      <c r="FD54" t="e">
        <f>AND(#REF!,"AAAAAFvsd58=")</f>
        <v>#REF!</v>
      </c>
      <c r="FE54" t="e">
        <f>AND(#REF!,"AAAAAFvsd6A=")</f>
        <v>#REF!</v>
      </c>
      <c r="FF54" t="e">
        <f>AND(#REF!,"AAAAAFvsd6E=")</f>
        <v>#REF!</v>
      </c>
      <c r="FG54" t="e">
        <f>AND(#REF!,"AAAAAFvsd6I=")</f>
        <v>#REF!</v>
      </c>
      <c r="FH54" t="e">
        <f>AND(#REF!,"AAAAAFvsd6M=")</f>
        <v>#REF!</v>
      </c>
      <c r="FI54" t="e">
        <f>AND(#REF!,"AAAAAFvsd6Q=")</f>
        <v>#REF!</v>
      </c>
      <c r="FJ54" t="e">
        <f>AND(#REF!,"AAAAAFvsd6U=")</f>
        <v>#REF!</v>
      </c>
      <c r="FK54" t="e">
        <f>AND(#REF!,"AAAAAFvsd6Y=")</f>
        <v>#REF!</v>
      </c>
      <c r="FL54" t="e">
        <f>AND(#REF!,"AAAAAFvsd6c=")</f>
        <v>#REF!</v>
      </c>
      <c r="FM54" t="e">
        <f>AND(#REF!,"AAAAAFvsd6g=")</f>
        <v>#REF!</v>
      </c>
      <c r="FN54" t="e">
        <f>AND(#REF!,"AAAAAFvsd6k=")</f>
        <v>#REF!</v>
      </c>
      <c r="FO54" t="e">
        <f>AND(#REF!,"AAAAAFvsd6o=")</f>
        <v>#REF!</v>
      </c>
      <c r="FP54" t="e">
        <f>AND(#REF!,"AAAAAFvsd6s=")</f>
        <v>#REF!</v>
      </c>
      <c r="FQ54" t="e">
        <f>AND(#REF!,"AAAAAFvsd6w=")</f>
        <v>#REF!</v>
      </c>
      <c r="FR54" t="e">
        <f>AND(#REF!,"AAAAAFvsd60=")</f>
        <v>#REF!</v>
      </c>
      <c r="FS54" t="e">
        <f>AND(#REF!,"AAAAAFvsd64=")</f>
        <v>#REF!</v>
      </c>
      <c r="FT54" t="e">
        <f>AND(#REF!,"AAAAAFvsd68=")</f>
        <v>#REF!</v>
      </c>
      <c r="FU54" t="e">
        <f>AND(#REF!,"AAAAAFvsd7A=")</f>
        <v>#REF!</v>
      </c>
      <c r="FV54" t="e">
        <f>AND(#REF!,"AAAAAFvsd7E=")</f>
        <v>#REF!</v>
      </c>
      <c r="FW54" t="e">
        <f>AND(#REF!,"AAAAAFvsd7I=")</f>
        <v>#REF!</v>
      </c>
      <c r="FX54" t="e">
        <f>AND(#REF!,"AAAAAFvsd7M=")</f>
        <v>#REF!</v>
      </c>
      <c r="FY54" t="e">
        <f>AND(#REF!,"AAAAAFvsd7Q=")</f>
        <v>#REF!</v>
      </c>
      <c r="FZ54" t="e">
        <f>AND(#REF!,"AAAAAFvsd7U=")</f>
        <v>#REF!</v>
      </c>
      <c r="GA54" t="e">
        <f>AND(#REF!,"AAAAAFvsd7Y=")</f>
        <v>#REF!</v>
      </c>
      <c r="GB54" t="e">
        <f>AND(#REF!,"AAAAAFvsd7c=")</f>
        <v>#REF!</v>
      </c>
      <c r="GC54" t="e">
        <f>AND(#REF!,"AAAAAFvsd7g=")</f>
        <v>#REF!</v>
      </c>
      <c r="GD54" t="e">
        <f>AND(#REF!,"AAAAAFvsd7k=")</f>
        <v>#REF!</v>
      </c>
      <c r="GE54" t="e">
        <f>AND(#REF!,"AAAAAFvsd7o=")</f>
        <v>#REF!</v>
      </c>
      <c r="GF54" t="e">
        <f>AND(#REF!,"AAAAAFvsd7s=")</f>
        <v>#REF!</v>
      </c>
      <c r="GG54" t="e">
        <f>AND(#REF!,"AAAAAFvsd7w=")</f>
        <v>#REF!</v>
      </c>
      <c r="GH54" t="e">
        <f>AND(#REF!,"AAAAAFvsd70=")</f>
        <v>#REF!</v>
      </c>
      <c r="GI54" t="e">
        <f>AND(#REF!,"AAAAAFvsd74=")</f>
        <v>#REF!</v>
      </c>
      <c r="GJ54" t="e">
        <f>AND(#REF!,"AAAAAFvsd78=")</f>
        <v>#REF!</v>
      </c>
      <c r="GK54" t="e">
        <f>AND(#REF!,"AAAAAFvsd8A=")</f>
        <v>#REF!</v>
      </c>
      <c r="GL54" t="e">
        <f>AND(#REF!,"AAAAAFvsd8E=")</f>
        <v>#REF!</v>
      </c>
      <c r="GM54" t="e">
        <f>AND(#REF!,"AAAAAFvsd8I=")</f>
        <v>#REF!</v>
      </c>
      <c r="GN54" t="e">
        <f>AND(#REF!,"AAAAAFvsd8M=")</f>
        <v>#REF!</v>
      </c>
      <c r="GO54" t="e">
        <f>AND(#REF!,"AAAAAFvsd8Q=")</f>
        <v>#REF!</v>
      </c>
      <c r="GP54" t="e">
        <f>AND(#REF!,"AAAAAFvsd8U=")</f>
        <v>#REF!</v>
      </c>
      <c r="GQ54" t="e">
        <f>AND(#REF!,"AAAAAFvsd8Y=")</f>
        <v>#REF!</v>
      </c>
      <c r="GR54" t="e">
        <f>AND(#REF!,"AAAAAFvsd8c=")</f>
        <v>#REF!</v>
      </c>
      <c r="GS54" t="e">
        <f>AND(#REF!,"AAAAAFvsd8g=")</f>
        <v>#REF!</v>
      </c>
      <c r="GT54" t="e">
        <f>AND(#REF!,"AAAAAFvsd8k=")</f>
        <v>#REF!</v>
      </c>
      <c r="GU54" t="e">
        <f>AND(#REF!,"AAAAAFvsd8o=")</f>
        <v>#REF!</v>
      </c>
      <c r="GV54" t="e">
        <f>AND(#REF!,"AAAAAFvsd8s=")</f>
        <v>#REF!</v>
      </c>
      <c r="GW54" t="e">
        <f>AND(#REF!,"AAAAAFvsd8w=")</f>
        <v>#REF!</v>
      </c>
      <c r="GX54" t="e">
        <f>IF(#REF!,"AAAAAFvsd80=",0)</f>
        <v>#REF!</v>
      </c>
      <c r="GY54" t="e">
        <f>AND(#REF!,"AAAAAFvsd84=")</f>
        <v>#REF!</v>
      </c>
      <c r="GZ54" t="e">
        <f>AND(#REF!,"AAAAAFvsd88=")</f>
        <v>#REF!</v>
      </c>
      <c r="HA54" t="e">
        <f>AND(#REF!,"AAAAAFvsd9A=")</f>
        <v>#REF!</v>
      </c>
      <c r="HB54" t="e">
        <f>AND(#REF!,"AAAAAFvsd9E=")</f>
        <v>#REF!</v>
      </c>
      <c r="HC54" t="e">
        <f>AND(#REF!,"AAAAAFvsd9I=")</f>
        <v>#REF!</v>
      </c>
      <c r="HD54" t="e">
        <f>AND(#REF!,"AAAAAFvsd9M=")</f>
        <v>#REF!</v>
      </c>
      <c r="HE54" t="e">
        <f>AND(#REF!,"AAAAAFvsd9Q=")</f>
        <v>#REF!</v>
      </c>
      <c r="HF54" t="e">
        <f>AND(#REF!,"AAAAAFvsd9U=")</f>
        <v>#REF!</v>
      </c>
      <c r="HG54" t="e">
        <f>AND(#REF!,"AAAAAFvsd9Y=")</f>
        <v>#REF!</v>
      </c>
      <c r="HH54" t="e">
        <f>AND(#REF!,"AAAAAFvsd9c=")</f>
        <v>#REF!</v>
      </c>
      <c r="HI54" t="e">
        <f>AND(#REF!,"AAAAAFvsd9g=")</f>
        <v>#REF!</v>
      </c>
      <c r="HJ54" t="e">
        <f>AND(#REF!,"AAAAAFvsd9k=")</f>
        <v>#REF!</v>
      </c>
      <c r="HK54" t="e">
        <f>AND(#REF!,"AAAAAFvsd9o=")</f>
        <v>#REF!</v>
      </c>
      <c r="HL54" t="e">
        <f>AND(#REF!,"AAAAAFvsd9s=")</f>
        <v>#REF!</v>
      </c>
      <c r="HM54" t="e">
        <f>AND(#REF!,"AAAAAFvsd9w=")</f>
        <v>#REF!</v>
      </c>
      <c r="HN54" t="e">
        <f>AND(#REF!,"AAAAAFvsd90=")</f>
        <v>#REF!</v>
      </c>
      <c r="HO54" t="e">
        <f>AND(#REF!,"AAAAAFvsd94=")</f>
        <v>#REF!</v>
      </c>
      <c r="HP54" t="e">
        <f>AND(#REF!,"AAAAAFvsd98=")</f>
        <v>#REF!</v>
      </c>
      <c r="HQ54" t="e">
        <f>AND(#REF!,"AAAAAFvsd+A=")</f>
        <v>#REF!</v>
      </c>
      <c r="HR54" t="e">
        <f>AND(#REF!,"AAAAAFvsd+E=")</f>
        <v>#REF!</v>
      </c>
      <c r="HS54" t="e">
        <f>AND(#REF!,"AAAAAFvsd+I=")</f>
        <v>#REF!</v>
      </c>
      <c r="HT54" t="e">
        <f>AND(#REF!,"AAAAAFvsd+M=")</f>
        <v>#REF!</v>
      </c>
      <c r="HU54" t="e">
        <f>AND(#REF!,"AAAAAFvsd+Q=")</f>
        <v>#REF!</v>
      </c>
      <c r="HV54" t="e">
        <f>AND(#REF!,"AAAAAFvsd+U=")</f>
        <v>#REF!</v>
      </c>
      <c r="HW54" t="e">
        <f>AND(#REF!,"AAAAAFvsd+Y=")</f>
        <v>#REF!</v>
      </c>
      <c r="HX54" t="e">
        <f>AND(#REF!,"AAAAAFvsd+c=")</f>
        <v>#REF!</v>
      </c>
      <c r="HY54" t="e">
        <f>AND(#REF!,"AAAAAFvsd+g=")</f>
        <v>#REF!</v>
      </c>
      <c r="HZ54" t="e">
        <f>AND(#REF!,"AAAAAFvsd+k=")</f>
        <v>#REF!</v>
      </c>
      <c r="IA54" t="e">
        <f>AND(#REF!,"AAAAAFvsd+o=")</f>
        <v>#REF!</v>
      </c>
      <c r="IB54" t="e">
        <f>AND(#REF!,"AAAAAFvsd+s=")</f>
        <v>#REF!</v>
      </c>
      <c r="IC54" t="e">
        <f>AND(#REF!,"AAAAAFvsd+w=")</f>
        <v>#REF!</v>
      </c>
      <c r="ID54" t="e">
        <f>AND(#REF!,"AAAAAFvsd+0=")</f>
        <v>#REF!</v>
      </c>
      <c r="IE54" t="e">
        <f>AND(#REF!,"AAAAAFvsd+4=")</f>
        <v>#REF!</v>
      </c>
      <c r="IF54" t="e">
        <f>AND(#REF!,"AAAAAFvsd+8=")</f>
        <v>#REF!</v>
      </c>
      <c r="IG54" t="e">
        <f>AND(#REF!,"AAAAAFvsd/A=")</f>
        <v>#REF!</v>
      </c>
      <c r="IH54" t="e">
        <f>AND(#REF!,"AAAAAFvsd/E=")</f>
        <v>#REF!</v>
      </c>
      <c r="II54" t="e">
        <f>AND(#REF!,"AAAAAFvsd/I=")</f>
        <v>#REF!</v>
      </c>
      <c r="IJ54" t="e">
        <f>AND(#REF!,"AAAAAFvsd/M=")</f>
        <v>#REF!</v>
      </c>
      <c r="IK54" t="e">
        <f>AND(#REF!,"AAAAAFvsd/Q=")</f>
        <v>#REF!</v>
      </c>
      <c r="IL54" t="e">
        <f>AND(#REF!,"AAAAAFvsd/U=")</f>
        <v>#REF!</v>
      </c>
      <c r="IM54" t="e">
        <f>AND(#REF!,"AAAAAFvsd/Y=")</f>
        <v>#REF!</v>
      </c>
      <c r="IN54" t="e">
        <f>AND(#REF!,"AAAAAFvsd/c=")</f>
        <v>#REF!</v>
      </c>
      <c r="IO54" t="e">
        <f>AND(#REF!,"AAAAAFvsd/g=")</f>
        <v>#REF!</v>
      </c>
      <c r="IP54" t="e">
        <f>AND(#REF!,"AAAAAFvsd/k=")</f>
        <v>#REF!</v>
      </c>
      <c r="IQ54" t="e">
        <f>AND(#REF!,"AAAAAFvsd/o=")</f>
        <v>#REF!</v>
      </c>
      <c r="IR54" t="e">
        <f>AND(#REF!,"AAAAAFvsd/s=")</f>
        <v>#REF!</v>
      </c>
      <c r="IS54" t="e">
        <f>AND(#REF!,"AAAAAFvsd/w=")</f>
        <v>#REF!</v>
      </c>
      <c r="IT54" t="e">
        <f>AND(#REF!,"AAAAAFvsd/0=")</f>
        <v>#REF!</v>
      </c>
      <c r="IU54" t="e">
        <f>AND(#REF!,"AAAAAFvsd/4=")</f>
        <v>#REF!</v>
      </c>
      <c r="IV54" t="e">
        <f>AND(#REF!,"AAAAAFvsd/8=")</f>
        <v>#REF!</v>
      </c>
    </row>
    <row r="55" spans="1:256" x14ac:dyDescent="0.2">
      <c r="A55" t="e">
        <f>AND(#REF!,"AAAAAHfc+QA=")</f>
        <v>#REF!</v>
      </c>
      <c r="B55" t="e">
        <f>AND(#REF!,"AAAAAHfc+QE=")</f>
        <v>#REF!</v>
      </c>
      <c r="C55" t="e">
        <f>AND(#REF!,"AAAAAHfc+QI=")</f>
        <v>#REF!</v>
      </c>
      <c r="D55" t="e">
        <f>AND(#REF!,"AAAAAHfc+QM=")</f>
        <v>#REF!</v>
      </c>
      <c r="E55" t="e">
        <f>AND(#REF!,"AAAAAHfc+QQ=")</f>
        <v>#REF!</v>
      </c>
      <c r="F55" t="e">
        <f>AND(#REF!,"AAAAAHfc+QU=")</f>
        <v>#REF!</v>
      </c>
      <c r="G55" t="e">
        <f>AND(#REF!,"AAAAAHfc+QY=")</f>
        <v>#REF!</v>
      </c>
      <c r="H55" t="e">
        <f>AND(#REF!,"AAAAAHfc+Qc=")</f>
        <v>#REF!</v>
      </c>
      <c r="I55" t="e">
        <f>AND(#REF!,"AAAAAHfc+Qg=")</f>
        <v>#REF!</v>
      </c>
      <c r="J55" t="e">
        <f>AND(#REF!,"AAAAAHfc+Qk=")</f>
        <v>#REF!</v>
      </c>
      <c r="K55" t="e">
        <f>AND(#REF!,"AAAAAHfc+Qo=")</f>
        <v>#REF!</v>
      </c>
      <c r="L55" t="e">
        <f>AND(#REF!,"AAAAAHfc+Qs=")</f>
        <v>#REF!</v>
      </c>
      <c r="M55" t="e">
        <f>AND(#REF!,"AAAAAHfc+Qw=")</f>
        <v>#REF!</v>
      </c>
      <c r="N55" t="e">
        <f>AND(#REF!,"AAAAAHfc+Q0=")</f>
        <v>#REF!</v>
      </c>
      <c r="O55" t="e">
        <f>AND(#REF!,"AAAAAHfc+Q4=")</f>
        <v>#REF!</v>
      </c>
      <c r="P55" t="e">
        <f>AND(#REF!,"AAAAAHfc+Q8=")</f>
        <v>#REF!</v>
      </c>
      <c r="Q55" t="e">
        <f>AND(#REF!,"AAAAAHfc+RA=")</f>
        <v>#REF!</v>
      </c>
      <c r="R55" t="e">
        <f>AND(#REF!,"AAAAAHfc+RE=")</f>
        <v>#REF!</v>
      </c>
      <c r="S55" t="e">
        <f>AND(#REF!,"AAAAAHfc+RI=")</f>
        <v>#REF!</v>
      </c>
      <c r="T55" t="e">
        <f>AND(#REF!,"AAAAAHfc+RM=")</f>
        <v>#REF!</v>
      </c>
      <c r="U55" t="e">
        <f>AND(#REF!,"AAAAAHfc+RQ=")</f>
        <v>#REF!</v>
      </c>
      <c r="V55" t="e">
        <f>AND(#REF!,"AAAAAHfc+RU=")</f>
        <v>#REF!</v>
      </c>
      <c r="W55" t="e">
        <f>AND(#REF!,"AAAAAHfc+RY=")</f>
        <v>#REF!</v>
      </c>
      <c r="X55" t="e">
        <f>AND(#REF!,"AAAAAHfc+Rc=")</f>
        <v>#REF!</v>
      </c>
      <c r="Y55" t="e">
        <f>AND(#REF!,"AAAAAHfc+Rg=")</f>
        <v>#REF!</v>
      </c>
      <c r="Z55" t="e">
        <f>AND(#REF!,"AAAAAHfc+Rk=")</f>
        <v>#REF!</v>
      </c>
      <c r="AA55" t="e">
        <f>AND(#REF!,"AAAAAHfc+Ro=")</f>
        <v>#REF!</v>
      </c>
      <c r="AB55" t="e">
        <f>AND(#REF!,"AAAAAHfc+Rs=")</f>
        <v>#REF!</v>
      </c>
      <c r="AC55" t="e">
        <f>AND(#REF!,"AAAAAHfc+Rw=")</f>
        <v>#REF!</v>
      </c>
      <c r="AD55" t="e">
        <f>AND(#REF!,"AAAAAHfc+R0=")</f>
        <v>#REF!</v>
      </c>
      <c r="AE55" t="e">
        <f>AND(#REF!,"AAAAAHfc+R4=")</f>
        <v>#REF!</v>
      </c>
      <c r="AF55" t="e">
        <f>AND(#REF!,"AAAAAHfc+R8=")</f>
        <v>#REF!</v>
      </c>
      <c r="AG55" t="e">
        <f>AND(#REF!,"AAAAAHfc+SA=")</f>
        <v>#REF!</v>
      </c>
      <c r="AH55" t="e">
        <f>AND(#REF!,"AAAAAHfc+SE=")</f>
        <v>#REF!</v>
      </c>
      <c r="AI55" t="e">
        <f>AND(#REF!,"AAAAAHfc+SI=")</f>
        <v>#REF!</v>
      </c>
      <c r="AJ55" t="e">
        <f>AND(#REF!,"AAAAAHfc+SM=")</f>
        <v>#REF!</v>
      </c>
      <c r="AK55" t="e">
        <f>AND(#REF!,"AAAAAHfc+SQ=")</f>
        <v>#REF!</v>
      </c>
      <c r="AL55" t="e">
        <f>AND(#REF!,"AAAAAHfc+SU=")</f>
        <v>#REF!</v>
      </c>
      <c r="AM55" t="e">
        <f>AND(#REF!,"AAAAAHfc+SY=")</f>
        <v>#REF!</v>
      </c>
      <c r="AN55" t="e">
        <f>AND(#REF!,"AAAAAHfc+Sc=")</f>
        <v>#REF!</v>
      </c>
      <c r="AO55" t="e">
        <f>AND(#REF!,"AAAAAHfc+Sg=")</f>
        <v>#REF!</v>
      </c>
      <c r="AP55" t="e">
        <f>AND(#REF!,"AAAAAHfc+Sk=")</f>
        <v>#REF!</v>
      </c>
      <c r="AQ55" t="e">
        <f>AND(#REF!,"AAAAAHfc+So=")</f>
        <v>#REF!</v>
      </c>
      <c r="AR55" t="e">
        <f>AND(#REF!,"AAAAAHfc+Ss=")</f>
        <v>#REF!</v>
      </c>
      <c r="AS55" t="e">
        <f>AND(#REF!,"AAAAAHfc+Sw=")</f>
        <v>#REF!</v>
      </c>
      <c r="AT55" t="e">
        <f>AND(#REF!,"AAAAAHfc+S0=")</f>
        <v>#REF!</v>
      </c>
      <c r="AU55" t="e">
        <f>AND(#REF!,"AAAAAHfc+S4=")</f>
        <v>#REF!</v>
      </c>
      <c r="AV55" t="e">
        <f>AND(#REF!,"AAAAAHfc+S8=")</f>
        <v>#REF!</v>
      </c>
      <c r="AW55" t="e">
        <f>AND(#REF!,"AAAAAHfc+TA=")</f>
        <v>#REF!</v>
      </c>
      <c r="AX55" t="e">
        <f>AND(#REF!,"AAAAAHfc+TE=")</f>
        <v>#REF!</v>
      </c>
      <c r="AY55" t="e">
        <f>AND(#REF!,"AAAAAHfc+TI=")</f>
        <v>#REF!</v>
      </c>
      <c r="AZ55" t="e">
        <f>AND(#REF!,"AAAAAHfc+TM=")</f>
        <v>#REF!</v>
      </c>
      <c r="BA55" t="e">
        <f>AND(#REF!,"AAAAAHfc+TQ=")</f>
        <v>#REF!</v>
      </c>
      <c r="BB55" t="e">
        <f>AND(#REF!,"AAAAAHfc+TU=")</f>
        <v>#REF!</v>
      </c>
      <c r="BC55" t="e">
        <f>AND(#REF!,"AAAAAHfc+TY=")</f>
        <v>#REF!</v>
      </c>
      <c r="BD55" t="e">
        <f>AND(#REF!,"AAAAAHfc+Tc=")</f>
        <v>#REF!</v>
      </c>
      <c r="BE55" t="e">
        <f>AND(#REF!,"AAAAAHfc+Tg=")</f>
        <v>#REF!</v>
      </c>
      <c r="BF55" t="e">
        <f>AND(#REF!,"AAAAAHfc+Tk=")</f>
        <v>#REF!</v>
      </c>
      <c r="BG55" t="e">
        <f>AND(#REF!,"AAAAAHfc+To=")</f>
        <v>#REF!</v>
      </c>
      <c r="BH55" t="e">
        <f>AND(#REF!,"AAAAAHfc+Ts=")</f>
        <v>#REF!</v>
      </c>
      <c r="BI55" t="e">
        <f>AND(#REF!,"AAAAAHfc+Tw=")</f>
        <v>#REF!</v>
      </c>
      <c r="BJ55" t="e">
        <f>AND(#REF!,"AAAAAHfc+T0=")</f>
        <v>#REF!</v>
      </c>
      <c r="BK55" t="e">
        <f>AND(#REF!,"AAAAAHfc+T4=")</f>
        <v>#REF!</v>
      </c>
      <c r="BL55" t="e">
        <f>AND(#REF!,"AAAAAHfc+T8=")</f>
        <v>#REF!</v>
      </c>
      <c r="BM55" t="e">
        <f>AND(#REF!,"AAAAAHfc+UA=")</f>
        <v>#REF!</v>
      </c>
      <c r="BN55" t="e">
        <f>AND(#REF!,"AAAAAHfc+UE=")</f>
        <v>#REF!</v>
      </c>
      <c r="BO55" t="e">
        <f>AND(#REF!,"AAAAAHfc+UI=")</f>
        <v>#REF!</v>
      </c>
      <c r="BP55" t="e">
        <f>AND(#REF!,"AAAAAHfc+UM=")</f>
        <v>#REF!</v>
      </c>
      <c r="BQ55" t="e">
        <f>AND(#REF!,"AAAAAHfc+UQ=")</f>
        <v>#REF!</v>
      </c>
      <c r="BR55" t="e">
        <f>AND(#REF!,"AAAAAHfc+UU=")</f>
        <v>#REF!</v>
      </c>
      <c r="BS55" t="e">
        <f>AND(#REF!,"AAAAAHfc+UY=")</f>
        <v>#REF!</v>
      </c>
      <c r="BT55" t="e">
        <f>AND(#REF!,"AAAAAHfc+Uc=")</f>
        <v>#REF!</v>
      </c>
      <c r="BU55" t="e">
        <f>AND(#REF!,"AAAAAHfc+Ug=")</f>
        <v>#REF!</v>
      </c>
      <c r="BV55" t="e">
        <f>AND(#REF!,"AAAAAHfc+Uk=")</f>
        <v>#REF!</v>
      </c>
      <c r="BW55" t="e">
        <f>AND(#REF!,"AAAAAHfc+Uo=")</f>
        <v>#REF!</v>
      </c>
      <c r="BX55" t="e">
        <f>AND(#REF!,"AAAAAHfc+Us=")</f>
        <v>#REF!</v>
      </c>
      <c r="BY55" t="e">
        <f>AND(#REF!,"AAAAAHfc+Uw=")</f>
        <v>#REF!</v>
      </c>
      <c r="BZ55" t="e">
        <f>AND(#REF!,"AAAAAHfc+U0=")</f>
        <v>#REF!</v>
      </c>
      <c r="CA55" t="e">
        <f>AND(#REF!,"AAAAAHfc+U4=")</f>
        <v>#REF!</v>
      </c>
      <c r="CB55" t="e">
        <f>AND(#REF!,"AAAAAHfc+U8=")</f>
        <v>#REF!</v>
      </c>
      <c r="CC55" t="e">
        <f>AND(#REF!,"AAAAAHfc+VA=")</f>
        <v>#REF!</v>
      </c>
      <c r="CD55" t="e">
        <f>AND(#REF!,"AAAAAHfc+VE=")</f>
        <v>#REF!</v>
      </c>
      <c r="CE55" t="e">
        <f>AND(#REF!,"AAAAAHfc+VI=")</f>
        <v>#REF!</v>
      </c>
      <c r="CF55" t="e">
        <f>AND(#REF!,"AAAAAHfc+VM=")</f>
        <v>#REF!</v>
      </c>
      <c r="CG55" t="e">
        <f>AND(#REF!,"AAAAAHfc+VQ=")</f>
        <v>#REF!</v>
      </c>
      <c r="CH55" t="e">
        <f>AND(#REF!,"AAAAAHfc+VU=")</f>
        <v>#REF!</v>
      </c>
      <c r="CI55" t="e">
        <f>AND(#REF!,"AAAAAHfc+VY=")</f>
        <v>#REF!</v>
      </c>
      <c r="CJ55" t="e">
        <f>AND(#REF!,"AAAAAHfc+Vc=")</f>
        <v>#REF!</v>
      </c>
      <c r="CK55" t="e">
        <f>AND(#REF!,"AAAAAHfc+Vg=")</f>
        <v>#REF!</v>
      </c>
      <c r="CL55" t="e">
        <f>AND(#REF!,"AAAAAHfc+Vk=")</f>
        <v>#REF!</v>
      </c>
      <c r="CM55" t="e">
        <f>AND(#REF!,"AAAAAHfc+Vo=")</f>
        <v>#REF!</v>
      </c>
      <c r="CN55" t="e">
        <f>AND(#REF!,"AAAAAHfc+Vs=")</f>
        <v>#REF!</v>
      </c>
      <c r="CO55" t="e">
        <f>AND(#REF!,"AAAAAHfc+Vw=")</f>
        <v>#REF!</v>
      </c>
      <c r="CP55" t="e">
        <f>AND(#REF!,"AAAAAHfc+V0=")</f>
        <v>#REF!</v>
      </c>
      <c r="CQ55" t="e">
        <f>AND(#REF!,"AAAAAHfc+V4=")</f>
        <v>#REF!</v>
      </c>
      <c r="CR55" t="e">
        <f>AND(#REF!,"AAAAAHfc+V8=")</f>
        <v>#REF!</v>
      </c>
      <c r="CS55" t="e">
        <f>AND(#REF!,"AAAAAHfc+WA=")</f>
        <v>#REF!</v>
      </c>
      <c r="CT55" t="e">
        <f>AND(#REF!,"AAAAAHfc+WE=")</f>
        <v>#REF!</v>
      </c>
      <c r="CU55" t="e">
        <f>AND(#REF!,"AAAAAHfc+WI=")</f>
        <v>#REF!</v>
      </c>
      <c r="CV55" t="e">
        <f>AND(#REF!,"AAAAAHfc+WM=")</f>
        <v>#REF!</v>
      </c>
      <c r="CW55" t="e">
        <f>AND(#REF!,"AAAAAHfc+WQ=")</f>
        <v>#REF!</v>
      </c>
      <c r="CX55" t="e">
        <f>AND(#REF!,"AAAAAHfc+WU=")</f>
        <v>#REF!</v>
      </c>
      <c r="CY55" t="e">
        <f>AND(#REF!,"AAAAAHfc+WY=")</f>
        <v>#REF!</v>
      </c>
      <c r="CZ55" t="e">
        <f>AND(#REF!,"AAAAAHfc+Wc=")</f>
        <v>#REF!</v>
      </c>
      <c r="DA55" t="e">
        <f>AND(#REF!,"AAAAAHfc+Wg=")</f>
        <v>#REF!</v>
      </c>
      <c r="DB55" t="e">
        <f>AND(#REF!,"AAAAAHfc+Wk=")</f>
        <v>#REF!</v>
      </c>
      <c r="DC55" t="e">
        <f>AND(#REF!,"AAAAAHfc+Wo=")</f>
        <v>#REF!</v>
      </c>
      <c r="DD55" t="e">
        <f>AND(#REF!,"AAAAAHfc+Ws=")</f>
        <v>#REF!</v>
      </c>
      <c r="DE55" t="e">
        <f>AND(#REF!,"AAAAAHfc+Ww=")</f>
        <v>#REF!</v>
      </c>
      <c r="DF55" t="e">
        <f>AND(#REF!,"AAAAAHfc+W0=")</f>
        <v>#REF!</v>
      </c>
      <c r="DG55" t="e">
        <f>AND(#REF!,"AAAAAHfc+W4=")</f>
        <v>#REF!</v>
      </c>
      <c r="DH55" t="e">
        <f>AND(#REF!,"AAAAAHfc+W8=")</f>
        <v>#REF!</v>
      </c>
      <c r="DI55" t="e">
        <f>AND(#REF!,"AAAAAHfc+XA=")</f>
        <v>#REF!</v>
      </c>
      <c r="DJ55" t="e">
        <f>AND(#REF!,"AAAAAHfc+XE=")</f>
        <v>#REF!</v>
      </c>
      <c r="DK55" t="e">
        <f>AND(#REF!,"AAAAAHfc+XI=")</f>
        <v>#REF!</v>
      </c>
      <c r="DL55" t="e">
        <f>AND(#REF!,"AAAAAHfc+XM=")</f>
        <v>#REF!</v>
      </c>
      <c r="DM55" t="e">
        <f>AND(#REF!,"AAAAAHfc+XQ=")</f>
        <v>#REF!</v>
      </c>
      <c r="DN55" t="e">
        <f>AND(#REF!,"AAAAAHfc+XU=")</f>
        <v>#REF!</v>
      </c>
      <c r="DO55" t="e">
        <f>AND(#REF!,"AAAAAHfc+XY=")</f>
        <v>#REF!</v>
      </c>
      <c r="DP55" t="e">
        <f>AND(#REF!,"AAAAAHfc+Xc=")</f>
        <v>#REF!</v>
      </c>
      <c r="DQ55" t="e">
        <f>AND(#REF!,"AAAAAHfc+Xg=")</f>
        <v>#REF!</v>
      </c>
      <c r="DR55" t="e">
        <f>AND(#REF!,"AAAAAHfc+Xk=")</f>
        <v>#REF!</v>
      </c>
      <c r="DS55" t="e">
        <f>AND(#REF!,"AAAAAHfc+Xo=")</f>
        <v>#REF!</v>
      </c>
      <c r="DT55" t="e">
        <f>AND(#REF!,"AAAAAHfc+Xs=")</f>
        <v>#REF!</v>
      </c>
      <c r="DU55" t="e">
        <f>AND(#REF!,"AAAAAHfc+Xw=")</f>
        <v>#REF!</v>
      </c>
      <c r="DV55" t="e">
        <f>AND(#REF!,"AAAAAHfc+X0=")</f>
        <v>#REF!</v>
      </c>
      <c r="DW55" t="e">
        <f>AND(#REF!,"AAAAAHfc+X4=")</f>
        <v>#REF!</v>
      </c>
      <c r="DX55" t="e">
        <f>AND(#REF!,"AAAAAHfc+X8=")</f>
        <v>#REF!</v>
      </c>
      <c r="DY55" t="e">
        <f>AND(#REF!,"AAAAAHfc+YA=")</f>
        <v>#REF!</v>
      </c>
      <c r="DZ55" t="e">
        <f>AND(#REF!,"AAAAAHfc+YE=")</f>
        <v>#REF!</v>
      </c>
      <c r="EA55" t="e">
        <f>IF(#REF!,"AAAAAHfc+YI=",0)</f>
        <v>#REF!</v>
      </c>
      <c r="EB55" t="e">
        <f>AND(#REF!,"AAAAAHfc+YM=")</f>
        <v>#REF!</v>
      </c>
      <c r="EC55" t="e">
        <f>AND(#REF!,"AAAAAHfc+YQ=")</f>
        <v>#REF!</v>
      </c>
      <c r="ED55" t="e">
        <f>AND(#REF!,"AAAAAHfc+YU=")</f>
        <v>#REF!</v>
      </c>
      <c r="EE55" t="e">
        <f>AND(#REF!,"AAAAAHfc+YY=")</f>
        <v>#REF!</v>
      </c>
      <c r="EF55" t="e">
        <f>AND(#REF!,"AAAAAHfc+Yc=")</f>
        <v>#REF!</v>
      </c>
      <c r="EG55" t="e">
        <f>AND(#REF!,"AAAAAHfc+Yg=")</f>
        <v>#REF!</v>
      </c>
      <c r="EH55" t="e">
        <f>AND(#REF!,"AAAAAHfc+Yk=")</f>
        <v>#REF!</v>
      </c>
      <c r="EI55" t="e">
        <f>AND(#REF!,"AAAAAHfc+Yo=")</f>
        <v>#REF!</v>
      </c>
      <c r="EJ55" t="e">
        <f>AND(#REF!,"AAAAAHfc+Ys=")</f>
        <v>#REF!</v>
      </c>
      <c r="EK55" t="e">
        <f>AND(#REF!,"AAAAAHfc+Yw=")</f>
        <v>#REF!</v>
      </c>
      <c r="EL55" t="e">
        <f>AND(#REF!,"AAAAAHfc+Y0=")</f>
        <v>#REF!</v>
      </c>
      <c r="EM55" t="e">
        <f>AND(#REF!,"AAAAAHfc+Y4=")</f>
        <v>#REF!</v>
      </c>
      <c r="EN55" t="e">
        <f>AND(#REF!,"AAAAAHfc+Y8=")</f>
        <v>#REF!</v>
      </c>
      <c r="EO55" t="e">
        <f>AND(#REF!,"AAAAAHfc+ZA=")</f>
        <v>#REF!</v>
      </c>
      <c r="EP55" t="e">
        <f>AND(#REF!,"AAAAAHfc+ZE=")</f>
        <v>#REF!</v>
      </c>
      <c r="EQ55" t="e">
        <f>AND(#REF!,"AAAAAHfc+ZI=")</f>
        <v>#REF!</v>
      </c>
      <c r="ER55" t="e">
        <f>AND(#REF!,"AAAAAHfc+ZM=")</f>
        <v>#REF!</v>
      </c>
      <c r="ES55" t="e">
        <f>AND(#REF!,"AAAAAHfc+ZQ=")</f>
        <v>#REF!</v>
      </c>
      <c r="ET55" t="e">
        <f>AND(#REF!,"AAAAAHfc+ZU=")</f>
        <v>#REF!</v>
      </c>
      <c r="EU55" t="e">
        <f>AND(#REF!,"AAAAAHfc+ZY=")</f>
        <v>#REF!</v>
      </c>
      <c r="EV55" t="e">
        <f>AND(#REF!,"AAAAAHfc+Zc=")</f>
        <v>#REF!</v>
      </c>
      <c r="EW55" t="e">
        <f>AND(#REF!,"AAAAAHfc+Zg=")</f>
        <v>#REF!</v>
      </c>
      <c r="EX55" t="e">
        <f>AND(#REF!,"AAAAAHfc+Zk=")</f>
        <v>#REF!</v>
      </c>
      <c r="EY55" t="e">
        <f>AND(#REF!,"AAAAAHfc+Zo=")</f>
        <v>#REF!</v>
      </c>
      <c r="EZ55" t="e">
        <f>AND(#REF!,"AAAAAHfc+Zs=")</f>
        <v>#REF!</v>
      </c>
      <c r="FA55" t="e">
        <f>AND(#REF!,"AAAAAHfc+Zw=")</f>
        <v>#REF!</v>
      </c>
      <c r="FB55" t="e">
        <f>AND(#REF!,"AAAAAHfc+Z0=")</f>
        <v>#REF!</v>
      </c>
      <c r="FC55" t="e">
        <f>AND(#REF!,"AAAAAHfc+Z4=")</f>
        <v>#REF!</v>
      </c>
      <c r="FD55" t="e">
        <f>AND(#REF!,"AAAAAHfc+Z8=")</f>
        <v>#REF!</v>
      </c>
      <c r="FE55" t="e">
        <f>AND(#REF!,"AAAAAHfc+aA=")</f>
        <v>#REF!</v>
      </c>
      <c r="FF55" t="e">
        <f>AND(#REF!,"AAAAAHfc+aE=")</f>
        <v>#REF!</v>
      </c>
      <c r="FG55" t="e">
        <f>AND(#REF!,"AAAAAHfc+aI=")</f>
        <v>#REF!</v>
      </c>
      <c r="FH55" t="e">
        <f>AND(#REF!,"AAAAAHfc+aM=")</f>
        <v>#REF!</v>
      </c>
      <c r="FI55" t="e">
        <f>AND(#REF!,"AAAAAHfc+aQ=")</f>
        <v>#REF!</v>
      </c>
      <c r="FJ55" t="e">
        <f>AND(#REF!,"AAAAAHfc+aU=")</f>
        <v>#REF!</v>
      </c>
      <c r="FK55" t="e">
        <f>AND(#REF!,"AAAAAHfc+aY=")</f>
        <v>#REF!</v>
      </c>
      <c r="FL55" t="e">
        <f>AND(#REF!,"AAAAAHfc+ac=")</f>
        <v>#REF!</v>
      </c>
      <c r="FM55" t="e">
        <f>AND(#REF!,"AAAAAHfc+ag=")</f>
        <v>#REF!</v>
      </c>
      <c r="FN55" t="e">
        <f>AND(#REF!,"AAAAAHfc+ak=")</f>
        <v>#REF!</v>
      </c>
      <c r="FO55" t="e">
        <f>AND(#REF!,"AAAAAHfc+ao=")</f>
        <v>#REF!</v>
      </c>
      <c r="FP55" t="e">
        <f>AND(#REF!,"AAAAAHfc+as=")</f>
        <v>#REF!</v>
      </c>
      <c r="FQ55" t="e">
        <f>AND(#REF!,"AAAAAHfc+aw=")</f>
        <v>#REF!</v>
      </c>
      <c r="FR55" t="e">
        <f>AND(#REF!,"AAAAAHfc+a0=")</f>
        <v>#REF!</v>
      </c>
      <c r="FS55" t="e">
        <f>AND(#REF!,"AAAAAHfc+a4=")</f>
        <v>#REF!</v>
      </c>
      <c r="FT55" t="e">
        <f>AND(#REF!,"AAAAAHfc+a8=")</f>
        <v>#REF!</v>
      </c>
      <c r="FU55" t="e">
        <f>AND(#REF!,"AAAAAHfc+bA=")</f>
        <v>#REF!</v>
      </c>
      <c r="FV55" t="e">
        <f>AND(#REF!,"AAAAAHfc+bE=")</f>
        <v>#REF!</v>
      </c>
      <c r="FW55" t="e">
        <f>AND(#REF!,"AAAAAHfc+bI=")</f>
        <v>#REF!</v>
      </c>
      <c r="FX55" t="e">
        <f>AND(#REF!,"AAAAAHfc+bM=")</f>
        <v>#REF!</v>
      </c>
      <c r="FY55" t="e">
        <f>AND(#REF!,"AAAAAHfc+bQ=")</f>
        <v>#REF!</v>
      </c>
      <c r="FZ55" t="e">
        <f>AND(#REF!,"AAAAAHfc+bU=")</f>
        <v>#REF!</v>
      </c>
      <c r="GA55" t="e">
        <f>AND(#REF!,"AAAAAHfc+bY=")</f>
        <v>#REF!</v>
      </c>
      <c r="GB55" t="e">
        <f>AND(#REF!,"AAAAAHfc+bc=")</f>
        <v>#REF!</v>
      </c>
      <c r="GC55" t="e">
        <f>AND(#REF!,"AAAAAHfc+bg=")</f>
        <v>#REF!</v>
      </c>
      <c r="GD55" t="e">
        <f>AND(#REF!,"AAAAAHfc+bk=")</f>
        <v>#REF!</v>
      </c>
      <c r="GE55" t="e">
        <f>AND(#REF!,"AAAAAHfc+bo=")</f>
        <v>#REF!</v>
      </c>
      <c r="GF55" t="e">
        <f>AND(#REF!,"AAAAAHfc+bs=")</f>
        <v>#REF!</v>
      </c>
      <c r="GG55" t="e">
        <f>AND(#REF!,"AAAAAHfc+bw=")</f>
        <v>#REF!</v>
      </c>
      <c r="GH55" t="e">
        <f>AND(#REF!,"AAAAAHfc+b0=")</f>
        <v>#REF!</v>
      </c>
      <c r="GI55" t="e">
        <f>AND(#REF!,"AAAAAHfc+b4=")</f>
        <v>#REF!</v>
      </c>
      <c r="GJ55" t="e">
        <f>AND(#REF!,"AAAAAHfc+b8=")</f>
        <v>#REF!</v>
      </c>
      <c r="GK55" t="e">
        <f>AND(#REF!,"AAAAAHfc+cA=")</f>
        <v>#REF!</v>
      </c>
      <c r="GL55" t="e">
        <f>AND(#REF!,"AAAAAHfc+cE=")</f>
        <v>#REF!</v>
      </c>
      <c r="GM55" t="e">
        <f>AND(#REF!,"AAAAAHfc+cI=")</f>
        <v>#REF!</v>
      </c>
      <c r="GN55" t="e">
        <f>AND(#REF!,"AAAAAHfc+cM=")</f>
        <v>#REF!</v>
      </c>
      <c r="GO55" t="e">
        <f>AND(#REF!,"AAAAAHfc+cQ=")</f>
        <v>#REF!</v>
      </c>
      <c r="GP55" t="e">
        <f>AND(#REF!,"AAAAAHfc+cU=")</f>
        <v>#REF!</v>
      </c>
      <c r="GQ55" t="e">
        <f>AND(#REF!,"AAAAAHfc+cY=")</f>
        <v>#REF!</v>
      </c>
      <c r="GR55" t="e">
        <f>AND(#REF!,"AAAAAHfc+cc=")</f>
        <v>#REF!</v>
      </c>
      <c r="GS55" t="e">
        <f>AND(#REF!,"AAAAAHfc+cg=")</f>
        <v>#REF!</v>
      </c>
      <c r="GT55" t="e">
        <f>AND(#REF!,"AAAAAHfc+ck=")</f>
        <v>#REF!</v>
      </c>
      <c r="GU55" t="e">
        <f>AND(#REF!,"AAAAAHfc+co=")</f>
        <v>#REF!</v>
      </c>
      <c r="GV55" t="e">
        <f>AND(#REF!,"AAAAAHfc+cs=")</f>
        <v>#REF!</v>
      </c>
      <c r="GW55" t="e">
        <f>AND(#REF!,"AAAAAHfc+cw=")</f>
        <v>#REF!</v>
      </c>
      <c r="GX55" t="e">
        <f>AND(#REF!,"AAAAAHfc+c0=")</f>
        <v>#REF!</v>
      </c>
      <c r="GY55" t="e">
        <f>AND(#REF!,"AAAAAHfc+c4=")</f>
        <v>#REF!</v>
      </c>
      <c r="GZ55" t="e">
        <f>AND(#REF!,"AAAAAHfc+c8=")</f>
        <v>#REF!</v>
      </c>
      <c r="HA55" t="e">
        <f>AND(#REF!,"AAAAAHfc+dA=")</f>
        <v>#REF!</v>
      </c>
      <c r="HB55" t="e">
        <f>AND(#REF!,"AAAAAHfc+dE=")</f>
        <v>#REF!</v>
      </c>
      <c r="HC55" t="e">
        <f>AND(#REF!,"AAAAAHfc+dI=")</f>
        <v>#REF!</v>
      </c>
      <c r="HD55" t="e">
        <f>AND(#REF!,"AAAAAHfc+dM=")</f>
        <v>#REF!</v>
      </c>
      <c r="HE55" t="e">
        <f>AND(#REF!,"AAAAAHfc+dQ=")</f>
        <v>#REF!</v>
      </c>
      <c r="HF55" t="e">
        <f>AND(#REF!,"AAAAAHfc+dU=")</f>
        <v>#REF!</v>
      </c>
      <c r="HG55" t="e">
        <f>AND(#REF!,"AAAAAHfc+dY=")</f>
        <v>#REF!</v>
      </c>
      <c r="HH55" t="e">
        <f>AND(#REF!,"AAAAAHfc+dc=")</f>
        <v>#REF!</v>
      </c>
      <c r="HI55" t="e">
        <f>AND(#REF!,"AAAAAHfc+dg=")</f>
        <v>#REF!</v>
      </c>
      <c r="HJ55" t="e">
        <f>AND(#REF!,"AAAAAHfc+dk=")</f>
        <v>#REF!</v>
      </c>
      <c r="HK55" t="e">
        <f>AND(#REF!,"AAAAAHfc+do=")</f>
        <v>#REF!</v>
      </c>
      <c r="HL55" t="e">
        <f>AND(#REF!,"AAAAAHfc+ds=")</f>
        <v>#REF!</v>
      </c>
      <c r="HM55" t="e">
        <f>AND(#REF!,"AAAAAHfc+dw=")</f>
        <v>#REF!</v>
      </c>
      <c r="HN55" t="e">
        <f>AND(#REF!,"AAAAAHfc+d0=")</f>
        <v>#REF!</v>
      </c>
      <c r="HO55" t="e">
        <f>AND(#REF!,"AAAAAHfc+d4=")</f>
        <v>#REF!</v>
      </c>
      <c r="HP55" t="e">
        <f>AND(#REF!,"AAAAAHfc+d8=")</f>
        <v>#REF!</v>
      </c>
      <c r="HQ55" t="e">
        <f>AND(#REF!,"AAAAAHfc+eA=")</f>
        <v>#REF!</v>
      </c>
      <c r="HR55" t="e">
        <f>AND(#REF!,"AAAAAHfc+eE=")</f>
        <v>#REF!</v>
      </c>
      <c r="HS55" t="e">
        <f>AND(#REF!,"AAAAAHfc+eI=")</f>
        <v>#REF!</v>
      </c>
      <c r="HT55" t="e">
        <f>AND(#REF!,"AAAAAHfc+eM=")</f>
        <v>#REF!</v>
      </c>
      <c r="HU55" t="e">
        <f>AND(#REF!,"AAAAAHfc+eQ=")</f>
        <v>#REF!</v>
      </c>
      <c r="HV55" t="e">
        <f>AND(#REF!,"AAAAAHfc+eU=")</f>
        <v>#REF!</v>
      </c>
      <c r="HW55" t="e">
        <f>AND(#REF!,"AAAAAHfc+eY=")</f>
        <v>#REF!</v>
      </c>
      <c r="HX55" t="e">
        <f>AND(#REF!,"AAAAAHfc+ec=")</f>
        <v>#REF!</v>
      </c>
      <c r="HY55" t="e">
        <f>AND(#REF!,"AAAAAHfc+eg=")</f>
        <v>#REF!</v>
      </c>
      <c r="HZ55" t="e">
        <f>AND(#REF!,"AAAAAHfc+ek=")</f>
        <v>#REF!</v>
      </c>
      <c r="IA55" t="e">
        <f>AND(#REF!,"AAAAAHfc+eo=")</f>
        <v>#REF!</v>
      </c>
      <c r="IB55" t="e">
        <f>AND(#REF!,"AAAAAHfc+es=")</f>
        <v>#REF!</v>
      </c>
      <c r="IC55" t="e">
        <f>AND(#REF!,"AAAAAHfc+ew=")</f>
        <v>#REF!</v>
      </c>
      <c r="ID55" t="e">
        <f>AND(#REF!,"AAAAAHfc+e0=")</f>
        <v>#REF!</v>
      </c>
      <c r="IE55" t="e">
        <f>AND(#REF!,"AAAAAHfc+e4=")</f>
        <v>#REF!</v>
      </c>
      <c r="IF55" t="e">
        <f>AND(#REF!,"AAAAAHfc+e8=")</f>
        <v>#REF!</v>
      </c>
      <c r="IG55" t="e">
        <f>AND(#REF!,"AAAAAHfc+fA=")</f>
        <v>#REF!</v>
      </c>
      <c r="IH55" t="e">
        <f>AND(#REF!,"AAAAAHfc+fE=")</f>
        <v>#REF!</v>
      </c>
      <c r="II55" t="e">
        <f>AND(#REF!,"AAAAAHfc+fI=")</f>
        <v>#REF!</v>
      </c>
      <c r="IJ55" t="e">
        <f>AND(#REF!,"AAAAAHfc+fM=")</f>
        <v>#REF!</v>
      </c>
      <c r="IK55" t="e">
        <f>AND(#REF!,"AAAAAHfc+fQ=")</f>
        <v>#REF!</v>
      </c>
      <c r="IL55" t="e">
        <f>AND(#REF!,"AAAAAHfc+fU=")</f>
        <v>#REF!</v>
      </c>
      <c r="IM55" t="e">
        <f>AND(#REF!,"AAAAAHfc+fY=")</f>
        <v>#REF!</v>
      </c>
      <c r="IN55" t="e">
        <f>AND(#REF!,"AAAAAHfc+fc=")</f>
        <v>#REF!</v>
      </c>
      <c r="IO55" t="e">
        <f>AND(#REF!,"AAAAAHfc+fg=")</f>
        <v>#REF!</v>
      </c>
      <c r="IP55" t="e">
        <f>AND(#REF!,"AAAAAHfc+fk=")</f>
        <v>#REF!</v>
      </c>
      <c r="IQ55" t="e">
        <f>AND(#REF!,"AAAAAHfc+fo=")</f>
        <v>#REF!</v>
      </c>
      <c r="IR55" t="e">
        <f>AND(#REF!,"AAAAAHfc+fs=")</f>
        <v>#REF!</v>
      </c>
      <c r="IS55" t="e">
        <f>AND(#REF!,"AAAAAHfc+fw=")</f>
        <v>#REF!</v>
      </c>
      <c r="IT55" t="e">
        <f>AND(#REF!,"AAAAAHfc+f0=")</f>
        <v>#REF!</v>
      </c>
      <c r="IU55" t="e">
        <f>AND(#REF!,"AAAAAHfc+f4=")</f>
        <v>#REF!</v>
      </c>
      <c r="IV55" t="e">
        <f>AND(#REF!,"AAAAAHfc+f8=")</f>
        <v>#REF!</v>
      </c>
    </row>
    <row r="56" spans="1:256" x14ac:dyDescent="0.2">
      <c r="A56" t="e">
        <f>AND(#REF!,"AAAAACW9rgA=")</f>
        <v>#REF!</v>
      </c>
      <c r="B56" t="e">
        <f>AND(#REF!,"AAAAACW9rgE=")</f>
        <v>#REF!</v>
      </c>
      <c r="C56" t="e">
        <f>AND(#REF!,"AAAAACW9rgI=")</f>
        <v>#REF!</v>
      </c>
      <c r="D56" t="e">
        <f>AND(#REF!,"AAAAACW9rgM=")</f>
        <v>#REF!</v>
      </c>
      <c r="E56" t="e">
        <f>AND(#REF!,"AAAAACW9rgQ=")</f>
        <v>#REF!</v>
      </c>
      <c r="F56" t="e">
        <f>AND(#REF!,"AAAAACW9rgU=")</f>
        <v>#REF!</v>
      </c>
      <c r="G56" t="e">
        <f>AND(#REF!,"AAAAACW9rgY=")</f>
        <v>#REF!</v>
      </c>
      <c r="H56" t="e">
        <f>AND(#REF!,"AAAAACW9rgc=")</f>
        <v>#REF!</v>
      </c>
      <c r="I56" t="e">
        <f>AND(#REF!,"AAAAACW9rgg=")</f>
        <v>#REF!</v>
      </c>
      <c r="J56" t="e">
        <f>AND(#REF!,"AAAAACW9rgk=")</f>
        <v>#REF!</v>
      </c>
      <c r="K56" t="e">
        <f>AND(#REF!,"AAAAACW9rgo=")</f>
        <v>#REF!</v>
      </c>
      <c r="L56" t="e">
        <f>AND(#REF!,"AAAAACW9rgs=")</f>
        <v>#REF!</v>
      </c>
      <c r="M56" t="e">
        <f>AND(#REF!,"AAAAACW9rgw=")</f>
        <v>#REF!</v>
      </c>
      <c r="N56" t="e">
        <f>AND(#REF!,"AAAAACW9rg0=")</f>
        <v>#REF!</v>
      </c>
      <c r="O56" t="e">
        <f>AND(#REF!,"AAAAACW9rg4=")</f>
        <v>#REF!</v>
      </c>
      <c r="P56" t="e">
        <f>AND(#REF!,"AAAAACW9rg8=")</f>
        <v>#REF!</v>
      </c>
      <c r="Q56" t="e">
        <f>AND(#REF!,"AAAAACW9rhA=")</f>
        <v>#REF!</v>
      </c>
      <c r="R56" t="e">
        <f>AND(#REF!,"AAAAACW9rhE=")</f>
        <v>#REF!</v>
      </c>
      <c r="S56" t="e">
        <f>AND(#REF!,"AAAAACW9rhI=")</f>
        <v>#REF!</v>
      </c>
      <c r="T56" t="e">
        <f>AND(#REF!,"AAAAACW9rhM=")</f>
        <v>#REF!</v>
      </c>
      <c r="U56" t="e">
        <f>AND(#REF!,"AAAAACW9rhQ=")</f>
        <v>#REF!</v>
      </c>
      <c r="V56" t="e">
        <f>AND(#REF!,"AAAAACW9rhU=")</f>
        <v>#REF!</v>
      </c>
      <c r="W56" t="e">
        <f>AND(#REF!,"AAAAACW9rhY=")</f>
        <v>#REF!</v>
      </c>
      <c r="X56" t="e">
        <f>AND(#REF!,"AAAAACW9rhc=")</f>
        <v>#REF!</v>
      </c>
      <c r="Y56" t="e">
        <f>AND(#REF!,"AAAAACW9rhg=")</f>
        <v>#REF!</v>
      </c>
      <c r="Z56" t="e">
        <f>AND(#REF!,"AAAAACW9rhk=")</f>
        <v>#REF!</v>
      </c>
      <c r="AA56" t="e">
        <f>AND(#REF!,"AAAAACW9rho=")</f>
        <v>#REF!</v>
      </c>
      <c r="AB56" t="e">
        <f>AND(#REF!,"AAAAACW9rhs=")</f>
        <v>#REF!</v>
      </c>
      <c r="AC56" t="e">
        <f>AND(#REF!,"AAAAACW9rhw=")</f>
        <v>#REF!</v>
      </c>
      <c r="AD56" t="e">
        <f>AND(#REF!,"AAAAACW9rh0=")</f>
        <v>#REF!</v>
      </c>
      <c r="AE56" t="e">
        <f>AND(#REF!,"AAAAACW9rh4=")</f>
        <v>#REF!</v>
      </c>
      <c r="AF56" t="e">
        <f>AND(#REF!,"AAAAACW9rh8=")</f>
        <v>#REF!</v>
      </c>
      <c r="AG56" t="e">
        <f>AND(#REF!,"AAAAACW9riA=")</f>
        <v>#REF!</v>
      </c>
      <c r="AH56" t="e">
        <f>AND(#REF!,"AAAAACW9riE=")</f>
        <v>#REF!</v>
      </c>
      <c r="AI56" t="e">
        <f>AND(#REF!,"AAAAACW9riI=")</f>
        <v>#REF!</v>
      </c>
      <c r="AJ56" t="e">
        <f>AND(#REF!,"AAAAACW9riM=")</f>
        <v>#REF!</v>
      </c>
      <c r="AK56" t="e">
        <f>AND(#REF!,"AAAAACW9riQ=")</f>
        <v>#REF!</v>
      </c>
      <c r="AL56" t="e">
        <f>AND(#REF!,"AAAAACW9riU=")</f>
        <v>#REF!</v>
      </c>
      <c r="AM56" t="e">
        <f>AND(#REF!,"AAAAACW9riY=")</f>
        <v>#REF!</v>
      </c>
      <c r="AN56" t="e">
        <f>AND(#REF!,"AAAAACW9ric=")</f>
        <v>#REF!</v>
      </c>
      <c r="AO56" t="e">
        <f>AND(#REF!,"AAAAACW9rig=")</f>
        <v>#REF!</v>
      </c>
      <c r="AP56" t="e">
        <f>AND(#REF!,"AAAAACW9rik=")</f>
        <v>#REF!</v>
      </c>
      <c r="AQ56" t="e">
        <f>AND(#REF!,"AAAAACW9rio=")</f>
        <v>#REF!</v>
      </c>
      <c r="AR56" t="e">
        <f>AND(#REF!,"AAAAACW9ris=")</f>
        <v>#REF!</v>
      </c>
      <c r="AS56" t="e">
        <f>AND(#REF!,"AAAAACW9riw=")</f>
        <v>#REF!</v>
      </c>
      <c r="AT56" t="e">
        <f>AND(#REF!,"AAAAACW9ri0=")</f>
        <v>#REF!</v>
      </c>
      <c r="AU56" t="e">
        <f>AND(#REF!,"AAAAACW9ri4=")</f>
        <v>#REF!</v>
      </c>
      <c r="AV56" t="e">
        <f>AND(#REF!,"AAAAACW9ri8=")</f>
        <v>#REF!</v>
      </c>
      <c r="AW56" t="e">
        <f>AND(#REF!,"AAAAACW9rjA=")</f>
        <v>#REF!</v>
      </c>
      <c r="AX56" t="e">
        <f>AND(#REF!,"AAAAACW9rjE=")</f>
        <v>#REF!</v>
      </c>
      <c r="AY56" t="e">
        <f>AND(#REF!,"AAAAACW9rjI=")</f>
        <v>#REF!</v>
      </c>
      <c r="AZ56" t="e">
        <f>AND(#REF!,"AAAAACW9rjM=")</f>
        <v>#REF!</v>
      </c>
      <c r="BA56" t="e">
        <f>AND(#REF!,"AAAAACW9rjQ=")</f>
        <v>#REF!</v>
      </c>
      <c r="BB56" t="e">
        <f>AND(#REF!,"AAAAACW9rjU=")</f>
        <v>#REF!</v>
      </c>
      <c r="BC56" t="e">
        <f>AND(#REF!,"AAAAACW9rjY=")</f>
        <v>#REF!</v>
      </c>
      <c r="BD56" t="e">
        <f>IF(#REF!,"AAAAACW9rjc=",0)</f>
        <v>#REF!</v>
      </c>
      <c r="BE56" t="e">
        <f>AND(#REF!,"AAAAACW9rjg=")</f>
        <v>#REF!</v>
      </c>
      <c r="BF56" t="e">
        <f>AND(#REF!,"AAAAACW9rjk=")</f>
        <v>#REF!</v>
      </c>
      <c r="BG56" t="e">
        <f>AND(#REF!,"AAAAACW9rjo=")</f>
        <v>#REF!</v>
      </c>
      <c r="BH56" t="e">
        <f>AND(#REF!,"AAAAACW9rjs=")</f>
        <v>#REF!</v>
      </c>
      <c r="BI56" t="e">
        <f>AND(#REF!,"AAAAACW9rjw=")</f>
        <v>#REF!</v>
      </c>
      <c r="BJ56" t="e">
        <f>AND(#REF!,"AAAAACW9rj0=")</f>
        <v>#REF!</v>
      </c>
      <c r="BK56" t="e">
        <f>AND(#REF!,"AAAAACW9rj4=")</f>
        <v>#REF!</v>
      </c>
      <c r="BL56" t="e">
        <f>AND(#REF!,"AAAAACW9rj8=")</f>
        <v>#REF!</v>
      </c>
      <c r="BM56" t="e">
        <f>AND(#REF!,"AAAAACW9rkA=")</f>
        <v>#REF!</v>
      </c>
      <c r="BN56" t="e">
        <f>AND(#REF!,"AAAAACW9rkE=")</f>
        <v>#REF!</v>
      </c>
      <c r="BO56" t="e">
        <f>AND(#REF!,"AAAAACW9rkI=")</f>
        <v>#REF!</v>
      </c>
      <c r="BP56" t="e">
        <f>AND(#REF!,"AAAAACW9rkM=")</f>
        <v>#REF!</v>
      </c>
      <c r="BQ56" t="e">
        <f>AND(#REF!,"AAAAACW9rkQ=")</f>
        <v>#REF!</v>
      </c>
      <c r="BR56" t="e">
        <f>AND(#REF!,"AAAAACW9rkU=")</f>
        <v>#REF!</v>
      </c>
      <c r="BS56" t="e">
        <f>AND(#REF!,"AAAAACW9rkY=")</f>
        <v>#REF!</v>
      </c>
      <c r="BT56" t="e">
        <f>AND(#REF!,"AAAAACW9rkc=")</f>
        <v>#REF!</v>
      </c>
      <c r="BU56" t="e">
        <f>AND(#REF!,"AAAAACW9rkg=")</f>
        <v>#REF!</v>
      </c>
      <c r="BV56" t="e">
        <f>AND(#REF!,"AAAAACW9rkk=")</f>
        <v>#REF!</v>
      </c>
      <c r="BW56" t="e">
        <f>AND(#REF!,"AAAAACW9rko=")</f>
        <v>#REF!</v>
      </c>
      <c r="BX56" t="e">
        <f>AND(#REF!,"AAAAACW9rks=")</f>
        <v>#REF!</v>
      </c>
      <c r="BY56" t="e">
        <f>AND(#REF!,"AAAAACW9rkw=")</f>
        <v>#REF!</v>
      </c>
      <c r="BZ56" t="e">
        <f>AND(#REF!,"AAAAACW9rk0=")</f>
        <v>#REF!</v>
      </c>
      <c r="CA56" t="e">
        <f>AND(#REF!,"AAAAACW9rk4=")</f>
        <v>#REF!</v>
      </c>
      <c r="CB56" t="e">
        <f>AND(#REF!,"AAAAACW9rk8=")</f>
        <v>#REF!</v>
      </c>
      <c r="CC56" t="e">
        <f>AND(#REF!,"AAAAACW9rlA=")</f>
        <v>#REF!</v>
      </c>
      <c r="CD56" t="e">
        <f>AND(#REF!,"AAAAACW9rlE=")</f>
        <v>#REF!</v>
      </c>
      <c r="CE56" t="e">
        <f>AND(#REF!,"AAAAACW9rlI=")</f>
        <v>#REF!</v>
      </c>
      <c r="CF56" t="e">
        <f>AND(#REF!,"AAAAACW9rlM=")</f>
        <v>#REF!</v>
      </c>
      <c r="CG56" t="e">
        <f>AND(#REF!,"AAAAACW9rlQ=")</f>
        <v>#REF!</v>
      </c>
      <c r="CH56" t="e">
        <f>AND(#REF!,"AAAAACW9rlU=")</f>
        <v>#REF!</v>
      </c>
      <c r="CI56" t="e">
        <f>AND(#REF!,"AAAAACW9rlY=")</f>
        <v>#REF!</v>
      </c>
      <c r="CJ56" t="e">
        <f>AND(#REF!,"AAAAACW9rlc=")</f>
        <v>#REF!</v>
      </c>
      <c r="CK56" t="e">
        <f>AND(#REF!,"AAAAACW9rlg=")</f>
        <v>#REF!</v>
      </c>
      <c r="CL56" t="e">
        <f>AND(#REF!,"AAAAACW9rlk=")</f>
        <v>#REF!</v>
      </c>
      <c r="CM56" t="e">
        <f>AND(#REF!,"AAAAACW9rlo=")</f>
        <v>#REF!</v>
      </c>
      <c r="CN56" t="e">
        <f>AND(#REF!,"AAAAACW9rls=")</f>
        <v>#REF!</v>
      </c>
      <c r="CO56" t="e">
        <f>AND(#REF!,"AAAAACW9rlw=")</f>
        <v>#REF!</v>
      </c>
      <c r="CP56" t="e">
        <f>AND(#REF!,"AAAAACW9rl0=")</f>
        <v>#REF!</v>
      </c>
      <c r="CQ56" t="e">
        <f>AND(#REF!,"AAAAACW9rl4=")</f>
        <v>#REF!</v>
      </c>
      <c r="CR56" t="e">
        <f>AND(#REF!,"AAAAACW9rl8=")</f>
        <v>#REF!</v>
      </c>
      <c r="CS56" t="e">
        <f>AND(#REF!,"AAAAACW9rmA=")</f>
        <v>#REF!</v>
      </c>
      <c r="CT56" t="e">
        <f>AND(#REF!,"AAAAACW9rmE=")</f>
        <v>#REF!</v>
      </c>
      <c r="CU56" t="e">
        <f>AND(#REF!,"AAAAACW9rmI=")</f>
        <v>#REF!</v>
      </c>
      <c r="CV56" t="e">
        <f>AND(#REF!,"AAAAACW9rmM=")</f>
        <v>#REF!</v>
      </c>
      <c r="CW56" t="e">
        <f>AND(#REF!,"AAAAACW9rmQ=")</f>
        <v>#REF!</v>
      </c>
      <c r="CX56" t="e">
        <f>AND(#REF!,"AAAAACW9rmU=")</f>
        <v>#REF!</v>
      </c>
      <c r="CY56" t="e">
        <f>AND(#REF!,"AAAAACW9rmY=")</f>
        <v>#REF!</v>
      </c>
      <c r="CZ56" t="e">
        <f>AND(#REF!,"AAAAACW9rmc=")</f>
        <v>#REF!</v>
      </c>
      <c r="DA56" t="e">
        <f>AND(#REF!,"AAAAACW9rmg=")</f>
        <v>#REF!</v>
      </c>
      <c r="DB56" t="e">
        <f>AND(#REF!,"AAAAACW9rmk=")</f>
        <v>#REF!</v>
      </c>
      <c r="DC56" t="e">
        <f>AND(#REF!,"AAAAACW9rmo=")</f>
        <v>#REF!</v>
      </c>
      <c r="DD56" t="e">
        <f>AND(#REF!,"AAAAACW9rms=")</f>
        <v>#REF!</v>
      </c>
      <c r="DE56" t="e">
        <f>AND(#REF!,"AAAAACW9rmw=")</f>
        <v>#REF!</v>
      </c>
      <c r="DF56" t="e">
        <f>AND(#REF!,"AAAAACW9rm0=")</f>
        <v>#REF!</v>
      </c>
      <c r="DG56" t="e">
        <f>AND(#REF!,"AAAAACW9rm4=")</f>
        <v>#REF!</v>
      </c>
      <c r="DH56" t="e">
        <f>AND(#REF!,"AAAAACW9rm8=")</f>
        <v>#REF!</v>
      </c>
      <c r="DI56" t="e">
        <f>AND(#REF!,"AAAAACW9rnA=")</f>
        <v>#REF!</v>
      </c>
      <c r="DJ56" t="e">
        <f>AND(#REF!,"AAAAACW9rnE=")</f>
        <v>#REF!</v>
      </c>
      <c r="DK56" t="e">
        <f>AND(#REF!,"AAAAACW9rnI=")</f>
        <v>#REF!</v>
      </c>
      <c r="DL56" t="e">
        <f>AND(#REF!,"AAAAACW9rnM=")</f>
        <v>#REF!</v>
      </c>
      <c r="DM56" t="e">
        <f>AND(#REF!,"AAAAACW9rnQ=")</f>
        <v>#REF!</v>
      </c>
      <c r="DN56" t="e">
        <f>AND(#REF!,"AAAAACW9rnU=")</f>
        <v>#REF!</v>
      </c>
      <c r="DO56" t="e">
        <f>AND(#REF!,"AAAAACW9rnY=")</f>
        <v>#REF!</v>
      </c>
      <c r="DP56" t="e">
        <f>AND(#REF!,"AAAAACW9rnc=")</f>
        <v>#REF!</v>
      </c>
      <c r="DQ56" t="e">
        <f>AND(#REF!,"AAAAACW9rng=")</f>
        <v>#REF!</v>
      </c>
      <c r="DR56" t="e">
        <f>AND(#REF!,"AAAAACW9rnk=")</f>
        <v>#REF!</v>
      </c>
      <c r="DS56" t="e">
        <f>AND(#REF!,"AAAAACW9rno=")</f>
        <v>#REF!</v>
      </c>
      <c r="DT56" t="e">
        <f>AND(#REF!,"AAAAACW9rns=")</f>
        <v>#REF!</v>
      </c>
      <c r="DU56" t="e">
        <f>AND(#REF!,"AAAAACW9rnw=")</f>
        <v>#REF!</v>
      </c>
      <c r="DV56" t="e">
        <f>AND(#REF!,"AAAAACW9rn0=")</f>
        <v>#REF!</v>
      </c>
      <c r="DW56" t="e">
        <f>AND(#REF!,"AAAAACW9rn4=")</f>
        <v>#REF!</v>
      </c>
      <c r="DX56" t="e">
        <f>AND(#REF!,"AAAAACW9rn8=")</f>
        <v>#REF!</v>
      </c>
      <c r="DY56" t="e">
        <f>AND(#REF!,"AAAAACW9roA=")</f>
        <v>#REF!</v>
      </c>
      <c r="DZ56" t="e">
        <f>AND(#REF!,"AAAAACW9roE=")</f>
        <v>#REF!</v>
      </c>
      <c r="EA56" t="e">
        <f>AND(#REF!,"AAAAACW9roI=")</f>
        <v>#REF!</v>
      </c>
      <c r="EB56" t="e">
        <f>AND(#REF!,"AAAAACW9roM=")</f>
        <v>#REF!</v>
      </c>
      <c r="EC56" t="e">
        <f>AND(#REF!,"AAAAACW9roQ=")</f>
        <v>#REF!</v>
      </c>
      <c r="ED56" t="e">
        <f>AND(#REF!,"AAAAACW9roU=")</f>
        <v>#REF!</v>
      </c>
      <c r="EE56" t="e">
        <f>AND(#REF!,"AAAAACW9roY=")</f>
        <v>#REF!</v>
      </c>
      <c r="EF56" t="e">
        <f>AND(#REF!,"AAAAACW9roc=")</f>
        <v>#REF!</v>
      </c>
      <c r="EG56" t="e">
        <f>AND(#REF!,"AAAAACW9rog=")</f>
        <v>#REF!</v>
      </c>
      <c r="EH56" t="e">
        <f>AND(#REF!,"AAAAACW9rok=")</f>
        <v>#REF!</v>
      </c>
      <c r="EI56" t="e">
        <f>AND(#REF!,"AAAAACW9roo=")</f>
        <v>#REF!</v>
      </c>
      <c r="EJ56" t="e">
        <f>AND(#REF!,"AAAAACW9ros=")</f>
        <v>#REF!</v>
      </c>
      <c r="EK56" t="e">
        <f>AND(#REF!,"AAAAACW9row=")</f>
        <v>#REF!</v>
      </c>
      <c r="EL56" t="e">
        <f>AND(#REF!,"AAAAACW9ro0=")</f>
        <v>#REF!</v>
      </c>
      <c r="EM56" t="e">
        <f>AND(#REF!,"AAAAACW9ro4=")</f>
        <v>#REF!</v>
      </c>
      <c r="EN56" t="e">
        <f>AND(#REF!,"AAAAACW9ro8=")</f>
        <v>#REF!</v>
      </c>
      <c r="EO56" t="e">
        <f>AND(#REF!,"AAAAACW9rpA=")</f>
        <v>#REF!</v>
      </c>
      <c r="EP56" t="e">
        <f>AND(#REF!,"AAAAACW9rpE=")</f>
        <v>#REF!</v>
      </c>
      <c r="EQ56" t="e">
        <f>AND(#REF!,"AAAAACW9rpI=")</f>
        <v>#REF!</v>
      </c>
      <c r="ER56" t="e">
        <f>AND(#REF!,"AAAAACW9rpM=")</f>
        <v>#REF!</v>
      </c>
      <c r="ES56" t="e">
        <f>AND(#REF!,"AAAAACW9rpQ=")</f>
        <v>#REF!</v>
      </c>
      <c r="ET56" t="e">
        <f>AND(#REF!,"AAAAACW9rpU=")</f>
        <v>#REF!</v>
      </c>
      <c r="EU56" t="e">
        <f>AND(#REF!,"AAAAACW9rpY=")</f>
        <v>#REF!</v>
      </c>
      <c r="EV56" t="e">
        <f>AND(#REF!,"AAAAACW9rpc=")</f>
        <v>#REF!</v>
      </c>
      <c r="EW56" t="e">
        <f>AND(#REF!,"AAAAACW9rpg=")</f>
        <v>#REF!</v>
      </c>
      <c r="EX56" t="e">
        <f>AND(#REF!,"AAAAACW9rpk=")</f>
        <v>#REF!</v>
      </c>
      <c r="EY56" t="e">
        <f>AND(#REF!,"AAAAACW9rpo=")</f>
        <v>#REF!</v>
      </c>
      <c r="EZ56" t="e">
        <f>AND(#REF!,"AAAAACW9rps=")</f>
        <v>#REF!</v>
      </c>
      <c r="FA56" t="e">
        <f>AND(#REF!,"AAAAACW9rpw=")</f>
        <v>#REF!</v>
      </c>
      <c r="FB56" t="e">
        <f>AND(#REF!,"AAAAACW9rp0=")</f>
        <v>#REF!</v>
      </c>
      <c r="FC56" t="e">
        <f>AND(#REF!,"AAAAACW9rp4=")</f>
        <v>#REF!</v>
      </c>
      <c r="FD56" t="e">
        <f>AND(#REF!,"AAAAACW9rp8=")</f>
        <v>#REF!</v>
      </c>
      <c r="FE56" t="e">
        <f>AND(#REF!,"AAAAACW9rqA=")</f>
        <v>#REF!</v>
      </c>
      <c r="FF56" t="e">
        <f>AND(#REF!,"AAAAACW9rqE=")</f>
        <v>#REF!</v>
      </c>
      <c r="FG56" t="e">
        <f>AND(#REF!,"AAAAACW9rqI=")</f>
        <v>#REF!</v>
      </c>
      <c r="FH56" t="e">
        <f>AND(#REF!,"AAAAACW9rqM=")</f>
        <v>#REF!</v>
      </c>
      <c r="FI56" t="e">
        <f>AND(#REF!,"AAAAACW9rqQ=")</f>
        <v>#REF!</v>
      </c>
      <c r="FJ56" t="e">
        <f>AND(#REF!,"AAAAACW9rqU=")</f>
        <v>#REF!</v>
      </c>
      <c r="FK56" t="e">
        <f>AND(#REF!,"AAAAACW9rqY=")</f>
        <v>#REF!</v>
      </c>
      <c r="FL56" t="e">
        <f>AND(#REF!,"AAAAACW9rqc=")</f>
        <v>#REF!</v>
      </c>
      <c r="FM56" t="e">
        <f>AND(#REF!,"AAAAACW9rqg=")</f>
        <v>#REF!</v>
      </c>
      <c r="FN56" t="e">
        <f>AND(#REF!,"AAAAACW9rqk=")</f>
        <v>#REF!</v>
      </c>
      <c r="FO56" t="e">
        <f>AND(#REF!,"AAAAACW9rqo=")</f>
        <v>#REF!</v>
      </c>
      <c r="FP56" t="e">
        <f>AND(#REF!,"AAAAACW9rqs=")</f>
        <v>#REF!</v>
      </c>
      <c r="FQ56" t="e">
        <f>AND(#REF!,"AAAAACW9rqw=")</f>
        <v>#REF!</v>
      </c>
      <c r="FR56" t="e">
        <f>AND(#REF!,"AAAAACW9rq0=")</f>
        <v>#REF!</v>
      </c>
      <c r="FS56" t="e">
        <f>AND(#REF!,"AAAAACW9rq4=")</f>
        <v>#REF!</v>
      </c>
      <c r="FT56" t="e">
        <f>AND(#REF!,"AAAAACW9rq8=")</f>
        <v>#REF!</v>
      </c>
      <c r="FU56" t="e">
        <f>AND(#REF!,"AAAAACW9rrA=")</f>
        <v>#REF!</v>
      </c>
      <c r="FV56" t="e">
        <f>AND(#REF!,"AAAAACW9rrE=")</f>
        <v>#REF!</v>
      </c>
      <c r="FW56" t="e">
        <f>AND(#REF!,"AAAAACW9rrI=")</f>
        <v>#REF!</v>
      </c>
      <c r="FX56" t="e">
        <f>AND(#REF!,"AAAAACW9rrM=")</f>
        <v>#REF!</v>
      </c>
      <c r="FY56" t="e">
        <f>AND(#REF!,"AAAAACW9rrQ=")</f>
        <v>#REF!</v>
      </c>
      <c r="FZ56" t="e">
        <f>AND(#REF!,"AAAAACW9rrU=")</f>
        <v>#REF!</v>
      </c>
      <c r="GA56" t="e">
        <f>AND(#REF!,"AAAAACW9rrY=")</f>
        <v>#REF!</v>
      </c>
      <c r="GB56" t="e">
        <f>AND(#REF!,"AAAAACW9rrc=")</f>
        <v>#REF!</v>
      </c>
      <c r="GC56" t="e">
        <f>AND(#REF!,"AAAAACW9rrg=")</f>
        <v>#REF!</v>
      </c>
      <c r="GD56" t="e">
        <f>AND(#REF!,"AAAAACW9rrk=")</f>
        <v>#REF!</v>
      </c>
      <c r="GE56" t="e">
        <f>AND(#REF!,"AAAAACW9rro=")</f>
        <v>#REF!</v>
      </c>
      <c r="GF56" t="e">
        <f>AND(#REF!,"AAAAACW9rrs=")</f>
        <v>#REF!</v>
      </c>
      <c r="GG56" t="e">
        <f>AND(#REF!,"AAAAACW9rrw=")</f>
        <v>#REF!</v>
      </c>
      <c r="GH56" t="e">
        <f>AND(#REF!,"AAAAACW9rr0=")</f>
        <v>#REF!</v>
      </c>
      <c r="GI56" t="e">
        <f>AND(#REF!,"AAAAACW9rr4=")</f>
        <v>#REF!</v>
      </c>
      <c r="GJ56" t="e">
        <f>AND(#REF!,"AAAAACW9rr8=")</f>
        <v>#REF!</v>
      </c>
      <c r="GK56" t="e">
        <f>AND(#REF!,"AAAAACW9rsA=")</f>
        <v>#REF!</v>
      </c>
      <c r="GL56" t="e">
        <f>AND(#REF!,"AAAAACW9rsE=")</f>
        <v>#REF!</v>
      </c>
      <c r="GM56" t="e">
        <f>AND(#REF!,"AAAAACW9rsI=")</f>
        <v>#REF!</v>
      </c>
      <c r="GN56" t="e">
        <f>AND(#REF!,"AAAAACW9rsM=")</f>
        <v>#REF!</v>
      </c>
      <c r="GO56" t="e">
        <f>AND(#REF!,"AAAAACW9rsQ=")</f>
        <v>#REF!</v>
      </c>
      <c r="GP56" t="e">
        <f>AND(#REF!,"AAAAACW9rsU=")</f>
        <v>#REF!</v>
      </c>
      <c r="GQ56" t="e">
        <f>AND(#REF!,"AAAAACW9rsY=")</f>
        <v>#REF!</v>
      </c>
      <c r="GR56" t="e">
        <f>AND(#REF!,"AAAAACW9rsc=")</f>
        <v>#REF!</v>
      </c>
      <c r="GS56" t="e">
        <f>AND(#REF!,"AAAAACW9rsg=")</f>
        <v>#REF!</v>
      </c>
      <c r="GT56" t="e">
        <f>AND(#REF!,"AAAAACW9rsk=")</f>
        <v>#REF!</v>
      </c>
      <c r="GU56" t="e">
        <f>AND(#REF!,"AAAAACW9rso=")</f>
        <v>#REF!</v>
      </c>
      <c r="GV56" t="e">
        <f>AND(#REF!,"AAAAACW9rss=")</f>
        <v>#REF!</v>
      </c>
      <c r="GW56" t="e">
        <f>AND(#REF!,"AAAAACW9rsw=")</f>
        <v>#REF!</v>
      </c>
      <c r="GX56" t="e">
        <f>AND(#REF!,"AAAAACW9rs0=")</f>
        <v>#REF!</v>
      </c>
      <c r="GY56" t="e">
        <f>AND(#REF!,"AAAAACW9rs4=")</f>
        <v>#REF!</v>
      </c>
      <c r="GZ56" t="e">
        <f>AND(#REF!,"AAAAACW9rs8=")</f>
        <v>#REF!</v>
      </c>
      <c r="HA56" t="e">
        <f>AND(#REF!,"AAAAACW9rtA=")</f>
        <v>#REF!</v>
      </c>
      <c r="HB56" t="e">
        <f>AND(#REF!,"AAAAACW9rtE=")</f>
        <v>#REF!</v>
      </c>
      <c r="HC56" t="e">
        <f>AND(#REF!,"AAAAACW9rtI=")</f>
        <v>#REF!</v>
      </c>
      <c r="HD56" t="e">
        <f>AND(#REF!,"AAAAACW9rtM=")</f>
        <v>#REF!</v>
      </c>
      <c r="HE56" t="e">
        <f>AND(#REF!,"AAAAACW9rtQ=")</f>
        <v>#REF!</v>
      </c>
      <c r="HF56" t="e">
        <f>AND(#REF!,"AAAAACW9rtU=")</f>
        <v>#REF!</v>
      </c>
      <c r="HG56" t="e">
        <f>AND(#REF!,"AAAAACW9rtY=")</f>
        <v>#REF!</v>
      </c>
      <c r="HH56" t="e">
        <f>AND(#REF!,"AAAAACW9rtc=")</f>
        <v>#REF!</v>
      </c>
      <c r="HI56" t="e">
        <f>AND(#REF!,"AAAAACW9rtg=")</f>
        <v>#REF!</v>
      </c>
      <c r="HJ56" t="e">
        <f>AND(#REF!,"AAAAACW9rtk=")</f>
        <v>#REF!</v>
      </c>
      <c r="HK56" t="e">
        <f>AND(#REF!,"AAAAACW9rto=")</f>
        <v>#REF!</v>
      </c>
      <c r="HL56" t="e">
        <f>AND(#REF!,"AAAAACW9rts=")</f>
        <v>#REF!</v>
      </c>
      <c r="HM56" t="e">
        <f>AND(#REF!,"AAAAACW9rtw=")</f>
        <v>#REF!</v>
      </c>
      <c r="HN56" t="e">
        <f>AND(#REF!,"AAAAACW9rt0=")</f>
        <v>#REF!</v>
      </c>
      <c r="HO56" t="e">
        <f>AND(#REF!,"AAAAACW9rt4=")</f>
        <v>#REF!</v>
      </c>
      <c r="HP56" t="e">
        <f>AND(#REF!,"AAAAACW9rt8=")</f>
        <v>#REF!</v>
      </c>
      <c r="HQ56" t="e">
        <f>AND(#REF!,"AAAAACW9ruA=")</f>
        <v>#REF!</v>
      </c>
      <c r="HR56" t="e">
        <f>AND(#REF!,"AAAAACW9ruE=")</f>
        <v>#REF!</v>
      </c>
      <c r="HS56" t="e">
        <f>AND(#REF!,"AAAAACW9ruI=")</f>
        <v>#REF!</v>
      </c>
      <c r="HT56" t="e">
        <f>AND(#REF!,"AAAAACW9ruM=")</f>
        <v>#REF!</v>
      </c>
      <c r="HU56" t="e">
        <f>AND(#REF!,"AAAAACW9ruQ=")</f>
        <v>#REF!</v>
      </c>
      <c r="HV56" t="e">
        <f>AND(#REF!,"AAAAACW9ruU=")</f>
        <v>#REF!</v>
      </c>
      <c r="HW56" t="e">
        <f>AND(#REF!,"AAAAACW9ruY=")</f>
        <v>#REF!</v>
      </c>
      <c r="HX56" t="e">
        <f>AND(#REF!,"AAAAACW9ruc=")</f>
        <v>#REF!</v>
      </c>
      <c r="HY56" t="e">
        <f>AND(#REF!,"AAAAACW9rug=")</f>
        <v>#REF!</v>
      </c>
      <c r="HZ56" t="e">
        <f>AND(#REF!,"AAAAACW9ruk=")</f>
        <v>#REF!</v>
      </c>
      <c r="IA56" t="e">
        <f>AND(#REF!,"AAAAACW9ruo=")</f>
        <v>#REF!</v>
      </c>
      <c r="IB56" t="e">
        <f>AND(#REF!,"AAAAACW9rus=")</f>
        <v>#REF!</v>
      </c>
      <c r="IC56" t="e">
        <f>IF(#REF!,"AAAAACW9ruw=",0)</f>
        <v>#REF!</v>
      </c>
      <c r="ID56" t="e">
        <f>AND(#REF!,"AAAAACW9ru0=")</f>
        <v>#REF!</v>
      </c>
      <c r="IE56" t="e">
        <f>AND(#REF!,"AAAAACW9ru4=")</f>
        <v>#REF!</v>
      </c>
      <c r="IF56" t="e">
        <f>AND(#REF!,"AAAAACW9ru8=")</f>
        <v>#REF!</v>
      </c>
      <c r="IG56" t="e">
        <f>AND(#REF!,"AAAAACW9rvA=")</f>
        <v>#REF!</v>
      </c>
      <c r="IH56" t="e">
        <f>AND(#REF!,"AAAAACW9rvE=")</f>
        <v>#REF!</v>
      </c>
      <c r="II56" t="e">
        <f>AND(#REF!,"AAAAACW9rvI=")</f>
        <v>#REF!</v>
      </c>
      <c r="IJ56" t="e">
        <f>AND(#REF!,"AAAAACW9rvM=")</f>
        <v>#REF!</v>
      </c>
      <c r="IK56" t="e">
        <f>AND(#REF!,"AAAAACW9rvQ=")</f>
        <v>#REF!</v>
      </c>
      <c r="IL56" t="e">
        <f>AND(#REF!,"AAAAACW9rvU=")</f>
        <v>#REF!</v>
      </c>
      <c r="IM56" t="e">
        <f>AND(#REF!,"AAAAACW9rvY=")</f>
        <v>#REF!</v>
      </c>
      <c r="IN56" t="e">
        <f>AND(#REF!,"AAAAACW9rvc=")</f>
        <v>#REF!</v>
      </c>
      <c r="IO56" t="e">
        <f>AND(#REF!,"AAAAACW9rvg=")</f>
        <v>#REF!</v>
      </c>
      <c r="IP56" t="e">
        <f>AND(#REF!,"AAAAACW9rvk=")</f>
        <v>#REF!</v>
      </c>
      <c r="IQ56" t="e">
        <f>AND(#REF!,"AAAAACW9rvo=")</f>
        <v>#REF!</v>
      </c>
      <c r="IR56" t="e">
        <f>AND(#REF!,"AAAAACW9rvs=")</f>
        <v>#REF!</v>
      </c>
      <c r="IS56" t="e">
        <f>AND(#REF!,"AAAAACW9rvw=")</f>
        <v>#REF!</v>
      </c>
      <c r="IT56" t="e">
        <f>AND(#REF!,"AAAAACW9rv0=")</f>
        <v>#REF!</v>
      </c>
      <c r="IU56" t="e">
        <f>AND(#REF!,"AAAAACW9rv4=")</f>
        <v>#REF!</v>
      </c>
      <c r="IV56" t="e">
        <f>AND(#REF!,"AAAAACW9rv8=")</f>
        <v>#REF!</v>
      </c>
    </row>
    <row r="57" spans="1:256" x14ac:dyDescent="0.2">
      <c r="A57" t="e">
        <f>AND(#REF!,"AAAAAHv5nwA=")</f>
        <v>#REF!</v>
      </c>
      <c r="B57" t="e">
        <f>AND(#REF!,"AAAAAHv5nwE=")</f>
        <v>#REF!</v>
      </c>
      <c r="C57" t="e">
        <f>AND(#REF!,"AAAAAHv5nwI=")</f>
        <v>#REF!</v>
      </c>
      <c r="D57" t="e">
        <f>AND(#REF!,"AAAAAHv5nwM=")</f>
        <v>#REF!</v>
      </c>
      <c r="E57" t="e">
        <f>AND(#REF!,"AAAAAHv5nwQ=")</f>
        <v>#REF!</v>
      </c>
      <c r="F57" t="e">
        <f>AND(#REF!,"AAAAAHv5nwU=")</f>
        <v>#REF!</v>
      </c>
      <c r="G57" t="e">
        <f>AND(#REF!,"AAAAAHv5nwY=")</f>
        <v>#REF!</v>
      </c>
      <c r="H57" t="e">
        <f>AND(#REF!,"AAAAAHv5nwc=")</f>
        <v>#REF!</v>
      </c>
      <c r="I57" t="e">
        <f>AND(#REF!,"AAAAAHv5nwg=")</f>
        <v>#REF!</v>
      </c>
      <c r="J57" t="e">
        <f>AND(#REF!,"AAAAAHv5nwk=")</f>
        <v>#REF!</v>
      </c>
      <c r="K57" t="e">
        <f>AND(#REF!,"AAAAAHv5nwo=")</f>
        <v>#REF!</v>
      </c>
      <c r="L57" t="e">
        <f>AND(#REF!,"AAAAAHv5nws=")</f>
        <v>#REF!</v>
      </c>
      <c r="M57" t="e">
        <f>AND(#REF!,"AAAAAHv5nww=")</f>
        <v>#REF!</v>
      </c>
      <c r="N57" t="e">
        <f>AND(#REF!,"AAAAAHv5nw0=")</f>
        <v>#REF!</v>
      </c>
      <c r="O57" t="e">
        <f>AND(#REF!,"AAAAAHv5nw4=")</f>
        <v>#REF!</v>
      </c>
      <c r="P57" t="e">
        <f>AND(#REF!,"AAAAAHv5nw8=")</f>
        <v>#REF!</v>
      </c>
      <c r="Q57" t="e">
        <f>AND(#REF!,"AAAAAHv5nxA=")</f>
        <v>#REF!</v>
      </c>
      <c r="R57" t="e">
        <f>AND(#REF!,"AAAAAHv5nxE=")</f>
        <v>#REF!</v>
      </c>
      <c r="S57" t="e">
        <f>AND(#REF!,"AAAAAHv5nxI=")</f>
        <v>#REF!</v>
      </c>
      <c r="T57" t="e">
        <f>AND(#REF!,"AAAAAHv5nxM=")</f>
        <v>#REF!</v>
      </c>
      <c r="U57" t="e">
        <f>AND(#REF!,"AAAAAHv5nxQ=")</f>
        <v>#REF!</v>
      </c>
      <c r="V57" t="e">
        <f>AND(#REF!,"AAAAAHv5nxU=")</f>
        <v>#REF!</v>
      </c>
      <c r="W57" t="e">
        <f>AND(#REF!,"AAAAAHv5nxY=")</f>
        <v>#REF!</v>
      </c>
      <c r="X57" t="e">
        <f>AND(#REF!,"AAAAAHv5nxc=")</f>
        <v>#REF!</v>
      </c>
      <c r="Y57" t="e">
        <f>AND(#REF!,"AAAAAHv5nxg=")</f>
        <v>#REF!</v>
      </c>
      <c r="Z57" t="e">
        <f>AND(#REF!,"AAAAAHv5nxk=")</f>
        <v>#REF!</v>
      </c>
      <c r="AA57" t="e">
        <f>AND(#REF!,"AAAAAHv5nxo=")</f>
        <v>#REF!</v>
      </c>
      <c r="AB57" t="e">
        <f>AND(#REF!,"AAAAAHv5nxs=")</f>
        <v>#REF!</v>
      </c>
      <c r="AC57" t="e">
        <f>AND(#REF!,"AAAAAHv5nxw=")</f>
        <v>#REF!</v>
      </c>
      <c r="AD57" t="e">
        <f>AND(#REF!,"AAAAAHv5nx0=")</f>
        <v>#REF!</v>
      </c>
      <c r="AE57" t="e">
        <f>AND(#REF!,"AAAAAHv5nx4=")</f>
        <v>#REF!</v>
      </c>
      <c r="AF57" t="e">
        <f>AND(#REF!,"AAAAAHv5nx8=")</f>
        <v>#REF!</v>
      </c>
      <c r="AG57" t="e">
        <f>AND(#REF!,"AAAAAHv5nyA=")</f>
        <v>#REF!</v>
      </c>
      <c r="AH57" t="e">
        <f>AND(#REF!,"AAAAAHv5nyE=")</f>
        <v>#REF!</v>
      </c>
      <c r="AI57" t="e">
        <f>AND(#REF!,"AAAAAHv5nyI=")</f>
        <v>#REF!</v>
      </c>
      <c r="AJ57" t="e">
        <f>AND(#REF!,"AAAAAHv5nyM=")</f>
        <v>#REF!</v>
      </c>
      <c r="AK57" t="e">
        <f>AND(#REF!,"AAAAAHv5nyQ=")</f>
        <v>#REF!</v>
      </c>
      <c r="AL57" t="e">
        <f>AND(#REF!,"AAAAAHv5nyU=")</f>
        <v>#REF!</v>
      </c>
      <c r="AM57" t="e">
        <f>AND(#REF!,"AAAAAHv5nyY=")</f>
        <v>#REF!</v>
      </c>
      <c r="AN57" t="e">
        <f>AND(#REF!,"AAAAAHv5nyc=")</f>
        <v>#REF!</v>
      </c>
      <c r="AO57" t="e">
        <f>AND(#REF!,"AAAAAHv5nyg=")</f>
        <v>#REF!</v>
      </c>
      <c r="AP57" t="e">
        <f>AND(#REF!,"AAAAAHv5nyk=")</f>
        <v>#REF!</v>
      </c>
      <c r="AQ57" t="e">
        <f>AND(#REF!,"AAAAAHv5nyo=")</f>
        <v>#REF!</v>
      </c>
      <c r="AR57" t="e">
        <f>AND(#REF!,"AAAAAHv5nys=")</f>
        <v>#REF!</v>
      </c>
      <c r="AS57" t="e">
        <f>AND(#REF!,"AAAAAHv5nyw=")</f>
        <v>#REF!</v>
      </c>
      <c r="AT57" t="e">
        <f>AND(#REF!,"AAAAAHv5ny0=")</f>
        <v>#REF!</v>
      </c>
      <c r="AU57" t="e">
        <f>AND(#REF!,"AAAAAHv5ny4=")</f>
        <v>#REF!</v>
      </c>
      <c r="AV57" t="e">
        <f>AND(#REF!,"AAAAAHv5ny8=")</f>
        <v>#REF!</v>
      </c>
      <c r="AW57" t="e">
        <f>AND(#REF!,"AAAAAHv5nzA=")</f>
        <v>#REF!</v>
      </c>
      <c r="AX57" t="e">
        <f>AND(#REF!,"AAAAAHv5nzE=")</f>
        <v>#REF!</v>
      </c>
      <c r="AY57" t="e">
        <f>AND(#REF!,"AAAAAHv5nzI=")</f>
        <v>#REF!</v>
      </c>
      <c r="AZ57" t="e">
        <f>AND(#REF!,"AAAAAHv5nzM=")</f>
        <v>#REF!</v>
      </c>
      <c r="BA57" t="e">
        <f>AND(#REF!,"AAAAAHv5nzQ=")</f>
        <v>#REF!</v>
      </c>
      <c r="BB57" t="e">
        <f>AND(#REF!,"AAAAAHv5nzU=")</f>
        <v>#REF!</v>
      </c>
      <c r="BC57" t="e">
        <f>AND(#REF!,"AAAAAHv5nzY=")</f>
        <v>#REF!</v>
      </c>
      <c r="BD57" t="e">
        <f>AND(#REF!,"AAAAAHv5nzc=")</f>
        <v>#REF!</v>
      </c>
      <c r="BE57" t="e">
        <f>AND(#REF!,"AAAAAHv5nzg=")</f>
        <v>#REF!</v>
      </c>
      <c r="BF57" t="e">
        <f>AND(#REF!,"AAAAAHv5nzk=")</f>
        <v>#REF!</v>
      </c>
      <c r="BG57" t="e">
        <f>AND(#REF!,"AAAAAHv5nzo=")</f>
        <v>#REF!</v>
      </c>
      <c r="BH57" t="e">
        <f>AND(#REF!,"AAAAAHv5nzs=")</f>
        <v>#REF!</v>
      </c>
      <c r="BI57" t="e">
        <f>AND(#REF!,"AAAAAHv5nzw=")</f>
        <v>#REF!</v>
      </c>
      <c r="BJ57" t="e">
        <f>AND(#REF!,"AAAAAHv5nz0=")</f>
        <v>#REF!</v>
      </c>
      <c r="BK57" t="e">
        <f>AND(#REF!,"AAAAAHv5nz4=")</f>
        <v>#REF!</v>
      </c>
      <c r="BL57" t="e">
        <f>AND(#REF!,"AAAAAHv5nz8=")</f>
        <v>#REF!</v>
      </c>
      <c r="BM57" t="e">
        <f>AND(#REF!,"AAAAAHv5n0A=")</f>
        <v>#REF!</v>
      </c>
      <c r="BN57" t="e">
        <f>AND(#REF!,"AAAAAHv5n0E=")</f>
        <v>#REF!</v>
      </c>
      <c r="BO57" t="e">
        <f>AND(#REF!,"AAAAAHv5n0I=")</f>
        <v>#REF!</v>
      </c>
      <c r="BP57" t="e">
        <f>AND(#REF!,"AAAAAHv5n0M=")</f>
        <v>#REF!</v>
      </c>
      <c r="BQ57" t="e">
        <f>AND(#REF!,"AAAAAHv5n0Q=")</f>
        <v>#REF!</v>
      </c>
      <c r="BR57" t="e">
        <f>AND(#REF!,"AAAAAHv5n0U=")</f>
        <v>#REF!</v>
      </c>
      <c r="BS57" t="e">
        <f>AND(#REF!,"AAAAAHv5n0Y=")</f>
        <v>#REF!</v>
      </c>
      <c r="BT57" t="e">
        <f>AND(#REF!,"AAAAAHv5n0c=")</f>
        <v>#REF!</v>
      </c>
      <c r="BU57" t="e">
        <f>AND(#REF!,"AAAAAHv5n0g=")</f>
        <v>#REF!</v>
      </c>
      <c r="BV57" t="e">
        <f>AND(#REF!,"AAAAAHv5n0k=")</f>
        <v>#REF!</v>
      </c>
      <c r="BW57" t="e">
        <f>AND(#REF!,"AAAAAHv5n0o=")</f>
        <v>#REF!</v>
      </c>
      <c r="BX57" t="e">
        <f>AND(#REF!,"AAAAAHv5n0s=")</f>
        <v>#REF!</v>
      </c>
      <c r="BY57" t="e">
        <f>AND(#REF!,"AAAAAHv5n0w=")</f>
        <v>#REF!</v>
      </c>
      <c r="BZ57" t="e">
        <f>AND(#REF!,"AAAAAHv5n00=")</f>
        <v>#REF!</v>
      </c>
      <c r="CA57" t="e">
        <f>AND(#REF!,"AAAAAHv5n04=")</f>
        <v>#REF!</v>
      </c>
      <c r="CB57" t="e">
        <f>AND(#REF!,"AAAAAHv5n08=")</f>
        <v>#REF!</v>
      </c>
      <c r="CC57" t="e">
        <f>AND(#REF!,"AAAAAHv5n1A=")</f>
        <v>#REF!</v>
      </c>
      <c r="CD57" t="e">
        <f>AND(#REF!,"AAAAAHv5n1E=")</f>
        <v>#REF!</v>
      </c>
      <c r="CE57" t="e">
        <f>AND(#REF!,"AAAAAHv5n1I=")</f>
        <v>#REF!</v>
      </c>
      <c r="CF57" t="e">
        <f>AND(#REF!,"AAAAAHv5n1M=")</f>
        <v>#REF!</v>
      </c>
      <c r="CG57" t="e">
        <f>AND(#REF!,"AAAAAHv5n1Q=")</f>
        <v>#REF!</v>
      </c>
      <c r="CH57" t="e">
        <f>AND(#REF!,"AAAAAHv5n1U=")</f>
        <v>#REF!</v>
      </c>
      <c r="CI57" t="e">
        <f>AND(#REF!,"AAAAAHv5n1Y=")</f>
        <v>#REF!</v>
      </c>
      <c r="CJ57" t="e">
        <f>AND(#REF!,"AAAAAHv5n1c=")</f>
        <v>#REF!</v>
      </c>
      <c r="CK57" t="e">
        <f>AND(#REF!,"AAAAAHv5n1g=")</f>
        <v>#REF!</v>
      </c>
      <c r="CL57" t="e">
        <f>AND(#REF!,"AAAAAHv5n1k=")</f>
        <v>#REF!</v>
      </c>
      <c r="CM57" t="e">
        <f>AND(#REF!,"AAAAAHv5n1o=")</f>
        <v>#REF!</v>
      </c>
      <c r="CN57" t="e">
        <f>AND(#REF!,"AAAAAHv5n1s=")</f>
        <v>#REF!</v>
      </c>
      <c r="CO57" t="e">
        <f>AND(#REF!,"AAAAAHv5n1w=")</f>
        <v>#REF!</v>
      </c>
      <c r="CP57" t="e">
        <f>AND(#REF!,"AAAAAHv5n10=")</f>
        <v>#REF!</v>
      </c>
      <c r="CQ57" t="e">
        <f>AND(#REF!,"AAAAAHv5n14=")</f>
        <v>#REF!</v>
      </c>
      <c r="CR57" t="e">
        <f>AND(#REF!,"AAAAAHv5n18=")</f>
        <v>#REF!</v>
      </c>
      <c r="CS57" t="e">
        <f>AND(#REF!,"AAAAAHv5n2A=")</f>
        <v>#REF!</v>
      </c>
      <c r="CT57" t="e">
        <f>AND(#REF!,"AAAAAHv5n2E=")</f>
        <v>#REF!</v>
      </c>
      <c r="CU57" t="e">
        <f>AND(#REF!,"AAAAAHv5n2I=")</f>
        <v>#REF!</v>
      </c>
      <c r="CV57" t="e">
        <f>AND(#REF!,"AAAAAHv5n2M=")</f>
        <v>#REF!</v>
      </c>
      <c r="CW57" t="e">
        <f>AND(#REF!,"AAAAAHv5n2Q=")</f>
        <v>#REF!</v>
      </c>
      <c r="CX57" t="e">
        <f>AND(#REF!,"AAAAAHv5n2U=")</f>
        <v>#REF!</v>
      </c>
      <c r="CY57" t="e">
        <f>AND(#REF!,"AAAAAHv5n2Y=")</f>
        <v>#REF!</v>
      </c>
      <c r="CZ57" t="e">
        <f>AND(#REF!,"AAAAAHv5n2c=")</f>
        <v>#REF!</v>
      </c>
      <c r="DA57" t="e">
        <f>AND(#REF!,"AAAAAHv5n2g=")</f>
        <v>#REF!</v>
      </c>
      <c r="DB57" t="e">
        <f>AND(#REF!,"AAAAAHv5n2k=")</f>
        <v>#REF!</v>
      </c>
      <c r="DC57" t="e">
        <f>AND(#REF!,"AAAAAHv5n2o=")</f>
        <v>#REF!</v>
      </c>
      <c r="DD57" t="e">
        <f>AND(#REF!,"AAAAAHv5n2s=")</f>
        <v>#REF!</v>
      </c>
      <c r="DE57" t="e">
        <f>AND(#REF!,"AAAAAHv5n2w=")</f>
        <v>#REF!</v>
      </c>
      <c r="DF57" t="e">
        <f>AND(#REF!,"AAAAAHv5n20=")</f>
        <v>#REF!</v>
      </c>
      <c r="DG57" t="e">
        <f>AND(#REF!,"AAAAAHv5n24=")</f>
        <v>#REF!</v>
      </c>
      <c r="DH57" t="e">
        <f>AND(#REF!,"AAAAAHv5n28=")</f>
        <v>#REF!</v>
      </c>
      <c r="DI57" t="e">
        <f>AND(#REF!,"AAAAAHv5n3A=")</f>
        <v>#REF!</v>
      </c>
      <c r="DJ57" t="e">
        <f>AND(#REF!,"AAAAAHv5n3E=")</f>
        <v>#REF!</v>
      </c>
      <c r="DK57" t="e">
        <f>AND(#REF!,"AAAAAHv5n3I=")</f>
        <v>#REF!</v>
      </c>
      <c r="DL57" t="e">
        <f>AND(#REF!,"AAAAAHv5n3M=")</f>
        <v>#REF!</v>
      </c>
      <c r="DM57" t="e">
        <f>AND(#REF!,"AAAAAHv5n3Q=")</f>
        <v>#REF!</v>
      </c>
      <c r="DN57" t="e">
        <f>AND(#REF!,"AAAAAHv5n3U=")</f>
        <v>#REF!</v>
      </c>
      <c r="DO57" t="e">
        <f>AND(#REF!,"AAAAAHv5n3Y=")</f>
        <v>#REF!</v>
      </c>
      <c r="DP57" t="e">
        <f>AND(#REF!,"AAAAAHv5n3c=")</f>
        <v>#REF!</v>
      </c>
      <c r="DQ57" t="e">
        <f>AND(#REF!,"AAAAAHv5n3g=")</f>
        <v>#REF!</v>
      </c>
      <c r="DR57" t="e">
        <f>AND(#REF!,"AAAAAHv5n3k=")</f>
        <v>#REF!</v>
      </c>
      <c r="DS57" t="e">
        <f>AND(#REF!,"AAAAAHv5n3o=")</f>
        <v>#REF!</v>
      </c>
      <c r="DT57" t="e">
        <f>AND(#REF!,"AAAAAHv5n3s=")</f>
        <v>#REF!</v>
      </c>
      <c r="DU57" t="e">
        <f>AND(#REF!,"AAAAAHv5n3w=")</f>
        <v>#REF!</v>
      </c>
      <c r="DV57" t="e">
        <f>AND(#REF!,"AAAAAHv5n30=")</f>
        <v>#REF!</v>
      </c>
      <c r="DW57" t="e">
        <f>AND(#REF!,"AAAAAHv5n34=")</f>
        <v>#REF!</v>
      </c>
      <c r="DX57" t="e">
        <f>AND(#REF!,"AAAAAHv5n38=")</f>
        <v>#REF!</v>
      </c>
      <c r="DY57" t="e">
        <f>AND(#REF!,"AAAAAHv5n4A=")</f>
        <v>#REF!</v>
      </c>
      <c r="DZ57" t="e">
        <f>AND(#REF!,"AAAAAHv5n4E=")</f>
        <v>#REF!</v>
      </c>
      <c r="EA57" t="e">
        <f>AND(#REF!,"AAAAAHv5n4I=")</f>
        <v>#REF!</v>
      </c>
      <c r="EB57" t="e">
        <f>AND(#REF!,"AAAAAHv5n4M=")</f>
        <v>#REF!</v>
      </c>
      <c r="EC57" t="e">
        <f>AND(#REF!,"AAAAAHv5n4Q=")</f>
        <v>#REF!</v>
      </c>
      <c r="ED57" t="e">
        <f>AND(#REF!,"AAAAAHv5n4U=")</f>
        <v>#REF!</v>
      </c>
      <c r="EE57" t="e">
        <f>AND(#REF!,"AAAAAHv5n4Y=")</f>
        <v>#REF!</v>
      </c>
      <c r="EF57" t="e">
        <f>AND(#REF!,"AAAAAHv5n4c=")</f>
        <v>#REF!</v>
      </c>
      <c r="EG57" t="e">
        <f>AND(#REF!,"AAAAAHv5n4g=")</f>
        <v>#REF!</v>
      </c>
      <c r="EH57" t="e">
        <f>AND(#REF!,"AAAAAHv5n4k=")</f>
        <v>#REF!</v>
      </c>
      <c r="EI57" t="e">
        <f>AND(#REF!,"AAAAAHv5n4o=")</f>
        <v>#REF!</v>
      </c>
      <c r="EJ57" t="e">
        <f>AND(#REF!,"AAAAAHv5n4s=")</f>
        <v>#REF!</v>
      </c>
      <c r="EK57" t="e">
        <f>AND(#REF!,"AAAAAHv5n4w=")</f>
        <v>#REF!</v>
      </c>
      <c r="EL57" t="e">
        <f>AND(#REF!,"AAAAAHv5n40=")</f>
        <v>#REF!</v>
      </c>
      <c r="EM57" t="e">
        <f>AND(#REF!,"AAAAAHv5n44=")</f>
        <v>#REF!</v>
      </c>
      <c r="EN57" t="e">
        <f>AND(#REF!,"AAAAAHv5n48=")</f>
        <v>#REF!</v>
      </c>
      <c r="EO57" t="e">
        <f>AND(#REF!,"AAAAAHv5n5A=")</f>
        <v>#REF!</v>
      </c>
      <c r="EP57" t="e">
        <f>AND(#REF!,"AAAAAHv5n5E=")</f>
        <v>#REF!</v>
      </c>
      <c r="EQ57" t="e">
        <f>AND(#REF!,"AAAAAHv5n5I=")</f>
        <v>#REF!</v>
      </c>
      <c r="ER57" t="e">
        <f>AND(#REF!,"AAAAAHv5n5M=")</f>
        <v>#REF!</v>
      </c>
      <c r="ES57" t="e">
        <f>AND(#REF!,"AAAAAHv5n5Q=")</f>
        <v>#REF!</v>
      </c>
      <c r="ET57" t="e">
        <f>AND(#REF!,"AAAAAHv5n5U=")</f>
        <v>#REF!</v>
      </c>
      <c r="EU57" t="e">
        <f>AND(#REF!,"AAAAAHv5n5Y=")</f>
        <v>#REF!</v>
      </c>
      <c r="EV57" t="e">
        <f>AND(#REF!,"AAAAAHv5n5c=")</f>
        <v>#REF!</v>
      </c>
      <c r="EW57" t="e">
        <f>AND(#REF!,"AAAAAHv5n5g=")</f>
        <v>#REF!</v>
      </c>
      <c r="EX57" t="e">
        <f>AND(#REF!,"AAAAAHv5n5k=")</f>
        <v>#REF!</v>
      </c>
      <c r="EY57" t="e">
        <f>AND(#REF!,"AAAAAHv5n5o=")</f>
        <v>#REF!</v>
      </c>
      <c r="EZ57" t="e">
        <f>AND(#REF!,"AAAAAHv5n5s=")</f>
        <v>#REF!</v>
      </c>
      <c r="FA57" t="e">
        <f>AND(#REF!,"AAAAAHv5n5w=")</f>
        <v>#REF!</v>
      </c>
      <c r="FB57" t="e">
        <f>AND(#REF!,"AAAAAHv5n50=")</f>
        <v>#REF!</v>
      </c>
      <c r="FC57" t="e">
        <f>AND(#REF!,"AAAAAHv5n54=")</f>
        <v>#REF!</v>
      </c>
      <c r="FD57" t="e">
        <f>AND(#REF!,"AAAAAHv5n58=")</f>
        <v>#REF!</v>
      </c>
      <c r="FE57" t="e">
        <f>AND(#REF!,"AAAAAHv5n6A=")</f>
        <v>#REF!</v>
      </c>
      <c r="FF57" t="e">
        <f>IF(#REF!,"AAAAAHv5n6E=",0)</f>
        <v>#REF!</v>
      </c>
      <c r="FG57" t="e">
        <f>AND(#REF!,"AAAAAHv5n6I=")</f>
        <v>#REF!</v>
      </c>
      <c r="FH57" t="e">
        <f>AND(#REF!,"AAAAAHv5n6M=")</f>
        <v>#REF!</v>
      </c>
      <c r="FI57" t="e">
        <f>AND(#REF!,"AAAAAHv5n6Q=")</f>
        <v>#REF!</v>
      </c>
      <c r="FJ57" t="e">
        <f>AND(#REF!,"AAAAAHv5n6U=")</f>
        <v>#REF!</v>
      </c>
      <c r="FK57" t="e">
        <f>AND(#REF!,"AAAAAHv5n6Y=")</f>
        <v>#REF!</v>
      </c>
      <c r="FL57" t="e">
        <f>AND(#REF!,"AAAAAHv5n6c=")</f>
        <v>#REF!</v>
      </c>
      <c r="FM57" t="e">
        <f>AND(#REF!,"AAAAAHv5n6g=")</f>
        <v>#REF!</v>
      </c>
      <c r="FN57" t="e">
        <f>AND(#REF!,"AAAAAHv5n6k=")</f>
        <v>#REF!</v>
      </c>
      <c r="FO57" t="e">
        <f>AND(#REF!,"AAAAAHv5n6o=")</f>
        <v>#REF!</v>
      </c>
      <c r="FP57" t="e">
        <f>AND(#REF!,"AAAAAHv5n6s=")</f>
        <v>#REF!</v>
      </c>
      <c r="FQ57" t="e">
        <f>AND(#REF!,"AAAAAHv5n6w=")</f>
        <v>#REF!</v>
      </c>
      <c r="FR57" t="e">
        <f>AND(#REF!,"AAAAAHv5n60=")</f>
        <v>#REF!</v>
      </c>
      <c r="FS57" t="e">
        <f>AND(#REF!,"AAAAAHv5n64=")</f>
        <v>#REF!</v>
      </c>
      <c r="FT57" t="e">
        <f>AND(#REF!,"AAAAAHv5n68=")</f>
        <v>#REF!</v>
      </c>
      <c r="FU57" t="e">
        <f>AND(#REF!,"AAAAAHv5n7A=")</f>
        <v>#REF!</v>
      </c>
      <c r="FV57" t="e">
        <f>AND(#REF!,"AAAAAHv5n7E=")</f>
        <v>#REF!</v>
      </c>
      <c r="FW57" t="e">
        <f>AND(#REF!,"AAAAAHv5n7I=")</f>
        <v>#REF!</v>
      </c>
      <c r="FX57" t="e">
        <f>AND(#REF!,"AAAAAHv5n7M=")</f>
        <v>#REF!</v>
      </c>
      <c r="FY57" t="e">
        <f>AND(#REF!,"AAAAAHv5n7Q=")</f>
        <v>#REF!</v>
      </c>
      <c r="FZ57" t="e">
        <f>AND(#REF!,"AAAAAHv5n7U=")</f>
        <v>#REF!</v>
      </c>
      <c r="GA57" t="e">
        <f>AND(#REF!,"AAAAAHv5n7Y=")</f>
        <v>#REF!</v>
      </c>
      <c r="GB57" t="e">
        <f>AND(#REF!,"AAAAAHv5n7c=")</f>
        <v>#REF!</v>
      </c>
      <c r="GC57" t="e">
        <f>AND(#REF!,"AAAAAHv5n7g=")</f>
        <v>#REF!</v>
      </c>
      <c r="GD57" t="e">
        <f>AND(#REF!,"AAAAAHv5n7k=")</f>
        <v>#REF!</v>
      </c>
      <c r="GE57" t="e">
        <f>AND(#REF!,"AAAAAHv5n7o=")</f>
        <v>#REF!</v>
      </c>
      <c r="GF57" t="e">
        <f>AND(#REF!,"AAAAAHv5n7s=")</f>
        <v>#REF!</v>
      </c>
      <c r="GG57" t="e">
        <f>AND(#REF!,"AAAAAHv5n7w=")</f>
        <v>#REF!</v>
      </c>
      <c r="GH57" t="e">
        <f>AND(#REF!,"AAAAAHv5n70=")</f>
        <v>#REF!</v>
      </c>
      <c r="GI57" t="e">
        <f>AND(#REF!,"AAAAAHv5n74=")</f>
        <v>#REF!</v>
      </c>
      <c r="GJ57" t="e">
        <f>AND(#REF!,"AAAAAHv5n78=")</f>
        <v>#REF!</v>
      </c>
      <c r="GK57" t="e">
        <f>AND(#REF!,"AAAAAHv5n8A=")</f>
        <v>#REF!</v>
      </c>
      <c r="GL57" t="e">
        <f>AND(#REF!,"AAAAAHv5n8E=")</f>
        <v>#REF!</v>
      </c>
      <c r="GM57" t="e">
        <f>AND(#REF!,"AAAAAHv5n8I=")</f>
        <v>#REF!</v>
      </c>
      <c r="GN57" t="e">
        <f>AND(#REF!,"AAAAAHv5n8M=")</f>
        <v>#REF!</v>
      </c>
      <c r="GO57" t="e">
        <f>AND(#REF!,"AAAAAHv5n8Q=")</f>
        <v>#REF!</v>
      </c>
      <c r="GP57" t="e">
        <f>AND(#REF!,"AAAAAHv5n8U=")</f>
        <v>#REF!</v>
      </c>
      <c r="GQ57" t="e">
        <f>AND(#REF!,"AAAAAHv5n8Y=")</f>
        <v>#REF!</v>
      </c>
      <c r="GR57" t="e">
        <f>AND(#REF!,"AAAAAHv5n8c=")</f>
        <v>#REF!</v>
      </c>
      <c r="GS57" t="e">
        <f>AND(#REF!,"AAAAAHv5n8g=")</f>
        <v>#REF!</v>
      </c>
      <c r="GT57" t="e">
        <f>AND(#REF!,"AAAAAHv5n8k=")</f>
        <v>#REF!</v>
      </c>
      <c r="GU57" t="e">
        <f>AND(#REF!,"AAAAAHv5n8o=")</f>
        <v>#REF!</v>
      </c>
      <c r="GV57" t="e">
        <f>AND(#REF!,"AAAAAHv5n8s=")</f>
        <v>#REF!</v>
      </c>
      <c r="GW57" t="e">
        <f>AND(#REF!,"AAAAAHv5n8w=")</f>
        <v>#REF!</v>
      </c>
      <c r="GX57" t="e">
        <f>AND(#REF!,"AAAAAHv5n80=")</f>
        <v>#REF!</v>
      </c>
      <c r="GY57" t="e">
        <f>AND(#REF!,"AAAAAHv5n84=")</f>
        <v>#REF!</v>
      </c>
      <c r="GZ57" t="e">
        <f>AND(#REF!,"AAAAAHv5n88=")</f>
        <v>#REF!</v>
      </c>
      <c r="HA57" t="e">
        <f>AND(#REF!,"AAAAAHv5n9A=")</f>
        <v>#REF!</v>
      </c>
      <c r="HB57" t="e">
        <f>AND(#REF!,"AAAAAHv5n9E=")</f>
        <v>#REF!</v>
      </c>
      <c r="HC57" t="e">
        <f>AND(#REF!,"AAAAAHv5n9I=")</f>
        <v>#REF!</v>
      </c>
      <c r="HD57" t="e">
        <f>AND(#REF!,"AAAAAHv5n9M=")</f>
        <v>#REF!</v>
      </c>
      <c r="HE57" t="e">
        <f>AND(#REF!,"AAAAAHv5n9Q=")</f>
        <v>#REF!</v>
      </c>
      <c r="HF57" t="e">
        <f>AND(#REF!,"AAAAAHv5n9U=")</f>
        <v>#REF!</v>
      </c>
      <c r="HG57" t="e">
        <f>AND(#REF!,"AAAAAHv5n9Y=")</f>
        <v>#REF!</v>
      </c>
      <c r="HH57" t="e">
        <f>AND(#REF!,"AAAAAHv5n9c=")</f>
        <v>#REF!</v>
      </c>
      <c r="HI57" t="e">
        <f>AND(#REF!,"AAAAAHv5n9g=")</f>
        <v>#REF!</v>
      </c>
      <c r="HJ57" t="e">
        <f>AND(#REF!,"AAAAAHv5n9k=")</f>
        <v>#REF!</v>
      </c>
      <c r="HK57" t="e">
        <f>AND(#REF!,"AAAAAHv5n9o=")</f>
        <v>#REF!</v>
      </c>
      <c r="HL57" t="e">
        <f>AND(#REF!,"AAAAAHv5n9s=")</f>
        <v>#REF!</v>
      </c>
      <c r="HM57" t="e">
        <f>AND(#REF!,"AAAAAHv5n9w=")</f>
        <v>#REF!</v>
      </c>
      <c r="HN57" t="e">
        <f>AND(#REF!,"AAAAAHv5n90=")</f>
        <v>#REF!</v>
      </c>
      <c r="HO57" t="e">
        <f>AND(#REF!,"AAAAAHv5n94=")</f>
        <v>#REF!</v>
      </c>
      <c r="HP57" t="e">
        <f>AND(#REF!,"AAAAAHv5n98=")</f>
        <v>#REF!</v>
      </c>
      <c r="HQ57" t="e">
        <f>AND(#REF!,"AAAAAHv5n+A=")</f>
        <v>#REF!</v>
      </c>
      <c r="HR57" t="e">
        <f>AND(#REF!,"AAAAAHv5n+E=")</f>
        <v>#REF!</v>
      </c>
      <c r="HS57" t="e">
        <f>AND(#REF!,"AAAAAHv5n+I=")</f>
        <v>#REF!</v>
      </c>
      <c r="HT57" t="e">
        <f>AND(#REF!,"AAAAAHv5n+M=")</f>
        <v>#REF!</v>
      </c>
      <c r="HU57" t="e">
        <f>AND(#REF!,"AAAAAHv5n+Q=")</f>
        <v>#REF!</v>
      </c>
      <c r="HV57" t="e">
        <f>AND(#REF!,"AAAAAHv5n+U=")</f>
        <v>#REF!</v>
      </c>
      <c r="HW57" t="e">
        <f>AND(#REF!,"AAAAAHv5n+Y=")</f>
        <v>#REF!</v>
      </c>
      <c r="HX57" t="e">
        <f>AND(#REF!,"AAAAAHv5n+c=")</f>
        <v>#REF!</v>
      </c>
      <c r="HY57" t="e">
        <f>AND(#REF!,"AAAAAHv5n+g=")</f>
        <v>#REF!</v>
      </c>
      <c r="HZ57" t="e">
        <f>AND(#REF!,"AAAAAHv5n+k=")</f>
        <v>#REF!</v>
      </c>
      <c r="IA57" t="e">
        <f>AND(#REF!,"AAAAAHv5n+o=")</f>
        <v>#REF!</v>
      </c>
      <c r="IB57" t="e">
        <f>AND(#REF!,"AAAAAHv5n+s=")</f>
        <v>#REF!</v>
      </c>
      <c r="IC57" t="e">
        <f>AND(#REF!,"AAAAAHv5n+w=")</f>
        <v>#REF!</v>
      </c>
      <c r="ID57" t="e">
        <f>AND(#REF!,"AAAAAHv5n+0=")</f>
        <v>#REF!</v>
      </c>
      <c r="IE57" t="e">
        <f>AND(#REF!,"AAAAAHv5n+4=")</f>
        <v>#REF!</v>
      </c>
      <c r="IF57" t="e">
        <f>AND(#REF!,"AAAAAHv5n+8=")</f>
        <v>#REF!</v>
      </c>
      <c r="IG57" t="e">
        <f>AND(#REF!,"AAAAAHv5n/A=")</f>
        <v>#REF!</v>
      </c>
      <c r="IH57" t="e">
        <f>AND(#REF!,"AAAAAHv5n/E=")</f>
        <v>#REF!</v>
      </c>
      <c r="II57" t="e">
        <f>AND(#REF!,"AAAAAHv5n/I=")</f>
        <v>#REF!</v>
      </c>
      <c r="IJ57" t="e">
        <f>AND(#REF!,"AAAAAHv5n/M=")</f>
        <v>#REF!</v>
      </c>
      <c r="IK57" t="e">
        <f>AND(#REF!,"AAAAAHv5n/Q=")</f>
        <v>#REF!</v>
      </c>
      <c r="IL57" t="e">
        <f>AND(#REF!,"AAAAAHv5n/U=")</f>
        <v>#REF!</v>
      </c>
      <c r="IM57" t="e">
        <f>AND(#REF!,"AAAAAHv5n/Y=")</f>
        <v>#REF!</v>
      </c>
      <c r="IN57" t="e">
        <f>AND(#REF!,"AAAAAHv5n/c=")</f>
        <v>#REF!</v>
      </c>
      <c r="IO57" t="e">
        <f>AND(#REF!,"AAAAAHv5n/g=")</f>
        <v>#REF!</v>
      </c>
      <c r="IP57" t="e">
        <f>AND(#REF!,"AAAAAHv5n/k=")</f>
        <v>#REF!</v>
      </c>
      <c r="IQ57" t="e">
        <f>AND(#REF!,"AAAAAHv5n/o=")</f>
        <v>#REF!</v>
      </c>
      <c r="IR57" t="e">
        <f>AND(#REF!,"AAAAAHv5n/s=")</f>
        <v>#REF!</v>
      </c>
      <c r="IS57" t="e">
        <f>AND(#REF!,"AAAAAHv5n/w=")</f>
        <v>#REF!</v>
      </c>
      <c r="IT57" t="e">
        <f>AND(#REF!,"AAAAAHv5n/0=")</f>
        <v>#REF!</v>
      </c>
      <c r="IU57" t="e">
        <f>AND(#REF!,"AAAAAHv5n/4=")</f>
        <v>#REF!</v>
      </c>
      <c r="IV57" t="e">
        <f>AND(#REF!,"AAAAAHv5n/8=")</f>
        <v>#REF!</v>
      </c>
    </row>
    <row r="58" spans="1:256" x14ac:dyDescent="0.2">
      <c r="A58" t="e">
        <f>AND(#REF!,"AAAAAC+ejwA=")</f>
        <v>#REF!</v>
      </c>
      <c r="B58" t="e">
        <f>AND(#REF!,"AAAAAC+ejwE=")</f>
        <v>#REF!</v>
      </c>
      <c r="C58" t="e">
        <f>AND(#REF!,"AAAAAC+ejwI=")</f>
        <v>#REF!</v>
      </c>
      <c r="D58" t="e">
        <f>AND(#REF!,"AAAAAC+ejwM=")</f>
        <v>#REF!</v>
      </c>
      <c r="E58" t="e">
        <f>AND(#REF!,"AAAAAC+ejwQ=")</f>
        <v>#REF!</v>
      </c>
      <c r="F58" t="e">
        <f>AND(#REF!,"AAAAAC+ejwU=")</f>
        <v>#REF!</v>
      </c>
      <c r="G58" t="e">
        <f>AND(#REF!,"AAAAAC+ejwY=")</f>
        <v>#REF!</v>
      </c>
      <c r="H58" t="e">
        <f>AND(#REF!,"AAAAAC+ejwc=")</f>
        <v>#REF!</v>
      </c>
      <c r="I58" t="e">
        <f>AND(#REF!,"AAAAAC+ejwg=")</f>
        <v>#REF!</v>
      </c>
      <c r="J58" t="e">
        <f>AND(#REF!,"AAAAAC+ejwk=")</f>
        <v>#REF!</v>
      </c>
      <c r="K58" t="e">
        <f>AND(#REF!,"AAAAAC+ejwo=")</f>
        <v>#REF!</v>
      </c>
      <c r="L58" t="e">
        <f>AND(#REF!,"AAAAAC+ejws=")</f>
        <v>#REF!</v>
      </c>
      <c r="M58" t="e">
        <f>AND(#REF!,"AAAAAC+ejww=")</f>
        <v>#REF!</v>
      </c>
      <c r="N58" t="e">
        <f>AND(#REF!,"AAAAAC+ejw0=")</f>
        <v>#REF!</v>
      </c>
      <c r="O58" t="e">
        <f>AND(#REF!,"AAAAAC+ejw4=")</f>
        <v>#REF!</v>
      </c>
      <c r="P58" t="e">
        <f>AND(#REF!,"AAAAAC+ejw8=")</f>
        <v>#REF!</v>
      </c>
      <c r="Q58" t="e">
        <f>AND(#REF!,"AAAAAC+ejxA=")</f>
        <v>#REF!</v>
      </c>
      <c r="R58" t="e">
        <f>AND(#REF!,"AAAAAC+ejxE=")</f>
        <v>#REF!</v>
      </c>
      <c r="S58" t="e">
        <f>AND(#REF!,"AAAAAC+ejxI=")</f>
        <v>#REF!</v>
      </c>
      <c r="T58" t="e">
        <f>AND(#REF!,"AAAAAC+ejxM=")</f>
        <v>#REF!</v>
      </c>
      <c r="U58" t="e">
        <f>AND(#REF!,"AAAAAC+ejxQ=")</f>
        <v>#REF!</v>
      </c>
      <c r="V58" t="e">
        <f>AND(#REF!,"AAAAAC+ejxU=")</f>
        <v>#REF!</v>
      </c>
      <c r="W58" t="e">
        <f>AND(#REF!,"AAAAAC+ejxY=")</f>
        <v>#REF!</v>
      </c>
      <c r="X58" t="e">
        <f>AND(#REF!,"AAAAAC+ejxc=")</f>
        <v>#REF!</v>
      </c>
      <c r="Y58" t="e">
        <f>AND(#REF!,"AAAAAC+ejxg=")</f>
        <v>#REF!</v>
      </c>
      <c r="Z58" t="e">
        <f>AND(#REF!,"AAAAAC+ejxk=")</f>
        <v>#REF!</v>
      </c>
      <c r="AA58" t="e">
        <f>AND(#REF!,"AAAAAC+ejxo=")</f>
        <v>#REF!</v>
      </c>
      <c r="AB58" t="e">
        <f>AND(#REF!,"AAAAAC+ejxs=")</f>
        <v>#REF!</v>
      </c>
      <c r="AC58" t="e">
        <f>AND(#REF!,"AAAAAC+ejxw=")</f>
        <v>#REF!</v>
      </c>
      <c r="AD58" t="e">
        <f>AND(#REF!,"AAAAAC+ejx0=")</f>
        <v>#REF!</v>
      </c>
      <c r="AE58" t="e">
        <f>AND(#REF!,"AAAAAC+ejx4=")</f>
        <v>#REF!</v>
      </c>
      <c r="AF58" t="e">
        <f>AND(#REF!,"AAAAAC+ejx8=")</f>
        <v>#REF!</v>
      </c>
      <c r="AG58" t="e">
        <f>AND(#REF!,"AAAAAC+ejyA=")</f>
        <v>#REF!</v>
      </c>
      <c r="AH58" t="e">
        <f>AND(#REF!,"AAAAAC+ejyE=")</f>
        <v>#REF!</v>
      </c>
      <c r="AI58" t="e">
        <f>AND(#REF!,"AAAAAC+ejyI=")</f>
        <v>#REF!</v>
      </c>
      <c r="AJ58" t="e">
        <f>AND(#REF!,"AAAAAC+ejyM=")</f>
        <v>#REF!</v>
      </c>
      <c r="AK58" t="e">
        <f>AND(#REF!,"AAAAAC+ejyQ=")</f>
        <v>#REF!</v>
      </c>
      <c r="AL58" t="e">
        <f>AND(#REF!,"AAAAAC+ejyU=")</f>
        <v>#REF!</v>
      </c>
      <c r="AM58" t="e">
        <f>AND(#REF!,"AAAAAC+ejyY=")</f>
        <v>#REF!</v>
      </c>
      <c r="AN58" t="e">
        <f>AND(#REF!,"AAAAAC+ejyc=")</f>
        <v>#REF!</v>
      </c>
      <c r="AO58" t="e">
        <f>AND(#REF!,"AAAAAC+ejyg=")</f>
        <v>#REF!</v>
      </c>
      <c r="AP58" t="e">
        <f>AND(#REF!,"AAAAAC+ejyk=")</f>
        <v>#REF!</v>
      </c>
      <c r="AQ58" t="e">
        <f>AND(#REF!,"AAAAAC+ejyo=")</f>
        <v>#REF!</v>
      </c>
      <c r="AR58" t="e">
        <f>AND(#REF!,"AAAAAC+ejys=")</f>
        <v>#REF!</v>
      </c>
      <c r="AS58" t="e">
        <f>AND(#REF!,"AAAAAC+ejyw=")</f>
        <v>#REF!</v>
      </c>
      <c r="AT58" t="e">
        <f>AND(#REF!,"AAAAAC+ejy0=")</f>
        <v>#REF!</v>
      </c>
      <c r="AU58" t="e">
        <f>AND(#REF!,"AAAAAC+ejy4=")</f>
        <v>#REF!</v>
      </c>
      <c r="AV58" t="e">
        <f>AND(#REF!,"AAAAAC+ejy8=")</f>
        <v>#REF!</v>
      </c>
      <c r="AW58" t="e">
        <f>AND(#REF!,"AAAAAC+ejzA=")</f>
        <v>#REF!</v>
      </c>
      <c r="AX58" t="e">
        <f>AND(#REF!,"AAAAAC+ejzE=")</f>
        <v>#REF!</v>
      </c>
      <c r="AY58" t="e">
        <f>AND(#REF!,"AAAAAC+ejzI=")</f>
        <v>#REF!</v>
      </c>
      <c r="AZ58" t="e">
        <f>AND(#REF!,"AAAAAC+ejzM=")</f>
        <v>#REF!</v>
      </c>
      <c r="BA58" t="e">
        <f>AND(#REF!,"AAAAAC+ejzQ=")</f>
        <v>#REF!</v>
      </c>
      <c r="BB58" t="e">
        <f>AND(#REF!,"AAAAAC+ejzU=")</f>
        <v>#REF!</v>
      </c>
      <c r="BC58" t="e">
        <f>AND(#REF!,"AAAAAC+ejzY=")</f>
        <v>#REF!</v>
      </c>
      <c r="BD58" t="e">
        <f>AND(#REF!,"AAAAAC+ejzc=")</f>
        <v>#REF!</v>
      </c>
      <c r="BE58" t="e">
        <f>AND(#REF!,"AAAAAC+ejzg=")</f>
        <v>#REF!</v>
      </c>
      <c r="BF58" t="e">
        <f>AND(#REF!,"AAAAAC+ejzk=")</f>
        <v>#REF!</v>
      </c>
      <c r="BG58" t="e">
        <f>AND(#REF!,"AAAAAC+ejzo=")</f>
        <v>#REF!</v>
      </c>
      <c r="BH58" t="e">
        <f>AND(#REF!,"AAAAAC+ejzs=")</f>
        <v>#REF!</v>
      </c>
      <c r="BI58" t="e">
        <f>AND(#REF!,"AAAAAC+ejzw=")</f>
        <v>#REF!</v>
      </c>
      <c r="BJ58" t="e">
        <f>AND(#REF!,"AAAAAC+ejz0=")</f>
        <v>#REF!</v>
      </c>
      <c r="BK58" t="e">
        <f>AND(#REF!,"AAAAAC+ejz4=")</f>
        <v>#REF!</v>
      </c>
      <c r="BL58" t="e">
        <f>AND(#REF!,"AAAAAC+ejz8=")</f>
        <v>#REF!</v>
      </c>
      <c r="BM58" t="e">
        <f>AND(#REF!,"AAAAAC+ej0A=")</f>
        <v>#REF!</v>
      </c>
      <c r="BN58" t="e">
        <f>AND(#REF!,"AAAAAC+ej0E=")</f>
        <v>#REF!</v>
      </c>
      <c r="BO58" t="e">
        <f>AND(#REF!,"AAAAAC+ej0I=")</f>
        <v>#REF!</v>
      </c>
      <c r="BP58" t="e">
        <f>AND(#REF!,"AAAAAC+ej0M=")</f>
        <v>#REF!</v>
      </c>
      <c r="BQ58" t="e">
        <f>AND(#REF!,"AAAAAC+ej0Q=")</f>
        <v>#REF!</v>
      </c>
      <c r="BR58" t="e">
        <f>AND(#REF!,"AAAAAC+ej0U=")</f>
        <v>#REF!</v>
      </c>
      <c r="BS58" t="e">
        <f>AND(#REF!,"AAAAAC+ej0Y=")</f>
        <v>#REF!</v>
      </c>
      <c r="BT58" t="e">
        <f>AND(#REF!,"AAAAAC+ej0c=")</f>
        <v>#REF!</v>
      </c>
      <c r="BU58" t="e">
        <f>AND(#REF!,"AAAAAC+ej0g=")</f>
        <v>#REF!</v>
      </c>
      <c r="BV58" t="e">
        <f>AND(#REF!,"AAAAAC+ej0k=")</f>
        <v>#REF!</v>
      </c>
      <c r="BW58" t="e">
        <f>AND(#REF!,"AAAAAC+ej0o=")</f>
        <v>#REF!</v>
      </c>
      <c r="BX58" t="e">
        <f>AND(#REF!,"AAAAAC+ej0s=")</f>
        <v>#REF!</v>
      </c>
      <c r="BY58" t="e">
        <f>AND(#REF!,"AAAAAC+ej0w=")</f>
        <v>#REF!</v>
      </c>
      <c r="BZ58" t="e">
        <f>AND(#REF!,"AAAAAC+ej00=")</f>
        <v>#REF!</v>
      </c>
      <c r="CA58" t="e">
        <f>AND(#REF!,"AAAAAC+ej04=")</f>
        <v>#REF!</v>
      </c>
      <c r="CB58" t="e">
        <f>AND(#REF!,"AAAAAC+ej08=")</f>
        <v>#REF!</v>
      </c>
      <c r="CC58" t="e">
        <f>AND(#REF!,"AAAAAC+ej1A=")</f>
        <v>#REF!</v>
      </c>
      <c r="CD58" t="e">
        <f>AND(#REF!,"AAAAAC+ej1E=")</f>
        <v>#REF!</v>
      </c>
      <c r="CE58" t="e">
        <f>AND(#REF!,"AAAAAC+ej1I=")</f>
        <v>#REF!</v>
      </c>
      <c r="CF58" t="e">
        <f>AND(#REF!,"AAAAAC+ej1M=")</f>
        <v>#REF!</v>
      </c>
      <c r="CG58" t="e">
        <f>AND(#REF!,"AAAAAC+ej1Q=")</f>
        <v>#REF!</v>
      </c>
      <c r="CH58" t="e">
        <f>AND(#REF!,"AAAAAC+ej1U=")</f>
        <v>#REF!</v>
      </c>
      <c r="CI58" t="e">
        <f>IF(#REF!,"AAAAAC+ej1Y=",0)</f>
        <v>#REF!</v>
      </c>
      <c r="CJ58" t="e">
        <f>AND(#REF!,"AAAAAC+ej1c=")</f>
        <v>#REF!</v>
      </c>
      <c r="CK58" t="e">
        <f>AND(#REF!,"AAAAAC+ej1g=")</f>
        <v>#REF!</v>
      </c>
      <c r="CL58" t="e">
        <f>AND(#REF!,"AAAAAC+ej1k=")</f>
        <v>#REF!</v>
      </c>
      <c r="CM58" t="e">
        <f>AND(#REF!,"AAAAAC+ej1o=")</f>
        <v>#REF!</v>
      </c>
      <c r="CN58" t="e">
        <f>AND(#REF!,"AAAAAC+ej1s=")</f>
        <v>#REF!</v>
      </c>
      <c r="CO58" t="e">
        <f>AND(#REF!,"AAAAAC+ej1w=")</f>
        <v>#REF!</v>
      </c>
      <c r="CP58" t="e">
        <f>AND(#REF!,"AAAAAC+ej10=")</f>
        <v>#REF!</v>
      </c>
      <c r="CQ58" t="e">
        <f>AND(#REF!,"AAAAAC+ej14=")</f>
        <v>#REF!</v>
      </c>
      <c r="CR58" t="e">
        <f>AND(#REF!,"AAAAAC+ej18=")</f>
        <v>#REF!</v>
      </c>
      <c r="CS58" t="e">
        <f>AND(#REF!,"AAAAAC+ej2A=")</f>
        <v>#REF!</v>
      </c>
      <c r="CT58" t="e">
        <f>AND(#REF!,"AAAAAC+ej2E=")</f>
        <v>#REF!</v>
      </c>
      <c r="CU58" t="e">
        <f>AND(#REF!,"AAAAAC+ej2I=")</f>
        <v>#REF!</v>
      </c>
      <c r="CV58" t="e">
        <f>AND(#REF!,"AAAAAC+ej2M=")</f>
        <v>#REF!</v>
      </c>
      <c r="CW58" t="e">
        <f>AND(#REF!,"AAAAAC+ej2Q=")</f>
        <v>#REF!</v>
      </c>
      <c r="CX58" t="e">
        <f>AND(#REF!,"AAAAAC+ej2U=")</f>
        <v>#REF!</v>
      </c>
      <c r="CY58" t="e">
        <f>AND(#REF!,"AAAAAC+ej2Y=")</f>
        <v>#REF!</v>
      </c>
      <c r="CZ58" t="e">
        <f>AND(#REF!,"AAAAAC+ej2c=")</f>
        <v>#REF!</v>
      </c>
      <c r="DA58" t="e">
        <f>AND(#REF!,"AAAAAC+ej2g=")</f>
        <v>#REF!</v>
      </c>
      <c r="DB58" t="e">
        <f>AND(#REF!,"AAAAAC+ej2k=")</f>
        <v>#REF!</v>
      </c>
      <c r="DC58" t="e">
        <f>AND(#REF!,"AAAAAC+ej2o=")</f>
        <v>#REF!</v>
      </c>
      <c r="DD58" t="e">
        <f>AND(#REF!,"AAAAAC+ej2s=")</f>
        <v>#REF!</v>
      </c>
      <c r="DE58" t="e">
        <f>AND(#REF!,"AAAAAC+ej2w=")</f>
        <v>#REF!</v>
      </c>
      <c r="DF58" t="e">
        <f>AND(#REF!,"AAAAAC+ej20=")</f>
        <v>#REF!</v>
      </c>
      <c r="DG58" t="e">
        <f>AND(#REF!,"AAAAAC+ej24=")</f>
        <v>#REF!</v>
      </c>
      <c r="DH58" t="e">
        <f>AND(#REF!,"AAAAAC+ej28=")</f>
        <v>#REF!</v>
      </c>
      <c r="DI58" t="e">
        <f>AND(#REF!,"AAAAAC+ej3A=")</f>
        <v>#REF!</v>
      </c>
      <c r="DJ58" t="e">
        <f>AND(#REF!,"AAAAAC+ej3E=")</f>
        <v>#REF!</v>
      </c>
      <c r="DK58" t="e">
        <f>AND(#REF!,"AAAAAC+ej3I=")</f>
        <v>#REF!</v>
      </c>
      <c r="DL58" t="e">
        <f>AND(#REF!,"AAAAAC+ej3M=")</f>
        <v>#REF!</v>
      </c>
      <c r="DM58" t="e">
        <f>AND(#REF!,"AAAAAC+ej3Q=")</f>
        <v>#REF!</v>
      </c>
      <c r="DN58" t="e">
        <f>AND(#REF!,"AAAAAC+ej3U=")</f>
        <v>#REF!</v>
      </c>
      <c r="DO58" t="e">
        <f>AND(#REF!,"AAAAAC+ej3Y=")</f>
        <v>#REF!</v>
      </c>
      <c r="DP58" t="e">
        <f>AND(#REF!,"AAAAAC+ej3c=")</f>
        <v>#REF!</v>
      </c>
      <c r="DQ58" t="e">
        <f>AND(#REF!,"AAAAAC+ej3g=")</f>
        <v>#REF!</v>
      </c>
      <c r="DR58" t="e">
        <f>AND(#REF!,"AAAAAC+ej3k=")</f>
        <v>#REF!</v>
      </c>
      <c r="DS58" t="e">
        <f>AND(#REF!,"AAAAAC+ej3o=")</f>
        <v>#REF!</v>
      </c>
      <c r="DT58" t="e">
        <f>AND(#REF!,"AAAAAC+ej3s=")</f>
        <v>#REF!</v>
      </c>
      <c r="DU58" t="e">
        <f>AND(#REF!,"AAAAAC+ej3w=")</f>
        <v>#REF!</v>
      </c>
      <c r="DV58" t="e">
        <f>AND(#REF!,"AAAAAC+ej30=")</f>
        <v>#REF!</v>
      </c>
      <c r="DW58" t="e">
        <f>AND(#REF!,"AAAAAC+ej34=")</f>
        <v>#REF!</v>
      </c>
      <c r="DX58" t="e">
        <f>AND(#REF!,"AAAAAC+ej38=")</f>
        <v>#REF!</v>
      </c>
      <c r="DY58" t="e">
        <f>AND(#REF!,"AAAAAC+ej4A=")</f>
        <v>#REF!</v>
      </c>
      <c r="DZ58" t="e">
        <f>AND(#REF!,"AAAAAC+ej4E=")</f>
        <v>#REF!</v>
      </c>
      <c r="EA58" t="e">
        <f>AND(#REF!,"AAAAAC+ej4I=")</f>
        <v>#REF!</v>
      </c>
      <c r="EB58" t="e">
        <f>AND(#REF!,"AAAAAC+ej4M=")</f>
        <v>#REF!</v>
      </c>
      <c r="EC58" t="e">
        <f>AND(#REF!,"AAAAAC+ej4Q=")</f>
        <v>#REF!</v>
      </c>
      <c r="ED58" t="e">
        <f>AND(#REF!,"AAAAAC+ej4U=")</f>
        <v>#REF!</v>
      </c>
      <c r="EE58" t="e">
        <f>AND(#REF!,"AAAAAC+ej4Y=")</f>
        <v>#REF!</v>
      </c>
      <c r="EF58" t="e">
        <f>AND(#REF!,"AAAAAC+ej4c=")</f>
        <v>#REF!</v>
      </c>
      <c r="EG58" t="e">
        <f>AND(#REF!,"AAAAAC+ej4g=")</f>
        <v>#REF!</v>
      </c>
      <c r="EH58" t="e">
        <f>AND(#REF!,"AAAAAC+ej4k=")</f>
        <v>#REF!</v>
      </c>
      <c r="EI58" t="e">
        <f>AND(#REF!,"AAAAAC+ej4o=")</f>
        <v>#REF!</v>
      </c>
      <c r="EJ58" t="e">
        <f>AND(#REF!,"AAAAAC+ej4s=")</f>
        <v>#REF!</v>
      </c>
      <c r="EK58" t="e">
        <f>AND(#REF!,"AAAAAC+ej4w=")</f>
        <v>#REF!</v>
      </c>
      <c r="EL58" t="e">
        <f>AND(#REF!,"AAAAAC+ej40=")</f>
        <v>#REF!</v>
      </c>
      <c r="EM58" t="e">
        <f>AND(#REF!,"AAAAAC+ej44=")</f>
        <v>#REF!</v>
      </c>
      <c r="EN58" t="e">
        <f>AND(#REF!,"AAAAAC+ej48=")</f>
        <v>#REF!</v>
      </c>
      <c r="EO58" t="e">
        <f>AND(#REF!,"AAAAAC+ej5A=")</f>
        <v>#REF!</v>
      </c>
      <c r="EP58" t="e">
        <f>AND(#REF!,"AAAAAC+ej5E=")</f>
        <v>#REF!</v>
      </c>
      <c r="EQ58" t="e">
        <f>AND(#REF!,"AAAAAC+ej5I=")</f>
        <v>#REF!</v>
      </c>
      <c r="ER58" t="e">
        <f>AND(#REF!,"AAAAAC+ej5M=")</f>
        <v>#REF!</v>
      </c>
      <c r="ES58" t="e">
        <f>AND(#REF!,"AAAAAC+ej5Q=")</f>
        <v>#REF!</v>
      </c>
      <c r="ET58" t="e">
        <f>AND(#REF!,"AAAAAC+ej5U=")</f>
        <v>#REF!</v>
      </c>
      <c r="EU58" t="e">
        <f>AND(#REF!,"AAAAAC+ej5Y=")</f>
        <v>#REF!</v>
      </c>
      <c r="EV58" t="e">
        <f>AND(#REF!,"AAAAAC+ej5c=")</f>
        <v>#REF!</v>
      </c>
      <c r="EW58" t="e">
        <f>AND(#REF!,"AAAAAC+ej5g=")</f>
        <v>#REF!</v>
      </c>
      <c r="EX58" t="e">
        <f>AND(#REF!,"AAAAAC+ej5k=")</f>
        <v>#REF!</v>
      </c>
      <c r="EY58" t="e">
        <f>AND(#REF!,"AAAAAC+ej5o=")</f>
        <v>#REF!</v>
      </c>
      <c r="EZ58" t="e">
        <f>AND(#REF!,"AAAAAC+ej5s=")</f>
        <v>#REF!</v>
      </c>
      <c r="FA58" t="e">
        <f>AND(#REF!,"AAAAAC+ej5w=")</f>
        <v>#REF!</v>
      </c>
      <c r="FB58" t="e">
        <f>AND(#REF!,"AAAAAC+ej50=")</f>
        <v>#REF!</v>
      </c>
      <c r="FC58" t="e">
        <f>AND(#REF!,"AAAAAC+ej54=")</f>
        <v>#REF!</v>
      </c>
      <c r="FD58" t="e">
        <f>AND(#REF!,"AAAAAC+ej58=")</f>
        <v>#REF!</v>
      </c>
      <c r="FE58" t="e">
        <f>AND(#REF!,"AAAAAC+ej6A=")</f>
        <v>#REF!</v>
      </c>
      <c r="FF58" t="e">
        <f>AND(#REF!,"AAAAAC+ej6E=")</f>
        <v>#REF!</v>
      </c>
      <c r="FG58" t="e">
        <f>AND(#REF!,"AAAAAC+ej6I=")</f>
        <v>#REF!</v>
      </c>
      <c r="FH58" t="e">
        <f>AND(#REF!,"AAAAAC+ej6M=")</f>
        <v>#REF!</v>
      </c>
      <c r="FI58" t="e">
        <f>AND(#REF!,"AAAAAC+ej6Q=")</f>
        <v>#REF!</v>
      </c>
      <c r="FJ58" t="e">
        <f>AND(#REF!,"AAAAAC+ej6U=")</f>
        <v>#REF!</v>
      </c>
      <c r="FK58" t="e">
        <f>AND(#REF!,"AAAAAC+ej6Y=")</f>
        <v>#REF!</v>
      </c>
      <c r="FL58" t="e">
        <f>AND(#REF!,"AAAAAC+ej6c=")</f>
        <v>#REF!</v>
      </c>
      <c r="FM58" t="e">
        <f>AND(#REF!,"AAAAAC+ej6g=")</f>
        <v>#REF!</v>
      </c>
      <c r="FN58" t="e">
        <f>AND(#REF!,"AAAAAC+ej6k=")</f>
        <v>#REF!</v>
      </c>
      <c r="FO58" t="e">
        <f>AND(#REF!,"AAAAAC+ej6o=")</f>
        <v>#REF!</v>
      </c>
      <c r="FP58" t="e">
        <f>AND(#REF!,"AAAAAC+ej6s=")</f>
        <v>#REF!</v>
      </c>
      <c r="FQ58" t="e">
        <f>AND(#REF!,"AAAAAC+ej6w=")</f>
        <v>#REF!</v>
      </c>
      <c r="FR58" t="e">
        <f>AND(#REF!,"AAAAAC+ej60=")</f>
        <v>#REF!</v>
      </c>
      <c r="FS58" t="e">
        <f>AND(#REF!,"AAAAAC+ej64=")</f>
        <v>#REF!</v>
      </c>
      <c r="FT58" t="e">
        <f>AND(#REF!,"AAAAAC+ej68=")</f>
        <v>#REF!</v>
      </c>
      <c r="FU58" t="e">
        <f>AND(#REF!,"AAAAAC+ej7A=")</f>
        <v>#REF!</v>
      </c>
      <c r="FV58" t="e">
        <f>AND(#REF!,"AAAAAC+ej7E=")</f>
        <v>#REF!</v>
      </c>
      <c r="FW58" t="e">
        <f>AND(#REF!,"AAAAAC+ej7I=")</f>
        <v>#REF!</v>
      </c>
      <c r="FX58" t="e">
        <f>AND(#REF!,"AAAAAC+ej7M=")</f>
        <v>#REF!</v>
      </c>
      <c r="FY58" t="e">
        <f>AND(#REF!,"AAAAAC+ej7Q=")</f>
        <v>#REF!</v>
      </c>
      <c r="FZ58" t="e">
        <f>AND(#REF!,"AAAAAC+ej7U=")</f>
        <v>#REF!</v>
      </c>
      <c r="GA58" t="e">
        <f>AND(#REF!,"AAAAAC+ej7Y=")</f>
        <v>#REF!</v>
      </c>
      <c r="GB58" t="e">
        <f>AND(#REF!,"AAAAAC+ej7c=")</f>
        <v>#REF!</v>
      </c>
      <c r="GC58" t="e">
        <f>AND(#REF!,"AAAAAC+ej7g=")</f>
        <v>#REF!</v>
      </c>
      <c r="GD58" t="e">
        <f>AND(#REF!,"AAAAAC+ej7k=")</f>
        <v>#REF!</v>
      </c>
      <c r="GE58" t="e">
        <f>AND(#REF!,"AAAAAC+ej7o=")</f>
        <v>#REF!</v>
      </c>
      <c r="GF58" t="e">
        <f>AND(#REF!,"AAAAAC+ej7s=")</f>
        <v>#REF!</v>
      </c>
      <c r="GG58" t="e">
        <f>AND(#REF!,"AAAAAC+ej7w=")</f>
        <v>#REF!</v>
      </c>
      <c r="GH58" t="e">
        <f>AND(#REF!,"AAAAAC+ej70=")</f>
        <v>#REF!</v>
      </c>
      <c r="GI58" t="e">
        <f>AND(#REF!,"AAAAAC+ej74=")</f>
        <v>#REF!</v>
      </c>
      <c r="GJ58" t="e">
        <f>AND(#REF!,"AAAAAC+ej78=")</f>
        <v>#REF!</v>
      </c>
      <c r="GK58" t="e">
        <f>AND(#REF!,"AAAAAC+ej8A=")</f>
        <v>#REF!</v>
      </c>
      <c r="GL58" t="e">
        <f>AND(#REF!,"AAAAAC+ej8E=")</f>
        <v>#REF!</v>
      </c>
      <c r="GM58" t="e">
        <f>AND(#REF!,"AAAAAC+ej8I=")</f>
        <v>#REF!</v>
      </c>
      <c r="GN58" t="e">
        <f>AND(#REF!,"AAAAAC+ej8M=")</f>
        <v>#REF!</v>
      </c>
      <c r="GO58" t="e">
        <f>AND(#REF!,"AAAAAC+ej8Q=")</f>
        <v>#REF!</v>
      </c>
      <c r="GP58" t="e">
        <f>AND(#REF!,"AAAAAC+ej8U=")</f>
        <v>#REF!</v>
      </c>
      <c r="GQ58" t="e">
        <f>AND(#REF!,"AAAAAC+ej8Y=")</f>
        <v>#REF!</v>
      </c>
      <c r="GR58" t="e">
        <f>AND(#REF!,"AAAAAC+ej8c=")</f>
        <v>#REF!</v>
      </c>
      <c r="GS58" t="e">
        <f>AND(#REF!,"AAAAAC+ej8g=")</f>
        <v>#REF!</v>
      </c>
      <c r="GT58" t="e">
        <f>AND(#REF!,"AAAAAC+ej8k=")</f>
        <v>#REF!</v>
      </c>
      <c r="GU58" t="e">
        <f>AND(#REF!,"AAAAAC+ej8o=")</f>
        <v>#REF!</v>
      </c>
      <c r="GV58" t="e">
        <f>AND(#REF!,"AAAAAC+ej8s=")</f>
        <v>#REF!</v>
      </c>
      <c r="GW58" t="e">
        <f>AND(#REF!,"AAAAAC+ej8w=")</f>
        <v>#REF!</v>
      </c>
      <c r="GX58" t="e">
        <f>AND(#REF!,"AAAAAC+ej80=")</f>
        <v>#REF!</v>
      </c>
      <c r="GY58" t="e">
        <f>AND(#REF!,"AAAAAC+ej84=")</f>
        <v>#REF!</v>
      </c>
      <c r="GZ58" t="e">
        <f>AND(#REF!,"AAAAAC+ej88=")</f>
        <v>#REF!</v>
      </c>
      <c r="HA58" t="e">
        <f>AND(#REF!,"AAAAAC+ej9A=")</f>
        <v>#REF!</v>
      </c>
      <c r="HB58" t="e">
        <f>AND(#REF!,"AAAAAC+ej9E=")</f>
        <v>#REF!</v>
      </c>
      <c r="HC58" t="e">
        <f>AND(#REF!,"AAAAAC+ej9I=")</f>
        <v>#REF!</v>
      </c>
      <c r="HD58" t="e">
        <f>AND(#REF!,"AAAAAC+ej9M=")</f>
        <v>#REF!</v>
      </c>
      <c r="HE58" t="e">
        <f>AND(#REF!,"AAAAAC+ej9Q=")</f>
        <v>#REF!</v>
      </c>
      <c r="HF58" t="e">
        <f>AND(#REF!,"AAAAAC+ej9U=")</f>
        <v>#REF!</v>
      </c>
      <c r="HG58" t="e">
        <f>AND(#REF!,"AAAAAC+ej9Y=")</f>
        <v>#REF!</v>
      </c>
      <c r="HH58" t="e">
        <f>AND(#REF!,"AAAAAC+ej9c=")</f>
        <v>#REF!</v>
      </c>
      <c r="HI58" t="e">
        <f>AND(#REF!,"AAAAAC+ej9g=")</f>
        <v>#REF!</v>
      </c>
      <c r="HJ58" t="e">
        <f>AND(#REF!,"AAAAAC+ej9k=")</f>
        <v>#REF!</v>
      </c>
      <c r="HK58" t="e">
        <f>AND(#REF!,"AAAAAC+ej9o=")</f>
        <v>#REF!</v>
      </c>
      <c r="HL58" t="e">
        <f>AND(#REF!,"AAAAAC+ej9s=")</f>
        <v>#REF!</v>
      </c>
      <c r="HM58" t="e">
        <f>AND(#REF!,"AAAAAC+ej9w=")</f>
        <v>#REF!</v>
      </c>
      <c r="HN58" t="e">
        <f>AND(#REF!,"AAAAAC+ej90=")</f>
        <v>#REF!</v>
      </c>
      <c r="HO58" t="e">
        <f>AND(#REF!,"AAAAAC+ej94=")</f>
        <v>#REF!</v>
      </c>
      <c r="HP58" t="e">
        <f>AND(#REF!,"AAAAAC+ej98=")</f>
        <v>#REF!</v>
      </c>
      <c r="HQ58" t="e">
        <f>AND(#REF!,"AAAAAC+ej+A=")</f>
        <v>#REF!</v>
      </c>
      <c r="HR58" t="e">
        <f>AND(#REF!,"AAAAAC+ej+E=")</f>
        <v>#REF!</v>
      </c>
      <c r="HS58" t="e">
        <f>AND(#REF!,"AAAAAC+ej+I=")</f>
        <v>#REF!</v>
      </c>
      <c r="HT58" t="e">
        <f>AND(#REF!,"AAAAAC+ej+M=")</f>
        <v>#REF!</v>
      </c>
      <c r="HU58" t="e">
        <f>AND(#REF!,"AAAAAC+ej+Q=")</f>
        <v>#REF!</v>
      </c>
      <c r="HV58" t="e">
        <f>AND(#REF!,"AAAAAC+ej+U=")</f>
        <v>#REF!</v>
      </c>
      <c r="HW58" t="e">
        <f>AND(#REF!,"AAAAAC+ej+Y=")</f>
        <v>#REF!</v>
      </c>
      <c r="HX58" t="e">
        <f>AND(#REF!,"AAAAAC+ej+c=")</f>
        <v>#REF!</v>
      </c>
      <c r="HY58" t="e">
        <f>AND(#REF!,"AAAAAC+ej+g=")</f>
        <v>#REF!</v>
      </c>
      <c r="HZ58" t="e">
        <f>AND(#REF!,"AAAAAC+ej+k=")</f>
        <v>#REF!</v>
      </c>
      <c r="IA58" t="e">
        <f>AND(#REF!,"AAAAAC+ej+o=")</f>
        <v>#REF!</v>
      </c>
      <c r="IB58" t="e">
        <f>AND(#REF!,"AAAAAC+ej+s=")</f>
        <v>#REF!</v>
      </c>
      <c r="IC58" t="e">
        <f>AND(#REF!,"AAAAAC+ej+w=")</f>
        <v>#REF!</v>
      </c>
      <c r="ID58" t="e">
        <f>AND(#REF!,"AAAAAC+ej+0=")</f>
        <v>#REF!</v>
      </c>
      <c r="IE58" t="e">
        <f>AND(#REF!,"AAAAAC+ej+4=")</f>
        <v>#REF!</v>
      </c>
      <c r="IF58" t="e">
        <f>AND(#REF!,"AAAAAC+ej+8=")</f>
        <v>#REF!</v>
      </c>
      <c r="IG58" t="e">
        <f>AND(#REF!,"AAAAAC+ej/A=")</f>
        <v>#REF!</v>
      </c>
      <c r="IH58" t="e">
        <f>AND(#REF!,"AAAAAC+ej/E=")</f>
        <v>#REF!</v>
      </c>
      <c r="II58" t="e">
        <f>AND(#REF!,"AAAAAC+ej/I=")</f>
        <v>#REF!</v>
      </c>
      <c r="IJ58" t="e">
        <f>AND(#REF!,"AAAAAC+ej/M=")</f>
        <v>#REF!</v>
      </c>
      <c r="IK58" t="e">
        <f>AND(#REF!,"AAAAAC+ej/Q=")</f>
        <v>#REF!</v>
      </c>
      <c r="IL58" t="e">
        <f>AND(#REF!,"AAAAAC+ej/U=")</f>
        <v>#REF!</v>
      </c>
      <c r="IM58" t="e">
        <f>AND(#REF!,"AAAAAC+ej/Y=")</f>
        <v>#REF!</v>
      </c>
      <c r="IN58" t="e">
        <f>AND(#REF!,"AAAAAC+ej/c=")</f>
        <v>#REF!</v>
      </c>
      <c r="IO58" t="e">
        <f>AND(#REF!,"AAAAAC+ej/g=")</f>
        <v>#REF!</v>
      </c>
      <c r="IP58" t="e">
        <f>AND(#REF!,"AAAAAC+ej/k=")</f>
        <v>#REF!</v>
      </c>
      <c r="IQ58" t="e">
        <f>AND(#REF!,"AAAAAC+ej/o=")</f>
        <v>#REF!</v>
      </c>
      <c r="IR58" t="e">
        <f>AND(#REF!,"AAAAAC+ej/s=")</f>
        <v>#REF!</v>
      </c>
      <c r="IS58" t="e">
        <f>AND(#REF!,"AAAAAC+ej/w=")</f>
        <v>#REF!</v>
      </c>
      <c r="IT58" t="e">
        <f>AND(#REF!,"AAAAAC+ej/0=")</f>
        <v>#REF!</v>
      </c>
      <c r="IU58" t="e">
        <f>AND(#REF!,"AAAAAC+ej/4=")</f>
        <v>#REF!</v>
      </c>
      <c r="IV58" t="e">
        <f>AND(#REF!,"AAAAAC+ej/8=")</f>
        <v>#REF!</v>
      </c>
    </row>
    <row r="59" spans="1:256" x14ac:dyDescent="0.2">
      <c r="A59" t="e">
        <f>AND(#REF!,"AAAAAB//+QA=")</f>
        <v>#REF!</v>
      </c>
      <c r="B59" t="e">
        <f>AND(#REF!,"AAAAAB//+QE=")</f>
        <v>#REF!</v>
      </c>
      <c r="C59" t="e">
        <f>AND(#REF!,"AAAAAB//+QI=")</f>
        <v>#REF!</v>
      </c>
      <c r="D59" t="e">
        <f>AND(#REF!,"AAAAAB//+QM=")</f>
        <v>#REF!</v>
      </c>
      <c r="E59" t="e">
        <f>AND(#REF!,"AAAAAB//+QQ=")</f>
        <v>#REF!</v>
      </c>
      <c r="F59" t="e">
        <f>AND(#REF!,"AAAAAB//+QU=")</f>
        <v>#REF!</v>
      </c>
      <c r="G59" t="e">
        <f>AND(#REF!,"AAAAAB//+QY=")</f>
        <v>#REF!</v>
      </c>
      <c r="H59" t="e">
        <f>AND(#REF!,"AAAAAB//+Qc=")</f>
        <v>#REF!</v>
      </c>
      <c r="I59" t="e">
        <f>AND(#REF!,"AAAAAB//+Qg=")</f>
        <v>#REF!</v>
      </c>
      <c r="J59" t="e">
        <f>AND(#REF!,"AAAAAB//+Qk=")</f>
        <v>#REF!</v>
      </c>
      <c r="K59" t="e">
        <f>AND(#REF!,"AAAAAB//+Qo=")</f>
        <v>#REF!</v>
      </c>
      <c r="L59" t="e">
        <f>IF(#REF!,"AAAAAB//+Qs=",0)</f>
        <v>#REF!</v>
      </c>
      <c r="M59" t="e">
        <f>AND(#REF!,"AAAAAB//+Qw=")</f>
        <v>#REF!</v>
      </c>
      <c r="N59" t="e">
        <f>AND(#REF!,"AAAAAB//+Q0=")</f>
        <v>#REF!</v>
      </c>
      <c r="O59" t="e">
        <f>AND(#REF!,"AAAAAB//+Q4=")</f>
        <v>#REF!</v>
      </c>
      <c r="P59" t="e">
        <f>AND(#REF!,"AAAAAB//+Q8=")</f>
        <v>#REF!</v>
      </c>
      <c r="Q59" t="e">
        <f>AND(#REF!,"AAAAAB//+RA=")</f>
        <v>#REF!</v>
      </c>
      <c r="R59" t="e">
        <f>AND(#REF!,"AAAAAB//+RE=")</f>
        <v>#REF!</v>
      </c>
      <c r="S59" t="e">
        <f>AND(#REF!,"AAAAAB//+RI=")</f>
        <v>#REF!</v>
      </c>
      <c r="T59" t="e">
        <f>AND(#REF!,"AAAAAB//+RM=")</f>
        <v>#REF!</v>
      </c>
      <c r="U59" t="e">
        <f>AND(#REF!,"AAAAAB//+RQ=")</f>
        <v>#REF!</v>
      </c>
      <c r="V59" t="e">
        <f>AND(#REF!,"AAAAAB//+RU=")</f>
        <v>#REF!</v>
      </c>
      <c r="W59" t="e">
        <f>AND(#REF!,"AAAAAB//+RY=")</f>
        <v>#REF!</v>
      </c>
      <c r="X59" t="e">
        <f>AND(#REF!,"AAAAAB//+Rc=")</f>
        <v>#REF!</v>
      </c>
      <c r="Y59" t="e">
        <f>AND(#REF!,"AAAAAB//+Rg=")</f>
        <v>#REF!</v>
      </c>
      <c r="Z59" t="e">
        <f>AND(#REF!,"AAAAAB//+Rk=")</f>
        <v>#REF!</v>
      </c>
      <c r="AA59" t="e">
        <f>AND(#REF!,"AAAAAB//+Ro=")</f>
        <v>#REF!</v>
      </c>
      <c r="AB59" t="e">
        <f>AND(#REF!,"AAAAAB//+Rs=")</f>
        <v>#REF!</v>
      </c>
      <c r="AC59" t="e">
        <f>AND(#REF!,"AAAAAB//+Rw=")</f>
        <v>#REF!</v>
      </c>
      <c r="AD59" t="e">
        <f>AND(#REF!,"AAAAAB//+R0=")</f>
        <v>#REF!</v>
      </c>
      <c r="AE59" t="e">
        <f>AND(#REF!,"AAAAAB//+R4=")</f>
        <v>#REF!</v>
      </c>
      <c r="AF59" t="e">
        <f>AND(#REF!,"AAAAAB//+R8=")</f>
        <v>#REF!</v>
      </c>
      <c r="AG59" t="e">
        <f>AND(#REF!,"AAAAAB//+SA=")</f>
        <v>#REF!</v>
      </c>
      <c r="AH59" t="e">
        <f>AND(#REF!,"AAAAAB//+SE=")</f>
        <v>#REF!</v>
      </c>
      <c r="AI59" t="e">
        <f>AND(#REF!,"AAAAAB//+SI=")</f>
        <v>#REF!</v>
      </c>
      <c r="AJ59" t="e">
        <f>AND(#REF!,"AAAAAB//+SM=")</f>
        <v>#REF!</v>
      </c>
      <c r="AK59" t="e">
        <f>AND(#REF!,"AAAAAB//+SQ=")</f>
        <v>#REF!</v>
      </c>
      <c r="AL59" t="e">
        <f>AND(#REF!,"AAAAAB//+SU=")</f>
        <v>#REF!</v>
      </c>
      <c r="AM59" t="e">
        <f>AND(#REF!,"AAAAAB//+SY=")</f>
        <v>#REF!</v>
      </c>
      <c r="AN59" t="e">
        <f>AND(#REF!,"AAAAAB//+Sc=")</f>
        <v>#REF!</v>
      </c>
      <c r="AO59" t="e">
        <f>AND(#REF!,"AAAAAB//+Sg=")</f>
        <v>#REF!</v>
      </c>
      <c r="AP59" t="e">
        <f>AND(#REF!,"AAAAAB//+Sk=")</f>
        <v>#REF!</v>
      </c>
      <c r="AQ59" t="e">
        <f>AND(#REF!,"AAAAAB//+So=")</f>
        <v>#REF!</v>
      </c>
      <c r="AR59" t="e">
        <f>AND(#REF!,"AAAAAB//+Ss=")</f>
        <v>#REF!</v>
      </c>
      <c r="AS59" t="e">
        <f>AND(#REF!,"AAAAAB//+Sw=")</f>
        <v>#REF!</v>
      </c>
      <c r="AT59" t="e">
        <f>AND(#REF!,"AAAAAB//+S0=")</f>
        <v>#REF!</v>
      </c>
      <c r="AU59" t="e">
        <f>AND(#REF!,"AAAAAB//+S4=")</f>
        <v>#REF!</v>
      </c>
      <c r="AV59" t="e">
        <f>AND(#REF!,"AAAAAB//+S8=")</f>
        <v>#REF!</v>
      </c>
      <c r="AW59" t="e">
        <f>AND(#REF!,"AAAAAB//+TA=")</f>
        <v>#REF!</v>
      </c>
      <c r="AX59" t="e">
        <f>AND(#REF!,"AAAAAB//+TE=")</f>
        <v>#REF!</v>
      </c>
      <c r="AY59" t="e">
        <f>AND(#REF!,"AAAAAB//+TI=")</f>
        <v>#REF!</v>
      </c>
      <c r="AZ59" t="e">
        <f>AND(#REF!,"AAAAAB//+TM=")</f>
        <v>#REF!</v>
      </c>
      <c r="BA59" t="e">
        <f>AND(#REF!,"AAAAAB//+TQ=")</f>
        <v>#REF!</v>
      </c>
      <c r="BB59" t="e">
        <f>AND(#REF!,"AAAAAB//+TU=")</f>
        <v>#REF!</v>
      </c>
      <c r="BC59" t="e">
        <f>AND(#REF!,"AAAAAB//+TY=")</f>
        <v>#REF!</v>
      </c>
      <c r="BD59" t="e">
        <f>AND(#REF!,"AAAAAB//+Tc=")</f>
        <v>#REF!</v>
      </c>
      <c r="BE59" t="e">
        <f>AND(#REF!,"AAAAAB//+Tg=")</f>
        <v>#REF!</v>
      </c>
      <c r="BF59" t="e">
        <f>AND(#REF!,"AAAAAB//+Tk=")</f>
        <v>#REF!</v>
      </c>
      <c r="BG59" t="e">
        <f>AND(#REF!,"AAAAAB//+To=")</f>
        <v>#REF!</v>
      </c>
      <c r="BH59" t="e">
        <f>AND(#REF!,"AAAAAB//+Ts=")</f>
        <v>#REF!</v>
      </c>
      <c r="BI59" t="e">
        <f>AND(#REF!,"AAAAAB//+Tw=")</f>
        <v>#REF!</v>
      </c>
      <c r="BJ59" t="e">
        <f>AND(#REF!,"AAAAAB//+T0=")</f>
        <v>#REF!</v>
      </c>
      <c r="BK59" t="e">
        <f>AND(#REF!,"AAAAAB//+T4=")</f>
        <v>#REF!</v>
      </c>
      <c r="BL59" t="e">
        <f>AND(#REF!,"AAAAAB//+T8=")</f>
        <v>#REF!</v>
      </c>
      <c r="BM59" t="e">
        <f>AND(#REF!,"AAAAAB//+UA=")</f>
        <v>#REF!</v>
      </c>
      <c r="BN59" t="e">
        <f>AND(#REF!,"AAAAAB//+UE=")</f>
        <v>#REF!</v>
      </c>
      <c r="BO59" t="e">
        <f>AND(#REF!,"AAAAAB//+UI=")</f>
        <v>#REF!</v>
      </c>
      <c r="BP59" t="e">
        <f>AND(#REF!,"AAAAAB//+UM=")</f>
        <v>#REF!</v>
      </c>
      <c r="BQ59" t="e">
        <f>AND(#REF!,"AAAAAB//+UQ=")</f>
        <v>#REF!</v>
      </c>
      <c r="BR59" t="e">
        <f>AND(#REF!,"AAAAAB//+UU=")</f>
        <v>#REF!</v>
      </c>
      <c r="BS59" t="e">
        <f>AND(#REF!,"AAAAAB//+UY=")</f>
        <v>#REF!</v>
      </c>
      <c r="BT59" t="e">
        <f>AND(#REF!,"AAAAAB//+Uc=")</f>
        <v>#REF!</v>
      </c>
      <c r="BU59" t="e">
        <f>AND(#REF!,"AAAAAB//+Ug=")</f>
        <v>#REF!</v>
      </c>
      <c r="BV59" t="e">
        <f>AND(#REF!,"AAAAAB//+Uk=")</f>
        <v>#REF!</v>
      </c>
      <c r="BW59" t="e">
        <f>AND(#REF!,"AAAAAB//+Uo=")</f>
        <v>#REF!</v>
      </c>
      <c r="BX59" t="e">
        <f>AND(#REF!,"AAAAAB//+Us=")</f>
        <v>#REF!</v>
      </c>
      <c r="BY59" t="e">
        <f>AND(#REF!,"AAAAAB//+Uw=")</f>
        <v>#REF!</v>
      </c>
      <c r="BZ59" t="e">
        <f>AND(#REF!,"AAAAAB//+U0=")</f>
        <v>#REF!</v>
      </c>
      <c r="CA59" t="e">
        <f>AND(#REF!,"AAAAAB//+U4=")</f>
        <v>#REF!</v>
      </c>
      <c r="CB59" t="e">
        <f>AND(#REF!,"AAAAAB//+U8=")</f>
        <v>#REF!</v>
      </c>
      <c r="CC59" t="e">
        <f>AND(#REF!,"AAAAAB//+VA=")</f>
        <v>#REF!</v>
      </c>
      <c r="CD59" t="e">
        <f>AND(#REF!,"AAAAAB//+VE=")</f>
        <v>#REF!</v>
      </c>
      <c r="CE59" t="e">
        <f>AND(#REF!,"AAAAAB//+VI=")</f>
        <v>#REF!</v>
      </c>
      <c r="CF59" t="e">
        <f>AND(#REF!,"AAAAAB//+VM=")</f>
        <v>#REF!</v>
      </c>
      <c r="CG59" t="e">
        <f>AND(#REF!,"AAAAAB//+VQ=")</f>
        <v>#REF!</v>
      </c>
      <c r="CH59" t="e">
        <f>AND(#REF!,"AAAAAB//+VU=")</f>
        <v>#REF!</v>
      </c>
      <c r="CI59" t="e">
        <f>AND(#REF!,"AAAAAB//+VY=")</f>
        <v>#REF!</v>
      </c>
      <c r="CJ59" t="e">
        <f>AND(#REF!,"AAAAAB//+Vc=")</f>
        <v>#REF!</v>
      </c>
      <c r="CK59" t="e">
        <f>AND(#REF!,"AAAAAB//+Vg=")</f>
        <v>#REF!</v>
      </c>
      <c r="CL59" t="e">
        <f>AND(#REF!,"AAAAAB//+Vk=")</f>
        <v>#REF!</v>
      </c>
      <c r="CM59" t="e">
        <f>AND(#REF!,"AAAAAB//+Vo=")</f>
        <v>#REF!</v>
      </c>
      <c r="CN59" t="e">
        <f>AND(#REF!,"AAAAAB//+Vs=")</f>
        <v>#REF!</v>
      </c>
      <c r="CO59" t="e">
        <f>AND(#REF!,"AAAAAB//+Vw=")</f>
        <v>#REF!</v>
      </c>
      <c r="CP59" t="e">
        <f>AND(#REF!,"AAAAAB//+V0=")</f>
        <v>#REF!</v>
      </c>
      <c r="CQ59" t="e">
        <f>AND(#REF!,"AAAAAB//+V4=")</f>
        <v>#REF!</v>
      </c>
      <c r="CR59" t="e">
        <f>AND(#REF!,"AAAAAB//+V8=")</f>
        <v>#REF!</v>
      </c>
      <c r="CS59" t="e">
        <f>AND(#REF!,"AAAAAB//+WA=")</f>
        <v>#REF!</v>
      </c>
      <c r="CT59" t="e">
        <f>AND(#REF!,"AAAAAB//+WE=")</f>
        <v>#REF!</v>
      </c>
      <c r="CU59" t="e">
        <f>AND(#REF!,"AAAAAB//+WI=")</f>
        <v>#REF!</v>
      </c>
      <c r="CV59" t="e">
        <f>AND(#REF!,"AAAAAB//+WM=")</f>
        <v>#REF!</v>
      </c>
      <c r="CW59" t="e">
        <f>AND(#REF!,"AAAAAB//+WQ=")</f>
        <v>#REF!</v>
      </c>
      <c r="CX59" t="e">
        <f>AND(#REF!,"AAAAAB//+WU=")</f>
        <v>#REF!</v>
      </c>
      <c r="CY59" t="e">
        <f>AND(#REF!,"AAAAAB//+WY=")</f>
        <v>#REF!</v>
      </c>
      <c r="CZ59" t="e">
        <f>AND(#REF!,"AAAAAB//+Wc=")</f>
        <v>#REF!</v>
      </c>
      <c r="DA59" t="e">
        <f>AND(#REF!,"AAAAAB//+Wg=")</f>
        <v>#REF!</v>
      </c>
      <c r="DB59" t="e">
        <f>AND(#REF!,"AAAAAB//+Wk=")</f>
        <v>#REF!</v>
      </c>
      <c r="DC59" t="e">
        <f>AND(#REF!,"AAAAAB//+Wo=")</f>
        <v>#REF!</v>
      </c>
      <c r="DD59" t="e">
        <f>AND(#REF!,"AAAAAB//+Ws=")</f>
        <v>#REF!</v>
      </c>
      <c r="DE59" t="e">
        <f>AND(#REF!,"AAAAAB//+Ww=")</f>
        <v>#REF!</v>
      </c>
      <c r="DF59" t="e">
        <f>AND(#REF!,"AAAAAB//+W0=")</f>
        <v>#REF!</v>
      </c>
      <c r="DG59" t="e">
        <f>AND(#REF!,"AAAAAB//+W4=")</f>
        <v>#REF!</v>
      </c>
      <c r="DH59" t="e">
        <f>AND(#REF!,"AAAAAB//+W8=")</f>
        <v>#REF!</v>
      </c>
      <c r="DI59" t="e">
        <f>AND(#REF!,"AAAAAB//+XA=")</f>
        <v>#REF!</v>
      </c>
      <c r="DJ59" t="e">
        <f>AND(#REF!,"AAAAAB//+XE=")</f>
        <v>#REF!</v>
      </c>
      <c r="DK59" t="e">
        <f>AND(#REF!,"AAAAAB//+XI=")</f>
        <v>#REF!</v>
      </c>
      <c r="DL59" t="e">
        <f>AND(#REF!,"AAAAAB//+XM=")</f>
        <v>#REF!</v>
      </c>
      <c r="DM59" t="e">
        <f>AND(#REF!,"AAAAAB//+XQ=")</f>
        <v>#REF!</v>
      </c>
      <c r="DN59" t="e">
        <f>AND(#REF!,"AAAAAB//+XU=")</f>
        <v>#REF!</v>
      </c>
      <c r="DO59" t="e">
        <f>AND(#REF!,"AAAAAB//+XY=")</f>
        <v>#REF!</v>
      </c>
      <c r="DP59" t="e">
        <f>AND(#REF!,"AAAAAB//+Xc=")</f>
        <v>#REF!</v>
      </c>
      <c r="DQ59" t="e">
        <f>AND(#REF!,"AAAAAB//+Xg=")</f>
        <v>#REF!</v>
      </c>
      <c r="DR59" t="e">
        <f>AND(#REF!,"AAAAAB//+Xk=")</f>
        <v>#REF!</v>
      </c>
      <c r="DS59" t="e">
        <f>AND(#REF!,"AAAAAB//+Xo=")</f>
        <v>#REF!</v>
      </c>
      <c r="DT59" t="e">
        <f>AND(#REF!,"AAAAAB//+Xs=")</f>
        <v>#REF!</v>
      </c>
      <c r="DU59" t="e">
        <f>AND(#REF!,"AAAAAB//+Xw=")</f>
        <v>#REF!</v>
      </c>
      <c r="DV59" t="e">
        <f>AND(#REF!,"AAAAAB//+X0=")</f>
        <v>#REF!</v>
      </c>
      <c r="DW59" t="e">
        <f>AND(#REF!,"AAAAAB//+X4=")</f>
        <v>#REF!</v>
      </c>
      <c r="DX59" t="e">
        <f>AND(#REF!,"AAAAAB//+X8=")</f>
        <v>#REF!</v>
      </c>
      <c r="DY59" t="e">
        <f>AND(#REF!,"AAAAAB//+YA=")</f>
        <v>#REF!</v>
      </c>
      <c r="DZ59" t="e">
        <f>AND(#REF!,"AAAAAB//+YE=")</f>
        <v>#REF!</v>
      </c>
      <c r="EA59" t="e">
        <f>AND(#REF!,"AAAAAB//+YI=")</f>
        <v>#REF!</v>
      </c>
      <c r="EB59" t="e">
        <f>AND(#REF!,"AAAAAB//+YM=")</f>
        <v>#REF!</v>
      </c>
      <c r="EC59" t="e">
        <f>AND(#REF!,"AAAAAB//+YQ=")</f>
        <v>#REF!</v>
      </c>
      <c r="ED59" t="e">
        <f>AND(#REF!,"AAAAAB//+YU=")</f>
        <v>#REF!</v>
      </c>
      <c r="EE59" t="e">
        <f>AND(#REF!,"AAAAAB//+YY=")</f>
        <v>#REF!</v>
      </c>
      <c r="EF59" t="e">
        <f>AND(#REF!,"AAAAAB//+Yc=")</f>
        <v>#REF!</v>
      </c>
      <c r="EG59" t="e">
        <f>AND(#REF!,"AAAAAB//+Yg=")</f>
        <v>#REF!</v>
      </c>
      <c r="EH59" t="e">
        <f>AND(#REF!,"AAAAAB//+Yk=")</f>
        <v>#REF!</v>
      </c>
      <c r="EI59" t="e">
        <f>AND(#REF!,"AAAAAB//+Yo=")</f>
        <v>#REF!</v>
      </c>
      <c r="EJ59" t="e">
        <f>AND(#REF!,"AAAAAB//+Ys=")</f>
        <v>#REF!</v>
      </c>
      <c r="EK59" t="e">
        <f>AND(#REF!,"AAAAAB//+Yw=")</f>
        <v>#REF!</v>
      </c>
      <c r="EL59" t="e">
        <f>AND(#REF!,"AAAAAB//+Y0=")</f>
        <v>#REF!</v>
      </c>
      <c r="EM59" t="e">
        <f>AND(#REF!,"AAAAAB//+Y4=")</f>
        <v>#REF!</v>
      </c>
      <c r="EN59" t="e">
        <f>AND(#REF!,"AAAAAB//+Y8=")</f>
        <v>#REF!</v>
      </c>
      <c r="EO59" t="e">
        <f>AND(#REF!,"AAAAAB//+ZA=")</f>
        <v>#REF!</v>
      </c>
      <c r="EP59" t="e">
        <f>AND(#REF!,"AAAAAB//+ZE=")</f>
        <v>#REF!</v>
      </c>
      <c r="EQ59" t="e">
        <f>AND(#REF!,"AAAAAB//+ZI=")</f>
        <v>#REF!</v>
      </c>
      <c r="ER59" t="e">
        <f>AND(#REF!,"AAAAAB//+ZM=")</f>
        <v>#REF!</v>
      </c>
      <c r="ES59" t="e">
        <f>AND(#REF!,"AAAAAB//+ZQ=")</f>
        <v>#REF!</v>
      </c>
      <c r="ET59" t="e">
        <f>AND(#REF!,"AAAAAB//+ZU=")</f>
        <v>#REF!</v>
      </c>
      <c r="EU59" t="e">
        <f>AND(#REF!,"AAAAAB//+ZY=")</f>
        <v>#REF!</v>
      </c>
      <c r="EV59" t="e">
        <f>AND(#REF!,"AAAAAB//+Zc=")</f>
        <v>#REF!</v>
      </c>
      <c r="EW59" t="e">
        <f>AND(#REF!,"AAAAAB//+Zg=")</f>
        <v>#REF!</v>
      </c>
      <c r="EX59" t="e">
        <f>AND(#REF!,"AAAAAB//+Zk=")</f>
        <v>#REF!</v>
      </c>
      <c r="EY59" t="e">
        <f>AND(#REF!,"AAAAAB//+Zo=")</f>
        <v>#REF!</v>
      </c>
      <c r="EZ59" t="e">
        <f>AND(#REF!,"AAAAAB//+Zs=")</f>
        <v>#REF!</v>
      </c>
      <c r="FA59" t="e">
        <f>AND(#REF!,"AAAAAB//+Zw=")</f>
        <v>#REF!</v>
      </c>
      <c r="FB59" t="e">
        <f>AND(#REF!,"AAAAAB//+Z0=")</f>
        <v>#REF!</v>
      </c>
      <c r="FC59" t="e">
        <f>AND(#REF!,"AAAAAB//+Z4=")</f>
        <v>#REF!</v>
      </c>
      <c r="FD59" t="e">
        <f>AND(#REF!,"AAAAAB//+Z8=")</f>
        <v>#REF!</v>
      </c>
      <c r="FE59" t="e">
        <f>AND(#REF!,"AAAAAB//+aA=")</f>
        <v>#REF!</v>
      </c>
      <c r="FF59" t="e">
        <f>AND(#REF!,"AAAAAB//+aE=")</f>
        <v>#REF!</v>
      </c>
      <c r="FG59" t="e">
        <f>AND(#REF!,"AAAAAB//+aI=")</f>
        <v>#REF!</v>
      </c>
      <c r="FH59" t="e">
        <f>AND(#REF!,"AAAAAB//+aM=")</f>
        <v>#REF!</v>
      </c>
      <c r="FI59" t="e">
        <f>AND(#REF!,"AAAAAB//+aQ=")</f>
        <v>#REF!</v>
      </c>
      <c r="FJ59" t="e">
        <f>AND(#REF!,"AAAAAB//+aU=")</f>
        <v>#REF!</v>
      </c>
      <c r="FK59" t="e">
        <f>AND(#REF!,"AAAAAB//+aY=")</f>
        <v>#REF!</v>
      </c>
      <c r="FL59" t="e">
        <f>AND(#REF!,"AAAAAB//+ac=")</f>
        <v>#REF!</v>
      </c>
      <c r="FM59" t="e">
        <f>AND(#REF!,"AAAAAB//+ag=")</f>
        <v>#REF!</v>
      </c>
      <c r="FN59" t="e">
        <f>AND(#REF!,"AAAAAB//+ak=")</f>
        <v>#REF!</v>
      </c>
      <c r="FO59" t="e">
        <f>AND(#REF!,"AAAAAB//+ao=")</f>
        <v>#REF!</v>
      </c>
      <c r="FP59" t="e">
        <f>AND(#REF!,"AAAAAB//+as=")</f>
        <v>#REF!</v>
      </c>
      <c r="FQ59" t="e">
        <f>AND(#REF!,"AAAAAB//+aw=")</f>
        <v>#REF!</v>
      </c>
      <c r="FR59" t="e">
        <f>AND(#REF!,"AAAAAB//+a0=")</f>
        <v>#REF!</v>
      </c>
      <c r="FS59" t="e">
        <f>AND(#REF!,"AAAAAB//+a4=")</f>
        <v>#REF!</v>
      </c>
      <c r="FT59" t="e">
        <f>AND(#REF!,"AAAAAB//+a8=")</f>
        <v>#REF!</v>
      </c>
      <c r="FU59" t="e">
        <f>AND(#REF!,"AAAAAB//+bA=")</f>
        <v>#REF!</v>
      </c>
      <c r="FV59" t="e">
        <f>AND(#REF!,"AAAAAB//+bE=")</f>
        <v>#REF!</v>
      </c>
      <c r="FW59" t="e">
        <f>AND(#REF!,"AAAAAB//+bI=")</f>
        <v>#REF!</v>
      </c>
      <c r="FX59" t="e">
        <f>AND(#REF!,"AAAAAB//+bM=")</f>
        <v>#REF!</v>
      </c>
      <c r="FY59" t="e">
        <f>AND(#REF!,"AAAAAB//+bQ=")</f>
        <v>#REF!</v>
      </c>
      <c r="FZ59" t="e">
        <f>AND(#REF!,"AAAAAB//+bU=")</f>
        <v>#REF!</v>
      </c>
      <c r="GA59" t="e">
        <f>AND(#REF!,"AAAAAB//+bY=")</f>
        <v>#REF!</v>
      </c>
      <c r="GB59" t="e">
        <f>AND(#REF!,"AAAAAB//+bc=")</f>
        <v>#REF!</v>
      </c>
      <c r="GC59" t="e">
        <f>AND(#REF!,"AAAAAB//+bg=")</f>
        <v>#REF!</v>
      </c>
      <c r="GD59" t="e">
        <f>AND(#REF!,"AAAAAB//+bk=")</f>
        <v>#REF!</v>
      </c>
      <c r="GE59" t="e">
        <f>AND(#REF!,"AAAAAB//+bo=")</f>
        <v>#REF!</v>
      </c>
      <c r="GF59" t="e">
        <f>AND(#REF!,"AAAAAB//+bs=")</f>
        <v>#REF!</v>
      </c>
      <c r="GG59" t="e">
        <f>AND(#REF!,"AAAAAB//+bw=")</f>
        <v>#REF!</v>
      </c>
      <c r="GH59" t="e">
        <f>AND(#REF!,"AAAAAB//+b0=")</f>
        <v>#REF!</v>
      </c>
      <c r="GI59" t="e">
        <f>AND(#REF!,"AAAAAB//+b4=")</f>
        <v>#REF!</v>
      </c>
      <c r="GJ59" t="e">
        <f>AND(#REF!,"AAAAAB//+b8=")</f>
        <v>#REF!</v>
      </c>
      <c r="GK59" t="e">
        <f>IF(#REF!,"AAAAAB//+cA=",0)</f>
        <v>#REF!</v>
      </c>
      <c r="GL59" t="e">
        <f>AND(#REF!,"AAAAAB//+cE=")</f>
        <v>#REF!</v>
      </c>
      <c r="GM59" t="e">
        <f>AND(#REF!,"AAAAAB//+cI=")</f>
        <v>#REF!</v>
      </c>
      <c r="GN59" t="e">
        <f>AND(#REF!,"AAAAAB//+cM=")</f>
        <v>#REF!</v>
      </c>
      <c r="GO59" t="e">
        <f>AND(#REF!,"AAAAAB//+cQ=")</f>
        <v>#REF!</v>
      </c>
      <c r="GP59" t="e">
        <f>AND(#REF!,"AAAAAB//+cU=")</f>
        <v>#REF!</v>
      </c>
      <c r="GQ59" t="e">
        <f>AND(#REF!,"AAAAAB//+cY=")</f>
        <v>#REF!</v>
      </c>
      <c r="GR59" t="e">
        <f>AND(#REF!,"AAAAAB//+cc=")</f>
        <v>#REF!</v>
      </c>
      <c r="GS59" t="e">
        <f>AND(#REF!,"AAAAAB//+cg=")</f>
        <v>#REF!</v>
      </c>
      <c r="GT59" t="e">
        <f>AND(#REF!,"AAAAAB//+ck=")</f>
        <v>#REF!</v>
      </c>
      <c r="GU59" t="e">
        <f>AND(#REF!,"AAAAAB//+co=")</f>
        <v>#REF!</v>
      </c>
      <c r="GV59" t="e">
        <f>AND(#REF!,"AAAAAB//+cs=")</f>
        <v>#REF!</v>
      </c>
      <c r="GW59" t="e">
        <f>AND(#REF!,"AAAAAB//+cw=")</f>
        <v>#REF!</v>
      </c>
      <c r="GX59" t="e">
        <f>AND(#REF!,"AAAAAB//+c0=")</f>
        <v>#REF!</v>
      </c>
      <c r="GY59" t="e">
        <f>AND(#REF!,"AAAAAB//+c4=")</f>
        <v>#REF!</v>
      </c>
      <c r="GZ59" t="e">
        <f>AND(#REF!,"AAAAAB//+c8=")</f>
        <v>#REF!</v>
      </c>
      <c r="HA59" t="e">
        <f>AND(#REF!,"AAAAAB//+dA=")</f>
        <v>#REF!</v>
      </c>
      <c r="HB59" t="e">
        <f>AND(#REF!,"AAAAAB//+dE=")</f>
        <v>#REF!</v>
      </c>
      <c r="HC59" t="e">
        <f>AND(#REF!,"AAAAAB//+dI=")</f>
        <v>#REF!</v>
      </c>
      <c r="HD59" t="e">
        <f>AND(#REF!,"AAAAAB//+dM=")</f>
        <v>#REF!</v>
      </c>
      <c r="HE59" t="e">
        <f>AND(#REF!,"AAAAAB//+dQ=")</f>
        <v>#REF!</v>
      </c>
      <c r="HF59" t="e">
        <f>AND(#REF!,"AAAAAB//+dU=")</f>
        <v>#REF!</v>
      </c>
      <c r="HG59" t="e">
        <f>AND(#REF!,"AAAAAB//+dY=")</f>
        <v>#REF!</v>
      </c>
      <c r="HH59" t="e">
        <f>AND(#REF!,"AAAAAB//+dc=")</f>
        <v>#REF!</v>
      </c>
      <c r="HI59" t="e">
        <f>AND(#REF!,"AAAAAB//+dg=")</f>
        <v>#REF!</v>
      </c>
      <c r="HJ59" t="e">
        <f>AND(#REF!,"AAAAAB//+dk=")</f>
        <v>#REF!</v>
      </c>
      <c r="HK59" t="e">
        <f>AND(#REF!,"AAAAAB//+do=")</f>
        <v>#REF!</v>
      </c>
      <c r="HL59" t="e">
        <f>AND(#REF!,"AAAAAB//+ds=")</f>
        <v>#REF!</v>
      </c>
      <c r="HM59" t="e">
        <f>AND(#REF!,"AAAAAB//+dw=")</f>
        <v>#REF!</v>
      </c>
      <c r="HN59" t="e">
        <f>AND(#REF!,"AAAAAB//+d0=")</f>
        <v>#REF!</v>
      </c>
      <c r="HO59" t="e">
        <f>AND(#REF!,"AAAAAB//+d4=")</f>
        <v>#REF!</v>
      </c>
      <c r="HP59" t="e">
        <f>AND(#REF!,"AAAAAB//+d8=")</f>
        <v>#REF!</v>
      </c>
      <c r="HQ59" t="e">
        <f>AND(#REF!,"AAAAAB//+eA=")</f>
        <v>#REF!</v>
      </c>
      <c r="HR59" t="e">
        <f>AND(#REF!,"AAAAAB//+eE=")</f>
        <v>#REF!</v>
      </c>
      <c r="HS59" t="e">
        <f>AND(#REF!,"AAAAAB//+eI=")</f>
        <v>#REF!</v>
      </c>
      <c r="HT59" t="e">
        <f>AND(#REF!,"AAAAAB//+eM=")</f>
        <v>#REF!</v>
      </c>
      <c r="HU59" t="e">
        <f>AND(#REF!,"AAAAAB//+eQ=")</f>
        <v>#REF!</v>
      </c>
      <c r="HV59" t="e">
        <f>AND(#REF!,"AAAAAB//+eU=")</f>
        <v>#REF!</v>
      </c>
      <c r="HW59" t="e">
        <f>AND(#REF!,"AAAAAB//+eY=")</f>
        <v>#REF!</v>
      </c>
      <c r="HX59" t="e">
        <f>AND(#REF!,"AAAAAB//+ec=")</f>
        <v>#REF!</v>
      </c>
      <c r="HY59" t="e">
        <f>AND(#REF!,"AAAAAB//+eg=")</f>
        <v>#REF!</v>
      </c>
      <c r="HZ59" t="e">
        <f>AND(#REF!,"AAAAAB//+ek=")</f>
        <v>#REF!</v>
      </c>
      <c r="IA59" t="e">
        <f>AND(#REF!,"AAAAAB//+eo=")</f>
        <v>#REF!</v>
      </c>
      <c r="IB59" t="e">
        <f>AND(#REF!,"AAAAAB//+es=")</f>
        <v>#REF!</v>
      </c>
      <c r="IC59" t="e">
        <f>AND(#REF!,"AAAAAB//+ew=")</f>
        <v>#REF!</v>
      </c>
      <c r="ID59" t="e">
        <f>AND(#REF!,"AAAAAB//+e0=")</f>
        <v>#REF!</v>
      </c>
      <c r="IE59" t="e">
        <f>AND(#REF!,"AAAAAB//+e4=")</f>
        <v>#REF!</v>
      </c>
      <c r="IF59" t="e">
        <f>AND(#REF!,"AAAAAB//+e8=")</f>
        <v>#REF!</v>
      </c>
      <c r="IG59" t="e">
        <f>AND(#REF!,"AAAAAB//+fA=")</f>
        <v>#REF!</v>
      </c>
      <c r="IH59" t="e">
        <f>AND(#REF!,"AAAAAB//+fE=")</f>
        <v>#REF!</v>
      </c>
      <c r="II59" t="e">
        <f>AND(#REF!,"AAAAAB//+fI=")</f>
        <v>#REF!</v>
      </c>
      <c r="IJ59" t="e">
        <f>AND(#REF!,"AAAAAB//+fM=")</f>
        <v>#REF!</v>
      </c>
      <c r="IK59" t="e">
        <f>AND(#REF!,"AAAAAB//+fQ=")</f>
        <v>#REF!</v>
      </c>
      <c r="IL59" t="e">
        <f>AND(#REF!,"AAAAAB//+fU=")</f>
        <v>#REF!</v>
      </c>
      <c r="IM59" t="e">
        <f>AND(#REF!,"AAAAAB//+fY=")</f>
        <v>#REF!</v>
      </c>
      <c r="IN59" t="e">
        <f>AND(#REF!,"AAAAAB//+fc=")</f>
        <v>#REF!</v>
      </c>
      <c r="IO59" t="e">
        <f>AND(#REF!,"AAAAAB//+fg=")</f>
        <v>#REF!</v>
      </c>
      <c r="IP59" t="e">
        <f>AND(#REF!,"AAAAAB//+fk=")</f>
        <v>#REF!</v>
      </c>
      <c r="IQ59" t="e">
        <f>AND(#REF!,"AAAAAB//+fo=")</f>
        <v>#REF!</v>
      </c>
      <c r="IR59" t="e">
        <f>AND(#REF!,"AAAAAB//+fs=")</f>
        <v>#REF!</v>
      </c>
      <c r="IS59" t="e">
        <f>AND(#REF!,"AAAAAB//+fw=")</f>
        <v>#REF!</v>
      </c>
      <c r="IT59" t="e">
        <f>AND(#REF!,"AAAAAB//+f0=")</f>
        <v>#REF!</v>
      </c>
      <c r="IU59" t="e">
        <f>AND(#REF!,"AAAAAB//+f4=")</f>
        <v>#REF!</v>
      </c>
      <c r="IV59" t="e">
        <f>AND(#REF!,"AAAAAB//+f8=")</f>
        <v>#REF!</v>
      </c>
    </row>
    <row r="60" spans="1:256" x14ac:dyDescent="0.2">
      <c r="A60" t="e">
        <f>AND(#REF!,"AAAAAH/1zwA=")</f>
        <v>#REF!</v>
      </c>
      <c r="B60" t="e">
        <f>AND(#REF!,"AAAAAH/1zwE=")</f>
        <v>#REF!</v>
      </c>
      <c r="C60" t="e">
        <f>AND(#REF!,"AAAAAH/1zwI=")</f>
        <v>#REF!</v>
      </c>
      <c r="D60" t="e">
        <f>AND(#REF!,"AAAAAH/1zwM=")</f>
        <v>#REF!</v>
      </c>
      <c r="E60" t="e">
        <f>AND(#REF!,"AAAAAH/1zwQ=")</f>
        <v>#REF!</v>
      </c>
      <c r="F60" t="e">
        <f>AND(#REF!,"AAAAAH/1zwU=")</f>
        <v>#REF!</v>
      </c>
      <c r="G60" t="e">
        <f>AND(#REF!,"AAAAAH/1zwY=")</f>
        <v>#REF!</v>
      </c>
      <c r="H60" t="e">
        <f>AND(#REF!,"AAAAAH/1zwc=")</f>
        <v>#REF!</v>
      </c>
      <c r="I60" t="e">
        <f>AND(#REF!,"AAAAAH/1zwg=")</f>
        <v>#REF!</v>
      </c>
      <c r="J60" t="e">
        <f>AND(#REF!,"AAAAAH/1zwk=")</f>
        <v>#REF!</v>
      </c>
      <c r="K60" t="e">
        <f>AND(#REF!,"AAAAAH/1zwo=")</f>
        <v>#REF!</v>
      </c>
      <c r="L60" t="e">
        <f>AND(#REF!,"AAAAAH/1zws=")</f>
        <v>#REF!</v>
      </c>
      <c r="M60" t="e">
        <f>AND(#REF!,"AAAAAH/1zww=")</f>
        <v>#REF!</v>
      </c>
      <c r="N60" t="e">
        <f>AND(#REF!,"AAAAAH/1zw0=")</f>
        <v>#REF!</v>
      </c>
      <c r="O60" t="e">
        <f>AND(#REF!,"AAAAAH/1zw4=")</f>
        <v>#REF!</v>
      </c>
      <c r="P60" t="e">
        <f>AND(#REF!,"AAAAAH/1zw8=")</f>
        <v>#REF!</v>
      </c>
      <c r="Q60" t="e">
        <f>AND(#REF!,"AAAAAH/1zxA=")</f>
        <v>#REF!</v>
      </c>
      <c r="R60" t="e">
        <f>AND(#REF!,"AAAAAH/1zxE=")</f>
        <v>#REF!</v>
      </c>
      <c r="S60" t="e">
        <f>AND(#REF!,"AAAAAH/1zxI=")</f>
        <v>#REF!</v>
      </c>
      <c r="T60" t="e">
        <f>AND(#REF!,"AAAAAH/1zxM=")</f>
        <v>#REF!</v>
      </c>
      <c r="U60" t="e">
        <f>AND(#REF!,"AAAAAH/1zxQ=")</f>
        <v>#REF!</v>
      </c>
      <c r="V60" t="e">
        <f>AND(#REF!,"AAAAAH/1zxU=")</f>
        <v>#REF!</v>
      </c>
      <c r="W60" t="e">
        <f>AND(#REF!,"AAAAAH/1zxY=")</f>
        <v>#REF!</v>
      </c>
      <c r="X60" t="e">
        <f>AND(#REF!,"AAAAAH/1zxc=")</f>
        <v>#REF!</v>
      </c>
      <c r="Y60" t="e">
        <f>AND(#REF!,"AAAAAH/1zxg=")</f>
        <v>#REF!</v>
      </c>
      <c r="Z60" t="e">
        <f>AND(#REF!,"AAAAAH/1zxk=")</f>
        <v>#REF!</v>
      </c>
      <c r="AA60" t="e">
        <f>AND(#REF!,"AAAAAH/1zxo=")</f>
        <v>#REF!</v>
      </c>
      <c r="AB60" t="e">
        <f>AND(#REF!,"AAAAAH/1zxs=")</f>
        <v>#REF!</v>
      </c>
      <c r="AC60" t="e">
        <f>AND(#REF!,"AAAAAH/1zxw=")</f>
        <v>#REF!</v>
      </c>
      <c r="AD60" t="e">
        <f>AND(#REF!,"AAAAAH/1zx0=")</f>
        <v>#REF!</v>
      </c>
      <c r="AE60" t="e">
        <f>AND(#REF!,"AAAAAH/1zx4=")</f>
        <v>#REF!</v>
      </c>
      <c r="AF60" t="e">
        <f>AND(#REF!,"AAAAAH/1zx8=")</f>
        <v>#REF!</v>
      </c>
      <c r="AG60" t="e">
        <f>AND(#REF!,"AAAAAH/1zyA=")</f>
        <v>#REF!</v>
      </c>
      <c r="AH60" t="e">
        <f>AND(#REF!,"AAAAAH/1zyE=")</f>
        <v>#REF!</v>
      </c>
      <c r="AI60" t="e">
        <f>AND(#REF!,"AAAAAH/1zyI=")</f>
        <v>#REF!</v>
      </c>
      <c r="AJ60" t="e">
        <f>AND(#REF!,"AAAAAH/1zyM=")</f>
        <v>#REF!</v>
      </c>
      <c r="AK60" t="e">
        <f>AND(#REF!,"AAAAAH/1zyQ=")</f>
        <v>#REF!</v>
      </c>
      <c r="AL60" t="e">
        <f>AND(#REF!,"AAAAAH/1zyU=")</f>
        <v>#REF!</v>
      </c>
      <c r="AM60" t="e">
        <f>AND(#REF!,"AAAAAH/1zyY=")</f>
        <v>#REF!</v>
      </c>
      <c r="AN60" t="e">
        <f>AND(#REF!,"AAAAAH/1zyc=")</f>
        <v>#REF!</v>
      </c>
      <c r="AO60" t="e">
        <f>AND(#REF!,"AAAAAH/1zyg=")</f>
        <v>#REF!</v>
      </c>
      <c r="AP60" t="e">
        <f>AND(#REF!,"AAAAAH/1zyk=")</f>
        <v>#REF!</v>
      </c>
      <c r="AQ60" t="e">
        <f>AND(#REF!,"AAAAAH/1zyo=")</f>
        <v>#REF!</v>
      </c>
      <c r="AR60" t="e">
        <f>AND(#REF!,"AAAAAH/1zys=")</f>
        <v>#REF!</v>
      </c>
      <c r="AS60" t="e">
        <f>AND(#REF!,"AAAAAH/1zyw=")</f>
        <v>#REF!</v>
      </c>
      <c r="AT60" t="e">
        <f>AND(#REF!,"AAAAAH/1zy0=")</f>
        <v>#REF!</v>
      </c>
      <c r="AU60" t="e">
        <f>AND(#REF!,"AAAAAH/1zy4=")</f>
        <v>#REF!</v>
      </c>
      <c r="AV60" t="e">
        <f>AND(#REF!,"AAAAAH/1zy8=")</f>
        <v>#REF!</v>
      </c>
      <c r="AW60" t="e">
        <f>AND(#REF!,"AAAAAH/1zzA=")</f>
        <v>#REF!</v>
      </c>
      <c r="AX60" t="e">
        <f>AND(#REF!,"AAAAAH/1zzE=")</f>
        <v>#REF!</v>
      </c>
      <c r="AY60" t="e">
        <f>AND(#REF!,"AAAAAH/1zzI=")</f>
        <v>#REF!</v>
      </c>
      <c r="AZ60" t="e">
        <f>AND(#REF!,"AAAAAH/1zzM=")</f>
        <v>#REF!</v>
      </c>
      <c r="BA60" t="e">
        <f>AND(#REF!,"AAAAAH/1zzQ=")</f>
        <v>#REF!</v>
      </c>
      <c r="BB60" t="e">
        <f>AND(#REF!,"AAAAAH/1zzU=")</f>
        <v>#REF!</v>
      </c>
      <c r="BC60" t="e">
        <f>AND(#REF!,"AAAAAH/1zzY=")</f>
        <v>#REF!</v>
      </c>
      <c r="BD60" t="e">
        <f>AND(#REF!,"AAAAAH/1zzc=")</f>
        <v>#REF!</v>
      </c>
      <c r="BE60" t="e">
        <f>AND(#REF!,"AAAAAH/1zzg=")</f>
        <v>#REF!</v>
      </c>
      <c r="BF60" t="e">
        <f>AND(#REF!,"AAAAAH/1zzk=")</f>
        <v>#REF!</v>
      </c>
      <c r="BG60" t="e">
        <f>AND(#REF!,"AAAAAH/1zzo=")</f>
        <v>#REF!</v>
      </c>
      <c r="BH60" t="e">
        <f>AND(#REF!,"AAAAAH/1zzs=")</f>
        <v>#REF!</v>
      </c>
      <c r="BI60" t="e">
        <f>AND(#REF!,"AAAAAH/1zzw=")</f>
        <v>#REF!</v>
      </c>
      <c r="BJ60" t="e">
        <f>AND(#REF!,"AAAAAH/1zz0=")</f>
        <v>#REF!</v>
      </c>
      <c r="BK60" t="e">
        <f>AND(#REF!,"AAAAAH/1zz4=")</f>
        <v>#REF!</v>
      </c>
      <c r="BL60" t="e">
        <f>AND(#REF!,"AAAAAH/1zz8=")</f>
        <v>#REF!</v>
      </c>
      <c r="BM60" t="e">
        <f>AND(#REF!,"AAAAAH/1z0A=")</f>
        <v>#REF!</v>
      </c>
      <c r="BN60" t="e">
        <f>AND(#REF!,"AAAAAH/1z0E=")</f>
        <v>#REF!</v>
      </c>
      <c r="BO60" t="e">
        <f>AND(#REF!,"AAAAAH/1z0I=")</f>
        <v>#REF!</v>
      </c>
      <c r="BP60" t="e">
        <f>AND(#REF!,"AAAAAH/1z0M=")</f>
        <v>#REF!</v>
      </c>
      <c r="BQ60" t="e">
        <f>AND(#REF!,"AAAAAH/1z0Q=")</f>
        <v>#REF!</v>
      </c>
      <c r="BR60" t="e">
        <f>AND(#REF!,"AAAAAH/1z0U=")</f>
        <v>#REF!</v>
      </c>
      <c r="BS60" t="e">
        <f>AND(#REF!,"AAAAAH/1z0Y=")</f>
        <v>#REF!</v>
      </c>
      <c r="BT60" t="e">
        <f>AND(#REF!,"AAAAAH/1z0c=")</f>
        <v>#REF!</v>
      </c>
      <c r="BU60" t="e">
        <f>AND(#REF!,"AAAAAH/1z0g=")</f>
        <v>#REF!</v>
      </c>
      <c r="BV60" t="e">
        <f>AND(#REF!,"AAAAAH/1z0k=")</f>
        <v>#REF!</v>
      </c>
      <c r="BW60" t="e">
        <f>AND(#REF!,"AAAAAH/1z0o=")</f>
        <v>#REF!</v>
      </c>
      <c r="BX60" t="e">
        <f>AND(#REF!,"AAAAAH/1z0s=")</f>
        <v>#REF!</v>
      </c>
      <c r="BY60" t="e">
        <f>AND(#REF!,"AAAAAH/1z0w=")</f>
        <v>#REF!</v>
      </c>
      <c r="BZ60" t="e">
        <f>AND(#REF!,"AAAAAH/1z00=")</f>
        <v>#REF!</v>
      </c>
      <c r="CA60" t="e">
        <f>AND(#REF!,"AAAAAH/1z04=")</f>
        <v>#REF!</v>
      </c>
      <c r="CB60" t="e">
        <f>AND(#REF!,"AAAAAH/1z08=")</f>
        <v>#REF!</v>
      </c>
      <c r="CC60" t="e">
        <f>AND(#REF!,"AAAAAH/1z1A=")</f>
        <v>#REF!</v>
      </c>
      <c r="CD60" t="e">
        <f>AND(#REF!,"AAAAAH/1z1E=")</f>
        <v>#REF!</v>
      </c>
      <c r="CE60" t="e">
        <f>AND(#REF!,"AAAAAH/1z1I=")</f>
        <v>#REF!</v>
      </c>
      <c r="CF60" t="e">
        <f>AND(#REF!,"AAAAAH/1z1M=")</f>
        <v>#REF!</v>
      </c>
      <c r="CG60" t="e">
        <f>AND(#REF!,"AAAAAH/1z1Q=")</f>
        <v>#REF!</v>
      </c>
      <c r="CH60" t="e">
        <f>AND(#REF!,"AAAAAH/1z1U=")</f>
        <v>#REF!</v>
      </c>
      <c r="CI60" t="e">
        <f>AND(#REF!,"AAAAAH/1z1Y=")</f>
        <v>#REF!</v>
      </c>
      <c r="CJ60" t="e">
        <f>AND(#REF!,"AAAAAH/1z1c=")</f>
        <v>#REF!</v>
      </c>
      <c r="CK60" t="e">
        <f>AND(#REF!,"AAAAAH/1z1g=")</f>
        <v>#REF!</v>
      </c>
      <c r="CL60" t="e">
        <f>AND(#REF!,"AAAAAH/1z1k=")</f>
        <v>#REF!</v>
      </c>
      <c r="CM60" t="e">
        <f>AND(#REF!,"AAAAAH/1z1o=")</f>
        <v>#REF!</v>
      </c>
      <c r="CN60" t="e">
        <f>AND(#REF!,"AAAAAH/1z1s=")</f>
        <v>#REF!</v>
      </c>
      <c r="CO60" t="e">
        <f>AND(#REF!,"AAAAAH/1z1w=")</f>
        <v>#REF!</v>
      </c>
      <c r="CP60" t="e">
        <f>AND(#REF!,"AAAAAH/1z10=")</f>
        <v>#REF!</v>
      </c>
      <c r="CQ60" t="e">
        <f>AND(#REF!,"AAAAAH/1z14=")</f>
        <v>#REF!</v>
      </c>
      <c r="CR60" t="e">
        <f>AND(#REF!,"AAAAAH/1z18=")</f>
        <v>#REF!</v>
      </c>
      <c r="CS60" t="e">
        <f>AND(#REF!,"AAAAAH/1z2A=")</f>
        <v>#REF!</v>
      </c>
      <c r="CT60" t="e">
        <f>AND(#REF!,"AAAAAH/1z2E=")</f>
        <v>#REF!</v>
      </c>
      <c r="CU60" t="e">
        <f>AND(#REF!,"AAAAAH/1z2I=")</f>
        <v>#REF!</v>
      </c>
      <c r="CV60" t="e">
        <f>AND(#REF!,"AAAAAH/1z2M=")</f>
        <v>#REF!</v>
      </c>
      <c r="CW60" t="e">
        <f>AND(#REF!,"AAAAAH/1z2Q=")</f>
        <v>#REF!</v>
      </c>
      <c r="CX60" t="e">
        <f>AND(#REF!,"AAAAAH/1z2U=")</f>
        <v>#REF!</v>
      </c>
      <c r="CY60" t="e">
        <f>AND(#REF!,"AAAAAH/1z2Y=")</f>
        <v>#REF!</v>
      </c>
      <c r="CZ60" t="e">
        <f>AND(#REF!,"AAAAAH/1z2c=")</f>
        <v>#REF!</v>
      </c>
      <c r="DA60" t="e">
        <f>AND(#REF!,"AAAAAH/1z2g=")</f>
        <v>#REF!</v>
      </c>
      <c r="DB60" t="e">
        <f>AND(#REF!,"AAAAAH/1z2k=")</f>
        <v>#REF!</v>
      </c>
      <c r="DC60" t="e">
        <f>AND(#REF!,"AAAAAH/1z2o=")</f>
        <v>#REF!</v>
      </c>
      <c r="DD60" t="e">
        <f>AND(#REF!,"AAAAAH/1z2s=")</f>
        <v>#REF!</v>
      </c>
      <c r="DE60" t="e">
        <f>AND(#REF!,"AAAAAH/1z2w=")</f>
        <v>#REF!</v>
      </c>
      <c r="DF60" t="e">
        <f>AND(#REF!,"AAAAAH/1z20=")</f>
        <v>#REF!</v>
      </c>
      <c r="DG60" t="e">
        <f>AND(#REF!,"AAAAAH/1z24=")</f>
        <v>#REF!</v>
      </c>
      <c r="DH60" t="e">
        <f>AND(#REF!,"AAAAAH/1z28=")</f>
        <v>#REF!</v>
      </c>
      <c r="DI60" t="e">
        <f>AND(#REF!,"AAAAAH/1z3A=")</f>
        <v>#REF!</v>
      </c>
      <c r="DJ60" t="e">
        <f>AND(#REF!,"AAAAAH/1z3E=")</f>
        <v>#REF!</v>
      </c>
      <c r="DK60" t="e">
        <f>AND(#REF!,"AAAAAH/1z3I=")</f>
        <v>#REF!</v>
      </c>
      <c r="DL60" t="e">
        <f>AND(#REF!,"AAAAAH/1z3M=")</f>
        <v>#REF!</v>
      </c>
      <c r="DM60" t="e">
        <f>AND(#REF!,"AAAAAH/1z3Q=")</f>
        <v>#REF!</v>
      </c>
      <c r="DN60" t="e">
        <f>IF(#REF!,"AAAAAH/1z3U=",0)</f>
        <v>#REF!</v>
      </c>
      <c r="DO60" t="e">
        <f>AND(#REF!,"AAAAAH/1z3Y=")</f>
        <v>#REF!</v>
      </c>
      <c r="DP60" t="e">
        <f>AND(#REF!,"AAAAAH/1z3c=")</f>
        <v>#REF!</v>
      </c>
      <c r="DQ60" t="e">
        <f>AND(#REF!,"AAAAAH/1z3g=")</f>
        <v>#REF!</v>
      </c>
      <c r="DR60" t="e">
        <f>AND(#REF!,"AAAAAH/1z3k=")</f>
        <v>#REF!</v>
      </c>
      <c r="DS60" t="e">
        <f>AND(#REF!,"AAAAAH/1z3o=")</f>
        <v>#REF!</v>
      </c>
      <c r="DT60" t="e">
        <f>AND(#REF!,"AAAAAH/1z3s=")</f>
        <v>#REF!</v>
      </c>
      <c r="DU60" t="e">
        <f>AND(#REF!,"AAAAAH/1z3w=")</f>
        <v>#REF!</v>
      </c>
      <c r="DV60" t="e">
        <f>AND(#REF!,"AAAAAH/1z30=")</f>
        <v>#REF!</v>
      </c>
      <c r="DW60" t="e">
        <f>AND(#REF!,"AAAAAH/1z34=")</f>
        <v>#REF!</v>
      </c>
      <c r="DX60" t="e">
        <f>AND(#REF!,"AAAAAH/1z38=")</f>
        <v>#REF!</v>
      </c>
      <c r="DY60" t="e">
        <f>AND(#REF!,"AAAAAH/1z4A=")</f>
        <v>#REF!</v>
      </c>
      <c r="DZ60" t="e">
        <f>AND(#REF!,"AAAAAH/1z4E=")</f>
        <v>#REF!</v>
      </c>
      <c r="EA60" t="e">
        <f>AND(#REF!,"AAAAAH/1z4I=")</f>
        <v>#REF!</v>
      </c>
      <c r="EB60" t="e">
        <f>AND(#REF!,"AAAAAH/1z4M=")</f>
        <v>#REF!</v>
      </c>
      <c r="EC60" t="e">
        <f>AND(#REF!,"AAAAAH/1z4Q=")</f>
        <v>#REF!</v>
      </c>
      <c r="ED60" t="e">
        <f>AND(#REF!,"AAAAAH/1z4U=")</f>
        <v>#REF!</v>
      </c>
      <c r="EE60" t="e">
        <f>AND(#REF!,"AAAAAH/1z4Y=")</f>
        <v>#REF!</v>
      </c>
      <c r="EF60" t="e">
        <f>AND(#REF!,"AAAAAH/1z4c=")</f>
        <v>#REF!</v>
      </c>
      <c r="EG60" t="e">
        <f>AND(#REF!,"AAAAAH/1z4g=")</f>
        <v>#REF!</v>
      </c>
      <c r="EH60" t="e">
        <f>AND(#REF!,"AAAAAH/1z4k=")</f>
        <v>#REF!</v>
      </c>
      <c r="EI60" t="e">
        <f>AND(#REF!,"AAAAAH/1z4o=")</f>
        <v>#REF!</v>
      </c>
      <c r="EJ60" t="e">
        <f>AND(#REF!,"AAAAAH/1z4s=")</f>
        <v>#REF!</v>
      </c>
      <c r="EK60" t="e">
        <f>AND(#REF!,"AAAAAH/1z4w=")</f>
        <v>#REF!</v>
      </c>
      <c r="EL60" t="e">
        <f>AND(#REF!,"AAAAAH/1z40=")</f>
        <v>#REF!</v>
      </c>
      <c r="EM60" t="e">
        <f>AND(#REF!,"AAAAAH/1z44=")</f>
        <v>#REF!</v>
      </c>
      <c r="EN60" t="e">
        <f>AND(#REF!,"AAAAAH/1z48=")</f>
        <v>#REF!</v>
      </c>
      <c r="EO60" t="e">
        <f>AND(#REF!,"AAAAAH/1z5A=")</f>
        <v>#REF!</v>
      </c>
      <c r="EP60" t="e">
        <f>AND(#REF!,"AAAAAH/1z5E=")</f>
        <v>#REF!</v>
      </c>
      <c r="EQ60" t="e">
        <f>AND(#REF!,"AAAAAH/1z5I=")</f>
        <v>#REF!</v>
      </c>
      <c r="ER60" t="e">
        <f>AND(#REF!,"AAAAAH/1z5M=")</f>
        <v>#REF!</v>
      </c>
      <c r="ES60" t="e">
        <f>AND(#REF!,"AAAAAH/1z5Q=")</f>
        <v>#REF!</v>
      </c>
      <c r="ET60" t="e">
        <f>AND(#REF!,"AAAAAH/1z5U=")</f>
        <v>#REF!</v>
      </c>
      <c r="EU60" t="e">
        <f>AND(#REF!,"AAAAAH/1z5Y=")</f>
        <v>#REF!</v>
      </c>
      <c r="EV60" t="e">
        <f>AND(#REF!,"AAAAAH/1z5c=")</f>
        <v>#REF!</v>
      </c>
      <c r="EW60" t="e">
        <f>AND(#REF!,"AAAAAH/1z5g=")</f>
        <v>#REF!</v>
      </c>
      <c r="EX60" t="e">
        <f>AND(#REF!,"AAAAAH/1z5k=")</f>
        <v>#REF!</v>
      </c>
      <c r="EY60" t="e">
        <f>AND(#REF!,"AAAAAH/1z5o=")</f>
        <v>#REF!</v>
      </c>
      <c r="EZ60" t="e">
        <f>AND(#REF!,"AAAAAH/1z5s=")</f>
        <v>#REF!</v>
      </c>
      <c r="FA60" t="e">
        <f>AND(#REF!,"AAAAAH/1z5w=")</f>
        <v>#REF!</v>
      </c>
      <c r="FB60" t="e">
        <f>AND(#REF!,"AAAAAH/1z50=")</f>
        <v>#REF!</v>
      </c>
      <c r="FC60" t="e">
        <f>AND(#REF!,"AAAAAH/1z54=")</f>
        <v>#REF!</v>
      </c>
      <c r="FD60" t="e">
        <f>AND(#REF!,"AAAAAH/1z58=")</f>
        <v>#REF!</v>
      </c>
      <c r="FE60" t="e">
        <f>AND(#REF!,"AAAAAH/1z6A=")</f>
        <v>#REF!</v>
      </c>
      <c r="FF60" t="e">
        <f>AND(#REF!,"AAAAAH/1z6E=")</f>
        <v>#REF!</v>
      </c>
      <c r="FG60" t="e">
        <f>AND(#REF!,"AAAAAH/1z6I=")</f>
        <v>#REF!</v>
      </c>
      <c r="FH60" t="e">
        <f>AND(#REF!,"AAAAAH/1z6M=")</f>
        <v>#REF!</v>
      </c>
      <c r="FI60" t="e">
        <f>AND(#REF!,"AAAAAH/1z6Q=")</f>
        <v>#REF!</v>
      </c>
      <c r="FJ60" t="e">
        <f>AND(#REF!,"AAAAAH/1z6U=")</f>
        <v>#REF!</v>
      </c>
      <c r="FK60" t="e">
        <f>AND(#REF!,"AAAAAH/1z6Y=")</f>
        <v>#REF!</v>
      </c>
      <c r="FL60" t="e">
        <f>AND(#REF!,"AAAAAH/1z6c=")</f>
        <v>#REF!</v>
      </c>
      <c r="FM60" t="e">
        <f>AND(#REF!,"AAAAAH/1z6g=")</f>
        <v>#REF!</v>
      </c>
      <c r="FN60" t="e">
        <f>AND(#REF!,"AAAAAH/1z6k=")</f>
        <v>#REF!</v>
      </c>
      <c r="FO60" t="e">
        <f>AND(#REF!,"AAAAAH/1z6o=")</f>
        <v>#REF!</v>
      </c>
      <c r="FP60" t="e">
        <f>AND(#REF!,"AAAAAH/1z6s=")</f>
        <v>#REF!</v>
      </c>
      <c r="FQ60" t="e">
        <f>AND(#REF!,"AAAAAH/1z6w=")</f>
        <v>#REF!</v>
      </c>
      <c r="FR60" t="e">
        <f>AND(#REF!,"AAAAAH/1z60=")</f>
        <v>#REF!</v>
      </c>
      <c r="FS60" t="e">
        <f>AND(#REF!,"AAAAAH/1z64=")</f>
        <v>#REF!</v>
      </c>
      <c r="FT60" t="e">
        <f>AND(#REF!,"AAAAAH/1z68=")</f>
        <v>#REF!</v>
      </c>
      <c r="FU60" t="e">
        <f>AND(#REF!,"AAAAAH/1z7A=")</f>
        <v>#REF!</v>
      </c>
      <c r="FV60" t="e">
        <f>AND(#REF!,"AAAAAH/1z7E=")</f>
        <v>#REF!</v>
      </c>
      <c r="FW60" t="e">
        <f>AND(#REF!,"AAAAAH/1z7I=")</f>
        <v>#REF!</v>
      </c>
      <c r="FX60" t="e">
        <f>AND(#REF!,"AAAAAH/1z7M=")</f>
        <v>#REF!</v>
      </c>
      <c r="FY60" t="e">
        <f>AND(#REF!,"AAAAAH/1z7Q=")</f>
        <v>#REF!</v>
      </c>
      <c r="FZ60" t="e">
        <f>AND(#REF!,"AAAAAH/1z7U=")</f>
        <v>#REF!</v>
      </c>
      <c r="GA60" t="e">
        <f>AND(#REF!,"AAAAAH/1z7Y=")</f>
        <v>#REF!</v>
      </c>
      <c r="GB60" t="e">
        <f>AND(#REF!,"AAAAAH/1z7c=")</f>
        <v>#REF!</v>
      </c>
      <c r="GC60" t="e">
        <f>AND(#REF!,"AAAAAH/1z7g=")</f>
        <v>#REF!</v>
      </c>
      <c r="GD60" t="e">
        <f>AND(#REF!,"AAAAAH/1z7k=")</f>
        <v>#REF!</v>
      </c>
      <c r="GE60" t="e">
        <f>AND(#REF!,"AAAAAH/1z7o=")</f>
        <v>#REF!</v>
      </c>
      <c r="GF60" t="e">
        <f>AND(#REF!,"AAAAAH/1z7s=")</f>
        <v>#REF!</v>
      </c>
      <c r="GG60" t="e">
        <f>AND(#REF!,"AAAAAH/1z7w=")</f>
        <v>#REF!</v>
      </c>
      <c r="GH60" t="e">
        <f>AND(#REF!,"AAAAAH/1z70=")</f>
        <v>#REF!</v>
      </c>
      <c r="GI60" t="e">
        <f>AND(#REF!,"AAAAAH/1z74=")</f>
        <v>#REF!</v>
      </c>
      <c r="GJ60" t="e">
        <f>AND(#REF!,"AAAAAH/1z78=")</f>
        <v>#REF!</v>
      </c>
      <c r="GK60" t="e">
        <f>AND(#REF!,"AAAAAH/1z8A=")</f>
        <v>#REF!</v>
      </c>
      <c r="GL60" t="e">
        <f>AND(#REF!,"AAAAAH/1z8E=")</f>
        <v>#REF!</v>
      </c>
      <c r="GM60" t="e">
        <f>AND(#REF!,"AAAAAH/1z8I=")</f>
        <v>#REF!</v>
      </c>
      <c r="GN60" t="e">
        <f>AND(#REF!,"AAAAAH/1z8M=")</f>
        <v>#REF!</v>
      </c>
      <c r="GO60" t="e">
        <f>AND(#REF!,"AAAAAH/1z8Q=")</f>
        <v>#REF!</v>
      </c>
      <c r="GP60" t="e">
        <f>AND(#REF!,"AAAAAH/1z8U=")</f>
        <v>#REF!</v>
      </c>
      <c r="GQ60" t="e">
        <f>AND(#REF!,"AAAAAH/1z8Y=")</f>
        <v>#REF!</v>
      </c>
      <c r="GR60" t="e">
        <f>AND(#REF!,"AAAAAH/1z8c=")</f>
        <v>#REF!</v>
      </c>
      <c r="GS60" t="e">
        <f>AND(#REF!,"AAAAAH/1z8g=")</f>
        <v>#REF!</v>
      </c>
      <c r="GT60" t="e">
        <f>AND(#REF!,"AAAAAH/1z8k=")</f>
        <v>#REF!</v>
      </c>
      <c r="GU60" t="e">
        <f>AND(#REF!,"AAAAAH/1z8o=")</f>
        <v>#REF!</v>
      </c>
      <c r="GV60" t="e">
        <f>AND(#REF!,"AAAAAH/1z8s=")</f>
        <v>#REF!</v>
      </c>
      <c r="GW60" t="e">
        <f>AND(#REF!,"AAAAAH/1z8w=")</f>
        <v>#REF!</v>
      </c>
      <c r="GX60" t="e">
        <f>AND(#REF!,"AAAAAH/1z80=")</f>
        <v>#REF!</v>
      </c>
      <c r="GY60" t="e">
        <f>AND(#REF!,"AAAAAH/1z84=")</f>
        <v>#REF!</v>
      </c>
      <c r="GZ60" t="e">
        <f>AND(#REF!,"AAAAAH/1z88=")</f>
        <v>#REF!</v>
      </c>
      <c r="HA60" t="e">
        <f>AND(#REF!,"AAAAAH/1z9A=")</f>
        <v>#REF!</v>
      </c>
      <c r="HB60" t="e">
        <f>AND(#REF!,"AAAAAH/1z9E=")</f>
        <v>#REF!</v>
      </c>
      <c r="HC60" t="e">
        <f>AND(#REF!,"AAAAAH/1z9I=")</f>
        <v>#REF!</v>
      </c>
      <c r="HD60" t="e">
        <f>AND(#REF!,"AAAAAH/1z9M=")</f>
        <v>#REF!</v>
      </c>
      <c r="HE60" t="e">
        <f>AND(#REF!,"AAAAAH/1z9Q=")</f>
        <v>#REF!</v>
      </c>
      <c r="HF60" t="e">
        <f>AND(#REF!,"AAAAAH/1z9U=")</f>
        <v>#REF!</v>
      </c>
      <c r="HG60" t="e">
        <f>AND(#REF!,"AAAAAH/1z9Y=")</f>
        <v>#REF!</v>
      </c>
      <c r="HH60" t="e">
        <f>AND(#REF!,"AAAAAH/1z9c=")</f>
        <v>#REF!</v>
      </c>
      <c r="HI60" t="e">
        <f>AND(#REF!,"AAAAAH/1z9g=")</f>
        <v>#REF!</v>
      </c>
      <c r="HJ60" t="e">
        <f>AND(#REF!,"AAAAAH/1z9k=")</f>
        <v>#REF!</v>
      </c>
      <c r="HK60" t="e">
        <f>AND(#REF!,"AAAAAH/1z9o=")</f>
        <v>#REF!</v>
      </c>
      <c r="HL60" t="e">
        <f>AND(#REF!,"AAAAAH/1z9s=")</f>
        <v>#REF!</v>
      </c>
      <c r="HM60" t="e">
        <f>AND(#REF!,"AAAAAH/1z9w=")</f>
        <v>#REF!</v>
      </c>
      <c r="HN60" t="e">
        <f>AND(#REF!,"AAAAAH/1z90=")</f>
        <v>#REF!</v>
      </c>
      <c r="HO60" t="e">
        <f>AND(#REF!,"AAAAAH/1z94=")</f>
        <v>#REF!</v>
      </c>
      <c r="HP60" t="e">
        <f>AND(#REF!,"AAAAAH/1z98=")</f>
        <v>#REF!</v>
      </c>
      <c r="HQ60" t="e">
        <f>AND(#REF!,"AAAAAH/1z+A=")</f>
        <v>#REF!</v>
      </c>
      <c r="HR60" t="e">
        <f>AND(#REF!,"AAAAAH/1z+E=")</f>
        <v>#REF!</v>
      </c>
      <c r="HS60" t="e">
        <f>AND(#REF!,"AAAAAH/1z+I=")</f>
        <v>#REF!</v>
      </c>
      <c r="HT60" t="e">
        <f>AND(#REF!,"AAAAAH/1z+M=")</f>
        <v>#REF!</v>
      </c>
      <c r="HU60" t="e">
        <f>AND(#REF!,"AAAAAH/1z+Q=")</f>
        <v>#REF!</v>
      </c>
      <c r="HV60" t="e">
        <f>AND(#REF!,"AAAAAH/1z+U=")</f>
        <v>#REF!</v>
      </c>
      <c r="HW60" t="e">
        <f>AND(#REF!,"AAAAAH/1z+Y=")</f>
        <v>#REF!</v>
      </c>
      <c r="HX60" t="e">
        <f>AND(#REF!,"AAAAAH/1z+c=")</f>
        <v>#REF!</v>
      </c>
      <c r="HY60" t="e">
        <f>AND(#REF!,"AAAAAH/1z+g=")</f>
        <v>#REF!</v>
      </c>
      <c r="HZ60" t="e">
        <f>AND(#REF!,"AAAAAH/1z+k=")</f>
        <v>#REF!</v>
      </c>
      <c r="IA60" t="e">
        <f>AND(#REF!,"AAAAAH/1z+o=")</f>
        <v>#REF!</v>
      </c>
      <c r="IB60" t="e">
        <f>AND(#REF!,"AAAAAH/1z+s=")</f>
        <v>#REF!</v>
      </c>
      <c r="IC60" t="e">
        <f>AND(#REF!,"AAAAAH/1z+w=")</f>
        <v>#REF!</v>
      </c>
      <c r="ID60" t="e">
        <f>AND(#REF!,"AAAAAH/1z+0=")</f>
        <v>#REF!</v>
      </c>
      <c r="IE60" t="e">
        <f>AND(#REF!,"AAAAAH/1z+4=")</f>
        <v>#REF!</v>
      </c>
      <c r="IF60" t="e">
        <f>AND(#REF!,"AAAAAH/1z+8=")</f>
        <v>#REF!</v>
      </c>
      <c r="IG60" t="e">
        <f>AND(#REF!,"AAAAAH/1z/A=")</f>
        <v>#REF!</v>
      </c>
      <c r="IH60" t="e">
        <f>AND(#REF!,"AAAAAH/1z/E=")</f>
        <v>#REF!</v>
      </c>
      <c r="II60" t="e">
        <f>AND(#REF!,"AAAAAH/1z/I=")</f>
        <v>#REF!</v>
      </c>
      <c r="IJ60" t="e">
        <f>AND(#REF!,"AAAAAH/1z/M=")</f>
        <v>#REF!</v>
      </c>
      <c r="IK60" t="e">
        <f>AND(#REF!,"AAAAAH/1z/Q=")</f>
        <v>#REF!</v>
      </c>
      <c r="IL60" t="e">
        <f>AND(#REF!,"AAAAAH/1z/U=")</f>
        <v>#REF!</v>
      </c>
      <c r="IM60" t="e">
        <f>AND(#REF!,"AAAAAH/1z/Y=")</f>
        <v>#REF!</v>
      </c>
      <c r="IN60" t="e">
        <f>AND(#REF!,"AAAAAH/1z/c=")</f>
        <v>#REF!</v>
      </c>
      <c r="IO60" t="e">
        <f>AND(#REF!,"AAAAAH/1z/g=")</f>
        <v>#REF!</v>
      </c>
      <c r="IP60" t="e">
        <f>AND(#REF!,"AAAAAH/1z/k=")</f>
        <v>#REF!</v>
      </c>
      <c r="IQ60" t="e">
        <f>AND(#REF!,"AAAAAH/1z/o=")</f>
        <v>#REF!</v>
      </c>
      <c r="IR60" t="e">
        <f>AND(#REF!,"AAAAAH/1z/s=")</f>
        <v>#REF!</v>
      </c>
      <c r="IS60" t="e">
        <f>AND(#REF!,"AAAAAH/1z/w=")</f>
        <v>#REF!</v>
      </c>
      <c r="IT60" t="e">
        <f>AND(#REF!,"AAAAAH/1z/0=")</f>
        <v>#REF!</v>
      </c>
      <c r="IU60" t="e">
        <f>AND(#REF!,"AAAAAH/1z/4=")</f>
        <v>#REF!</v>
      </c>
      <c r="IV60" t="e">
        <f>AND(#REF!,"AAAAAH/1z/8=")</f>
        <v>#REF!</v>
      </c>
    </row>
    <row r="61" spans="1:256" x14ac:dyDescent="0.2">
      <c r="A61" t="e">
        <f>AND(#REF!,"AAAAAEXV3wA=")</f>
        <v>#REF!</v>
      </c>
      <c r="B61" t="e">
        <f>AND(#REF!,"AAAAAEXV3wE=")</f>
        <v>#REF!</v>
      </c>
      <c r="C61" t="e">
        <f>AND(#REF!,"AAAAAEXV3wI=")</f>
        <v>#REF!</v>
      </c>
      <c r="D61" t="e">
        <f>AND(#REF!,"AAAAAEXV3wM=")</f>
        <v>#REF!</v>
      </c>
      <c r="E61" t="e">
        <f>AND(#REF!,"AAAAAEXV3wQ=")</f>
        <v>#REF!</v>
      </c>
      <c r="F61" t="e">
        <f>AND(#REF!,"AAAAAEXV3wU=")</f>
        <v>#REF!</v>
      </c>
      <c r="G61" t="e">
        <f>AND(#REF!,"AAAAAEXV3wY=")</f>
        <v>#REF!</v>
      </c>
      <c r="H61" t="e">
        <f>AND(#REF!,"AAAAAEXV3wc=")</f>
        <v>#REF!</v>
      </c>
      <c r="I61" t="e">
        <f>AND(#REF!,"AAAAAEXV3wg=")</f>
        <v>#REF!</v>
      </c>
      <c r="J61" t="e">
        <f>AND(#REF!,"AAAAAEXV3wk=")</f>
        <v>#REF!</v>
      </c>
      <c r="K61" t="e">
        <f>AND(#REF!,"AAAAAEXV3wo=")</f>
        <v>#REF!</v>
      </c>
      <c r="L61" t="e">
        <f>AND(#REF!,"AAAAAEXV3ws=")</f>
        <v>#REF!</v>
      </c>
      <c r="M61" t="e">
        <f>AND(#REF!,"AAAAAEXV3ww=")</f>
        <v>#REF!</v>
      </c>
      <c r="N61" t="e">
        <f>AND(#REF!,"AAAAAEXV3w0=")</f>
        <v>#REF!</v>
      </c>
      <c r="O61" t="e">
        <f>AND(#REF!,"AAAAAEXV3w4=")</f>
        <v>#REF!</v>
      </c>
      <c r="P61" t="e">
        <f>AND(#REF!,"AAAAAEXV3w8=")</f>
        <v>#REF!</v>
      </c>
      <c r="Q61" t="e">
        <f>AND(#REF!,"AAAAAEXV3xA=")</f>
        <v>#REF!</v>
      </c>
      <c r="R61" t="e">
        <f>AND(#REF!,"AAAAAEXV3xE=")</f>
        <v>#REF!</v>
      </c>
      <c r="S61" t="e">
        <f>AND(#REF!,"AAAAAEXV3xI=")</f>
        <v>#REF!</v>
      </c>
      <c r="T61" t="e">
        <f>AND(#REF!,"AAAAAEXV3xM=")</f>
        <v>#REF!</v>
      </c>
      <c r="U61" t="e">
        <f>AND(#REF!,"AAAAAEXV3xQ=")</f>
        <v>#REF!</v>
      </c>
      <c r="V61" t="e">
        <f>AND(#REF!,"AAAAAEXV3xU=")</f>
        <v>#REF!</v>
      </c>
      <c r="W61" t="e">
        <f>AND(#REF!,"AAAAAEXV3xY=")</f>
        <v>#REF!</v>
      </c>
      <c r="X61" t="e">
        <f>AND(#REF!,"AAAAAEXV3xc=")</f>
        <v>#REF!</v>
      </c>
      <c r="Y61" t="e">
        <f>AND(#REF!,"AAAAAEXV3xg=")</f>
        <v>#REF!</v>
      </c>
      <c r="Z61" t="e">
        <f>AND(#REF!,"AAAAAEXV3xk=")</f>
        <v>#REF!</v>
      </c>
      <c r="AA61" t="e">
        <f>AND(#REF!,"AAAAAEXV3xo=")</f>
        <v>#REF!</v>
      </c>
      <c r="AB61" t="e">
        <f>AND(#REF!,"AAAAAEXV3xs=")</f>
        <v>#REF!</v>
      </c>
      <c r="AC61" t="e">
        <f>AND(#REF!,"AAAAAEXV3xw=")</f>
        <v>#REF!</v>
      </c>
      <c r="AD61" t="e">
        <f>AND(#REF!,"AAAAAEXV3x0=")</f>
        <v>#REF!</v>
      </c>
      <c r="AE61" t="e">
        <f>AND(#REF!,"AAAAAEXV3x4=")</f>
        <v>#REF!</v>
      </c>
      <c r="AF61" t="e">
        <f>AND(#REF!,"AAAAAEXV3x8=")</f>
        <v>#REF!</v>
      </c>
      <c r="AG61" t="e">
        <f>AND(#REF!,"AAAAAEXV3yA=")</f>
        <v>#REF!</v>
      </c>
      <c r="AH61" t="e">
        <f>AND(#REF!,"AAAAAEXV3yE=")</f>
        <v>#REF!</v>
      </c>
      <c r="AI61" t="e">
        <f>AND(#REF!,"AAAAAEXV3yI=")</f>
        <v>#REF!</v>
      </c>
      <c r="AJ61" t="e">
        <f>AND(#REF!,"AAAAAEXV3yM=")</f>
        <v>#REF!</v>
      </c>
      <c r="AK61" t="e">
        <f>AND(#REF!,"AAAAAEXV3yQ=")</f>
        <v>#REF!</v>
      </c>
      <c r="AL61" t="e">
        <f>AND(#REF!,"AAAAAEXV3yU=")</f>
        <v>#REF!</v>
      </c>
      <c r="AM61" t="e">
        <f>AND(#REF!,"AAAAAEXV3yY=")</f>
        <v>#REF!</v>
      </c>
      <c r="AN61" t="e">
        <f>AND(#REF!,"AAAAAEXV3yc=")</f>
        <v>#REF!</v>
      </c>
      <c r="AO61" t="e">
        <f>AND(#REF!,"AAAAAEXV3yg=")</f>
        <v>#REF!</v>
      </c>
      <c r="AP61" t="e">
        <f>AND(#REF!,"AAAAAEXV3yk=")</f>
        <v>#REF!</v>
      </c>
      <c r="AQ61" t="e">
        <f>IF(#REF!,"AAAAAEXV3yo=",0)</f>
        <v>#REF!</v>
      </c>
      <c r="AR61" t="e">
        <f>AND(#REF!,"AAAAAEXV3ys=")</f>
        <v>#REF!</v>
      </c>
      <c r="AS61" t="e">
        <f>AND(#REF!,"AAAAAEXV3yw=")</f>
        <v>#REF!</v>
      </c>
      <c r="AT61" t="e">
        <f>AND(#REF!,"AAAAAEXV3y0=")</f>
        <v>#REF!</v>
      </c>
      <c r="AU61" t="e">
        <f>AND(#REF!,"AAAAAEXV3y4=")</f>
        <v>#REF!</v>
      </c>
      <c r="AV61" t="e">
        <f>AND(#REF!,"AAAAAEXV3y8=")</f>
        <v>#REF!</v>
      </c>
      <c r="AW61" t="e">
        <f>AND(#REF!,"AAAAAEXV3zA=")</f>
        <v>#REF!</v>
      </c>
      <c r="AX61" t="e">
        <f>AND(#REF!,"AAAAAEXV3zE=")</f>
        <v>#REF!</v>
      </c>
      <c r="AY61" t="e">
        <f>AND(#REF!,"AAAAAEXV3zI=")</f>
        <v>#REF!</v>
      </c>
      <c r="AZ61" t="e">
        <f>AND(#REF!,"AAAAAEXV3zM=")</f>
        <v>#REF!</v>
      </c>
      <c r="BA61" t="e">
        <f>AND(#REF!,"AAAAAEXV3zQ=")</f>
        <v>#REF!</v>
      </c>
      <c r="BB61" t="e">
        <f>AND(#REF!,"AAAAAEXV3zU=")</f>
        <v>#REF!</v>
      </c>
      <c r="BC61" t="e">
        <f>AND(#REF!,"AAAAAEXV3zY=")</f>
        <v>#REF!</v>
      </c>
      <c r="BD61" t="e">
        <f>AND(#REF!,"AAAAAEXV3zc=")</f>
        <v>#REF!</v>
      </c>
      <c r="BE61" t="e">
        <f>AND(#REF!,"AAAAAEXV3zg=")</f>
        <v>#REF!</v>
      </c>
      <c r="BF61" t="e">
        <f>AND(#REF!,"AAAAAEXV3zk=")</f>
        <v>#REF!</v>
      </c>
      <c r="BG61" t="e">
        <f>AND(#REF!,"AAAAAEXV3zo=")</f>
        <v>#REF!</v>
      </c>
      <c r="BH61" t="e">
        <f>AND(#REF!,"AAAAAEXV3zs=")</f>
        <v>#REF!</v>
      </c>
      <c r="BI61" t="e">
        <f>AND(#REF!,"AAAAAEXV3zw=")</f>
        <v>#REF!</v>
      </c>
      <c r="BJ61" t="e">
        <f>AND(#REF!,"AAAAAEXV3z0=")</f>
        <v>#REF!</v>
      </c>
      <c r="BK61" t="e">
        <f>AND(#REF!,"AAAAAEXV3z4=")</f>
        <v>#REF!</v>
      </c>
      <c r="BL61" t="e">
        <f>AND(#REF!,"AAAAAEXV3z8=")</f>
        <v>#REF!</v>
      </c>
      <c r="BM61" t="e">
        <f>AND(#REF!,"AAAAAEXV30A=")</f>
        <v>#REF!</v>
      </c>
      <c r="BN61" t="e">
        <f>AND(#REF!,"AAAAAEXV30E=")</f>
        <v>#REF!</v>
      </c>
      <c r="BO61" t="e">
        <f>AND(#REF!,"AAAAAEXV30I=")</f>
        <v>#REF!</v>
      </c>
      <c r="BP61" t="e">
        <f>AND(#REF!,"AAAAAEXV30M=")</f>
        <v>#REF!</v>
      </c>
      <c r="BQ61" t="e">
        <f>AND(#REF!,"AAAAAEXV30Q=")</f>
        <v>#REF!</v>
      </c>
      <c r="BR61" t="e">
        <f>AND(#REF!,"AAAAAEXV30U=")</f>
        <v>#REF!</v>
      </c>
      <c r="BS61" t="e">
        <f>AND(#REF!,"AAAAAEXV30Y=")</f>
        <v>#REF!</v>
      </c>
      <c r="BT61" t="e">
        <f>AND(#REF!,"AAAAAEXV30c=")</f>
        <v>#REF!</v>
      </c>
      <c r="BU61" t="e">
        <f>AND(#REF!,"AAAAAEXV30g=")</f>
        <v>#REF!</v>
      </c>
      <c r="BV61" t="e">
        <f>AND(#REF!,"AAAAAEXV30k=")</f>
        <v>#REF!</v>
      </c>
      <c r="BW61" t="e">
        <f>AND(#REF!,"AAAAAEXV30o=")</f>
        <v>#REF!</v>
      </c>
      <c r="BX61" t="e">
        <f>AND(#REF!,"AAAAAEXV30s=")</f>
        <v>#REF!</v>
      </c>
      <c r="BY61" t="e">
        <f>AND(#REF!,"AAAAAEXV30w=")</f>
        <v>#REF!</v>
      </c>
      <c r="BZ61" t="e">
        <f>AND(#REF!,"AAAAAEXV300=")</f>
        <v>#REF!</v>
      </c>
      <c r="CA61" t="e">
        <f>AND(#REF!,"AAAAAEXV304=")</f>
        <v>#REF!</v>
      </c>
      <c r="CB61" t="e">
        <f>AND(#REF!,"AAAAAEXV308=")</f>
        <v>#REF!</v>
      </c>
      <c r="CC61" t="e">
        <f>AND(#REF!,"AAAAAEXV31A=")</f>
        <v>#REF!</v>
      </c>
      <c r="CD61" t="e">
        <f>AND(#REF!,"AAAAAEXV31E=")</f>
        <v>#REF!</v>
      </c>
      <c r="CE61" t="e">
        <f>AND(#REF!,"AAAAAEXV31I=")</f>
        <v>#REF!</v>
      </c>
      <c r="CF61" t="e">
        <f>AND(#REF!,"AAAAAEXV31M=")</f>
        <v>#REF!</v>
      </c>
      <c r="CG61" t="e">
        <f>AND(#REF!,"AAAAAEXV31Q=")</f>
        <v>#REF!</v>
      </c>
      <c r="CH61" t="e">
        <f>AND(#REF!,"AAAAAEXV31U=")</f>
        <v>#REF!</v>
      </c>
      <c r="CI61" t="e">
        <f>AND(#REF!,"AAAAAEXV31Y=")</f>
        <v>#REF!</v>
      </c>
      <c r="CJ61" t="e">
        <f>AND(#REF!,"AAAAAEXV31c=")</f>
        <v>#REF!</v>
      </c>
      <c r="CK61" t="e">
        <f>AND(#REF!,"AAAAAEXV31g=")</f>
        <v>#REF!</v>
      </c>
      <c r="CL61" t="e">
        <f>AND(#REF!,"AAAAAEXV31k=")</f>
        <v>#REF!</v>
      </c>
      <c r="CM61" t="e">
        <f>AND(#REF!,"AAAAAEXV31o=")</f>
        <v>#REF!</v>
      </c>
      <c r="CN61" t="e">
        <f>AND(#REF!,"AAAAAEXV31s=")</f>
        <v>#REF!</v>
      </c>
      <c r="CO61" t="e">
        <f>AND(#REF!,"AAAAAEXV31w=")</f>
        <v>#REF!</v>
      </c>
      <c r="CP61" t="e">
        <f>AND(#REF!,"AAAAAEXV310=")</f>
        <v>#REF!</v>
      </c>
      <c r="CQ61" t="e">
        <f>AND(#REF!,"AAAAAEXV314=")</f>
        <v>#REF!</v>
      </c>
      <c r="CR61" t="e">
        <f>AND(#REF!,"AAAAAEXV318=")</f>
        <v>#REF!</v>
      </c>
      <c r="CS61" t="e">
        <f>AND(#REF!,"AAAAAEXV32A=")</f>
        <v>#REF!</v>
      </c>
      <c r="CT61" t="e">
        <f>AND(#REF!,"AAAAAEXV32E=")</f>
        <v>#REF!</v>
      </c>
      <c r="CU61" t="e">
        <f>AND(#REF!,"AAAAAEXV32I=")</f>
        <v>#REF!</v>
      </c>
      <c r="CV61" t="e">
        <f>AND(#REF!,"AAAAAEXV32M=")</f>
        <v>#REF!</v>
      </c>
      <c r="CW61" t="e">
        <f>AND(#REF!,"AAAAAEXV32Q=")</f>
        <v>#REF!</v>
      </c>
      <c r="CX61" t="e">
        <f>AND(#REF!,"AAAAAEXV32U=")</f>
        <v>#REF!</v>
      </c>
      <c r="CY61" t="e">
        <f>AND(#REF!,"AAAAAEXV32Y=")</f>
        <v>#REF!</v>
      </c>
      <c r="CZ61" t="e">
        <f>AND(#REF!,"AAAAAEXV32c=")</f>
        <v>#REF!</v>
      </c>
      <c r="DA61" t="e">
        <f>AND(#REF!,"AAAAAEXV32g=")</f>
        <v>#REF!</v>
      </c>
      <c r="DB61" t="e">
        <f>AND(#REF!,"AAAAAEXV32k=")</f>
        <v>#REF!</v>
      </c>
      <c r="DC61" t="e">
        <f>AND(#REF!,"AAAAAEXV32o=")</f>
        <v>#REF!</v>
      </c>
      <c r="DD61" t="e">
        <f>AND(#REF!,"AAAAAEXV32s=")</f>
        <v>#REF!</v>
      </c>
      <c r="DE61" t="e">
        <f>AND(#REF!,"AAAAAEXV32w=")</f>
        <v>#REF!</v>
      </c>
      <c r="DF61" t="e">
        <f>AND(#REF!,"AAAAAEXV320=")</f>
        <v>#REF!</v>
      </c>
      <c r="DG61" t="e">
        <f>AND(#REF!,"AAAAAEXV324=")</f>
        <v>#REF!</v>
      </c>
      <c r="DH61" t="e">
        <f>AND(#REF!,"AAAAAEXV328=")</f>
        <v>#REF!</v>
      </c>
      <c r="DI61" t="e">
        <f>AND(#REF!,"AAAAAEXV33A=")</f>
        <v>#REF!</v>
      </c>
      <c r="DJ61" t="e">
        <f>AND(#REF!,"AAAAAEXV33E=")</f>
        <v>#REF!</v>
      </c>
      <c r="DK61" t="e">
        <f>AND(#REF!,"AAAAAEXV33I=")</f>
        <v>#REF!</v>
      </c>
      <c r="DL61" t="e">
        <f>AND(#REF!,"AAAAAEXV33M=")</f>
        <v>#REF!</v>
      </c>
      <c r="DM61" t="e">
        <f>AND(#REF!,"AAAAAEXV33Q=")</f>
        <v>#REF!</v>
      </c>
      <c r="DN61" t="e">
        <f>AND(#REF!,"AAAAAEXV33U=")</f>
        <v>#REF!</v>
      </c>
      <c r="DO61" t="e">
        <f>AND(#REF!,"AAAAAEXV33Y=")</f>
        <v>#REF!</v>
      </c>
      <c r="DP61" t="e">
        <f>AND(#REF!,"AAAAAEXV33c=")</f>
        <v>#REF!</v>
      </c>
      <c r="DQ61" t="e">
        <f>AND(#REF!,"AAAAAEXV33g=")</f>
        <v>#REF!</v>
      </c>
      <c r="DR61" t="e">
        <f>AND(#REF!,"AAAAAEXV33k=")</f>
        <v>#REF!</v>
      </c>
      <c r="DS61" t="e">
        <f>AND(#REF!,"AAAAAEXV33o=")</f>
        <v>#REF!</v>
      </c>
      <c r="DT61" t="e">
        <f>AND(#REF!,"AAAAAEXV33s=")</f>
        <v>#REF!</v>
      </c>
      <c r="DU61" t="e">
        <f>AND(#REF!,"AAAAAEXV33w=")</f>
        <v>#REF!</v>
      </c>
      <c r="DV61" t="e">
        <f>AND(#REF!,"AAAAAEXV330=")</f>
        <v>#REF!</v>
      </c>
      <c r="DW61" t="e">
        <f>AND(#REF!,"AAAAAEXV334=")</f>
        <v>#REF!</v>
      </c>
      <c r="DX61" t="e">
        <f>AND(#REF!,"AAAAAEXV338=")</f>
        <v>#REF!</v>
      </c>
      <c r="DY61" t="e">
        <f>AND(#REF!,"AAAAAEXV34A=")</f>
        <v>#REF!</v>
      </c>
      <c r="DZ61" t="e">
        <f>AND(#REF!,"AAAAAEXV34E=")</f>
        <v>#REF!</v>
      </c>
      <c r="EA61" t="e">
        <f>AND(#REF!,"AAAAAEXV34I=")</f>
        <v>#REF!</v>
      </c>
      <c r="EB61" t="e">
        <f>AND(#REF!,"AAAAAEXV34M=")</f>
        <v>#REF!</v>
      </c>
      <c r="EC61" t="e">
        <f>AND(#REF!,"AAAAAEXV34Q=")</f>
        <v>#REF!</v>
      </c>
      <c r="ED61" t="e">
        <f>AND(#REF!,"AAAAAEXV34U=")</f>
        <v>#REF!</v>
      </c>
      <c r="EE61" t="e">
        <f>AND(#REF!,"AAAAAEXV34Y=")</f>
        <v>#REF!</v>
      </c>
      <c r="EF61" t="e">
        <f>AND(#REF!,"AAAAAEXV34c=")</f>
        <v>#REF!</v>
      </c>
      <c r="EG61" t="e">
        <f>AND(#REF!,"AAAAAEXV34g=")</f>
        <v>#REF!</v>
      </c>
      <c r="EH61" t="e">
        <f>AND(#REF!,"AAAAAEXV34k=")</f>
        <v>#REF!</v>
      </c>
      <c r="EI61" t="e">
        <f>AND(#REF!,"AAAAAEXV34o=")</f>
        <v>#REF!</v>
      </c>
      <c r="EJ61" t="e">
        <f>AND(#REF!,"AAAAAEXV34s=")</f>
        <v>#REF!</v>
      </c>
      <c r="EK61" t="e">
        <f>AND(#REF!,"AAAAAEXV34w=")</f>
        <v>#REF!</v>
      </c>
      <c r="EL61" t="e">
        <f>AND(#REF!,"AAAAAEXV340=")</f>
        <v>#REF!</v>
      </c>
      <c r="EM61" t="e">
        <f>AND(#REF!,"AAAAAEXV344=")</f>
        <v>#REF!</v>
      </c>
      <c r="EN61" t="e">
        <f>AND(#REF!,"AAAAAEXV348=")</f>
        <v>#REF!</v>
      </c>
      <c r="EO61" t="e">
        <f>AND(#REF!,"AAAAAEXV35A=")</f>
        <v>#REF!</v>
      </c>
      <c r="EP61" t="e">
        <f>AND(#REF!,"AAAAAEXV35E=")</f>
        <v>#REF!</v>
      </c>
      <c r="EQ61" t="e">
        <f>AND(#REF!,"AAAAAEXV35I=")</f>
        <v>#REF!</v>
      </c>
      <c r="ER61" t="e">
        <f>AND(#REF!,"AAAAAEXV35M=")</f>
        <v>#REF!</v>
      </c>
      <c r="ES61" t="e">
        <f>AND(#REF!,"AAAAAEXV35Q=")</f>
        <v>#REF!</v>
      </c>
      <c r="ET61" t="e">
        <f>AND(#REF!,"AAAAAEXV35U=")</f>
        <v>#REF!</v>
      </c>
      <c r="EU61" t="e">
        <f>AND(#REF!,"AAAAAEXV35Y=")</f>
        <v>#REF!</v>
      </c>
      <c r="EV61" t="e">
        <f>AND(#REF!,"AAAAAEXV35c=")</f>
        <v>#REF!</v>
      </c>
      <c r="EW61" t="e">
        <f>AND(#REF!,"AAAAAEXV35g=")</f>
        <v>#REF!</v>
      </c>
      <c r="EX61" t="e">
        <f>AND(#REF!,"AAAAAEXV35k=")</f>
        <v>#REF!</v>
      </c>
      <c r="EY61" t="e">
        <f>AND(#REF!,"AAAAAEXV35o=")</f>
        <v>#REF!</v>
      </c>
      <c r="EZ61" t="e">
        <f>AND(#REF!,"AAAAAEXV35s=")</f>
        <v>#REF!</v>
      </c>
      <c r="FA61" t="e">
        <f>AND(#REF!,"AAAAAEXV35w=")</f>
        <v>#REF!</v>
      </c>
      <c r="FB61" t="e">
        <f>AND(#REF!,"AAAAAEXV350=")</f>
        <v>#REF!</v>
      </c>
      <c r="FC61" t="e">
        <f>AND(#REF!,"AAAAAEXV354=")</f>
        <v>#REF!</v>
      </c>
      <c r="FD61" t="e">
        <f>AND(#REF!,"AAAAAEXV358=")</f>
        <v>#REF!</v>
      </c>
      <c r="FE61" t="e">
        <f>AND(#REF!,"AAAAAEXV36A=")</f>
        <v>#REF!</v>
      </c>
      <c r="FF61" t="e">
        <f>AND(#REF!,"AAAAAEXV36E=")</f>
        <v>#REF!</v>
      </c>
      <c r="FG61" t="e">
        <f>AND(#REF!,"AAAAAEXV36I=")</f>
        <v>#REF!</v>
      </c>
      <c r="FH61" t="e">
        <f>AND(#REF!,"AAAAAEXV36M=")</f>
        <v>#REF!</v>
      </c>
      <c r="FI61" t="e">
        <f>AND(#REF!,"AAAAAEXV36Q=")</f>
        <v>#REF!</v>
      </c>
      <c r="FJ61" t="e">
        <f>AND(#REF!,"AAAAAEXV36U=")</f>
        <v>#REF!</v>
      </c>
      <c r="FK61" t="e">
        <f>AND(#REF!,"AAAAAEXV36Y=")</f>
        <v>#REF!</v>
      </c>
      <c r="FL61" t="e">
        <f>AND(#REF!,"AAAAAEXV36c=")</f>
        <v>#REF!</v>
      </c>
      <c r="FM61" t="e">
        <f>AND(#REF!,"AAAAAEXV36g=")</f>
        <v>#REF!</v>
      </c>
      <c r="FN61" t="e">
        <f>AND(#REF!,"AAAAAEXV36k=")</f>
        <v>#REF!</v>
      </c>
      <c r="FO61" t="e">
        <f>AND(#REF!,"AAAAAEXV36o=")</f>
        <v>#REF!</v>
      </c>
      <c r="FP61" t="e">
        <f>AND(#REF!,"AAAAAEXV36s=")</f>
        <v>#REF!</v>
      </c>
      <c r="FQ61" t="e">
        <f>AND(#REF!,"AAAAAEXV36w=")</f>
        <v>#REF!</v>
      </c>
      <c r="FR61" t="e">
        <f>AND(#REF!,"AAAAAEXV360=")</f>
        <v>#REF!</v>
      </c>
      <c r="FS61" t="e">
        <f>AND(#REF!,"AAAAAEXV364=")</f>
        <v>#REF!</v>
      </c>
      <c r="FT61" t="e">
        <f>AND(#REF!,"AAAAAEXV368=")</f>
        <v>#REF!</v>
      </c>
      <c r="FU61" t="e">
        <f>AND(#REF!,"AAAAAEXV37A=")</f>
        <v>#REF!</v>
      </c>
      <c r="FV61" t="e">
        <f>AND(#REF!,"AAAAAEXV37E=")</f>
        <v>#REF!</v>
      </c>
      <c r="FW61" t="e">
        <f>AND(#REF!,"AAAAAEXV37I=")</f>
        <v>#REF!</v>
      </c>
      <c r="FX61" t="e">
        <f>AND(#REF!,"AAAAAEXV37M=")</f>
        <v>#REF!</v>
      </c>
      <c r="FY61" t="e">
        <f>AND(#REF!,"AAAAAEXV37Q=")</f>
        <v>#REF!</v>
      </c>
      <c r="FZ61" t="e">
        <f>AND(#REF!,"AAAAAEXV37U=")</f>
        <v>#REF!</v>
      </c>
      <c r="GA61" t="e">
        <f>AND(#REF!,"AAAAAEXV37Y=")</f>
        <v>#REF!</v>
      </c>
      <c r="GB61" t="e">
        <f>AND(#REF!,"AAAAAEXV37c=")</f>
        <v>#REF!</v>
      </c>
      <c r="GC61" t="e">
        <f>AND(#REF!,"AAAAAEXV37g=")</f>
        <v>#REF!</v>
      </c>
      <c r="GD61" t="e">
        <f>AND(#REF!,"AAAAAEXV37k=")</f>
        <v>#REF!</v>
      </c>
      <c r="GE61" t="e">
        <f>AND(#REF!,"AAAAAEXV37o=")</f>
        <v>#REF!</v>
      </c>
      <c r="GF61" t="e">
        <f>AND(#REF!,"AAAAAEXV37s=")</f>
        <v>#REF!</v>
      </c>
      <c r="GG61" t="e">
        <f>AND(#REF!,"AAAAAEXV37w=")</f>
        <v>#REF!</v>
      </c>
      <c r="GH61" t="e">
        <f>AND(#REF!,"AAAAAEXV370=")</f>
        <v>#REF!</v>
      </c>
      <c r="GI61" t="e">
        <f>AND(#REF!,"AAAAAEXV374=")</f>
        <v>#REF!</v>
      </c>
      <c r="GJ61" t="e">
        <f>AND(#REF!,"AAAAAEXV378=")</f>
        <v>#REF!</v>
      </c>
      <c r="GK61" t="e">
        <f>AND(#REF!,"AAAAAEXV38A=")</f>
        <v>#REF!</v>
      </c>
      <c r="GL61" t="e">
        <f>AND(#REF!,"AAAAAEXV38E=")</f>
        <v>#REF!</v>
      </c>
      <c r="GM61" t="e">
        <f>AND(#REF!,"AAAAAEXV38I=")</f>
        <v>#REF!</v>
      </c>
      <c r="GN61" t="e">
        <f>AND(#REF!,"AAAAAEXV38M=")</f>
        <v>#REF!</v>
      </c>
      <c r="GO61" t="e">
        <f>AND(#REF!,"AAAAAEXV38Q=")</f>
        <v>#REF!</v>
      </c>
      <c r="GP61" t="e">
        <f>AND(#REF!,"AAAAAEXV38U=")</f>
        <v>#REF!</v>
      </c>
      <c r="GQ61" t="e">
        <f>AND(#REF!,"AAAAAEXV38Y=")</f>
        <v>#REF!</v>
      </c>
      <c r="GR61" t="e">
        <f>AND(#REF!,"AAAAAEXV38c=")</f>
        <v>#REF!</v>
      </c>
      <c r="GS61" t="e">
        <f>AND(#REF!,"AAAAAEXV38g=")</f>
        <v>#REF!</v>
      </c>
      <c r="GT61" t="e">
        <f>AND(#REF!,"AAAAAEXV38k=")</f>
        <v>#REF!</v>
      </c>
      <c r="GU61" t="e">
        <f>AND(#REF!,"AAAAAEXV38o=")</f>
        <v>#REF!</v>
      </c>
      <c r="GV61" t="e">
        <f>AND(#REF!,"AAAAAEXV38s=")</f>
        <v>#REF!</v>
      </c>
      <c r="GW61" t="e">
        <f>AND(#REF!,"AAAAAEXV38w=")</f>
        <v>#REF!</v>
      </c>
      <c r="GX61" t="e">
        <f>AND(#REF!,"AAAAAEXV380=")</f>
        <v>#REF!</v>
      </c>
      <c r="GY61" t="e">
        <f>AND(#REF!,"AAAAAEXV384=")</f>
        <v>#REF!</v>
      </c>
      <c r="GZ61" t="e">
        <f>AND(#REF!,"AAAAAEXV388=")</f>
        <v>#REF!</v>
      </c>
      <c r="HA61" t="e">
        <f>AND(#REF!,"AAAAAEXV39A=")</f>
        <v>#REF!</v>
      </c>
      <c r="HB61" t="e">
        <f>AND(#REF!,"AAAAAEXV39E=")</f>
        <v>#REF!</v>
      </c>
      <c r="HC61" t="e">
        <f>AND(#REF!,"AAAAAEXV39I=")</f>
        <v>#REF!</v>
      </c>
      <c r="HD61" t="e">
        <f>AND(#REF!,"AAAAAEXV39M=")</f>
        <v>#REF!</v>
      </c>
      <c r="HE61" t="e">
        <f>AND(#REF!,"AAAAAEXV39Q=")</f>
        <v>#REF!</v>
      </c>
      <c r="HF61" t="e">
        <f>AND(#REF!,"AAAAAEXV39U=")</f>
        <v>#REF!</v>
      </c>
      <c r="HG61" t="e">
        <f>AND(#REF!,"AAAAAEXV39Y=")</f>
        <v>#REF!</v>
      </c>
      <c r="HH61" t="e">
        <f>AND(#REF!,"AAAAAEXV39c=")</f>
        <v>#REF!</v>
      </c>
      <c r="HI61" t="e">
        <f>AND(#REF!,"AAAAAEXV39g=")</f>
        <v>#REF!</v>
      </c>
      <c r="HJ61" t="e">
        <f>AND(#REF!,"AAAAAEXV39k=")</f>
        <v>#REF!</v>
      </c>
      <c r="HK61" t="e">
        <f>AND(#REF!,"AAAAAEXV39o=")</f>
        <v>#REF!</v>
      </c>
      <c r="HL61" t="e">
        <f>AND(#REF!,"AAAAAEXV39s=")</f>
        <v>#REF!</v>
      </c>
      <c r="HM61" t="e">
        <f>AND(#REF!,"AAAAAEXV39w=")</f>
        <v>#REF!</v>
      </c>
      <c r="HN61" t="e">
        <f>AND(#REF!,"AAAAAEXV390=")</f>
        <v>#REF!</v>
      </c>
      <c r="HO61" t="e">
        <f>AND(#REF!,"AAAAAEXV394=")</f>
        <v>#REF!</v>
      </c>
      <c r="HP61" t="e">
        <f>IF(#REF!,"AAAAAEXV398=",0)</f>
        <v>#REF!</v>
      </c>
      <c r="HQ61" t="e">
        <f>AND(#REF!,"AAAAAEXV3+A=")</f>
        <v>#REF!</v>
      </c>
      <c r="HR61" t="e">
        <f>AND(#REF!,"AAAAAEXV3+E=")</f>
        <v>#REF!</v>
      </c>
      <c r="HS61" t="e">
        <f>AND(#REF!,"AAAAAEXV3+I=")</f>
        <v>#REF!</v>
      </c>
      <c r="HT61" t="e">
        <f>AND(#REF!,"AAAAAEXV3+M=")</f>
        <v>#REF!</v>
      </c>
      <c r="HU61" t="e">
        <f>AND(#REF!,"AAAAAEXV3+Q=")</f>
        <v>#REF!</v>
      </c>
      <c r="HV61" t="e">
        <f>AND(#REF!,"AAAAAEXV3+U=")</f>
        <v>#REF!</v>
      </c>
      <c r="HW61" t="e">
        <f>AND(#REF!,"AAAAAEXV3+Y=")</f>
        <v>#REF!</v>
      </c>
      <c r="HX61" t="e">
        <f>AND(#REF!,"AAAAAEXV3+c=")</f>
        <v>#REF!</v>
      </c>
      <c r="HY61" t="e">
        <f>AND(#REF!,"AAAAAEXV3+g=")</f>
        <v>#REF!</v>
      </c>
      <c r="HZ61" t="e">
        <f>AND(#REF!,"AAAAAEXV3+k=")</f>
        <v>#REF!</v>
      </c>
      <c r="IA61" t="e">
        <f>AND(#REF!,"AAAAAEXV3+o=")</f>
        <v>#REF!</v>
      </c>
      <c r="IB61" t="e">
        <f>AND(#REF!,"AAAAAEXV3+s=")</f>
        <v>#REF!</v>
      </c>
      <c r="IC61" t="e">
        <f>AND(#REF!,"AAAAAEXV3+w=")</f>
        <v>#REF!</v>
      </c>
      <c r="ID61" t="e">
        <f>AND(#REF!,"AAAAAEXV3+0=")</f>
        <v>#REF!</v>
      </c>
      <c r="IE61" t="e">
        <f>AND(#REF!,"AAAAAEXV3+4=")</f>
        <v>#REF!</v>
      </c>
      <c r="IF61" t="e">
        <f>AND(#REF!,"AAAAAEXV3+8=")</f>
        <v>#REF!</v>
      </c>
      <c r="IG61" t="e">
        <f>AND(#REF!,"AAAAAEXV3/A=")</f>
        <v>#REF!</v>
      </c>
      <c r="IH61" t="e">
        <f>AND(#REF!,"AAAAAEXV3/E=")</f>
        <v>#REF!</v>
      </c>
      <c r="II61" t="e">
        <f>AND(#REF!,"AAAAAEXV3/I=")</f>
        <v>#REF!</v>
      </c>
      <c r="IJ61" t="e">
        <f>AND(#REF!,"AAAAAEXV3/M=")</f>
        <v>#REF!</v>
      </c>
      <c r="IK61" t="e">
        <f>AND(#REF!,"AAAAAEXV3/Q=")</f>
        <v>#REF!</v>
      </c>
      <c r="IL61" t="e">
        <f>AND(#REF!,"AAAAAEXV3/U=")</f>
        <v>#REF!</v>
      </c>
      <c r="IM61" t="e">
        <f>AND(#REF!,"AAAAAEXV3/Y=")</f>
        <v>#REF!</v>
      </c>
      <c r="IN61" t="e">
        <f>AND(#REF!,"AAAAAEXV3/c=")</f>
        <v>#REF!</v>
      </c>
      <c r="IO61" t="e">
        <f>AND(#REF!,"AAAAAEXV3/g=")</f>
        <v>#REF!</v>
      </c>
      <c r="IP61" t="e">
        <f>AND(#REF!,"AAAAAEXV3/k=")</f>
        <v>#REF!</v>
      </c>
      <c r="IQ61" t="e">
        <f>AND(#REF!,"AAAAAEXV3/o=")</f>
        <v>#REF!</v>
      </c>
      <c r="IR61" t="e">
        <f>AND(#REF!,"AAAAAEXV3/s=")</f>
        <v>#REF!</v>
      </c>
      <c r="IS61" t="e">
        <f>AND(#REF!,"AAAAAEXV3/w=")</f>
        <v>#REF!</v>
      </c>
      <c r="IT61" t="e">
        <f>AND(#REF!,"AAAAAEXV3/0=")</f>
        <v>#REF!</v>
      </c>
      <c r="IU61" t="e">
        <f>AND(#REF!,"AAAAAEXV3/4=")</f>
        <v>#REF!</v>
      </c>
      <c r="IV61" t="e">
        <f>AND(#REF!,"AAAAAEXV3/8=")</f>
        <v>#REF!</v>
      </c>
    </row>
    <row r="62" spans="1:256" x14ac:dyDescent="0.2">
      <c r="A62" t="e">
        <f>AND(#REF!,"AAAAAGt9fQA=")</f>
        <v>#REF!</v>
      </c>
      <c r="B62" t="e">
        <f>AND(#REF!,"AAAAAGt9fQE=")</f>
        <v>#REF!</v>
      </c>
      <c r="C62" t="e">
        <f>AND(#REF!,"AAAAAGt9fQI=")</f>
        <v>#REF!</v>
      </c>
      <c r="D62" t="e">
        <f>AND(#REF!,"AAAAAGt9fQM=")</f>
        <v>#REF!</v>
      </c>
      <c r="E62" t="e">
        <f>AND(#REF!,"AAAAAGt9fQQ=")</f>
        <v>#REF!</v>
      </c>
      <c r="F62" t="e">
        <f>AND(#REF!,"AAAAAGt9fQU=")</f>
        <v>#REF!</v>
      </c>
      <c r="G62" t="e">
        <f>AND(#REF!,"AAAAAGt9fQY=")</f>
        <v>#REF!</v>
      </c>
      <c r="H62" t="e">
        <f>AND(#REF!,"AAAAAGt9fQc=")</f>
        <v>#REF!</v>
      </c>
      <c r="I62" t="e">
        <f>AND(#REF!,"AAAAAGt9fQg=")</f>
        <v>#REF!</v>
      </c>
      <c r="J62" t="e">
        <f>AND(#REF!,"AAAAAGt9fQk=")</f>
        <v>#REF!</v>
      </c>
      <c r="K62" t="e">
        <f>AND(#REF!,"AAAAAGt9fQo=")</f>
        <v>#REF!</v>
      </c>
      <c r="L62" t="e">
        <f>AND(#REF!,"AAAAAGt9fQs=")</f>
        <v>#REF!</v>
      </c>
      <c r="M62" t="e">
        <f>AND(#REF!,"AAAAAGt9fQw=")</f>
        <v>#REF!</v>
      </c>
      <c r="N62" t="e">
        <f>AND(#REF!,"AAAAAGt9fQ0=")</f>
        <v>#REF!</v>
      </c>
      <c r="O62" t="e">
        <f>AND(#REF!,"AAAAAGt9fQ4=")</f>
        <v>#REF!</v>
      </c>
      <c r="P62" t="e">
        <f>AND(#REF!,"AAAAAGt9fQ8=")</f>
        <v>#REF!</v>
      </c>
      <c r="Q62" t="e">
        <f>AND(#REF!,"AAAAAGt9fRA=")</f>
        <v>#REF!</v>
      </c>
      <c r="R62" t="e">
        <f>AND(#REF!,"AAAAAGt9fRE=")</f>
        <v>#REF!</v>
      </c>
      <c r="S62" t="e">
        <f>AND(#REF!,"AAAAAGt9fRI=")</f>
        <v>#REF!</v>
      </c>
      <c r="T62" t="e">
        <f>AND(#REF!,"AAAAAGt9fRM=")</f>
        <v>#REF!</v>
      </c>
      <c r="U62" t="e">
        <f>AND(#REF!,"AAAAAGt9fRQ=")</f>
        <v>#REF!</v>
      </c>
      <c r="V62" t="e">
        <f>AND(#REF!,"AAAAAGt9fRU=")</f>
        <v>#REF!</v>
      </c>
      <c r="W62" t="e">
        <f>AND(#REF!,"AAAAAGt9fRY=")</f>
        <v>#REF!</v>
      </c>
      <c r="X62" t="e">
        <f>AND(#REF!,"AAAAAGt9fRc=")</f>
        <v>#REF!</v>
      </c>
      <c r="Y62" t="e">
        <f>AND(#REF!,"AAAAAGt9fRg=")</f>
        <v>#REF!</v>
      </c>
      <c r="Z62" t="e">
        <f>AND(#REF!,"AAAAAGt9fRk=")</f>
        <v>#REF!</v>
      </c>
      <c r="AA62" t="e">
        <f>AND(#REF!,"AAAAAGt9fRo=")</f>
        <v>#REF!</v>
      </c>
      <c r="AB62" t="e">
        <f>AND(#REF!,"AAAAAGt9fRs=")</f>
        <v>#REF!</v>
      </c>
      <c r="AC62" t="e">
        <f>AND(#REF!,"AAAAAGt9fRw=")</f>
        <v>#REF!</v>
      </c>
      <c r="AD62" t="e">
        <f>AND(#REF!,"AAAAAGt9fR0=")</f>
        <v>#REF!</v>
      </c>
      <c r="AE62" t="e">
        <f>AND(#REF!,"AAAAAGt9fR4=")</f>
        <v>#REF!</v>
      </c>
      <c r="AF62" t="e">
        <f>AND(#REF!,"AAAAAGt9fR8=")</f>
        <v>#REF!</v>
      </c>
      <c r="AG62" t="e">
        <f>AND(#REF!,"AAAAAGt9fSA=")</f>
        <v>#REF!</v>
      </c>
      <c r="AH62" t="e">
        <f>AND(#REF!,"AAAAAGt9fSE=")</f>
        <v>#REF!</v>
      </c>
      <c r="AI62" t="e">
        <f>AND(#REF!,"AAAAAGt9fSI=")</f>
        <v>#REF!</v>
      </c>
      <c r="AJ62" t="e">
        <f>AND(#REF!,"AAAAAGt9fSM=")</f>
        <v>#REF!</v>
      </c>
      <c r="AK62" t="e">
        <f>AND(#REF!,"AAAAAGt9fSQ=")</f>
        <v>#REF!</v>
      </c>
      <c r="AL62" t="e">
        <f>AND(#REF!,"AAAAAGt9fSU=")</f>
        <v>#REF!</v>
      </c>
      <c r="AM62" t="e">
        <f>AND(#REF!,"AAAAAGt9fSY=")</f>
        <v>#REF!</v>
      </c>
      <c r="AN62" t="e">
        <f>AND(#REF!,"AAAAAGt9fSc=")</f>
        <v>#REF!</v>
      </c>
      <c r="AO62" t="e">
        <f>AND(#REF!,"AAAAAGt9fSg=")</f>
        <v>#REF!</v>
      </c>
      <c r="AP62" t="e">
        <f>AND(#REF!,"AAAAAGt9fSk=")</f>
        <v>#REF!</v>
      </c>
      <c r="AQ62" t="e">
        <f>AND(#REF!,"AAAAAGt9fSo=")</f>
        <v>#REF!</v>
      </c>
      <c r="AR62" t="e">
        <f>AND(#REF!,"AAAAAGt9fSs=")</f>
        <v>#REF!</v>
      </c>
      <c r="AS62" t="e">
        <f>AND(#REF!,"AAAAAGt9fSw=")</f>
        <v>#REF!</v>
      </c>
      <c r="AT62" t="e">
        <f>AND(#REF!,"AAAAAGt9fS0=")</f>
        <v>#REF!</v>
      </c>
      <c r="AU62" t="e">
        <f>AND(#REF!,"AAAAAGt9fS4=")</f>
        <v>#REF!</v>
      </c>
      <c r="AV62" t="e">
        <f>AND(#REF!,"AAAAAGt9fS8=")</f>
        <v>#REF!</v>
      </c>
      <c r="AW62" t="e">
        <f>AND(#REF!,"AAAAAGt9fTA=")</f>
        <v>#REF!</v>
      </c>
      <c r="AX62" t="e">
        <f>AND(#REF!,"AAAAAGt9fTE=")</f>
        <v>#REF!</v>
      </c>
      <c r="AY62" t="e">
        <f>AND(#REF!,"AAAAAGt9fTI=")</f>
        <v>#REF!</v>
      </c>
      <c r="AZ62" t="e">
        <f>AND(#REF!,"AAAAAGt9fTM=")</f>
        <v>#REF!</v>
      </c>
      <c r="BA62" t="e">
        <f>AND(#REF!,"AAAAAGt9fTQ=")</f>
        <v>#REF!</v>
      </c>
      <c r="BB62" t="e">
        <f>AND(#REF!,"AAAAAGt9fTU=")</f>
        <v>#REF!</v>
      </c>
      <c r="BC62" t="e">
        <f>AND(#REF!,"AAAAAGt9fTY=")</f>
        <v>#REF!</v>
      </c>
      <c r="BD62" t="e">
        <f>AND(#REF!,"AAAAAGt9fTc=")</f>
        <v>#REF!</v>
      </c>
      <c r="BE62" t="e">
        <f>AND(#REF!,"AAAAAGt9fTg=")</f>
        <v>#REF!</v>
      </c>
      <c r="BF62" t="e">
        <f>AND(#REF!,"AAAAAGt9fTk=")</f>
        <v>#REF!</v>
      </c>
      <c r="BG62" t="e">
        <f>AND(#REF!,"AAAAAGt9fTo=")</f>
        <v>#REF!</v>
      </c>
      <c r="BH62" t="e">
        <f>AND(#REF!,"AAAAAGt9fTs=")</f>
        <v>#REF!</v>
      </c>
      <c r="BI62" t="e">
        <f>AND(#REF!,"AAAAAGt9fTw=")</f>
        <v>#REF!</v>
      </c>
      <c r="BJ62" t="e">
        <f>AND(#REF!,"AAAAAGt9fT0=")</f>
        <v>#REF!</v>
      </c>
      <c r="BK62" t="e">
        <f>AND(#REF!,"AAAAAGt9fT4=")</f>
        <v>#REF!</v>
      </c>
      <c r="BL62" t="e">
        <f>AND(#REF!,"AAAAAGt9fT8=")</f>
        <v>#REF!</v>
      </c>
      <c r="BM62" t="e">
        <f>AND(#REF!,"AAAAAGt9fUA=")</f>
        <v>#REF!</v>
      </c>
      <c r="BN62" t="e">
        <f>AND(#REF!,"AAAAAGt9fUE=")</f>
        <v>#REF!</v>
      </c>
      <c r="BO62" t="e">
        <f>AND(#REF!,"AAAAAGt9fUI=")</f>
        <v>#REF!</v>
      </c>
      <c r="BP62" t="e">
        <f>AND(#REF!,"AAAAAGt9fUM=")</f>
        <v>#REF!</v>
      </c>
      <c r="BQ62" t="e">
        <f>AND(#REF!,"AAAAAGt9fUQ=")</f>
        <v>#REF!</v>
      </c>
      <c r="BR62" t="e">
        <f>AND(#REF!,"AAAAAGt9fUU=")</f>
        <v>#REF!</v>
      </c>
      <c r="BS62" t="e">
        <f>AND(#REF!,"AAAAAGt9fUY=")</f>
        <v>#REF!</v>
      </c>
      <c r="BT62" t="e">
        <f>AND(#REF!,"AAAAAGt9fUc=")</f>
        <v>#REF!</v>
      </c>
      <c r="BU62" t="e">
        <f>AND(#REF!,"AAAAAGt9fUg=")</f>
        <v>#REF!</v>
      </c>
      <c r="BV62" t="e">
        <f>AND(#REF!,"AAAAAGt9fUk=")</f>
        <v>#REF!</v>
      </c>
      <c r="BW62" t="e">
        <f>AND(#REF!,"AAAAAGt9fUo=")</f>
        <v>#REF!</v>
      </c>
      <c r="BX62" t="e">
        <f>AND(#REF!,"AAAAAGt9fUs=")</f>
        <v>#REF!</v>
      </c>
      <c r="BY62" t="e">
        <f>AND(#REF!,"AAAAAGt9fUw=")</f>
        <v>#REF!</v>
      </c>
      <c r="BZ62" t="e">
        <f>AND(#REF!,"AAAAAGt9fU0=")</f>
        <v>#REF!</v>
      </c>
      <c r="CA62" t="e">
        <f>AND(#REF!,"AAAAAGt9fU4=")</f>
        <v>#REF!</v>
      </c>
      <c r="CB62" t="e">
        <f>AND(#REF!,"AAAAAGt9fU8=")</f>
        <v>#REF!</v>
      </c>
      <c r="CC62" t="e">
        <f>AND(#REF!,"AAAAAGt9fVA=")</f>
        <v>#REF!</v>
      </c>
      <c r="CD62" t="e">
        <f>AND(#REF!,"AAAAAGt9fVE=")</f>
        <v>#REF!</v>
      </c>
      <c r="CE62" t="e">
        <f>AND(#REF!,"AAAAAGt9fVI=")</f>
        <v>#REF!</v>
      </c>
      <c r="CF62" t="e">
        <f>AND(#REF!,"AAAAAGt9fVM=")</f>
        <v>#REF!</v>
      </c>
      <c r="CG62" t="e">
        <f>AND(#REF!,"AAAAAGt9fVQ=")</f>
        <v>#REF!</v>
      </c>
      <c r="CH62" t="e">
        <f>AND(#REF!,"AAAAAGt9fVU=")</f>
        <v>#REF!</v>
      </c>
      <c r="CI62" t="e">
        <f>AND(#REF!,"AAAAAGt9fVY=")</f>
        <v>#REF!</v>
      </c>
      <c r="CJ62" t="e">
        <f>AND(#REF!,"AAAAAGt9fVc=")</f>
        <v>#REF!</v>
      </c>
      <c r="CK62" t="e">
        <f>AND(#REF!,"AAAAAGt9fVg=")</f>
        <v>#REF!</v>
      </c>
      <c r="CL62" t="e">
        <f>AND(#REF!,"AAAAAGt9fVk=")</f>
        <v>#REF!</v>
      </c>
      <c r="CM62" t="e">
        <f>AND(#REF!,"AAAAAGt9fVo=")</f>
        <v>#REF!</v>
      </c>
      <c r="CN62" t="e">
        <f>AND(#REF!,"AAAAAGt9fVs=")</f>
        <v>#REF!</v>
      </c>
      <c r="CO62" t="e">
        <f>AND(#REF!,"AAAAAGt9fVw=")</f>
        <v>#REF!</v>
      </c>
      <c r="CP62" t="e">
        <f>AND(#REF!,"AAAAAGt9fV0=")</f>
        <v>#REF!</v>
      </c>
      <c r="CQ62" t="e">
        <f>AND(#REF!,"AAAAAGt9fV4=")</f>
        <v>#REF!</v>
      </c>
      <c r="CR62" t="e">
        <f>AND(#REF!,"AAAAAGt9fV8=")</f>
        <v>#REF!</v>
      </c>
      <c r="CS62" t="e">
        <f>AND(#REF!,"AAAAAGt9fWA=")</f>
        <v>#REF!</v>
      </c>
      <c r="CT62" t="e">
        <f>AND(#REF!,"AAAAAGt9fWE=")</f>
        <v>#REF!</v>
      </c>
      <c r="CU62" t="e">
        <f>AND(#REF!,"AAAAAGt9fWI=")</f>
        <v>#REF!</v>
      </c>
      <c r="CV62" t="e">
        <f>AND(#REF!,"AAAAAGt9fWM=")</f>
        <v>#REF!</v>
      </c>
      <c r="CW62" t="e">
        <f>AND(#REF!,"AAAAAGt9fWQ=")</f>
        <v>#REF!</v>
      </c>
      <c r="CX62" t="e">
        <f>AND(#REF!,"AAAAAGt9fWU=")</f>
        <v>#REF!</v>
      </c>
      <c r="CY62" t="e">
        <f>AND(#REF!,"AAAAAGt9fWY=")</f>
        <v>#REF!</v>
      </c>
      <c r="CZ62" t="e">
        <f>AND(#REF!,"AAAAAGt9fWc=")</f>
        <v>#REF!</v>
      </c>
      <c r="DA62" t="e">
        <f>AND(#REF!,"AAAAAGt9fWg=")</f>
        <v>#REF!</v>
      </c>
      <c r="DB62" t="e">
        <f>AND(#REF!,"AAAAAGt9fWk=")</f>
        <v>#REF!</v>
      </c>
      <c r="DC62" t="e">
        <f>AND(#REF!,"AAAAAGt9fWo=")</f>
        <v>#REF!</v>
      </c>
      <c r="DD62" t="e">
        <f>AND(#REF!,"AAAAAGt9fWs=")</f>
        <v>#REF!</v>
      </c>
      <c r="DE62" t="e">
        <f>AND(#REF!,"AAAAAGt9fWw=")</f>
        <v>#REF!</v>
      </c>
      <c r="DF62" t="e">
        <f>AND(#REF!,"AAAAAGt9fW0=")</f>
        <v>#REF!</v>
      </c>
      <c r="DG62" t="e">
        <f>AND(#REF!,"AAAAAGt9fW4=")</f>
        <v>#REF!</v>
      </c>
      <c r="DH62" t="e">
        <f>AND(#REF!,"AAAAAGt9fW8=")</f>
        <v>#REF!</v>
      </c>
      <c r="DI62" t="e">
        <f>AND(#REF!,"AAAAAGt9fXA=")</f>
        <v>#REF!</v>
      </c>
      <c r="DJ62" t="e">
        <f>AND(#REF!,"AAAAAGt9fXE=")</f>
        <v>#REF!</v>
      </c>
      <c r="DK62" t="e">
        <f>AND(#REF!,"AAAAAGt9fXI=")</f>
        <v>#REF!</v>
      </c>
      <c r="DL62" t="e">
        <f>AND(#REF!,"AAAAAGt9fXM=")</f>
        <v>#REF!</v>
      </c>
      <c r="DM62" t="e">
        <f>AND(#REF!,"AAAAAGt9fXQ=")</f>
        <v>#REF!</v>
      </c>
      <c r="DN62" t="e">
        <f>AND(#REF!,"AAAAAGt9fXU=")</f>
        <v>#REF!</v>
      </c>
      <c r="DO62" t="e">
        <f>AND(#REF!,"AAAAAGt9fXY=")</f>
        <v>#REF!</v>
      </c>
      <c r="DP62" t="e">
        <f>AND(#REF!,"AAAAAGt9fXc=")</f>
        <v>#REF!</v>
      </c>
      <c r="DQ62" t="e">
        <f>AND(#REF!,"AAAAAGt9fXg=")</f>
        <v>#REF!</v>
      </c>
      <c r="DR62" t="e">
        <f>AND(#REF!,"AAAAAGt9fXk=")</f>
        <v>#REF!</v>
      </c>
      <c r="DS62" t="e">
        <f>AND(#REF!,"AAAAAGt9fXo=")</f>
        <v>#REF!</v>
      </c>
      <c r="DT62" t="e">
        <f>AND(#REF!,"AAAAAGt9fXs=")</f>
        <v>#REF!</v>
      </c>
      <c r="DU62" t="e">
        <f>AND(#REF!,"AAAAAGt9fXw=")</f>
        <v>#REF!</v>
      </c>
      <c r="DV62" t="e">
        <f>AND(#REF!,"AAAAAGt9fX0=")</f>
        <v>#REF!</v>
      </c>
      <c r="DW62" t="e">
        <f>AND(#REF!,"AAAAAGt9fX4=")</f>
        <v>#REF!</v>
      </c>
      <c r="DX62" t="e">
        <f>AND(#REF!,"AAAAAGt9fX8=")</f>
        <v>#REF!</v>
      </c>
      <c r="DY62" t="e">
        <f>AND(#REF!,"AAAAAGt9fYA=")</f>
        <v>#REF!</v>
      </c>
      <c r="DZ62" t="e">
        <f>AND(#REF!,"AAAAAGt9fYE=")</f>
        <v>#REF!</v>
      </c>
      <c r="EA62" t="e">
        <f>AND(#REF!,"AAAAAGt9fYI=")</f>
        <v>#REF!</v>
      </c>
      <c r="EB62" t="e">
        <f>AND(#REF!,"AAAAAGt9fYM=")</f>
        <v>#REF!</v>
      </c>
      <c r="EC62" t="e">
        <f>AND(#REF!,"AAAAAGt9fYQ=")</f>
        <v>#REF!</v>
      </c>
      <c r="ED62" t="e">
        <f>AND(#REF!,"AAAAAGt9fYU=")</f>
        <v>#REF!</v>
      </c>
      <c r="EE62" t="e">
        <f>AND(#REF!,"AAAAAGt9fYY=")</f>
        <v>#REF!</v>
      </c>
      <c r="EF62" t="e">
        <f>AND(#REF!,"AAAAAGt9fYc=")</f>
        <v>#REF!</v>
      </c>
      <c r="EG62" t="e">
        <f>AND(#REF!,"AAAAAGt9fYg=")</f>
        <v>#REF!</v>
      </c>
      <c r="EH62" t="e">
        <f>AND(#REF!,"AAAAAGt9fYk=")</f>
        <v>#REF!</v>
      </c>
      <c r="EI62" t="e">
        <f>AND(#REF!,"AAAAAGt9fYo=")</f>
        <v>#REF!</v>
      </c>
      <c r="EJ62" t="e">
        <f>AND(#REF!,"AAAAAGt9fYs=")</f>
        <v>#REF!</v>
      </c>
      <c r="EK62" t="e">
        <f>AND(#REF!,"AAAAAGt9fYw=")</f>
        <v>#REF!</v>
      </c>
      <c r="EL62" t="e">
        <f>AND(#REF!,"AAAAAGt9fY0=")</f>
        <v>#REF!</v>
      </c>
      <c r="EM62" t="e">
        <f>AND(#REF!,"AAAAAGt9fY4=")</f>
        <v>#REF!</v>
      </c>
      <c r="EN62" t="e">
        <f>AND(#REF!,"AAAAAGt9fY8=")</f>
        <v>#REF!</v>
      </c>
      <c r="EO62" t="e">
        <f>AND(#REF!,"AAAAAGt9fZA=")</f>
        <v>#REF!</v>
      </c>
      <c r="EP62" t="e">
        <f>AND(#REF!,"AAAAAGt9fZE=")</f>
        <v>#REF!</v>
      </c>
      <c r="EQ62" t="e">
        <f>AND(#REF!,"AAAAAGt9fZI=")</f>
        <v>#REF!</v>
      </c>
      <c r="ER62" t="e">
        <f>AND(#REF!,"AAAAAGt9fZM=")</f>
        <v>#REF!</v>
      </c>
      <c r="ES62" t="e">
        <f>IF(#REF!,"AAAAAGt9fZQ=",0)</f>
        <v>#REF!</v>
      </c>
      <c r="ET62" t="e">
        <f>AND(#REF!,"AAAAAGt9fZU=")</f>
        <v>#REF!</v>
      </c>
      <c r="EU62" t="e">
        <f>AND(#REF!,"AAAAAGt9fZY=")</f>
        <v>#REF!</v>
      </c>
      <c r="EV62" t="e">
        <f>AND(#REF!,"AAAAAGt9fZc=")</f>
        <v>#REF!</v>
      </c>
      <c r="EW62" t="e">
        <f>AND(#REF!,"AAAAAGt9fZg=")</f>
        <v>#REF!</v>
      </c>
      <c r="EX62" t="e">
        <f>AND(#REF!,"AAAAAGt9fZk=")</f>
        <v>#REF!</v>
      </c>
      <c r="EY62" t="e">
        <f>AND(#REF!,"AAAAAGt9fZo=")</f>
        <v>#REF!</v>
      </c>
      <c r="EZ62" t="e">
        <f>AND(#REF!,"AAAAAGt9fZs=")</f>
        <v>#REF!</v>
      </c>
      <c r="FA62" t="e">
        <f>AND(#REF!,"AAAAAGt9fZw=")</f>
        <v>#REF!</v>
      </c>
      <c r="FB62" t="e">
        <f>AND(#REF!,"AAAAAGt9fZ0=")</f>
        <v>#REF!</v>
      </c>
      <c r="FC62" t="e">
        <f>AND(#REF!,"AAAAAGt9fZ4=")</f>
        <v>#REF!</v>
      </c>
      <c r="FD62" t="e">
        <f>AND(#REF!,"AAAAAGt9fZ8=")</f>
        <v>#REF!</v>
      </c>
      <c r="FE62" t="e">
        <f>AND(#REF!,"AAAAAGt9faA=")</f>
        <v>#REF!</v>
      </c>
      <c r="FF62" t="e">
        <f>AND(#REF!,"AAAAAGt9faE=")</f>
        <v>#REF!</v>
      </c>
      <c r="FG62" t="e">
        <f>AND(#REF!,"AAAAAGt9faI=")</f>
        <v>#REF!</v>
      </c>
      <c r="FH62" t="e">
        <f>AND(#REF!,"AAAAAGt9faM=")</f>
        <v>#REF!</v>
      </c>
      <c r="FI62" t="e">
        <f>AND(#REF!,"AAAAAGt9faQ=")</f>
        <v>#REF!</v>
      </c>
      <c r="FJ62" t="e">
        <f>AND(#REF!,"AAAAAGt9faU=")</f>
        <v>#REF!</v>
      </c>
      <c r="FK62" t="e">
        <f>AND(#REF!,"AAAAAGt9faY=")</f>
        <v>#REF!</v>
      </c>
      <c r="FL62" t="e">
        <f>AND(#REF!,"AAAAAGt9fac=")</f>
        <v>#REF!</v>
      </c>
      <c r="FM62" t="e">
        <f>AND(#REF!,"AAAAAGt9fag=")</f>
        <v>#REF!</v>
      </c>
      <c r="FN62" t="e">
        <f>AND(#REF!,"AAAAAGt9fak=")</f>
        <v>#REF!</v>
      </c>
      <c r="FO62" t="e">
        <f>AND(#REF!,"AAAAAGt9fao=")</f>
        <v>#REF!</v>
      </c>
      <c r="FP62" t="e">
        <f>AND(#REF!,"AAAAAGt9fas=")</f>
        <v>#REF!</v>
      </c>
      <c r="FQ62" t="e">
        <f>AND(#REF!,"AAAAAGt9faw=")</f>
        <v>#REF!</v>
      </c>
      <c r="FR62" t="e">
        <f>AND(#REF!,"AAAAAGt9fa0=")</f>
        <v>#REF!</v>
      </c>
      <c r="FS62" t="e">
        <f>AND(#REF!,"AAAAAGt9fa4=")</f>
        <v>#REF!</v>
      </c>
      <c r="FT62" t="e">
        <f>AND(#REF!,"AAAAAGt9fa8=")</f>
        <v>#REF!</v>
      </c>
      <c r="FU62" t="e">
        <f>AND(#REF!,"AAAAAGt9fbA=")</f>
        <v>#REF!</v>
      </c>
      <c r="FV62" t="e">
        <f>AND(#REF!,"AAAAAGt9fbE=")</f>
        <v>#REF!</v>
      </c>
      <c r="FW62" t="e">
        <f>AND(#REF!,"AAAAAGt9fbI=")</f>
        <v>#REF!</v>
      </c>
      <c r="FX62" t="e">
        <f>AND(#REF!,"AAAAAGt9fbM=")</f>
        <v>#REF!</v>
      </c>
      <c r="FY62" t="e">
        <f>AND(#REF!,"AAAAAGt9fbQ=")</f>
        <v>#REF!</v>
      </c>
      <c r="FZ62" t="e">
        <f>AND(#REF!,"AAAAAGt9fbU=")</f>
        <v>#REF!</v>
      </c>
      <c r="GA62" t="e">
        <f>AND(#REF!,"AAAAAGt9fbY=")</f>
        <v>#REF!</v>
      </c>
      <c r="GB62" t="e">
        <f>AND(#REF!,"AAAAAGt9fbc=")</f>
        <v>#REF!</v>
      </c>
      <c r="GC62" t="e">
        <f>AND(#REF!,"AAAAAGt9fbg=")</f>
        <v>#REF!</v>
      </c>
      <c r="GD62" t="e">
        <f>AND(#REF!,"AAAAAGt9fbk=")</f>
        <v>#REF!</v>
      </c>
      <c r="GE62" t="e">
        <f>AND(#REF!,"AAAAAGt9fbo=")</f>
        <v>#REF!</v>
      </c>
      <c r="GF62" t="e">
        <f>AND(#REF!,"AAAAAGt9fbs=")</f>
        <v>#REF!</v>
      </c>
      <c r="GG62" t="e">
        <f>AND(#REF!,"AAAAAGt9fbw=")</f>
        <v>#REF!</v>
      </c>
      <c r="GH62" t="e">
        <f>AND(#REF!,"AAAAAGt9fb0=")</f>
        <v>#REF!</v>
      </c>
      <c r="GI62" t="e">
        <f>AND(#REF!,"AAAAAGt9fb4=")</f>
        <v>#REF!</v>
      </c>
      <c r="GJ62" t="e">
        <f>AND(#REF!,"AAAAAGt9fb8=")</f>
        <v>#REF!</v>
      </c>
      <c r="GK62" t="e">
        <f>AND(#REF!,"AAAAAGt9fcA=")</f>
        <v>#REF!</v>
      </c>
      <c r="GL62" t="e">
        <f>AND(#REF!,"AAAAAGt9fcE=")</f>
        <v>#REF!</v>
      </c>
      <c r="GM62" t="e">
        <f>AND(#REF!,"AAAAAGt9fcI=")</f>
        <v>#REF!</v>
      </c>
      <c r="GN62" t="e">
        <f>AND(#REF!,"AAAAAGt9fcM=")</f>
        <v>#REF!</v>
      </c>
      <c r="GO62" t="e">
        <f>AND(#REF!,"AAAAAGt9fcQ=")</f>
        <v>#REF!</v>
      </c>
      <c r="GP62" t="e">
        <f>AND(#REF!,"AAAAAGt9fcU=")</f>
        <v>#REF!</v>
      </c>
      <c r="GQ62" t="e">
        <f>AND(#REF!,"AAAAAGt9fcY=")</f>
        <v>#REF!</v>
      </c>
      <c r="GR62" t="e">
        <f>AND(#REF!,"AAAAAGt9fcc=")</f>
        <v>#REF!</v>
      </c>
      <c r="GS62" t="e">
        <f>AND(#REF!,"AAAAAGt9fcg=")</f>
        <v>#REF!</v>
      </c>
      <c r="GT62" t="e">
        <f>AND(#REF!,"AAAAAGt9fck=")</f>
        <v>#REF!</v>
      </c>
      <c r="GU62" t="e">
        <f>AND(#REF!,"AAAAAGt9fco=")</f>
        <v>#REF!</v>
      </c>
      <c r="GV62" t="e">
        <f>AND(#REF!,"AAAAAGt9fcs=")</f>
        <v>#REF!</v>
      </c>
      <c r="GW62" t="e">
        <f>AND(#REF!,"AAAAAGt9fcw=")</f>
        <v>#REF!</v>
      </c>
      <c r="GX62" t="e">
        <f>AND(#REF!,"AAAAAGt9fc0=")</f>
        <v>#REF!</v>
      </c>
      <c r="GY62" t="e">
        <f>AND(#REF!,"AAAAAGt9fc4=")</f>
        <v>#REF!</v>
      </c>
      <c r="GZ62" t="e">
        <f>AND(#REF!,"AAAAAGt9fc8=")</f>
        <v>#REF!</v>
      </c>
      <c r="HA62" t="e">
        <f>AND(#REF!,"AAAAAGt9fdA=")</f>
        <v>#REF!</v>
      </c>
      <c r="HB62" t="e">
        <f>AND(#REF!,"AAAAAGt9fdE=")</f>
        <v>#REF!</v>
      </c>
      <c r="HC62" t="e">
        <f>AND(#REF!,"AAAAAGt9fdI=")</f>
        <v>#REF!</v>
      </c>
      <c r="HD62" t="e">
        <f>AND(#REF!,"AAAAAGt9fdM=")</f>
        <v>#REF!</v>
      </c>
      <c r="HE62" t="e">
        <f>AND(#REF!,"AAAAAGt9fdQ=")</f>
        <v>#REF!</v>
      </c>
      <c r="HF62" t="e">
        <f>AND(#REF!,"AAAAAGt9fdU=")</f>
        <v>#REF!</v>
      </c>
      <c r="HG62" t="e">
        <f>AND(#REF!,"AAAAAGt9fdY=")</f>
        <v>#REF!</v>
      </c>
      <c r="HH62" t="e">
        <f>AND(#REF!,"AAAAAGt9fdc=")</f>
        <v>#REF!</v>
      </c>
      <c r="HI62" t="e">
        <f>AND(#REF!,"AAAAAGt9fdg=")</f>
        <v>#REF!</v>
      </c>
      <c r="HJ62" t="e">
        <f>AND(#REF!,"AAAAAGt9fdk=")</f>
        <v>#REF!</v>
      </c>
      <c r="HK62" t="e">
        <f>AND(#REF!,"AAAAAGt9fdo=")</f>
        <v>#REF!</v>
      </c>
      <c r="HL62" t="e">
        <f>AND(#REF!,"AAAAAGt9fds=")</f>
        <v>#REF!</v>
      </c>
      <c r="HM62" t="e">
        <f>AND(#REF!,"AAAAAGt9fdw=")</f>
        <v>#REF!</v>
      </c>
      <c r="HN62" t="e">
        <f>AND(#REF!,"AAAAAGt9fd0=")</f>
        <v>#REF!</v>
      </c>
      <c r="HO62" t="e">
        <f>AND(#REF!,"AAAAAGt9fd4=")</f>
        <v>#REF!</v>
      </c>
      <c r="HP62" t="e">
        <f>AND(#REF!,"AAAAAGt9fd8=")</f>
        <v>#REF!</v>
      </c>
      <c r="HQ62" t="e">
        <f>AND(#REF!,"AAAAAGt9feA=")</f>
        <v>#REF!</v>
      </c>
      <c r="HR62" t="e">
        <f>AND(#REF!,"AAAAAGt9feE=")</f>
        <v>#REF!</v>
      </c>
      <c r="HS62" t="e">
        <f>AND(#REF!,"AAAAAGt9feI=")</f>
        <v>#REF!</v>
      </c>
      <c r="HT62" t="e">
        <f>AND(#REF!,"AAAAAGt9feM=")</f>
        <v>#REF!</v>
      </c>
      <c r="HU62" t="e">
        <f>AND(#REF!,"AAAAAGt9feQ=")</f>
        <v>#REF!</v>
      </c>
      <c r="HV62" t="e">
        <f>AND(#REF!,"AAAAAGt9feU=")</f>
        <v>#REF!</v>
      </c>
      <c r="HW62" t="e">
        <f>AND(#REF!,"AAAAAGt9feY=")</f>
        <v>#REF!</v>
      </c>
      <c r="HX62" t="e">
        <f>AND(#REF!,"AAAAAGt9fec=")</f>
        <v>#REF!</v>
      </c>
      <c r="HY62" t="e">
        <f>AND(#REF!,"AAAAAGt9feg=")</f>
        <v>#REF!</v>
      </c>
      <c r="HZ62" t="e">
        <f>AND(#REF!,"AAAAAGt9fek=")</f>
        <v>#REF!</v>
      </c>
      <c r="IA62" t="e">
        <f>AND(#REF!,"AAAAAGt9feo=")</f>
        <v>#REF!</v>
      </c>
      <c r="IB62" t="e">
        <f>AND(#REF!,"AAAAAGt9fes=")</f>
        <v>#REF!</v>
      </c>
      <c r="IC62" t="e">
        <f>AND(#REF!,"AAAAAGt9few=")</f>
        <v>#REF!</v>
      </c>
      <c r="ID62" t="e">
        <f>AND(#REF!,"AAAAAGt9fe0=")</f>
        <v>#REF!</v>
      </c>
      <c r="IE62" t="e">
        <f>AND(#REF!,"AAAAAGt9fe4=")</f>
        <v>#REF!</v>
      </c>
      <c r="IF62" t="e">
        <f>AND(#REF!,"AAAAAGt9fe8=")</f>
        <v>#REF!</v>
      </c>
      <c r="IG62" t="e">
        <f>AND(#REF!,"AAAAAGt9ffA=")</f>
        <v>#REF!</v>
      </c>
      <c r="IH62" t="e">
        <f>AND(#REF!,"AAAAAGt9ffE=")</f>
        <v>#REF!</v>
      </c>
      <c r="II62" t="e">
        <f>AND(#REF!,"AAAAAGt9ffI=")</f>
        <v>#REF!</v>
      </c>
      <c r="IJ62" t="e">
        <f>AND(#REF!,"AAAAAGt9ffM=")</f>
        <v>#REF!</v>
      </c>
      <c r="IK62" t="e">
        <f>AND(#REF!,"AAAAAGt9ffQ=")</f>
        <v>#REF!</v>
      </c>
      <c r="IL62" t="e">
        <f>AND(#REF!,"AAAAAGt9ffU=")</f>
        <v>#REF!</v>
      </c>
      <c r="IM62" t="e">
        <f>AND(#REF!,"AAAAAGt9ffY=")</f>
        <v>#REF!</v>
      </c>
      <c r="IN62" t="e">
        <f>AND(#REF!,"AAAAAGt9ffc=")</f>
        <v>#REF!</v>
      </c>
      <c r="IO62" t="e">
        <f>AND(#REF!,"AAAAAGt9ffg=")</f>
        <v>#REF!</v>
      </c>
      <c r="IP62" t="e">
        <f>AND(#REF!,"AAAAAGt9ffk=")</f>
        <v>#REF!</v>
      </c>
      <c r="IQ62" t="e">
        <f>AND(#REF!,"AAAAAGt9ffo=")</f>
        <v>#REF!</v>
      </c>
      <c r="IR62" t="e">
        <f>AND(#REF!,"AAAAAGt9ffs=")</f>
        <v>#REF!</v>
      </c>
      <c r="IS62" t="e">
        <f>AND(#REF!,"AAAAAGt9ffw=")</f>
        <v>#REF!</v>
      </c>
      <c r="IT62" t="e">
        <f>AND(#REF!,"AAAAAGt9ff0=")</f>
        <v>#REF!</v>
      </c>
      <c r="IU62" t="e">
        <f>AND(#REF!,"AAAAAGt9ff4=")</f>
        <v>#REF!</v>
      </c>
      <c r="IV62" t="e">
        <f>AND(#REF!,"AAAAAGt9ff8=")</f>
        <v>#REF!</v>
      </c>
    </row>
    <row r="63" spans="1:256" x14ac:dyDescent="0.2">
      <c r="A63" t="e">
        <f>AND(#REF!,"AAAAAFe/5gA=")</f>
        <v>#REF!</v>
      </c>
      <c r="B63" t="e">
        <f>AND(#REF!,"AAAAAFe/5gE=")</f>
        <v>#REF!</v>
      </c>
      <c r="C63" t="e">
        <f>AND(#REF!,"AAAAAFe/5gI=")</f>
        <v>#REF!</v>
      </c>
      <c r="D63" t="e">
        <f>AND(#REF!,"AAAAAFe/5gM=")</f>
        <v>#REF!</v>
      </c>
      <c r="E63" t="e">
        <f>AND(#REF!,"AAAAAFe/5gQ=")</f>
        <v>#REF!</v>
      </c>
      <c r="F63" t="e">
        <f>AND(#REF!,"AAAAAFe/5gU=")</f>
        <v>#REF!</v>
      </c>
      <c r="G63" t="e">
        <f>AND(#REF!,"AAAAAFe/5gY=")</f>
        <v>#REF!</v>
      </c>
      <c r="H63" t="e">
        <f>AND(#REF!,"AAAAAFe/5gc=")</f>
        <v>#REF!</v>
      </c>
      <c r="I63" t="e">
        <f>AND(#REF!,"AAAAAFe/5gg=")</f>
        <v>#REF!</v>
      </c>
      <c r="J63" t="e">
        <f>AND(#REF!,"AAAAAFe/5gk=")</f>
        <v>#REF!</v>
      </c>
      <c r="K63" t="e">
        <f>AND(#REF!,"AAAAAFe/5go=")</f>
        <v>#REF!</v>
      </c>
      <c r="L63" t="e">
        <f>AND(#REF!,"AAAAAFe/5gs=")</f>
        <v>#REF!</v>
      </c>
      <c r="M63" t="e">
        <f>AND(#REF!,"AAAAAFe/5gw=")</f>
        <v>#REF!</v>
      </c>
      <c r="N63" t="e">
        <f>AND(#REF!,"AAAAAFe/5g0=")</f>
        <v>#REF!</v>
      </c>
      <c r="O63" t="e">
        <f>AND(#REF!,"AAAAAFe/5g4=")</f>
        <v>#REF!</v>
      </c>
      <c r="P63" t="e">
        <f>AND(#REF!,"AAAAAFe/5g8=")</f>
        <v>#REF!</v>
      </c>
      <c r="Q63" t="e">
        <f>AND(#REF!,"AAAAAFe/5hA=")</f>
        <v>#REF!</v>
      </c>
      <c r="R63" t="e">
        <f>AND(#REF!,"AAAAAFe/5hE=")</f>
        <v>#REF!</v>
      </c>
      <c r="S63" t="e">
        <f>AND(#REF!,"AAAAAFe/5hI=")</f>
        <v>#REF!</v>
      </c>
      <c r="T63" t="e">
        <f>AND(#REF!,"AAAAAFe/5hM=")</f>
        <v>#REF!</v>
      </c>
      <c r="U63" t="e">
        <f>AND(#REF!,"AAAAAFe/5hQ=")</f>
        <v>#REF!</v>
      </c>
      <c r="V63" t="e">
        <f>AND(#REF!,"AAAAAFe/5hU=")</f>
        <v>#REF!</v>
      </c>
      <c r="W63" t="e">
        <f>AND(#REF!,"AAAAAFe/5hY=")</f>
        <v>#REF!</v>
      </c>
      <c r="X63" t="e">
        <f>AND(#REF!,"AAAAAFe/5hc=")</f>
        <v>#REF!</v>
      </c>
      <c r="Y63" t="e">
        <f>AND(#REF!,"AAAAAFe/5hg=")</f>
        <v>#REF!</v>
      </c>
      <c r="Z63" t="e">
        <f>AND(#REF!,"AAAAAFe/5hk=")</f>
        <v>#REF!</v>
      </c>
      <c r="AA63" t="e">
        <f>AND(#REF!,"AAAAAFe/5ho=")</f>
        <v>#REF!</v>
      </c>
      <c r="AB63" t="e">
        <f>AND(#REF!,"AAAAAFe/5hs=")</f>
        <v>#REF!</v>
      </c>
      <c r="AC63" t="e">
        <f>AND(#REF!,"AAAAAFe/5hw=")</f>
        <v>#REF!</v>
      </c>
      <c r="AD63" t="e">
        <f>AND(#REF!,"AAAAAFe/5h0=")</f>
        <v>#REF!</v>
      </c>
      <c r="AE63" t="e">
        <f>AND(#REF!,"AAAAAFe/5h4=")</f>
        <v>#REF!</v>
      </c>
      <c r="AF63" t="e">
        <f>AND(#REF!,"AAAAAFe/5h8=")</f>
        <v>#REF!</v>
      </c>
      <c r="AG63" t="e">
        <f>AND(#REF!,"AAAAAFe/5iA=")</f>
        <v>#REF!</v>
      </c>
      <c r="AH63" t="e">
        <f>AND(#REF!,"AAAAAFe/5iE=")</f>
        <v>#REF!</v>
      </c>
      <c r="AI63" t="e">
        <f>AND(#REF!,"AAAAAFe/5iI=")</f>
        <v>#REF!</v>
      </c>
      <c r="AJ63" t="e">
        <f>AND(#REF!,"AAAAAFe/5iM=")</f>
        <v>#REF!</v>
      </c>
      <c r="AK63" t="e">
        <f>AND(#REF!,"AAAAAFe/5iQ=")</f>
        <v>#REF!</v>
      </c>
      <c r="AL63" t="e">
        <f>AND(#REF!,"AAAAAFe/5iU=")</f>
        <v>#REF!</v>
      </c>
      <c r="AM63" t="e">
        <f>AND(#REF!,"AAAAAFe/5iY=")</f>
        <v>#REF!</v>
      </c>
      <c r="AN63" t="e">
        <f>AND(#REF!,"AAAAAFe/5ic=")</f>
        <v>#REF!</v>
      </c>
      <c r="AO63" t="e">
        <f>AND(#REF!,"AAAAAFe/5ig=")</f>
        <v>#REF!</v>
      </c>
      <c r="AP63" t="e">
        <f>AND(#REF!,"AAAAAFe/5ik=")</f>
        <v>#REF!</v>
      </c>
      <c r="AQ63" t="e">
        <f>AND(#REF!,"AAAAAFe/5io=")</f>
        <v>#REF!</v>
      </c>
      <c r="AR63" t="e">
        <f>AND(#REF!,"AAAAAFe/5is=")</f>
        <v>#REF!</v>
      </c>
      <c r="AS63" t="e">
        <f>AND(#REF!,"AAAAAFe/5iw=")</f>
        <v>#REF!</v>
      </c>
      <c r="AT63" t="e">
        <f>AND(#REF!,"AAAAAFe/5i0=")</f>
        <v>#REF!</v>
      </c>
      <c r="AU63" t="e">
        <f>AND(#REF!,"AAAAAFe/5i4=")</f>
        <v>#REF!</v>
      </c>
      <c r="AV63" t="e">
        <f>AND(#REF!,"AAAAAFe/5i8=")</f>
        <v>#REF!</v>
      </c>
      <c r="AW63" t="e">
        <f>AND(#REF!,"AAAAAFe/5jA=")</f>
        <v>#REF!</v>
      </c>
      <c r="AX63" t="e">
        <f>AND(#REF!,"AAAAAFe/5jE=")</f>
        <v>#REF!</v>
      </c>
      <c r="AY63" t="e">
        <f>AND(#REF!,"AAAAAFe/5jI=")</f>
        <v>#REF!</v>
      </c>
      <c r="AZ63" t="e">
        <f>AND(#REF!,"AAAAAFe/5jM=")</f>
        <v>#REF!</v>
      </c>
      <c r="BA63" t="e">
        <f>AND(#REF!,"AAAAAFe/5jQ=")</f>
        <v>#REF!</v>
      </c>
      <c r="BB63" t="e">
        <f>AND(#REF!,"AAAAAFe/5jU=")</f>
        <v>#REF!</v>
      </c>
      <c r="BC63" t="e">
        <f>AND(#REF!,"AAAAAFe/5jY=")</f>
        <v>#REF!</v>
      </c>
      <c r="BD63" t="e">
        <f>AND(#REF!,"AAAAAFe/5jc=")</f>
        <v>#REF!</v>
      </c>
      <c r="BE63" t="e">
        <f>AND(#REF!,"AAAAAFe/5jg=")</f>
        <v>#REF!</v>
      </c>
      <c r="BF63" t="e">
        <f>AND(#REF!,"AAAAAFe/5jk=")</f>
        <v>#REF!</v>
      </c>
      <c r="BG63" t="e">
        <f>AND(#REF!,"AAAAAFe/5jo=")</f>
        <v>#REF!</v>
      </c>
      <c r="BH63" t="e">
        <f>AND(#REF!,"AAAAAFe/5js=")</f>
        <v>#REF!</v>
      </c>
      <c r="BI63" t="e">
        <f>AND(#REF!,"AAAAAFe/5jw=")</f>
        <v>#REF!</v>
      </c>
      <c r="BJ63" t="e">
        <f>AND(#REF!,"AAAAAFe/5j0=")</f>
        <v>#REF!</v>
      </c>
      <c r="BK63" t="e">
        <f>AND(#REF!,"AAAAAFe/5j4=")</f>
        <v>#REF!</v>
      </c>
      <c r="BL63" t="e">
        <f>AND(#REF!,"AAAAAFe/5j8=")</f>
        <v>#REF!</v>
      </c>
      <c r="BM63" t="e">
        <f>AND(#REF!,"AAAAAFe/5kA=")</f>
        <v>#REF!</v>
      </c>
      <c r="BN63" t="e">
        <f>AND(#REF!,"AAAAAFe/5kE=")</f>
        <v>#REF!</v>
      </c>
      <c r="BO63" t="e">
        <f>AND(#REF!,"AAAAAFe/5kI=")</f>
        <v>#REF!</v>
      </c>
      <c r="BP63" t="e">
        <f>AND(#REF!,"AAAAAFe/5kM=")</f>
        <v>#REF!</v>
      </c>
      <c r="BQ63" t="e">
        <f>AND(#REF!,"AAAAAFe/5kQ=")</f>
        <v>#REF!</v>
      </c>
      <c r="BR63" t="e">
        <f>AND(#REF!,"AAAAAFe/5kU=")</f>
        <v>#REF!</v>
      </c>
      <c r="BS63" t="e">
        <f>AND(#REF!,"AAAAAFe/5kY=")</f>
        <v>#REF!</v>
      </c>
      <c r="BT63" t="e">
        <f>AND(#REF!,"AAAAAFe/5kc=")</f>
        <v>#REF!</v>
      </c>
      <c r="BU63" t="e">
        <f>AND(#REF!,"AAAAAFe/5kg=")</f>
        <v>#REF!</v>
      </c>
      <c r="BV63" t="e">
        <f>IF(#REF!,"AAAAAFe/5kk=",0)</f>
        <v>#REF!</v>
      </c>
      <c r="BW63" t="e">
        <f>AND(#REF!,"AAAAAFe/5ko=")</f>
        <v>#REF!</v>
      </c>
      <c r="BX63" t="e">
        <f>AND(#REF!,"AAAAAFe/5ks=")</f>
        <v>#REF!</v>
      </c>
      <c r="BY63" t="e">
        <f>AND(#REF!,"AAAAAFe/5kw=")</f>
        <v>#REF!</v>
      </c>
      <c r="BZ63" t="e">
        <f>AND(#REF!,"AAAAAFe/5k0=")</f>
        <v>#REF!</v>
      </c>
      <c r="CA63" t="e">
        <f>AND(#REF!,"AAAAAFe/5k4=")</f>
        <v>#REF!</v>
      </c>
      <c r="CB63" t="e">
        <f>AND(#REF!,"AAAAAFe/5k8=")</f>
        <v>#REF!</v>
      </c>
      <c r="CC63" t="e">
        <f>AND(#REF!,"AAAAAFe/5lA=")</f>
        <v>#REF!</v>
      </c>
      <c r="CD63" t="e">
        <f>AND(#REF!,"AAAAAFe/5lE=")</f>
        <v>#REF!</v>
      </c>
      <c r="CE63" t="e">
        <f>AND(#REF!,"AAAAAFe/5lI=")</f>
        <v>#REF!</v>
      </c>
      <c r="CF63" t="e">
        <f>AND(#REF!,"AAAAAFe/5lM=")</f>
        <v>#REF!</v>
      </c>
      <c r="CG63" t="e">
        <f>AND(#REF!,"AAAAAFe/5lQ=")</f>
        <v>#REF!</v>
      </c>
      <c r="CH63" t="e">
        <f>AND(#REF!,"AAAAAFe/5lU=")</f>
        <v>#REF!</v>
      </c>
      <c r="CI63" t="e">
        <f>AND(#REF!,"AAAAAFe/5lY=")</f>
        <v>#REF!</v>
      </c>
      <c r="CJ63" t="e">
        <f>AND(#REF!,"AAAAAFe/5lc=")</f>
        <v>#REF!</v>
      </c>
      <c r="CK63" t="e">
        <f>AND(#REF!,"AAAAAFe/5lg=")</f>
        <v>#REF!</v>
      </c>
      <c r="CL63" t="e">
        <f>AND(#REF!,"AAAAAFe/5lk=")</f>
        <v>#REF!</v>
      </c>
      <c r="CM63" t="e">
        <f>AND(#REF!,"AAAAAFe/5lo=")</f>
        <v>#REF!</v>
      </c>
      <c r="CN63" t="e">
        <f>AND(#REF!,"AAAAAFe/5ls=")</f>
        <v>#REF!</v>
      </c>
      <c r="CO63" t="e">
        <f>AND(#REF!,"AAAAAFe/5lw=")</f>
        <v>#REF!</v>
      </c>
      <c r="CP63" t="e">
        <f>AND(#REF!,"AAAAAFe/5l0=")</f>
        <v>#REF!</v>
      </c>
      <c r="CQ63" t="e">
        <f>AND(#REF!,"AAAAAFe/5l4=")</f>
        <v>#REF!</v>
      </c>
      <c r="CR63" t="e">
        <f>AND(#REF!,"AAAAAFe/5l8=")</f>
        <v>#REF!</v>
      </c>
      <c r="CS63" t="e">
        <f>AND(#REF!,"AAAAAFe/5mA=")</f>
        <v>#REF!</v>
      </c>
      <c r="CT63" t="e">
        <f>AND(#REF!,"AAAAAFe/5mE=")</f>
        <v>#REF!</v>
      </c>
      <c r="CU63" t="e">
        <f>AND(#REF!,"AAAAAFe/5mI=")</f>
        <v>#REF!</v>
      </c>
      <c r="CV63" t="e">
        <f>AND(#REF!,"AAAAAFe/5mM=")</f>
        <v>#REF!</v>
      </c>
      <c r="CW63" t="e">
        <f>AND(#REF!,"AAAAAFe/5mQ=")</f>
        <v>#REF!</v>
      </c>
      <c r="CX63" t="e">
        <f>AND(#REF!,"AAAAAFe/5mU=")</f>
        <v>#REF!</v>
      </c>
      <c r="CY63" t="e">
        <f>AND(#REF!,"AAAAAFe/5mY=")</f>
        <v>#REF!</v>
      </c>
      <c r="CZ63" t="e">
        <f>AND(#REF!,"AAAAAFe/5mc=")</f>
        <v>#REF!</v>
      </c>
      <c r="DA63" t="e">
        <f>AND(#REF!,"AAAAAFe/5mg=")</f>
        <v>#REF!</v>
      </c>
      <c r="DB63" t="e">
        <f>AND(#REF!,"AAAAAFe/5mk=")</f>
        <v>#REF!</v>
      </c>
      <c r="DC63" t="e">
        <f>AND(#REF!,"AAAAAFe/5mo=")</f>
        <v>#REF!</v>
      </c>
      <c r="DD63" t="e">
        <f>AND(#REF!,"AAAAAFe/5ms=")</f>
        <v>#REF!</v>
      </c>
      <c r="DE63" t="e">
        <f>AND(#REF!,"AAAAAFe/5mw=")</f>
        <v>#REF!</v>
      </c>
      <c r="DF63" t="e">
        <f>AND(#REF!,"AAAAAFe/5m0=")</f>
        <v>#REF!</v>
      </c>
      <c r="DG63" t="e">
        <f>AND(#REF!,"AAAAAFe/5m4=")</f>
        <v>#REF!</v>
      </c>
      <c r="DH63" t="e">
        <f>AND(#REF!,"AAAAAFe/5m8=")</f>
        <v>#REF!</v>
      </c>
      <c r="DI63" t="e">
        <f>AND(#REF!,"AAAAAFe/5nA=")</f>
        <v>#REF!</v>
      </c>
      <c r="DJ63" t="e">
        <f>AND(#REF!,"AAAAAFe/5nE=")</f>
        <v>#REF!</v>
      </c>
      <c r="DK63" t="e">
        <f>AND(#REF!,"AAAAAFe/5nI=")</f>
        <v>#REF!</v>
      </c>
      <c r="DL63" t="e">
        <f>AND(#REF!,"AAAAAFe/5nM=")</f>
        <v>#REF!</v>
      </c>
      <c r="DM63" t="e">
        <f>AND(#REF!,"AAAAAFe/5nQ=")</f>
        <v>#REF!</v>
      </c>
      <c r="DN63" t="e">
        <f>AND(#REF!,"AAAAAFe/5nU=")</f>
        <v>#REF!</v>
      </c>
      <c r="DO63" t="e">
        <f>AND(#REF!,"AAAAAFe/5nY=")</f>
        <v>#REF!</v>
      </c>
      <c r="DP63" t="e">
        <f>AND(#REF!,"AAAAAFe/5nc=")</f>
        <v>#REF!</v>
      </c>
      <c r="DQ63" t="e">
        <f>AND(#REF!,"AAAAAFe/5ng=")</f>
        <v>#REF!</v>
      </c>
      <c r="DR63" t="e">
        <f>AND(#REF!,"AAAAAFe/5nk=")</f>
        <v>#REF!</v>
      </c>
      <c r="DS63" t="e">
        <f>AND(#REF!,"AAAAAFe/5no=")</f>
        <v>#REF!</v>
      </c>
      <c r="DT63" t="e">
        <f>AND(#REF!,"AAAAAFe/5ns=")</f>
        <v>#REF!</v>
      </c>
      <c r="DU63" t="e">
        <f>AND(#REF!,"AAAAAFe/5nw=")</f>
        <v>#REF!</v>
      </c>
      <c r="DV63" t="e">
        <f>AND(#REF!,"AAAAAFe/5n0=")</f>
        <v>#REF!</v>
      </c>
      <c r="DW63" t="e">
        <f>AND(#REF!,"AAAAAFe/5n4=")</f>
        <v>#REF!</v>
      </c>
      <c r="DX63" t="e">
        <f>AND(#REF!,"AAAAAFe/5n8=")</f>
        <v>#REF!</v>
      </c>
      <c r="DY63" t="e">
        <f>AND(#REF!,"AAAAAFe/5oA=")</f>
        <v>#REF!</v>
      </c>
      <c r="DZ63" t="e">
        <f>AND(#REF!,"AAAAAFe/5oE=")</f>
        <v>#REF!</v>
      </c>
      <c r="EA63" t="e">
        <f>AND(#REF!,"AAAAAFe/5oI=")</f>
        <v>#REF!</v>
      </c>
      <c r="EB63" t="e">
        <f>AND(#REF!,"AAAAAFe/5oM=")</f>
        <v>#REF!</v>
      </c>
      <c r="EC63" t="e">
        <f>AND(#REF!,"AAAAAFe/5oQ=")</f>
        <v>#REF!</v>
      </c>
      <c r="ED63" t="e">
        <f>AND(#REF!,"AAAAAFe/5oU=")</f>
        <v>#REF!</v>
      </c>
      <c r="EE63" t="e">
        <f>AND(#REF!,"AAAAAFe/5oY=")</f>
        <v>#REF!</v>
      </c>
      <c r="EF63" t="e">
        <f>AND(#REF!,"AAAAAFe/5oc=")</f>
        <v>#REF!</v>
      </c>
      <c r="EG63" t="e">
        <f>AND(#REF!,"AAAAAFe/5og=")</f>
        <v>#REF!</v>
      </c>
      <c r="EH63" t="e">
        <f>AND(#REF!,"AAAAAFe/5ok=")</f>
        <v>#REF!</v>
      </c>
      <c r="EI63" t="e">
        <f>AND(#REF!,"AAAAAFe/5oo=")</f>
        <v>#REF!</v>
      </c>
      <c r="EJ63" t="e">
        <f>AND(#REF!,"AAAAAFe/5os=")</f>
        <v>#REF!</v>
      </c>
      <c r="EK63" t="e">
        <f>AND(#REF!,"AAAAAFe/5ow=")</f>
        <v>#REF!</v>
      </c>
      <c r="EL63" t="e">
        <f>AND(#REF!,"AAAAAFe/5o0=")</f>
        <v>#REF!</v>
      </c>
      <c r="EM63" t="e">
        <f>AND(#REF!,"AAAAAFe/5o4=")</f>
        <v>#REF!</v>
      </c>
      <c r="EN63" t="e">
        <f>AND(#REF!,"AAAAAFe/5o8=")</f>
        <v>#REF!</v>
      </c>
      <c r="EO63" t="e">
        <f>AND(#REF!,"AAAAAFe/5pA=")</f>
        <v>#REF!</v>
      </c>
      <c r="EP63" t="e">
        <f>AND(#REF!,"AAAAAFe/5pE=")</f>
        <v>#REF!</v>
      </c>
      <c r="EQ63" t="e">
        <f>AND(#REF!,"AAAAAFe/5pI=")</f>
        <v>#REF!</v>
      </c>
      <c r="ER63" t="e">
        <f>AND(#REF!,"AAAAAFe/5pM=")</f>
        <v>#REF!</v>
      </c>
      <c r="ES63" t="e">
        <f>AND(#REF!,"AAAAAFe/5pQ=")</f>
        <v>#REF!</v>
      </c>
      <c r="ET63" t="e">
        <f>AND(#REF!,"AAAAAFe/5pU=")</f>
        <v>#REF!</v>
      </c>
      <c r="EU63" t="e">
        <f>AND(#REF!,"AAAAAFe/5pY=")</f>
        <v>#REF!</v>
      </c>
      <c r="EV63" t="e">
        <f>AND(#REF!,"AAAAAFe/5pc=")</f>
        <v>#REF!</v>
      </c>
      <c r="EW63" t="e">
        <f>AND(#REF!,"AAAAAFe/5pg=")</f>
        <v>#REF!</v>
      </c>
      <c r="EX63" t="e">
        <f>AND(#REF!,"AAAAAFe/5pk=")</f>
        <v>#REF!</v>
      </c>
      <c r="EY63" t="e">
        <f>AND(#REF!,"AAAAAFe/5po=")</f>
        <v>#REF!</v>
      </c>
      <c r="EZ63" t="e">
        <f>AND(#REF!,"AAAAAFe/5ps=")</f>
        <v>#REF!</v>
      </c>
      <c r="FA63" t="e">
        <f>AND(#REF!,"AAAAAFe/5pw=")</f>
        <v>#REF!</v>
      </c>
      <c r="FB63" t="e">
        <f>AND(#REF!,"AAAAAFe/5p0=")</f>
        <v>#REF!</v>
      </c>
      <c r="FC63" t="e">
        <f>AND(#REF!,"AAAAAFe/5p4=")</f>
        <v>#REF!</v>
      </c>
      <c r="FD63" t="e">
        <f>AND(#REF!,"AAAAAFe/5p8=")</f>
        <v>#REF!</v>
      </c>
      <c r="FE63" t="e">
        <f>AND(#REF!,"AAAAAFe/5qA=")</f>
        <v>#REF!</v>
      </c>
      <c r="FF63" t="e">
        <f>AND(#REF!,"AAAAAFe/5qE=")</f>
        <v>#REF!</v>
      </c>
      <c r="FG63" t="e">
        <f>AND(#REF!,"AAAAAFe/5qI=")</f>
        <v>#REF!</v>
      </c>
      <c r="FH63" t="e">
        <f>AND(#REF!,"AAAAAFe/5qM=")</f>
        <v>#REF!</v>
      </c>
      <c r="FI63" t="e">
        <f>AND(#REF!,"AAAAAFe/5qQ=")</f>
        <v>#REF!</v>
      </c>
      <c r="FJ63" t="e">
        <f>AND(#REF!,"AAAAAFe/5qU=")</f>
        <v>#REF!</v>
      </c>
      <c r="FK63" t="e">
        <f>AND(#REF!,"AAAAAFe/5qY=")</f>
        <v>#REF!</v>
      </c>
      <c r="FL63" t="e">
        <f>AND(#REF!,"AAAAAFe/5qc=")</f>
        <v>#REF!</v>
      </c>
      <c r="FM63" t="e">
        <f>AND(#REF!,"AAAAAFe/5qg=")</f>
        <v>#REF!</v>
      </c>
      <c r="FN63" t="e">
        <f>AND(#REF!,"AAAAAFe/5qk=")</f>
        <v>#REF!</v>
      </c>
      <c r="FO63" t="e">
        <f>AND(#REF!,"AAAAAFe/5qo=")</f>
        <v>#REF!</v>
      </c>
      <c r="FP63" t="e">
        <f>AND(#REF!,"AAAAAFe/5qs=")</f>
        <v>#REF!</v>
      </c>
      <c r="FQ63" t="e">
        <f>AND(#REF!,"AAAAAFe/5qw=")</f>
        <v>#REF!</v>
      </c>
      <c r="FR63" t="e">
        <f>AND(#REF!,"AAAAAFe/5q0=")</f>
        <v>#REF!</v>
      </c>
      <c r="FS63" t="e">
        <f>AND(#REF!,"AAAAAFe/5q4=")</f>
        <v>#REF!</v>
      </c>
      <c r="FT63" t="e">
        <f>AND(#REF!,"AAAAAFe/5q8=")</f>
        <v>#REF!</v>
      </c>
      <c r="FU63" t="e">
        <f>AND(#REF!,"AAAAAFe/5rA=")</f>
        <v>#REF!</v>
      </c>
      <c r="FV63" t="e">
        <f>AND(#REF!,"AAAAAFe/5rE=")</f>
        <v>#REF!</v>
      </c>
      <c r="FW63" t="e">
        <f>AND(#REF!,"AAAAAFe/5rI=")</f>
        <v>#REF!</v>
      </c>
      <c r="FX63" t="e">
        <f>AND(#REF!,"AAAAAFe/5rM=")</f>
        <v>#REF!</v>
      </c>
      <c r="FY63" t="e">
        <f>AND(#REF!,"AAAAAFe/5rQ=")</f>
        <v>#REF!</v>
      </c>
      <c r="FZ63" t="e">
        <f>AND(#REF!,"AAAAAFe/5rU=")</f>
        <v>#REF!</v>
      </c>
      <c r="GA63" t="e">
        <f>AND(#REF!,"AAAAAFe/5rY=")</f>
        <v>#REF!</v>
      </c>
      <c r="GB63" t="e">
        <f>AND(#REF!,"AAAAAFe/5rc=")</f>
        <v>#REF!</v>
      </c>
      <c r="GC63" t="e">
        <f>AND(#REF!,"AAAAAFe/5rg=")</f>
        <v>#REF!</v>
      </c>
      <c r="GD63" t="e">
        <f>AND(#REF!,"AAAAAFe/5rk=")</f>
        <v>#REF!</v>
      </c>
      <c r="GE63" t="e">
        <f>AND(#REF!,"AAAAAFe/5ro=")</f>
        <v>#REF!</v>
      </c>
      <c r="GF63" t="e">
        <f>AND(#REF!,"AAAAAFe/5rs=")</f>
        <v>#REF!</v>
      </c>
      <c r="GG63" t="e">
        <f>AND(#REF!,"AAAAAFe/5rw=")</f>
        <v>#REF!</v>
      </c>
      <c r="GH63" t="e">
        <f>AND(#REF!,"AAAAAFe/5r0=")</f>
        <v>#REF!</v>
      </c>
      <c r="GI63" t="e">
        <f>AND(#REF!,"AAAAAFe/5r4=")</f>
        <v>#REF!</v>
      </c>
      <c r="GJ63" t="e">
        <f>AND(#REF!,"AAAAAFe/5r8=")</f>
        <v>#REF!</v>
      </c>
      <c r="GK63" t="e">
        <f>AND(#REF!,"AAAAAFe/5sA=")</f>
        <v>#REF!</v>
      </c>
      <c r="GL63" t="e">
        <f>AND(#REF!,"AAAAAFe/5sE=")</f>
        <v>#REF!</v>
      </c>
      <c r="GM63" t="e">
        <f>AND(#REF!,"AAAAAFe/5sI=")</f>
        <v>#REF!</v>
      </c>
      <c r="GN63" t="e">
        <f>AND(#REF!,"AAAAAFe/5sM=")</f>
        <v>#REF!</v>
      </c>
      <c r="GO63" t="e">
        <f>AND(#REF!,"AAAAAFe/5sQ=")</f>
        <v>#REF!</v>
      </c>
      <c r="GP63" t="e">
        <f>AND(#REF!,"AAAAAFe/5sU=")</f>
        <v>#REF!</v>
      </c>
      <c r="GQ63" t="e">
        <f>AND(#REF!,"AAAAAFe/5sY=")</f>
        <v>#REF!</v>
      </c>
      <c r="GR63" t="e">
        <f>AND(#REF!,"AAAAAFe/5sc=")</f>
        <v>#REF!</v>
      </c>
      <c r="GS63" t="e">
        <f>AND(#REF!,"AAAAAFe/5sg=")</f>
        <v>#REF!</v>
      </c>
      <c r="GT63" t="e">
        <f>AND(#REF!,"AAAAAFe/5sk=")</f>
        <v>#REF!</v>
      </c>
      <c r="GU63" t="e">
        <f>AND(#REF!,"AAAAAFe/5so=")</f>
        <v>#REF!</v>
      </c>
      <c r="GV63" t="e">
        <f>AND(#REF!,"AAAAAFe/5ss=")</f>
        <v>#REF!</v>
      </c>
      <c r="GW63" t="e">
        <f>AND(#REF!,"AAAAAFe/5sw=")</f>
        <v>#REF!</v>
      </c>
      <c r="GX63" t="e">
        <f>AND(#REF!,"AAAAAFe/5s0=")</f>
        <v>#REF!</v>
      </c>
      <c r="GY63" t="e">
        <f>AND(#REF!,"AAAAAFe/5s4=")</f>
        <v>#REF!</v>
      </c>
      <c r="GZ63" t="e">
        <f>AND(#REF!,"AAAAAFe/5s8=")</f>
        <v>#REF!</v>
      </c>
      <c r="HA63" t="e">
        <f>AND(#REF!,"AAAAAFe/5tA=")</f>
        <v>#REF!</v>
      </c>
      <c r="HB63" t="e">
        <f>AND(#REF!,"AAAAAFe/5tE=")</f>
        <v>#REF!</v>
      </c>
      <c r="HC63" t="e">
        <f>AND(#REF!,"AAAAAFe/5tI=")</f>
        <v>#REF!</v>
      </c>
      <c r="HD63" t="e">
        <f>AND(#REF!,"AAAAAFe/5tM=")</f>
        <v>#REF!</v>
      </c>
      <c r="HE63" t="e">
        <f>AND(#REF!,"AAAAAFe/5tQ=")</f>
        <v>#REF!</v>
      </c>
      <c r="HF63" t="e">
        <f>AND(#REF!,"AAAAAFe/5tU=")</f>
        <v>#REF!</v>
      </c>
      <c r="HG63" t="e">
        <f>AND(#REF!,"AAAAAFe/5tY=")</f>
        <v>#REF!</v>
      </c>
      <c r="HH63" t="e">
        <f>AND(#REF!,"AAAAAFe/5tc=")</f>
        <v>#REF!</v>
      </c>
      <c r="HI63" t="e">
        <f>AND(#REF!,"AAAAAFe/5tg=")</f>
        <v>#REF!</v>
      </c>
      <c r="HJ63" t="e">
        <f>AND(#REF!,"AAAAAFe/5tk=")</f>
        <v>#REF!</v>
      </c>
      <c r="HK63" t="e">
        <f>AND(#REF!,"AAAAAFe/5to=")</f>
        <v>#REF!</v>
      </c>
      <c r="HL63" t="e">
        <f>AND(#REF!,"AAAAAFe/5ts=")</f>
        <v>#REF!</v>
      </c>
      <c r="HM63" t="e">
        <f>AND(#REF!,"AAAAAFe/5tw=")</f>
        <v>#REF!</v>
      </c>
      <c r="HN63" t="e">
        <f>AND(#REF!,"AAAAAFe/5t0=")</f>
        <v>#REF!</v>
      </c>
      <c r="HO63" t="e">
        <f>AND(#REF!,"AAAAAFe/5t4=")</f>
        <v>#REF!</v>
      </c>
      <c r="HP63" t="e">
        <f>AND(#REF!,"AAAAAFe/5t8=")</f>
        <v>#REF!</v>
      </c>
      <c r="HQ63" t="e">
        <f>AND(#REF!,"AAAAAFe/5uA=")</f>
        <v>#REF!</v>
      </c>
      <c r="HR63" t="e">
        <f>AND(#REF!,"AAAAAFe/5uE=")</f>
        <v>#REF!</v>
      </c>
      <c r="HS63" t="e">
        <f>AND(#REF!,"AAAAAFe/5uI=")</f>
        <v>#REF!</v>
      </c>
      <c r="HT63" t="e">
        <f>AND(#REF!,"AAAAAFe/5uM=")</f>
        <v>#REF!</v>
      </c>
      <c r="HU63" t="e">
        <f>AND(#REF!,"AAAAAFe/5uQ=")</f>
        <v>#REF!</v>
      </c>
      <c r="HV63" t="e">
        <f>AND(#REF!,"AAAAAFe/5uU=")</f>
        <v>#REF!</v>
      </c>
      <c r="HW63" t="e">
        <f>AND(#REF!,"AAAAAFe/5uY=")</f>
        <v>#REF!</v>
      </c>
      <c r="HX63" t="e">
        <f>AND(#REF!,"AAAAAFe/5uc=")</f>
        <v>#REF!</v>
      </c>
      <c r="HY63" t="e">
        <f>AND(#REF!,"AAAAAFe/5ug=")</f>
        <v>#REF!</v>
      </c>
      <c r="HZ63" t="e">
        <f>AND(#REF!,"AAAAAFe/5uk=")</f>
        <v>#REF!</v>
      </c>
      <c r="IA63" t="e">
        <f>AND(#REF!,"AAAAAFe/5uo=")</f>
        <v>#REF!</v>
      </c>
      <c r="IB63" t="e">
        <f>AND(#REF!,"AAAAAFe/5us=")</f>
        <v>#REF!</v>
      </c>
      <c r="IC63" t="e">
        <f>AND(#REF!,"AAAAAFe/5uw=")</f>
        <v>#REF!</v>
      </c>
      <c r="ID63" t="e">
        <f>AND(#REF!,"AAAAAFe/5u0=")</f>
        <v>#REF!</v>
      </c>
      <c r="IE63" t="e">
        <f>AND(#REF!,"AAAAAFe/5u4=")</f>
        <v>#REF!</v>
      </c>
      <c r="IF63" t="e">
        <f>AND(#REF!,"AAAAAFe/5u8=")</f>
        <v>#REF!</v>
      </c>
      <c r="IG63" t="e">
        <f>AND(#REF!,"AAAAAFe/5vA=")</f>
        <v>#REF!</v>
      </c>
      <c r="IH63" t="e">
        <f>AND(#REF!,"AAAAAFe/5vE=")</f>
        <v>#REF!</v>
      </c>
      <c r="II63" t="e">
        <f>AND(#REF!,"AAAAAFe/5vI=")</f>
        <v>#REF!</v>
      </c>
      <c r="IJ63" t="e">
        <f>AND(#REF!,"AAAAAFe/5vM=")</f>
        <v>#REF!</v>
      </c>
      <c r="IK63" t="e">
        <f>AND(#REF!,"AAAAAFe/5vQ=")</f>
        <v>#REF!</v>
      </c>
      <c r="IL63" t="e">
        <f>AND(#REF!,"AAAAAFe/5vU=")</f>
        <v>#REF!</v>
      </c>
      <c r="IM63" t="e">
        <f>AND(#REF!,"AAAAAFe/5vY=")</f>
        <v>#REF!</v>
      </c>
      <c r="IN63" t="e">
        <f>AND(#REF!,"AAAAAFe/5vc=")</f>
        <v>#REF!</v>
      </c>
      <c r="IO63" t="e">
        <f>AND(#REF!,"AAAAAFe/5vg=")</f>
        <v>#REF!</v>
      </c>
      <c r="IP63" t="e">
        <f>AND(#REF!,"AAAAAFe/5vk=")</f>
        <v>#REF!</v>
      </c>
      <c r="IQ63" t="e">
        <f>AND(#REF!,"AAAAAFe/5vo=")</f>
        <v>#REF!</v>
      </c>
      <c r="IR63" t="e">
        <f>AND(#REF!,"AAAAAFe/5vs=")</f>
        <v>#REF!</v>
      </c>
      <c r="IS63" t="e">
        <f>AND(#REF!,"AAAAAFe/5vw=")</f>
        <v>#REF!</v>
      </c>
      <c r="IT63" t="e">
        <f>AND(#REF!,"AAAAAFe/5v0=")</f>
        <v>#REF!</v>
      </c>
      <c r="IU63" t="e">
        <f>IF(#REF!,"AAAAAFe/5v4=",0)</f>
        <v>#REF!</v>
      </c>
      <c r="IV63" t="e">
        <f>AND(#REF!,"AAAAAFe/5v8=")</f>
        <v>#REF!</v>
      </c>
    </row>
    <row r="64" spans="1:256" x14ac:dyDescent="0.2">
      <c r="A64" t="e">
        <f>AND(#REF!,"AAAAAF3/HwA=")</f>
        <v>#REF!</v>
      </c>
      <c r="B64" t="e">
        <f>AND(#REF!,"AAAAAF3/HwE=")</f>
        <v>#REF!</v>
      </c>
      <c r="C64" t="e">
        <f>AND(#REF!,"AAAAAF3/HwI=")</f>
        <v>#REF!</v>
      </c>
      <c r="D64" t="e">
        <f>AND(#REF!,"AAAAAF3/HwM=")</f>
        <v>#REF!</v>
      </c>
      <c r="E64" t="e">
        <f>AND(#REF!,"AAAAAF3/HwQ=")</f>
        <v>#REF!</v>
      </c>
      <c r="F64" t="e">
        <f>AND(#REF!,"AAAAAF3/HwU=")</f>
        <v>#REF!</v>
      </c>
      <c r="G64" t="e">
        <f>AND(#REF!,"AAAAAF3/HwY=")</f>
        <v>#REF!</v>
      </c>
      <c r="H64" t="e">
        <f>AND(#REF!,"AAAAAF3/Hwc=")</f>
        <v>#REF!</v>
      </c>
      <c r="I64" t="e">
        <f>AND(#REF!,"AAAAAF3/Hwg=")</f>
        <v>#REF!</v>
      </c>
      <c r="J64" t="e">
        <f>AND(#REF!,"AAAAAF3/Hwk=")</f>
        <v>#REF!</v>
      </c>
      <c r="K64" t="e">
        <f>AND(#REF!,"AAAAAF3/Hwo=")</f>
        <v>#REF!</v>
      </c>
      <c r="L64" t="e">
        <f>AND(#REF!,"AAAAAF3/Hws=")</f>
        <v>#REF!</v>
      </c>
      <c r="M64" t="e">
        <f>AND(#REF!,"AAAAAF3/Hww=")</f>
        <v>#REF!</v>
      </c>
      <c r="N64" t="e">
        <f>AND(#REF!,"AAAAAF3/Hw0=")</f>
        <v>#REF!</v>
      </c>
      <c r="O64" t="e">
        <f>AND(#REF!,"AAAAAF3/Hw4=")</f>
        <v>#REF!</v>
      </c>
      <c r="P64" t="e">
        <f>AND(#REF!,"AAAAAF3/Hw8=")</f>
        <v>#REF!</v>
      </c>
      <c r="Q64" t="e">
        <f>AND(#REF!,"AAAAAF3/HxA=")</f>
        <v>#REF!</v>
      </c>
      <c r="R64" t="e">
        <f>AND(#REF!,"AAAAAF3/HxE=")</f>
        <v>#REF!</v>
      </c>
      <c r="S64" t="e">
        <f>AND(#REF!,"AAAAAF3/HxI=")</f>
        <v>#REF!</v>
      </c>
      <c r="T64" t="e">
        <f>AND(#REF!,"AAAAAF3/HxM=")</f>
        <v>#REF!</v>
      </c>
      <c r="U64" t="e">
        <f>AND(#REF!,"AAAAAF3/HxQ=")</f>
        <v>#REF!</v>
      </c>
      <c r="V64" t="e">
        <f>AND(#REF!,"AAAAAF3/HxU=")</f>
        <v>#REF!</v>
      </c>
      <c r="W64" t="e">
        <f>AND(#REF!,"AAAAAF3/HxY=")</f>
        <v>#REF!</v>
      </c>
      <c r="X64" t="e">
        <f>AND(#REF!,"AAAAAF3/Hxc=")</f>
        <v>#REF!</v>
      </c>
      <c r="Y64" t="e">
        <f>AND(#REF!,"AAAAAF3/Hxg=")</f>
        <v>#REF!</v>
      </c>
      <c r="Z64" t="e">
        <f>AND(#REF!,"AAAAAF3/Hxk=")</f>
        <v>#REF!</v>
      </c>
      <c r="AA64" t="e">
        <f>AND(#REF!,"AAAAAF3/Hxo=")</f>
        <v>#REF!</v>
      </c>
      <c r="AB64" t="e">
        <f>AND(#REF!,"AAAAAF3/Hxs=")</f>
        <v>#REF!</v>
      </c>
      <c r="AC64" t="e">
        <f>AND(#REF!,"AAAAAF3/Hxw=")</f>
        <v>#REF!</v>
      </c>
      <c r="AD64" t="e">
        <f>AND(#REF!,"AAAAAF3/Hx0=")</f>
        <v>#REF!</v>
      </c>
      <c r="AE64" t="e">
        <f>AND(#REF!,"AAAAAF3/Hx4=")</f>
        <v>#REF!</v>
      </c>
      <c r="AF64" t="e">
        <f>AND(#REF!,"AAAAAF3/Hx8=")</f>
        <v>#REF!</v>
      </c>
      <c r="AG64" t="e">
        <f>AND(#REF!,"AAAAAF3/HyA=")</f>
        <v>#REF!</v>
      </c>
      <c r="AH64" t="e">
        <f>AND(#REF!,"AAAAAF3/HyE=")</f>
        <v>#REF!</v>
      </c>
      <c r="AI64" t="e">
        <f>AND(#REF!,"AAAAAF3/HyI=")</f>
        <v>#REF!</v>
      </c>
      <c r="AJ64" t="e">
        <f>AND(#REF!,"AAAAAF3/HyM=")</f>
        <v>#REF!</v>
      </c>
      <c r="AK64" t="e">
        <f>AND(#REF!,"AAAAAF3/HyQ=")</f>
        <v>#REF!</v>
      </c>
      <c r="AL64" t="e">
        <f>AND(#REF!,"AAAAAF3/HyU=")</f>
        <v>#REF!</v>
      </c>
      <c r="AM64" t="e">
        <f>AND(#REF!,"AAAAAF3/HyY=")</f>
        <v>#REF!</v>
      </c>
      <c r="AN64" t="e">
        <f>AND(#REF!,"AAAAAF3/Hyc=")</f>
        <v>#REF!</v>
      </c>
      <c r="AO64" t="e">
        <f>AND(#REF!,"AAAAAF3/Hyg=")</f>
        <v>#REF!</v>
      </c>
      <c r="AP64" t="e">
        <f>AND(#REF!,"AAAAAF3/Hyk=")</f>
        <v>#REF!</v>
      </c>
      <c r="AQ64" t="e">
        <f>AND(#REF!,"AAAAAF3/Hyo=")</f>
        <v>#REF!</v>
      </c>
      <c r="AR64" t="e">
        <f>AND(#REF!,"AAAAAF3/Hys=")</f>
        <v>#REF!</v>
      </c>
      <c r="AS64" t="e">
        <f>AND(#REF!,"AAAAAF3/Hyw=")</f>
        <v>#REF!</v>
      </c>
      <c r="AT64" t="e">
        <f>AND(#REF!,"AAAAAF3/Hy0=")</f>
        <v>#REF!</v>
      </c>
      <c r="AU64" t="e">
        <f>AND(#REF!,"AAAAAF3/Hy4=")</f>
        <v>#REF!</v>
      </c>
      <c r="AV64" t="e">
        <f>AND(#REF!,"AAAAAF3/Hy8=")</f>
        <v>#REF!</v>
      </c>
      <c r="AW64" t="e">
        <f>AND(#REF!,"AAAAAF3/HzA=")</f>
        <v>#REF!</v>
      </c>
      <c r="AX64" t="e">
        <f>AND(#REF!,"AAAAAF3/HzE=")</f>
        <v>#REF!</v>
      </c>
      <c r="AY64" t="e">
        <f>AND(#REF!,"AAAAAF3/HzI=")</f>
        <v>#REF!</v>
      </c>
      <c r="AZ64" t="e">
        <f>AND(#REF!,"AAAAAF3/HzM=")</f>
        <v>#REF!</v>
      </c>
      <c r="BA64" t="e">
        <f>AND(#REF!,"AAAAAF3/HzQ=")</f>
        <v>#REF!</v>
      </c>
      <c r="BB64" t="e">
        <f>AND(#REF!,"AAAAAF3/HzU=")</f>
        <v>#REF!</v>
      </c>
      <c r="BC64" t="e">
        <f>AND(#REF!,"AAAAAF3/HzY=")</f>
        <v>#REF!</v>
      </c>
      <c r="BD64" t="e">
        <f>AND(#REF!,"AAAAAF3/Hzc=")</f>
        <v>#REF!</v>
      </c>
      <c r="BE64" t="e">
        <f>AND(#REF!,"AAAAAF3/Hzg=")</f>
        <v>#REF!</v>
      </c>
      <c r="BF64" t="e">
        <f>AND(#REF!,"AAAAAF3/Hzk=")</f>
        <v>#REF!</v>
      </c>
      <c r="BG64" t="e">
        <f>AND(#REF!,"AAAAAF3/Hzo=")</f>
        <v>#REF!</v>
      </c>
      <c r="BH64" t="e">
        <f>AND(#REF!,"AAAAAF3/Hzs=")</f>
        <v>#REF!</v>
      </c>
      <c r="BI64" t="e">
        <f>AND(#REF!,"AAAAAF3/Hzw=")</f>
        <v>#REF!</v>
      </c>
      <c r="BJ64" t="e">
        <f>AND(#REF!,"AAAAAF3/Hz0=")</f>
        <v>#REF!</v>
      </c>
      <c r="BK64" t="e">
        <f>AND(#REF!,"AAAAAF3/Hz4=")</f>
        <v>#REF!</v>
      </c>
      <c r="BL64" t="e">
        <f>AND(#REF!,"AAAAAF3/Hz8=")</f>
        <v>#REF!</v>
      </c>
      <c r="BM64" t="e">
        <f>AND(#REF!,"AAAAAF3/H0A=")</f>
        <v>#REF!</v>
      </c>
      <c r="BN64" t="e">
        <f>AND(#REF!,"AAAAAF3/H0E=")</f>
        <v>#REF!</v>
      </c>
      <c r="BO64" t="e">
        <f>AND(#REF!,"AAAAAF3/H0I=")</f>
        <v>#REF!</v>
      </c>
      <c r="BP64" t="e">
        <f>AND(#REF!,"AAAAAF3/H0M=")</f>
        <v>#REF!</v>
      </c>
      <c r="BQ64" t="e">
        <f>AND(#REF!,"AAAAAF3/H0Q=")</f>
        <v>#REF!</v>
      </c>
      <c r="BR64" t="e">
        <f>AND(#REF!,"AAAAAF3/H0U=")</f>
        <v>#REF!</v>
      </c>
      <c r="BS64" t="e">
        <f>AND(#REF!,"AAAAAF3/H0Y=")</f>
        <v>#REF!</v>
      </c>
      <c r="BT64" t="e">
        <f>AND(#REF!,"AAAAAF3/H0c=")</f>
        <v>#REF!</v>
      </c>
      <c r="BU64" t="e">
        <f>AND(#REF!,"AAAAAF3/H0g=")</f>
        <v>#REF!</v>
      </c>
      <c r="BV64" t="e">
        <f>AND(#REF!,"AAAAAF3/H0k=")</f>
        <v>#REF!</v>
      </c>
      <c r="BW64" t="e">
        <f>AND(#REF!,"AAAAAF3/H0o=")</f>
        <v>#REF!</v>
      </c>
      <c r="BX64" t="e">
        <f>AND(#REF!,"AAAAAF3/H0s=")</f>
        <v>#REF!</v>
      </c>
      <c r="BY64" t="e">
        <f>AND(#REF!,"AAAAAF3/H0w=")</f>
        <v>#REF!</v>
      </c>
      <c r="BZ64" t="e">
        <f>AND(#REF!,"AAAAAF3/H00=")</f>
        <v>#REF!</v>
      </c>
      <c r="CA64" t="e">
        <f>AND(#REF!,"AAAAAF3/H04=")</f>
        <v>#REF!</v>
      </c>
      <c r="CB64" t="e">
        <f>AND(#REF!,"AAAAAF3/H08=")</f>
        <v>#REF!</v>
      </c>
      <c r="CC64" t="e">
        <f>AND(#REF!,"AAAAAF3/H1A=")</f>
        <v>#REF!</v>
      </c>
      <c r="CD64" t="e">
        <f>AND(#REF!,"AAAAAF3/H1E=")</f>
        <v>#REF!</v>
      </c>
      <c r="CE64" t="e">
        <f>AND(#REF!,"AAAAAF3/H1I=")</f>
        <v>#REF!</v>
      </c>
      <c r="CF64" t="e">
        <f>AND(#REF!,"AAAAAF3/H1M=")</f>
        <v>#REF!</v>
      </c>
      <c r="CG64" t="e">
        <f>AND(#REF!,"AAAAAF3/H1Q=")</f>
        <v>#REF!</v>
      </c>
      <c r="CH64" t="e">
        <f>AND(#REF!,"AAAAAF3/H1U=")</f>
        <v>#REF!</v>
      </c>
      <c r="CI64" t="e">
        <f>AND(#REF!,"AAAAAF3/H1Y=")</f>
        <v>#REF!</v>
      </c>
      <c r="CJ64" t="e">
        <f>AND(#REF!,"AAAAAF3/H1c=")</f>
        <v>#REF!</v>
      </c>
      <c r="CK64" t="e">
        <f>AND(#REF!,"AAAAAF3/H1g=")</f>
        <v>#REF!</v>
      </c>
      <c r="CL64" t="e">
        <f>AND(#REF!,"AAAAAF3/H1k=")</f>
        <v>#REF!</v>
      </c>
      <c r="CM64" t="e">
        <f>AND(#REF!,"AAAAAF3/H1o=")</f>
        <v>#REF!</v>
      </c>
      <c r="CN64" t="e">
        <f>AND(#REF!,"AAAAAF3/H1s=")</f>
        <v>#REF!</v>
      </c>
      <c r="CO64" t="e">
        <f>AND(#REF!,"AAAAAF3/H1w=")</f>
        <v>#REF!</v>
      </c>
      <c r="CP64" t="e">
        <f>AND(#REF!,"AAAAAF3/H10=")</f>
        <v>#REF!</v>
      </c>
      <c r="CQ64" t="e">
        <f>AND(#REF!,"AAAAAF3/H14=")</f>
        <v>#REF!</v>
      </c>
      <c r="CR64" t="e">
        <f>AND(#REF!,"AAAAAF3/H18=")</f>
        <v>#REF!</v>
      </c>
      <c r="CS64" t="e">
        <f>AND(#REF!,"AAAAAF3/H2A=")</f>
        <v>#REF!</v>
      </c>
      <c r="CT64" t="e">
        <f>AND(#REF!,"AAAAAF3/H2E=")</f>
        <v>#REF!</v>
      </c>
      <c r="CU64" t="e">
        <f>AND(#REF!,"AAAAAF3/H2I=")</f>
        <v>#REF!</v>
      </c>
      <c r="CV64" t="e">
        <f>AND(#REF!,"AAAAAF3/H2M=")</f>
        <v>#REF!</v>
      </c>
      <c r="CW64" t="e">
        <f>AND(#REF!,"AAAAAF3/H2Q=")</f>
        <v>#REF!</v>
      </c>
      <c r="CX64" t="e">
        <f>AND(#REF!,"AAAAAF3/H2U=")</f>
        <v>#REF!</v>
      </c>
      <c r="CY64" t="e">
        <f>AND(#REF!,"AAAAAF3/H2Y=")</f>
        <v>#REF!</v>
      </c>
      <c r="CZ64" t="e">
        <f>AND(#REF!,"AAAAAF3/H2c=")</f>
        <v>#REF!</v>
      </c>
      <c r="DA64" t="e">
        <f>AND(#REF!,"AAAAAF3/H2g=")</f>
        <v>#REF!</v>
      </c>
      <c r="DB64" t="e">
        <f>AND(#REF!,"AAAAAF3/H2k=")</f>
        <v>#REF!</v>
      </c>
      <c r="DC64" t="e">
        <f>AND(#REF!,"AAAAAF3/H2o=")</f>
        <v>#REF!</v>
      </c>
      <c r="DD64" t="e">
        <f>AND(#REF!,"AAAAAF3/H2s=")</f>
        <v>#REF!</v>
      </c>
      <c r="DE64" t="e">
        <f>AND(#REF!,"AAAAAF3/H2w=")</f>
        <v>#REF!</v>
      </c>
      <c r="DF64" t="e">
        <f>AND(#REF!,"AAAAAF3/H20=")</f>
        <v>#REF!</v>
      </c>
      <c r="DG64" t="e">
        <f>AND(#REF!,"AAAAAF3/H24=")</f>
        <v>#REF!</v>
      </c>
      <c r="DH64" t="e">
        <f>AND(#REF!,"AAAAAF3/H28=")</f>
        <v>#REF!</v>
      </c>
      <c r="DI64" t="e">
        <f>AND(#REF!,"AAAAAF3/H3A=")</f>
        <v>#REF!</v>
      </c>
      <c r="DJ64" t="e">
        <f>AND(#REF!,"AAAAAF3/H3E=")</f>
        <v>#REF!</v>
      </c>
      <c r="DK64" t="e">
        <f>AND(#REF!,"AAAAAF3/H3I=")</f>
        <v>#REF!</v>
      </c>
      <c r="DL64" t="e">
        <f>AND(#REF!,"AAAAAF3/H3M=")</f>
        <v>#REF!</v>
      </c>
      <c r="DM64" t="e">
        <f>AND(#REF!,"AAAAAF3/H3Q=")</f>
        <v>#REF!</v>
      </c>
      <c r="DN64" t="e">
        <f>AND(#REF!,"AAAAAF3/H3U=")</f>
        <v>#REF!</v>
      </c>
      <c r="DO64" t="e">
        <f>AND(#REF!,"AAAAAF3/H3Y=")</f>
        <v>#REF!</v>
      </c>
      <c r="DP64" t="e">
        <f>AND(#REF!,"AAAAAF3/H3c=")</f>
        <v>#REF!</v>
      </c>
      <c r="DQ64" t="e">
        <f>AND(#REF!,"AAAAAF3/H3g=")</f>
        <v>#REF!</v>
      </c>
      <c r="DR64" t="e">
        <f>AND(#REF!,"AAAAAF3/H3k=")</f>
        <v>#REF!</v>
      </c>
      <c r="DS64" t="e">
        <f>AND(#REF!,"AAAAAF3/H3o=")</f>
        <v>#REF!</v>
      </c>
      <c r="DT64" t="e">
        <f>AND(#REF!,"AAAAAF3/H3s=")</f>
        <v>#REF!</v>
      </c>
      <c r="DU64" t="e">
        <f>AND(#REF!,"AAAAAF3/H3w=")</f>
        <v>#REF!</v>
      </c>
      <c r="DV64" t="e">
        <f>AND(#REF!,"AAAAAF3/H30=")</f>
        <v>#REF!</v>
      </c>
      <c r="DW64" t="e">
        <f>AND(#REF!,"AAAAAF3/H34=")</f>
        <v>#REF!</v>
      </c>
      <c r="DX64" t="e">
        <f>AND(#REF!,"AAAAAF3/H38=")</f>
        <v>#REF!</v>
      </c>
      <c r="DY64" t="e">
        <f>AND(#REF!,"AAAAAF3/H4A=")</f>
        <v>#REF!</v>
      </c>
      <c r="DZ64" t="e">
        <f>AND(#REF!,"AAAAAF3/H4E=")</f>
        <v>#REF!</v>
      </c>
      <c r="EA64" t="e">
        <f>AND(#REF!,"AAAAAF3/H4I=")</f>
        <v>#REF!</v>
      </c>
      <c r="EB64" t="e">
        <f>AND(#REF!,"AAAAAF3/H4M=")</f>
        <v>#REF!</v>
      </c>
      <c r="EC64" t="e">
        <f>AND(#REF!,"AAAAAF3/H4Q=")</f>
        <v>#REF!</v>
      </c>
      <c r="ED64" t="e">
        <f>AND(#REF!,"AAAAAF3/H4U=")</f>
        <v>#REF!</v>
      </c>
      <c r="EE64" t="e">
        <f>AND(#REF!,"AAAAAF3/H4Y=")</f>
        <v>#REF!</v>
      </c>
      <c r="EF64" t="e">
        <f>AND(#REF!,"AAAAAF3/H4c=")</f>
        <v>#REF!</v>
      </c>
      <c r="EG64" t="e">
        <f>AND(#REF!,"AAAAAF3/H4g=")</f>
        <v>#REF!</v>
      </c>
      <c r="EH64" t="e">
        <f>AND(#REF!,"AAAAAF3/H4k=")</f>
        <v>#REF!</v>
      </c>
      <c r="EI64" t="e">
        <f>AND(#REF!,"AAAAAF3/H4o=")</f>
        <v>#REF!</v>
      </c>
      <c r="EJ64" t="e">
        <f>AND(#REF!,"AAAAAF3/H4s=")</f>
        <v>#REF!</v>
      </c>
      <c r="EK64" t="e">
        <f>AND(#REF!,"AAAAAF3/H4w=")</f>
        <v>#REF!</v>
      </c>
      <c r="EL64" t="e">
        <f>AND(#REF!,"AAAAAF3/H40=")</f>
        <v>#REF!</v>
      </c>
      <c r="EM64" t="e">
        <f>AND(#REF!,"AAAAAF3/H44=")</f>
        <v>#REF!</v>
      </c>
      <c r="EN64" t="e">
        <f>AND(#REF!,"AAAAAF3/H48=")</f>
        <v>#REF!</v>
      </c>
      <c r="EO64" t="e">
        <f>AND(#REF!,"AAAAAF3/H5A=")</f>
        <v>#REF!</v>
      </c>
      <c r="EP64" t="e">
        <f>AND(#REF!,"AAAAAF3/H5E=")</f>
        <v>#REF!</v>
      </c>
      <c r="EQ64" t="e">
        <f>AND(#REF!,"AAAAAF3/H5I=")</f>
        <v>#REF!</v>
      </c>
      <c r="ER64" t="e">
        <f>AND(#REF!,"AAAAAF3/H5M=")</f>
        <v>#REF!</v>
      </c>
      <c r="ES64" t="e">
        <f>AND(#REF!,"AAAAAF3/H5Q=")</f>
        <v>#REF!</v>
      </c>
      <c r="ET64" t="e">
        <f>AND(#REF!,"AAAAAF3/H5U=")</f>
        <v>#REF!</v>
      </c>
      <c r="EU64" t="e">
        <f>AND(#REF!,"AAAAAF3/H5Y=")</f>
        <v>#REF!</v>
      </c>
      <c r="EV64" t="e">
        <f>AND(#REF!,"AAAAAF3/H5c=")</f>
        <v>#REF!</v>
      </c>
      <c r="EW64" t="e">
        <f>AND(#REF!,"AAAAAF3/H5g=")</f>
        <v>#REF!</v>
      </c>
      <c r="EX64" t="e">
        <f>AND(#REF!,"AAAAAF3/H5k=")</f>
        <v>#REF!</v>
      </c>
      <c r="EY64" t="e">
        <f>AND(#REF!,"AAAAAF3/H5o=")</f>
        <v>#REF!</v>
      </c>
      <c r="EZ64" t="e">
        <f>AND(#REF!,"AAAAAF3/H5s=")</f>
        <v>#REF!</v>
      </c>
      <c r="FA64" t="e">
        <f>AND(#REF!,"AAAAAF3/H5w=")</f>
        <v>#REF!</v>
      </c>
      <c r="FB64" t="e">
        <f>AND(#REF!,"AAAAAF3/H50=")</f>
        <v>#REF!</v>
      </c>
      <c r="FC64" t="e">
        <f>AND(#REF!,"AAAAAF3/H54=")</f>
        <v>#REF!</v>
      </c>
      <c r="FD64" t="e">
        <f>AND(#REF!,"AAAAAF3/H58=")</f>
        <v>#REF!</v>
      </c>
      <c r="FE64" t="e">
        <f>AND(#REF!,"AAAAAF3/H6A=")</f>
        <v>#REF!</v>
      </c>
      <c r="FF64" t="e">
        <f>AND(#REF!,"AAAAAF3/H6E=")</f>
        <v>#REF!</v>
      </c>
      <c r="FG64" t="e">
        <f>AND(#REF!,"AAAAAF3/H6I=")</f>
        <v>#REF!</v>
      </c>
      <c r="FH64" t="e">
        <f>AND(#REF!,"AAAAAF3/H6M=")</f>
        <v>#REF!</v>
      </c>
      <c r="FI64" t="e">
        <f>AND(#REF!,"AAAAAF3/H6Q=")</f>
        <v>#REF!</v>
      </c>
      <c r="FJ64" t="e">
        <f>AND(#REF!,"AAAAAF3/H6U=")</f>
        <v>#REF!</v>
      </c>
      <c r="FK64" t="e">
        <f>AND(#REF!,"AAAAAF3/H6Y=")</f>
        <v>#REF!</v>
      </c>
      <c r="FL64" t="e">
        <f>AND(#REF!,"AAAAAF3/H6c=")</f>
        <v>#REF!</v>
      </c>
      <c r="FM64" t="e">
        <f>AND(#REF!,"AAAAAF3/H6g=")</f>
        <v>#REF!</v>
      </c>
      <c r="FN64" t="e">
        <f>AND(#REF!,"AAAAAF3/H6k=")</f>
        <v>#REF!</v>
      </c>
      <c r="FO64" t="e">
        <f>AND(#REF!,"AAAAAF3/H6o=")</f>
        <v>#REF!</v>
      </c>
      <c r="FP64" t="e">
        <f>AND(#REF!,"AAAAAF3/H6s=")</f>
        <v>#REF!</v>
      </c>
      <c r="FQ64" t="e">
        <f>AND(#REF!,"AAAAAF3/H6w=")</f>
        <v>#REF!</v>
      </c>
      <c r="FR64" t="e">
        <f>AND(#REF!,"AAAAAF3/H60=")</f>
        <v>#REF!</v>
      </c>
      <c r="FS64" t="e">
        <f>AND(#REF!,"AAAAAF3/H64=")</f>
        <v>#REF!</v>
      </c>
      <c r="FT64" t="e">
        <f>AND(#REF!,"AAAAAF3/H68=")</f>
        <v>#REF!</v>
      </c>
      <c r="FU64" t="e">
        <f>AND(#REF!,"AAAAAF3/H7A=")</f>
        <v>#REF!</v>
      </c>
      <c r="FV64" t="e">
        <f>AND(#REF!,"AAAAAF3/H7E=")</f>
        <v>#REF!</v>
      </c>
      <c r="FW64" t="e">
        <f>AND(#REF!,"AAAAAF3/H7I=")</f>
        <v>#REF!</v>
      </c>
      <c r="FX64" t="e">
        <f>IF(#REF!,"AAAAAF3/H7M=",0)</f>
        <v>#REF!</v>
      </c>
      <c r="FY64" t="e">
        <f>AND(#REF!,"AAAAAF3/H7Q=")</f>
        <v>#REF!</v>
      </c>
      <c r="FZ64" t="e">
        <f>AND(#REF!,"AAAAAF3/H7U=")</f>
        <v>#REF!</v>
      </c>
      <c r="GA64" t="e">
        <f>AND(#REF!,"AAAAAF3/H7Y=")</f>
        <v>#REF!</v>
      </c>
      <c r="GB64" t="e">
        <f>AND(#REF!,"AAAAAF3/H7c=")</f>
        <v>#REF!</v>
      </c>
      <c r="GC64" t="e">
        <f>AND(#REF!,"AAAAAF3/H7g=")</f>
        <v>#REF!</v>
      </c>
      <c r="GD64" t="e">
        <f>AND(#REF!,"AAAAAF3/H7k=")</f>
        <v>#REF!</v>
      </c>
      <c r="GE64" t="e">
        <f>AND(#REF!,"AAAAAF3/H7o=")</f>
        <v>#REF!</v>
      </c>
      <c r="GF64" t="e">
        <f>AND(#REF!,"AAAAAF3/H7s=")</f>
        <v>#REF!</v>
      </c>
      <c r="GG64" t="e">
        <f>AND(#REF!,"AAAAAF3/H7w=")</f>
        <v>#REF!</v>
      </c>
      <c r="GH64" t="e">
        <f>AND(#REF!,"AAAAAF3/H70=")</f>
        <v>#REF!</v>
      </c>
      <c r="GI64" t="e">
        <f>AND(#REF!,"AAAAAF3/H74=")</f>
        <v>#REF!</v>
      </c>
      <c r="GJ64" t="e">
        <f>AND(#REF!,"AAAAAF3/H78=")</f>
        <v>#REF!</v>
      </c>
      <c r="GK64" t="e">
        <f>AND(#REF!,"AAAAAF3/H8A=")</f>
        <v>#REF!</v>
      </c>
      <c r="GL64" t="e">
        <f>AND(#REF!,"AAAAAF3/H8E=")</f>
        <v>#REF!</v>
      </c>
      <c r="GM64" t="e">
        <f>AND(#REF!,"AAAAAF3/H8I=")</f>
        <v>#REF!</v>
      </c>
      <c r="GN64" t="e">
        <f>AND(#REF!,"AAAAAF3/H8M=")</f>
        <v>#REF!</v>
      </c>
      <c r="GO64" t="e">
        <f>AND(#REF!,"AAAAAF3/H8Q=")</f>
        <v>#REF!</v>
      </c>
      <c r="GP64" t="e">
        <f>AND(#REF!,"AAAAAF3/H8U=")</f>
        <v>#REF!</v>
      </c>
      <c r="GQ64" t="e">
        <f>AND(#REF!,"AAAAAF3/H8Y=")</f>
        <v>#REF!</v>
      </c>
      <c r="GR64" t="e">
        <f>AND(#REF!,"AAAAAF3/H8c=")</f>
        <v>#REF!</v>
      </c>
      <c r="GS64" t="e">
        <f>AND(#REF!,"AAAAAF3/H8g=")</f>
        <v>#REF!</v>
      </c>
      <c r="GT64" t="e">
        <f>AND(#REF!,"AAAAAF3/H8k=")</f>
        <v>#REF!</v>
      </c>
      <c r="GU64" t="e">
        <f>AND(#REF!,"AAAAAF3/H8o=")</f>
        <v>#REF!</v>
      </c>
      <c r="GV64" t="e">
        <f>AND(#REF!,"AAAAAF3/H8s=")</f>
        <v>#REF!</v>
      </c>
      <c r="GW64" t="e">
        <f>AND(#REF!,"AAAAAF3/H8w=")</f>
        <v>#REF!</v>
      </c>
      <c r="GX64" t="e">
        <f>AND(#REF!,"AAAAAF3/H80=")</f>
        <v>#REF!</v>
      </c>
      <c r="GY64" t="e">
        <f>AND(#REF!,"AAAAAF3/H84=")</f>
        <v>#REF!</v>
      </c>
      <c r="GZ64" t="e">
        <f>AND(#REF!,"AAAAAF3/H88=")</f>
        <v>#REF!</v>
      </c>
      <c r="HA64" t="e">
        <f>AND(#REF!,"AAAAAF3/H9A=")</f>
        <v>#REF!</v>
      </c>
      <c r="HB64" t="e">
        <f>AND(#REF!,"AAAAAF3/H9E=")</f>
        <v>#REF!</v>
      </c>
      <c r="HC64" t="e">
        <f>AND(#REF!,"AAAAAF3/H9I=")</f>
        <v>#REF!</v>
      </c>
      <c r="HD64" t="e">
        <f>AND(#REF!,"AAAAAF3/H9M=")</f>
        <v>#REF!</v>
      </c>
      <c r="HE64" t="e">
        <f>AND(#REF!,"AAAAAF3/H9Q=")</f>
        <v>#REF!</v>
      </c>
      <c r="HF64" t="e">
        <f>AND(#REF!,"AAAAAF3/H9U=")</f>
        <v>#REF!</v>
      </c>
      <c r="HG64" t="e">
        <f>AND(#REF!,"AAAAAF3/H9Y=")</f>
        <v>#REF!</v>
      </c>
      <c r="HH64" t="e">
        <f>AND(#REF!,"AAAAAF3/H9c=")</f>
        <v>#REF!</v>
      </c>
      <c r="HI64" t="e">
        <f>AND(#REF!,"AAAAAF3/H9g=")</f>
        <v>#REF!</v>
      </c>
      <c r="HJ64" t="e">
        <f>AND(#REF!,"AAAAAF3/H9k=")</f>
        <v>#REF!</v>
      </c>
      <c r="HK64" t="e">
        <f>AND(#REF!,"AAAAAF3/H9o=")</f>
        <v>#REF!</v>
      </c>
      <c r="HL64" t="e">
        <f>AND(#REF!,"AAAAAF3/H9s=")</f>
        <v>#REF!</v>
      </c>
      <c r="HM64" t="e">
        <f>AND(#REF!,"AAAAAF3/H9w=")</f>
        <v>#REF!</v>
      </c>
      <c r="HN64" t="e">
        <f>AND(#REF!,"AAAAAF3/H90=")</f>
        <v>#REF!</v>
      </c>
      <c r="HO64" t="e">
        <f>AND(#REF!,"AAAAAF3/H94=")</f>
        <v>#REF!</v>
      </c>
      <c r="HP64" t="e">
        <f>AND(#REF!,"AAAAAF3/H98=")</f>
        <v>#REF!</v>
      </c>
      <c r="HQ64" t="e">
        <f>AND(#REF!,"AAAAAF3/H+A=")</f>
        <v>#REF!</v>
      </c>
      <c r="HR64" t="e">
        <f>AND(#REF!,"AAAAAF3/H+E=")</f>
        <v>#REF!</v>
      </c>
      <c r="HS64" t="e">
        <f>AND(#REF!,"AAAAAF3/H+I=")</f>
        <v>#REF!</v>
      </c>
      <c r="HT64" t="e">
        <f>AND(#REF!,"AAAAAF3/H+M=")</f>
        <v>#REF!</v>
      </c>
      <c r="HU64" t="e">
        <f>AND(#REF!,"AAAAAF3/H+Q=")</f>
        <v>#REF!</v>
      </c>
      <c r="HV64" t="e">
        <f>AND(#REF!,"AAAAAF3/H+U=")</f>
        <v>#REF!</v>
      </c>
      <c r="HW64" t="e">
        <f>AND(#REF!,"AAAAAF3/H+Y=")</f>
        <v>#REF!</v>
      </c>
      <c r="HX64" t="e">
        <f>AND(#REF!,"AAAAAF3/H+c=")</f>
        <v>#REF!</v>
      </c>
      <c r="HY64" t="e">
        <f>AND(#REF!,"AAAAAF3/H+g=")</f>
        <v>#REF!</v>
      </c>
      <c r="HZ64" t="e">
        <f>AND(#REF!,"AAAAAF3/H+k=")</f>
        <v>#REF!</v>
      </c>
      <c r="IA64" t="e">
        <f>AND(#REF!,"AAAAAF3/H+o=")</f>
        <v>#REF!</v>
      </c>
      <c r="IB64" t="e">
        <f>AND(#REF!,"AAAAAF3/H+s=")</f>
        <v>#REF!</v>
      </c>
      <c r="IC64" t="e">
        <f>AND(#REF!,"AAAAAF3/H+w=")</f>
        <v>#REF!</v>
      </c>
      <c r="ID64" t="e">
        <f>AND(#REF!,"AAAAAF3/H+0=")</f>
        <v>#REF!</v>
      </c>
      <c r="IE64" t="e">
        <f>AND(#REF!,"AAAAAF3/H+4=")</f>
        <v>#REF!</v>
      </c>
      <c r="IF64" t="e">
        <f>AND(#REF!,"AAAAAF3/H+8=")</f>
        <v>#REF!</v>
      </c>
      <c r="IG64" t="e">
        <f>AND(#REF!,"AAAAAF3/H/A=")</f>
        <v>#REF!</v>
      </c>
      <c r="IH64" t="e">
        <f>AND(#REF!,"AAAAAF3/H/E=")</f>
        <v>#REF!</v>
      </c>
      <c r="II64" t="e">
        <f>AND(#REF!,"AAAAAF3/H/I=")</f>
        <v>#REF!</v>
      </c>
      <c r="IJ64" t="e">
        <f>AND(#REF!,"AAAAAF3/H/M=")</f>
        <v>#REF!</v>
      </c>
      <c r="IK64" t="e">
        <f>AND(#REF!,"AAAAAF3/H/Q=")</f>
        <v>#REF!</v>
      </c>
      <c r="IL64" t="e">
        <f>AND(#REF!,"AAAAAF3/H/U=")</f>
        <v>#REF!</v>
      </c>
      <c r="IM64" t="e">
        <f>AND(#REF!,"AAAAAF3/H/Y=")</f>
        <v>#REF!</v>
      </c>
      <c r="IN64" t="e">
        <f>AND(#REF!,"AAAAAF3/H/c=")</f>
        <v>#REF!</v>
      </c>
      <c r="IO64" t="e">
        <f>AND(#REF!,"AAAAAF3/H/g=")</f>
        <v>#REF!</v>
      </c>
      <c r="IP64" t="e">
        <f>AND(#REF!,"AAAAAF3/H/k=")</f>
        <v>#REF!</v>
      </c>
      <c r="IQ64" t="e">
        <f>AND(#REF!,"AAAAAF3/H/o=")</f>
        <v>#REF!</v>
      </c>
      <c r="IR64" t="e">
        <f>AND(#REF!,"AAAAAF3/H/s=")</f>
        <v>#REF!</v>
      </c>
      <c r="IS64" t="e">
        <f>AND(#REF!,"AAAAAF3/H/w=")</f>
        <v>#REF!</v>
      </c>
      <c r="IT64" t="e">
        <f>AND(#REF!,"AAAAAF3/H/0=")</f>
        <v>#REF!</v>
      </c>
      <c r="IU64" t="e">
        <f>AND(#REF!,"AAAAAF3/H/4=")</f>
        <v>#REF!</v>
      </c>
      <c r="IV64" t="e">
        <f>AND(#REF!,"AAAAAF3/H/8=")</f>
        <v>#REF!</v>
      </c>
    </row>
    <row r="65" spans="1:256" x14ac:dyDescent="0.2">
      <c r="A65" t="e">
        <f>AND(#REF!,"AAAAAH373wA=")</f>
        <v>#REF!</v>
      </c>
      <c r="B65" t="e">
        <f>AND(#REF!,"AAAAAH373wE=")</f>
        <v>#REF!</v>
      </c>
      <c r="C65" t="e">
        <f>AND(#REF!,"AAAAAH373wI=")</f>
        <v>#REF!</v>
      </c>
      <c r="D65" t="e">
        <f>AND(#REF!,"AAAAAH373wM=")</f>
        <v>#REF!</v>
      </c>
      <c r="E65" t="e">
        <f>AND(#REF!,"AAAAAH373wQ=")</f>
        <v>#REF!</v>
      </c>
      <c r="F65" t="e">
        <f>AND(#REF!,"AAAAAH373wU=")</f>
        <v>#REF!</v>
      </c>
      <c r="G65" t="e">
        <f>AND(#REF!,"AAAAAH373wY=")</f>
        <v>#REF!</v>
      </c>
      <c r="H65" t="e">
        <f>AND(#REF!,"AAAAAH373wc=")</f>
        <v>#REF!</v>
      </c>
      <c r="I65" t="e">
        <f>AND(#REF!,"AAAAAH373wg=")</f>
        <v>#REF!</v>
      </c>
      <c r="J65" t="e">
        <f>AND(#REF!,"AAAAAH373wk=")</f>
        <v>#REF!</v>
      </c>
      <c r="K65" t="e">
        <f>AND(#REF!,"AAAAAH373wo=")</f>
        <v>#REF!</v>
      </c>
      <c r="L65" t="e">
        <f>AND(#REF!,"AAAAAH373ws=")</f>
        <v>#REF!</v>
      </c>
      <c r="M65" t="e">
        <f>AND(#REF!,"AAAAAH373ww=")</f>
        <v>#REF!</v>
      </c>
      <c r="N65" t="e">
        <f>AND(#REF!,"AAAAAH373w0=")</f>
        <v>#REF!</v>
      </c>
      <c r="O65" t="e">
        <f>AND(#REF!,"AAAAAH373w4=")</f>
        <v>#REF!</v>
      </c>
      <c r="P65" t="e">
        <f>AND(#REF!,"AAAAAH373w8=")</f>
        <v>#REF!</v>
      </c>
      <c r="Q65" t="e">
        <f>AND(#REF!,"AAAAAH373xA=")</f>
        <v>#REF!</v>
      </c>
      <c r="R65" t="e">
        <f>AND(#REF!,"AAAAAH373xE=")</f>
        <v>#REF!</v>
      </c>
      <c r="S65" t="e">
        <f>AND(#REF!,"AAAAAH373xI=")</f>
        <v>#REF!</v>
      </c>
      <c r="T65" t="e">
        <f>AND(#REF!,"AAAAAH373xM=")</f>
        <v>#REF!</v>
      </c>
      <c r="U65" t="e">
        <f>AND(#REF!,"AAAAAH373xQ=")</f>
        <v>#REF!</v>
      </c>
      <c r="V65" t="e">
        <f>AND(#REF!,"AAAAAH373xU=")</f>
        <v>#REF!</v>
      </c>
      <c r="W65" t="e">
        <f>AND(#REF!,"AAAAAH373xY=")</f>
        <v>#REF!</v>
      </c>
      <c r="X65" t="e">
        <f>AND(#REF!,"AAAAAH373xc=")</f>
        <v>#REF!</v>
      </c>
      <c r="Y65" t="e">
        <f>AND(#REF!,"AAAAAH373xg=")</f>
        <v>#REF!</v>
      </c>
      <c r="Z65" t="e">
        <f>AND(#REF!,"AAAAAH373xk=")</f>
        <v>#REF!</v>
      </c>
      <c r="AA65" t="e">
        <f>AND(#REF!,"AAAAAH373xo=")</f>
        <v>#REF!</v>
      </c>
      <c r="AB65" t="e">
        <f>AND(#REF!,"AAAAAH373xs=")</f>
        <v>#REF!</v>
      </c>
      <c r="AC65" t="e">
        <f>AND(#REF!,"AAAAAH373xw=")</f>
        <v>#REF!</v>
      </c>
      <c r="AD65" t="e">
        <f>AND(#REF!,"AAAAAH373x0=")</f>
        <v>#REF!</v>
      </c>
      <c r="AE65" t="e">
        <f>AND(#REF!,"AAAAAH373x4=")</f>
        <v>#REF!</v>
      </c>
      <c r="AF65" t="e">
        <f>AND(#REF!,"AAAAAH373x8=")</f>
        <v>#REF!</v>
      </c>
      <c r="AG65" t="e">
        <f>AND(#REF!,"AAAAAH373yA=")</f>
        <v>#REF!</v>
      </c>
      <c r="AH65" t="e">
        <f>AND(#REF!,"AAAAAH373yE=")</f>
        <v>#REF!</v>
      </c>
      <c r="AI65" t="e">
        <f>AND(#REF!,"AAAAAH373yI=")</f>
        <v>#REF!</v>
      </c>
      <c r="AJ65" t="e">
        <f>AND(#REF!,"AAAAAH373yM=")</f>
        <v>#REF!</v>
      </c>
      <c r="AK65" t="e">
        <f>AND(#REF!,"AAAAAH373yQ=")</f>
        <v>#REF!</v>
      </c>
      <c r="AL65" t="e">
        <f>AND(#REF!,"AAAAAH373yU=")</f>
        <v>#REF!</v>
      </c>
      <c r="AM65" t="e">
        <f>AND(#REF!,"AAAAAH373yY=")</f>
        <v>#REF!</v>
      </c>
      <c r="AN65" t="e">
        <f>AND(#REF!,"AAAAAH373yc=")</f>
        <v>#REF!</v>
      </c>
      <c r="AO65" t="e">
        <f>AND(#REF!,"AAAAAH373yg=")</f>
        <v>#REF!</v>
      </c>
      <c r="AP65" t="e">
        <f>AND(#REF!,"AAAAAH373yk=")</f>
        <v>#REF!</v>
      </c>
      <c r="AQ65" t="e">
        <f>AND(#REF!,"AAAAAH373yo=")</f>
        <v>#REF!</v>
      </c>
      <c r="AR65" t="e">
        <f>AND(#REF!,"AAAAAH373ys=")</f>
        <v>#REF!</v>
      </c>
      <c r="AS65" t="e">
        <f>AND(#REF!,"AAAAAH373yw=")</f>
        <v>#REF!</v>
      </c>
      <c r="AT65" t="e">
        <f>AND(#REF!,"AAAAAH373y0=")</f>
        <v>#REF!</v>
      </c>
      <c r="AU65" t="e">
        <f>AND(#REF!,"AAAAAH373y4=")</f>
        <v>#REF!</v>
      </c>
      <c r="AV65" t="e">
        <f>AND(#REF!,"AAAAAH373y8=")</f>
        <v>#REF!</v>
      </c>
      <c r="AW65" t="e">
        <f>AND(#REF!,"AAAAAH373zA=")</f>
        <v>#REF!</v>
      </c>
      <c r="AX65" t="e">
        <f>AND(#REF!,"AAAAAH373zE=")</f>
        <v>#REF!</v>
      </c>
      <c r="AY65" t="e">
        <f>AND(#REF!,"AAAAAH373zI=")</f>
        <v>#REF!</v>
      </c>
      <c r="AZ65" t="e">
        <f>AND(#REF!,"AAAAAH373zM=")</f>
        <v>#REF!</v>
      </c>
      <c r="BA65" t="e">
        <f>AND(#REF!,"AAAAAH373zQ=")</f>
        <v>#REF!</v>
      </c>
      <c r="BB65" t="e">
        <f>AND(#REF!,"AAAAAH373zU=")</f>
        <v>#REF!</v>
      </c>
      <c r="BC65" t="e">
        <f>AND(#REF!,"AAAAAH373zY=")</f>
        <v>#REF!</v>
      </c>
      <c r="BD65" t="e">
        <f>AND(#REF!,"AAAAAH373zc=")</f>
        <v>#REF!</v>
      </c>
      <c r="BE65" t="e">
        <f>AND(#REF!,"AAAAAH373zg=")</f>
        <v>#REF!</v>
      </c>
      <c r="BF65" t="e">
        <f>AND(#REF!,"AAAAAH373zk=")</f>
        <v>#REF!</v>
      </c>
      <c r="BG65" t="e">
        <f>AND(#REF!,"AAAAAH373zo=")</f>
        <v>#REF!</v>
      </c>
      <c r="BH65" t="e">
        <f>AND(#REF!,"AAAAAH373zs=")</f>
        <v>#REF!</v>
      </c>
      <c r="BI65" t="e">
        <f>AND(#REF!,"AAAAAH373zw=")</f>
        <v>#REF!</v>
      </c>
      <c r="BJ65" t="e">
        <f>AND(#REF!,"AAAAAH373z0=")</f>
        <v>#REF!</v>
      </c>
      <c r="BK65" t="e">
        <f>AND(#REF!,"AAAAAH373z4=")</f>
        <v>#REF!</v>
      </c>
      <c r="BL65" t="e">
        <f>AND(#REF!,"AAAAAH373z8=")</f>
        <v>#REF!</v>
      </c>
      <c r="BM65" t="e">
        <f>AND(#REF!,"AAAAAH3730A=")</f>
        <v>#REF!</v>
      </c>
      <c r="BN65" t="e">
        <f>AND(#REF!,"AAAAAH3730E=")</f>
        <v>#REF!</v>
      </c>
      <c r="BO65" t="e">
        <f>AND(#REF!,"AAAAAH3730I=")</f>
        <v>#REF!</v>
      </c>
      <c r="BP65" t="e">
        <f>AND(#REF!,"AAAAAH3730M=")</f>
        <v>#REF!</v>
      </c>
      <c r="BQ65" t="e">
        <f>AND(#REF!,"AAAAAH3730Q=")</f>
        <v>#REF!</v>
      </c>
      <c r="BR65" t="e">
        <f>AND(#REF!,"AAAAAH3730U=")</f>
        <v>#REF!</v>
      </c>
      <c r="BS65" t="e">
        <f>AND(#REF!,"AAAAAH3730Y=")</f>
        <v>#REF!</v>
      </c>
      <c r="BT65" t="e">
        <f>AND(#REF!,"AAAAAH3730c=")</f>
        <v>#REF!</v>
      </c>
      <c r="BU65" t="e">
        <f>AND(#REF!,"AAAAAH3730g=")</f>
        <v>#REF!</v>
      </c>
      <c r="BV65" t="e">
        <f>AND(#REF!,"AAAAAH3730k=")</f>
        <v>#REF!</v>
      </c>
      <c r="BW65" t="e">
        <f>AND(#REF!,"AAAAAH3730o=")</f>
        <v>#REF!</v>
      </c>
      <c r="BX65" t="e">
        <f>AND(#REF!,"AAAAAH3730s=")</f>
        <v>#REF!</v>
      </c>
      <c r="BY65" t="e">
        <f>AND(#REF!,"AAAAAH3730w=")</f>
        <v>#REF!</v>
      </c>
      <c r="BZ65" t="e">
        <f>AND(#REF!,"AAAAAH37300=")</f>
        <v>#REF!</v>
      </c>
      <c r="CA65" t="e">
        <f>AND(#REF!,"AAAAAH37304=")</f>
        <v>#REF!</v>
      </c>
      <c r="CB65" t="e">
        <f>AND(#REF!,"AAAAAH37308=")</f>
        <v>#REF!</v>
      </c>
      <c r="CC65" t="e">
        <f>AND(#REF!,"AAAAAH3731A=")</f>
        <v>#REF!</v>
      </c>
      <c r="CD65" t="e">
        <f>AND(#REF!,"AAAAAH3731E=")</f>
        <v>#REF!</v>
      </c>
      <c r="CE65" t="e">
        <f>AND(#REF!,"AAAAAH3731I=")</f>
        <v>#REF!</v>
      </c>
      <c r="CF65" t="e">
        <f>AND(#REF!,"AAAAAH3731M=")</f>
        <v>#REF!</v>
      </c>
      <c r="CG65" t="e">
        <f>AND(#REF!,"AAAAAH3731Q=")</f>
        <v>#REF!</v>
      </c>
      <c r="CH65" t="e">
        <f>AND(#REF!,"AAAAAH3731U=")</f>
        <v>#REF!</v>
      </c>
      <c r="CI65" t="e">
        <f>AND(#REF!,"AAAAAH3731Y=")</f>
        <v>#REF!</v>
      </c>
      <c r="CJ65" t="e">
        <f>AND(#REF!,"AAAAAH3731c=")</f>
        <v>#REF!</v>
      </c>
      <c r="CK65" t="e">
        <f>AND(#REF!,"AAAAAH3731g=")</f>
        <v>#REF!</v>
      </c>
      <c r="CL65" t="e">
        <f>AND(#REF!,"AAAAAH3731k=")</f>
        <v>#REF!</v>
      </c>
      <c r="CM65" t="e">
        <f>AND(#REF!,"AAAAAH3731o=")</f>
        <v>#REF!</v>
      </c>
      <c r="CN65" t="e">
        <f>AND(#REF!,"AAAAAH3731s=")</f>
        <v>#REF!</v>
      </c>
      <c r="CO65" t="e">
        <f>AND(#REF!,"AAAAAH3731w=")</f>
        <v>#REF!</v>
      </c>
      <c r="CP65" t="e">
        <f>AND(#REF!,"AAAAAH37310=")</f>
        <v>#REF!</v>
      </c>
      <c r="CQ65" t="e">
        <f>AND(#REF!,"AAAAAH37314=")</f>
        <v>#REF!</v>
      </c>
      <c r="CR65" t="e">
        <f>AND(#REF!,"AAAAAH37318=")</f>
        <v>#REF!</v>
      </c>
      <c r="CS65" t="e">
        <f>AND(#REF!,"AAAAAH3732A=")</f>
        <v>#REF!</v>
      </c>
      <c r="CT65" t="e">
        <f>AND(#REF!,"AAAAAH3732E=")</f>
        <v>#REF!</v>
      </c>
      <c r="CU65" t="e">
        <f>AND(#REF!,"AAAAAH3732I=")</f>
        <v>#REF!</v>
      </c>
      <c r="CV65" t="e">
        <f>AND(#REF!,"AAAAAH3732M=")</f>
        <v>#REF!</v>
      </c>
      <c r="CW65" t="e">
        <f>AND(#REF!,"AAAAAH3732Q=")</f>
        <v>#REF!</v>
      </c>
      <c r="CX65" t="e">
        <f>AND(#REF!,"AAAAAH3732U=")</f>
        <v>#REF!</v>
      </c>
      <c r="CY65" t="e">
        <f>AND(#REF!,"AAAAAH3732Y=")</f>
        <v>#REF!</v>
      </c>
      <c r="CZ65" t="e">
        <f>AND(#REF!,"AAAAAH3732c=")</f>
        <v>#REF!</v>
      </c>
      <c r="DA65" t="e">
        <f>IF(#REF!,"AAAAAH3732g=",0)</f>
        <v>#REF!</v>
      </c>
      <c r="DB65" t="e">
        <f>AND(#REF!,"AAAAAH3732k=")</f>
        <v>#REF!</v>
      </c>
      <c r="DC65" t="e">
        <f>AND(#REF!,"AAAAAH3732o=")</f>
        <v>#REF!</v>
      </c>
      <c r="DD65" t="e">
        <f>AND(#REF!,"AAAAAH3732s=")</f>
        <v>#REF!</v>
      </c>
      <c r="DE65" t="e">
        <f>AND(#REF!,"AAAAAH3732w=")</f>
        <v>#REF!</v>
      </c>
      <c r="DF65" t="e">
        <f>AND(#REF!,"AAAAAH37320=")</f>
        <v>#REF!</v>
      </c>
      <c r="DG65" t="e">
        <f>AND(#REF!,"AAAAAH37324=")</f>
        <v>#REF!</v>
      </c>
      <c r="DH65" t="e">
        <f>AND(#REF!,"AAAAAH37328=")</f>
        <v>#REF!</v>
      </c>
      <c r="DI65" t="e">
        <f>AND(#REF!,"AAAAAH3733A=")</f>
        <v>#REF!</v>
      </c>
      <c r="DJ65" t="e">
        <f>AND(#REF!,"AAAAAH3733E=")</f>
        <v>#REF!</v>
      </c>
      <c r="DK65" t="e">
        <f>AND(#REF!,"AAAAAH3733I=")</f>
        <v>#REF!</v>
      </c>
      <c r="DL65" t="e">
        <f>AND(#REF!,"AAAAAH3733M=")</f>
        <v>#REF!</v>
      </c>
      <c r="DM65" t="e">
        <f>AND(#REF!,"AAAAAH3733Q=")</f>
        <v>#REF!</v>
      </c>
      <c r="DN65" t="e">
        <f>AND(#REF!,"AAAAAH3733U=")</f>
        <v>#REF!</v>
      </c>
      <c r="DO65" t="e">
        <f>AND(#REF!,"AAAAAH3733Y=")</f>
        <v>#REF!</v>
      </c>
      <c r="DP65" t="e">
        <f>AND(#REF!,"AAAAAH3733c=")</f>
        <v>#REF!</v>
      </c>
      <c r="DQ65" t="e">
        <f>AND(#REF!,"AAAAAH3733g=")</f>
        <v>#REF!</v>
      </c>
      <c r="DR65" t="e">
        <f>AND(#REF!,"AAAAAH3733k=")</f>
        <v>#REF!</v>
      </c>
      <c r="DS65" t="e">
        <f>AND(#REF!,"AAAAAH3733o=")</f>
        <v>#REF!</v>
      </c>
      <c r="DT65" t="e">
        <f>AND(#REF!,"AAAAAH3733s=")</f>
        <v>#REF!</v>
      </c>
      <c r="DU65" t="e">
        <f>AND(#REF!,"AAAAAH3733w=")</f>
        <v>#REF!</v>
      </c>
      <c r="DV65" t="e">
        <f>AND(#REF!,"AAAAAH37330=")</f>
        <v>#REF!</v>
      </c>
      <c r="DW65" t="e">
        <f>AND(#REF!,"AAAAAH37334=")</f>
        <v>#REF!</v>
      </c>
      <c r="DX65" t="e">
        <f>AND(#REF!,"AAAAAH37338=")</f>
        <v>#REF!</v>
      </c>
      <c r="DY65" t="e">
        <f>AND(#REF!,"AAAAAH3734A=")</f>
        <v>#REF!</v>
      </c>
      <c r="DZ65" t="e">
        <f>AND(#REF!,"AAAAAH3734E=")</f>
        <v>#REF!</v>
      </c>
      <c r="EA65" t="e">
        <f>AND(#REF!,"AAAAAH3734I=")</f>
        <v>#REF!</v>
      </c>
      <c r="EB65" t="e">
        <f>AND(#REF!,"AAAAAH3734M=")</f>
        <v>#REF!</v>
      </c>
      <c r="EC65" t="e">
        <f>AND(#REF!,"AAAAAH3734Q=")</f>
        <v>#REF!</v>
      </c>
      <c r="ED65" t="e">
        <f>AND(#REF!,"AAAAAH3734U=")</f>
        <v>#REF!</v>
      </c>
      <c r="EE65" t="e">
        <f>AND(#REF!,"AAAAAH3734Y=")</f>
        <v>#REF!</v>
      </c>
      <c r="EF65" t="e">
        <f>AND(#REF!,"AAAAAH3734c=")</f>
        <v>#REF!</v>
      </c>
      <c r="EG65" t="e">
        <f>AND(#REF!,"AAAAAH3734g=")</f>
        <v>#REF!</v>
      </c>
      <c r="EH65" t="e">
        <f>AND(#REF!,"AAAAAH3734k=")</f>
        <v>#REF!</v>
      </c>
      <c r="EI65" t="e">
        <f>AND(#REF!,"AAAAAH3734o=")</f>
        <v>#REF!</v>
      </c>
      <c r="EJ65" t="e">
        <f>AND(#REF!,"AAAAAH3734s=")</f>
        <v>#REF!</v>
      </c>
      <c r="EK65" t="e">
        <f>AND(#REF!,"AAAAAH3734w=")</f>
        <v>#REF!</v>
      </c>
      <c r="EL65" t="e">
        <f>AND(#REF!,"AAAAAH37340=")</f>
        <v>#REF!</v>
      </c>
      <c r="EM65" t="e">
        <f>AND(#REF!,"AAAAAH37344=")</f>
        <v>#REF!</v>
      </c>
      <c r="EN65" t="e">
        <f>AND(#REF!,"AAAAAH37348=")</f>
        <v>#REF!</v>
      </c>
      <c r="EO65" t="e">
        <f>AND(#REF!,"AAAAAH3735A=")</f>
        <v>#REF!</v>
      </c>
      <c r="EP65" t="e">
        <f>AND(#REF!,"AAAAAH3735E=")</f>
        <v>#REF!</v>
      </c>
      <c r="EQ65" t="e">
        <f>AND(#REF!,"AAAAAH3735I=")</f>
        <v>#REF!</v>
      </c>
      <c r="ER65" t="e">
        <f>AND(#REF!,"AAAAAH3735M=")</f>
        <v>#REF!</v>
      </c>
      <c r="ES65" t="e">
        <f>AND(#REF!,"AAAAAH3735Q=")</f>
        <v>#REF!</v>
      </c>
      <c r="ET65" t="e">
        <f>AND(#REF!,"AAAAAH3735U=")</f>
        <v>#REF!</v>
      </c>
      <c r="EU65" t="e">
        <f>AND(#REF!,"AAAAAH3735Y=")</f>
        <v>#REF!</v>
      </c>
      <c r="EV65" t="e">
        <f>AND(#REF!,"AAAAAH3735c=")</f>
        <v>#REF!</v>
      </c>
      <c r="EW65" t="e">
        <f>AND(#REF!,"AAAAAH3735g=")</f>
        <v>#REF!</v>
      </c>
      <c r="EX65" t="e">
        <f>AND(#REF!,"AAAAAH3735k=")</f>
        <v>#REF!</v>
      </c>
      <c r="EY65" t="e">
        <f>AND(#REF!,"AAAAAH3735o=")</f>
        <v>#REF!</v>
      </c>
      <c r="EZ65" t="e">
        <f>AND(#REF!,"AAAAAH3735s=")</f>
        <v>#REF!</v>
      </c>
      <c r="FA65" t="e">
        <f>AND(#REF!,"AAAAAH3735w=")</f>
        <v>#REF!</v>
      </c>
      <c r="FB65" t="e">
        <f>AND(#REF!,"AAAAAH37350=")</f>
        <v>#REF!</v>
      </c>
      <c r="FC65" t="e">
        <f>AND(#REF!,"AAAAAH37354=")</f>
        <v>#REF!</v>
      </c>
      <c r="FD65" t="e">
        <f>AND(#REF!,"AAAAAH37358=")</f>
        <v>#REF!</v>
      </c>
      <c r="FE65" t="e">
        <f>AND(#REF!,"AAAAAH3736A=")</f>
        <v>#REF!</v>
      </c>
      <c r="FF65" t="e">
        <f>AND(#REF!,"AAAAAH3736E=")</f>
        <v>#REF!</v>
      </c>
      <c r="FG65" t="e">
        <f>AND(#REF!,"AAAAAH3736I=")</f>
        <v>#REF!</v>
      </c>
      <c r="FH65" t="e">
        <f>AND(#REF!,"AAAAAH3736M=")</f>
        <v>#REF!</v>
      </c>
      <c r="FI65" t="e">
        <f>AND(#REF!,"AAAAAH3736Q=")</f>
        <v>#REF!</v>
      </c>
      <c r="FJ65" t="e">
        <f>AND(#REF!,"AAAAAH3736U=")</f>
        <v>#REF!</v>
      </c>
      <c r="FK65" t="e">
        <f>AND(#REF!,"AAAAAH3736Y=")</f>
        <v>#REF!</v>
      </c>
      <c r="FL65" t="e">
        <f>AND(#REF!,"AAAAAH3736c=")</f>
        <v>#REF!</v>
      </c>
      <c r="FM65" t="e">
        <f>AND(#REF!,"AAAAAH3736g=")</f>
        <v>#REF!</v>
      </c>
      <c r="FN65" t="e">
        <f>AND(#REF!,"AAAAAH3736k=")</f>
        <v>#REF!</v>
      </c>
      <c r="FO65" t="e">
        <f>AND(#REF!,"AAAAAH3736o=")</f>
        <v>#REF!</v>
      </c>
      <c r="FP65" t="e">
        <f>AND(#REF!,"AAAAAH3736s=")</f>
        <v>#REF!</v>
      </c>
      <c r="FQ65" t="e">
        <f>AND(#REF!,"AAAAAH3736w=")</f>
        <v>#REF!</v>
      </c>
      <c r="FR65" t="e">
        <f>AND(#REF!,"AAAAAH37360=")</f>
        <v>#REF!</v>
      </c>
      <c r="FS65" t="e">
        <f>AND(#REF!,"AAAAAH37364=")</f>
        <v>#REF!</v>
      </c>
      <c r="FT65" t="e">
        <f>AND(#REF!,"AAAAAH37368=")</f>
        <v>#REF!</v>
      </c>
      <c r="FU65" t="e">
        <f>AND(#REF!,"AAAAAH3737A=")</f>
        <v>#REF!</v>
      </c>
      <c r="FV65" t="e">
        <f>AND(#REF!,"AAAAAH3737E=")</f>
        <v>#REF!</v>
      </c>
      <c r="FW65" t="e">
        <f>AND(#REF!,"AAAAAH3737I=")</f>
        <v>#REF!</v>
      </c>
      <c r="FX65" t="e">
        <f>AND(#REF!,"AAAAAH3737M=")</f>
        <v>#REF!</v>
      </c>
      <c r="FY65" t="e">
        <f>AND(#REF!,"AAAAAH3737Q=")</f>
        <v>#REF!</v>
      </c>
      <c r="FZ65" t="e">
        <f>AND(#REF!,"AAAAAH3737U=")</f>
        <v>#REF!</v>
      </c>
      <c r="GA65" t="e">
        <f>AND(#REF!,"AAAAAH3737Y=")</f>
        <v>#REF!</v>
      </c>
      <c r="GB65" t="e">
        <f>AND(#REF!,"AAAAAH3737c=")</f>
        <v>#REF!</v>
      </c>
      <c r="GC65" t="e">
        <f>AND(#REF!,"AAAAAH3737g=")</f>
        <v>#REF!</v>
      </c>
      <c r="GD65" t="e">
        <f>AND(#REF!,"AAAAAH3737k=")</f>
        <v>#REF!</v>
      </c>
      <c r="GE65" t="e">
        <f>AND(#REF!,"AAAAAH3737o=")</f>
        <v>#REF!</v>
      </c>
      <c r="GF65" t="e">
        <f>AND(#REF!,"AAAAAH3737s=")</f>
        <v>#REF!</v>
      </c>
      <c r="GG65" t="e">
        <f>AND(#REF!,"AAAAAH3737w=")</f>
        <v>#REF!</v>
      </c>
      <c r="GH65" t="e">
        <f>AND(#REF!,"AAAAAH37370=")</f>
        <v>#REF!</v>
      </c>
      <c r="GI65" t="e">
        <f>AND(#REF!,"AAAAAH37374=")</f>
        <v>#REF!</v>
      </c>
      <c r="GJ65" t="e">
        <f>AND(#REF!,"AAAAAH37378=")</f>
        <v>#REF!</v>
      </c>
      <c r="GK65" t="e">
        <f>AND(#REF!,"AAAAAH3738A=")</f>
        <v>#REF!</v>
      </c>
      <c r="GL65" t="e">
        <f>AND(#REF!,"AAAAAH3738E=")</f>
        <v>#REF!</v>
      </c>
      <c r="GM65" t="e">
        <f>AND(#REF!,"AAAAAH3738I=")</f>
        <v>#REF!</v>
      </c>
      <c r="GN65" t="e">
        <f>AND(#REF!,"AAAAAH3738M=")</f>
        <v>#REF!</v>
      </c>
      <c r="GO65" t="e">
        <f>AND(#REF!,"AAAAAH3738Q=")</f>
        <v>#REF!</v>
      </c>
      <c r="GP65" t="e">
        <f>AND(#REF!,"AAAAAH3738U=")</f>
        <v>#REF!</v>
      </c>
      <c r="GQ65" t="e">
        <f>AND(#REF!,"AAAAAH3738Y=")</f>
        <v>#REF!</v>
      </c>
      <c r="GR65" t="e">
        <f>AND(#REF!,"AAAAAH3738c=")</f>
        <v>#REF!</v>
      </c>
      <c r="GS65" t="e">
        <f>AND(#REF!,"AAAAAH3738g=")</f>
        <v>#REF!</v>
      </c>
      <c r="GT65" t="e">
        <f>AND(#REF!,"AAAAAH3738k=")</f>
        <v>#REF!</v>
      </c>
      <c r="GU65" t="e">
        <f>AND(#REF!,"AAAAAH3738o=")</f>
        <v>#REF!</v>
      </c>
      <c r="GV65" t="e">
        <f>AND(#REF!,"AAAAAH3738s=")</f>
        <v>#REF!</v>
      </c>
      <c r="GW65" t="e">
        <f>AND(#REF!,"AAAAAH3738w=")</f>
        <v>#REF!</v>
      </c>
      <c r="GX65" t="e">
        <f>AND(#REF!,"AAAAAH37380=")</f>
        <v>#REF!</v>
      </c>
      <c r="GY65" t="e">
        <f>AND(#REF!,"AAAAAH37384=")</f>
        <v>#REF!</v>
      </c>
      <c r="GZ65" t="e">
        <f>AND(#REF!,"AAAAAH37388=")</f>
        <v>#REF!</v>
      </c>
      <c r="HA65" t="e">
        <f>AND(#REF!,"AAAAAH3739A=")</f>
        <v>#REF!</v>
      </c>
      <c r="HB65" t="e">
        <f>AND(#REF!,"AAAAAH3739E=")</f>
        <v>#REF!</v>
      </c>
      <c r="HC65" t="e">
        <f>AND(#REF!,"AAAAAH3739I=")</f>
        <v>#REF!</v>
      </c>
      <c r="HD65" t="e">
        <f>AND(#REF!,"AAAAAH3739M=")</f>
        <v>#REF!</v>
      </c>
      <c r="HE65" t="e">
        <f>AND(#REF!,"AAAAAH3739Q=")</f>
        <v>#REF!</v>
      </c>
      <c r="HF65" t="e">
        <f>AND(#REF!,"AAAAAH3739U=")</f>
        <v>#REF!</v>
      </c>
      <c r="HG65" t="e">
        <f>AND(#REF!,"AAAAAH3739Y=")</f>
        <v>#REF!</v>
      </c>
      <c r="HH65" t="e">
        <f>AND(#REF!,"AAAAAH3739c=")</f>
        <v>#REF!</v>
      </c>
      <c r="HI65" t="e">
        <f>AND(#REF!,"AAAAAH3739g=")</f>
        <v>#REF!</v>
      </c>
      <c r="HJ65" t="e">
        <f>AND(#REF!,"AAAAAH3739k=")</f>
        <v>#REF!</v>
      </c>
      <c r="HK65" t="e">
        <f>AND(#REF!,"AAAAAH3739o=")</f>
        <v>#REF!</v>
      </c>
      <c r="HL65" t="e">
        <f>AND(#REF!,"AAAAAH3739s=")</f>
        <v>#REF!</v>
      </c>
      <c r="HM65" t="e">
        <f>AND(#REF!,"AAAAAH3739w=")</f>
        <v>#REF!</v>
      </c>
      <c r="HN65" t="e">
        <f>AND(#REF!,"AAAAAH37390=")</f>
        <v>#REF!</v>
      </c>
      <c r="HO65" t="e">
        <f>AND(#REF!,"AAAAAH37394=")</f>
        <v>#REF!</v>
      </c>
      <c r="HP65" t="e">
        <f>AND(#REF!,"AAAAAH37398=")</f>
        <v>#REF!</v>
      </c>
      <c r="HQ65" t="e">
        <f>AND(#REF!,"AAAAAH373+A=")</f>
        <v>#REF!</v>
      </c>
      <c r="HR65" t="e">
        <f>AND(#REF!,"AAAAAH373+E=")</f>
        <v>#REF!</v>
      </c>
      <c r="HS65" t="e">
        <f>AND(#REF!,"AAAAAH373+I=")</f>
        <v>#REF!</v>
      </c>
      <c r="HT65" t="e">
        <f>AND(#REF!,"AAAAAH373+M=")</f>
        <v>#REF!</v>
      </c>
      <c r="HU65" t="e">
        <f>AND(#REF!,"AAAAAH373+Q=")</f>
        <v>#REF!</v>
      </c>
      <c r="HV65" t="e">
        <f>AND(#REF!,"AAAAAH373+U=")</f>
        <v>#REF!</v>
      </c>
      <c r="HW65" t="e">
        <f>AND(#REF!,"AAAAAH373+Y=")</f>
        <v>#REF!</v>
      </c>
      <c r="HX65" t="e">
        <f>AND(#REF!,"AAAAAH373+c=")</f>
        <v>#REF!</v>
      </c>
      <c r="HY65" t="e">
        <f>AND(#REF!,"AAAAAH373+g=")</f>
        <v>#REF!</v>
      </c>
      <c r="HZ65" t="e">
        <f>AND(#REF!,"AAAAAH373+k=")</f>
        <v>#REF!</v>
      </c>
      <c r="IA65" t="e">
        <f>AND(#REF!,"AAAAAH373+o=")</f>
        <v>#REF!</v>
      </c>
      <c r="IB65" t="e">
        <f>AND(#REF!,"AAAAAH373+s=")</f>
        <v>#REF!</v>
      </c>
      <c r="IC65" t="e">
        <f>AND(#REF!,"AAAAAH373+w=")</f>
        <v>#REF!</v>
      </c>
      <c r="ID65" t="e">
        <f>AND(#REF!,"AAAAAH373+0=")</f>
        <v>#REF!</v>
      </c>
      <c r="IE65" t="e">
        <f>AND(#REF!,"AAAAAH373+4=")</f>
        <v>#REF!</v>
      </c>
      <c r="IF65" t="e">
        <f>AND(#REF!,"AAAAAH373+8=")</f>
        <v>#REF!</v>
      </c>
      <c r="IG65" t="e">
        <f>AND(#REF!,"AAAAAH373/A=")</f>
        <v>#REF!</v>
      </c>
      <c r="IH65" t="e">
        <f>AND(#REF!,"AAAAAH373/E=")</f>
        <v>#REF!</v>
      </c>
      <c r="II65" t="e">
        <f>AND(#REF!,"AAAAAH373/I=")</f>
        <v>#REF!</v>
      </c>
      <c r="IJ65" t="e">
        <f>AND(#REF!,"AAAAAH373/M=")</f>
        <v>#REF!</v>
      </c>
      <c r="IK65" t="e">
        <f>AND(#REF!,"AAAAAH373/Q=")</f>
        <v>#REF!</v>
      </c>
      <c r="IL65" t="e">
        <f>AND(#REF!,"AAAAAH373/U=")</f>
        <v>#REF!</v>
      </c>
      <c r="IM65" t="e">
        <f>AND(#REF!,"AAAAAH373/Y=")</f>
        <v>#REF!</v>
      </c>
      <c r="IN65" t="e">
        <f>AND(#REF!,"AAAAAH373/c=")</f>
        <v>#REF!</v>
      </c>
      <c r="IO65" t="e">
        <f>AND(#REF!,"AAAAAH373/g=")</f>
        <v>#REF!</v>
      </c>
      <c r="IP65" t="e">
        <f>AND(#REF!,"AAAAAH373/k=")</f>
        <v>#REF!</v>
      </c>
      <c r="IQ65" t="e">
        <f>AND(#REF!,"AAAAAH373/o=")</f>
        <v>#REF!</v>
      </c>
      <c r="IR65" t="e">
        <f>AND(#REF!,"AAAAAH373/s=")</f>
        <v>#REF!</v>
      </c>
      <c r="IS65" t="e">
        <f>AND(#REF!,"AAAAAH373/w=")</f>
        <v>#REF!</v>
      </c>
      <c r="IT65" t="e">
        <f>AND(#REF!,"AAAAAH373/0=")</f>
        <v>#REF!</v>
      </c>
      <c r="IU65" t="e">
        <f>AND(#REF!,"AAAAAH373/4=")</f>
        <v>#REF!</v>
      </c>
      <c r="IV65" t="e">
        <f>AND(#REF!,"AAAAAH373/8=")</f>
        <v>#REF!</v>
      </c>
    </row>
    <row r="66" spans="1:256" x14ac:dyDescent="0.2">
      <c r="A66" t="e">
        <f>AND(#REF!,"AAAAAH/t9gA=")</f>
        <v>#REF!</v>
      </c>
      <c r="B66" t="e">
        <f>AND(#REF!,"AAAAAH/t9gE=")</f>
        <v>#REF!</v>
      </c>
      <c r="C66" t="e">
        <f>AND(#REF!,"AAAAAH/t9gI=")</f>
        <v>#REF!</v>
      </c>
      <c r="D66" t="e">
        <f>AND(#REF!,"AAAAAH/t9gM=")</f>
        <v>#REF!</v>
      </c>
      <c r="E66" t="e">
        <f>AND(#REF!,"AAAAAH/t9gQ=")</f>
        <v>#REF!</v>
      </c>
      <c r="F66" t="e">
        <f>AND(#REF!,"AAAAAH/t9gU=")</f>
        <v>#REF!</v>
      </c>
      <c r="G66" t="e">
        <f>AND(#REF!,"AAAAAH/t9gY=")</f>
        <v>#REF!</v>
      </c>
      <c r="H66" t="e">
        <f>AND(#REF!,"AAAAAH/t9gc=")</f>
        <v>#REF!</v>
      </c>
      <c r="I66" t="e">
        <f>AND(#REF!,"AAAAAH/t9gg=")</f>
        <v>#REF!</v>
      </c>
      <c r="J66" t="e">
        <f>AND(#REF!,"AAAAAH/t9gk=")</f>
        <v>#REF!</v>
      </c>
      <c r="K66" t="e">
        <f>AND(#REF!,"AAAAAH/t9go=")</f>
        <v>#REF!</v>
      </c>
      <c r="L66" t="e">
        <f>AND(#REF!,"AAAAAH/t9gs=")</f>
        <v>#REF!</v>
      </c>
      <c r="M66" t="e">
        <f>AND(#REF!,"AAAAAH/t9gw=")</f>
        <v>#REF!</v>
      </c>
      <c r="N66" t="e">
        <f>AND(#REF!,"AAAAAH/t9g0=")</f>
        <v>#REF!</v>
      </c>
      <c r="O66" t="e">
        <f>AND(#REF!,"AAAAAH/t9g4=")</f>
        <v>#REF!</v>
      </c>
      <c r="P66" t="e">
        <f>AND(#REF!,"AAAAAH/t9g8=")</f>
        <v>#REF!</v>
      </c>
      <c r="Q66" t="e">
        <f>AND(#REF!,"AAAAAH/t9hA=")</f>
        <v>#REF!</v>
      </c>
      <c r="R66" t="e">
        <f>AND(#REF!,"AAAAAH/t9hE=")</f>
        <v>#REF!</v>
      </c>
      <c r="S66" t="e">
        <f>AND(#REF!,"AAAAAH/t9hI=")</f>
        <v>#REF!</v>
      </c>
      <c r="T66" t="e">
        <f>AND(#REF!,"AAAAAH/t9hM=")</f>
        <v>#REF!</v>
      </c>
      <c r="U66" t="e">
        <f>AND(#REF!,"AAAAAH/t9hQ=")</f>
        <v>#REF!</v>
      </c>
      <c r="V66" t="e">
        <f>AND(#REF!,"AAAAAH/t9hU=")</f>
        <v>#REF!</v>
      </c>
      <c r="W66" t="e">
        <f>AND(#REF!,"AAAAAH/t9hY=")</f>
        <v>#REF!</v>
      </c>
      <c r="X66" t="e">
        <f>AND(#REF!,"AAAAAH/t9hc=")</f>
        <v>#REF!</v>
      </c>
      <c r="Y66" t="e">
        <f>AND(#REF!,"AAAAAH/t9hg=")</f>
        <v>#REF!</v>
      </c>
      <c r="Z66" t="e">
        <f>AND(#REF!,"AAAAAH/t9hk=")</f>
        <v>#REF!</v>
      </c>
      <c r="AA66" t="e">
        <f>AND(#REF!,"AAAAAH/t9ho=")</f>
        <v>#REF!</v>
      </c>
      <c r="AB66" t="e">
        <f>AND(#REF!,"AAAAAH/t9hs=")</f>
        <v>#REF!</v>
      </c>
      <c r="AC66" t="e">
        <f>AND(#REF!,"AAAAAH/t9hw=")</f>
        <v>#REF!</v>
      </c>
      <c r="AD66" t="e">
        <f>IF(#REF!,"AAAAAH/t9h0=",0)</f>
        <v>#REF!</v>
      </c>
      <c r="AE66" t="e">
        <f>AND(#REF!,"AAAAAH/t9h4=")</f>
        <v>#REF!</v>
      </c>
      <c r="AF66" t="e">
        <f>AND(#REF!,"AAAAAH/t9h8=")</f>
        <v>#REF!</v>
      </c>
      <c r="AG66" t="e">
        <f>AND(#REF!,"AAAAAH/t9iA=")</f>
        <v>#REF!</v>
      </c>
      <c r="AH66" t="e">
        <f>AND(#REF!,"AAAAAH/t9iE=")</f>
        <v>#REF!</v>
      </c>
      <c r="AI66" t="e">
        <f>AND(#REF!,"AAAAAH/t9iI=")</f>
        <v>#REF!</v>
      </c>
      <c r="AJ66" t="e">
        <f>AND(#REF!,"AAAAAH/t9iM=")</f>
        <v>#REF!</v>
      </c>
      <c r="AK66" t="e">
        <f>AND(#REF!,"AAAAAH/t9iQ=")</f>
        <v>#REF!</v>
      </c>
      <c r="AL66" t="e">
        <f>AND(#REF!,"AAAAAH/t9iU=")</f>
        <v>#REF!</v>
      </c>
      <c r="AM66" t="e">
        <f>AND(#REF!,"AAAAAH/t9iY=")</f>
        <v>#REF!</v>
      </c>
      <c r="AN66" t="e">
        <f>AND(#REF!,"AAAAAH/t9ic=")</f>
        <v>#REF!</v>
      </c>
      <c r="AO66" t="e">
        <f>AND(#REF!,"AAAAAH/t9ig=")</f>
        <v>#REF!</v>
      </c>
      <c r="AP66" t="e">
        <f>AND(#REF!,"AAAAAH/t9ik=")</f>
        <v>#REF!</v>
      </c>
      <c r="AQ66" t="e">
        <f>AND(#REF!,"AAAAAH/t9io=")</f>
        <v>#REF!</v>
      </c>
      <c r="AR66" t="e">
        <f>AND(#REF!,"AAAAAH/t9is=")</f>
        <v>#REF!</v>
      </c>
      <c r="AS66" t="e">
        <f>AND(#REF!,"AAAAAH/t9iw=")</f>
        <v>#REF!</v>
      </c>
      <c r="AT66" t="e">
        <f>AND(#REF!,"AAAAAH/t9i0=")</f>
        <v>#REF!</v>
      </c>
      <c r="AU66" t="e">
        <f>AND(#REF!,"AAAAAH/t9i4=")</f>
        <v>#REF!</v>
      </c>
      <c r="AV66" t="e">
        <f>AND(#REF!,"AAAAAH/t9i8=")</f>
        <v>#REF!</v>
      </c>
      <c r="AW66" t="e">
        <f>AND(#REF!,"AAAAAH/t9jA=")</f>
        <v>#REF!</v>
      </c>
      <c r="AX66" t="e">
        <f>AND(#REF!,"AAAAAH/t9jE=")</f>
        <v>#REF!</v>
      </c>
      <c r="AY66" t="e">
        <f>AND(#REF!,"AAAAAH/t9jI=")</f>
        <v>#REF!</v>
      </c>
      <c r="AZ66" t="e">
        <f>AND(#REF!,"AAAAAH/t9jM=")</f>
        <v>#REF!</v>
      </c>
      <c r="BA66" t="e">
        <f>AND(#REF!,"AAAAAH/t9jQ=")</f>
        <v>#REF!</v>
      </c>
      <c r="BB66" t="e">
        <f>AND(#REF!,"AAAAAH/t9jU=")</f>
        <v>#REF!</v>
      </c>
      <c r="BC66" t="e">
        <f>AND(#REF!,"AAAAAH/t9jY=")</f>
        <v>#REF!</v>
      </c>
      <c r="BD66" t="e">
        <f>AND(#REF!,"AAAAAH/t9jc=")</f>
        <v>#REF!</v>
      </c>
      <c r="BE66" t="e">
        <f>AND(#REF!,"AAAAAH/t9jg=")</f>
        <v>#REF!</v>
      </c>
      <c r="BF66" t="e">
        <f>AND(#REF!,"AAAAAH/t9jk=")</f>
        <v>#REF!</v>
      </c>
      <c r="BG66" t="e">
        <f>AND(#REF!,"AAAAAH/t9jo=")</f>
        <v>#REF!</v>
      </c>
      <c r="BH66" t="e">
        <f>AND(#REF!,"AAAAAH/t9js=")</f>
        <v>#REF!</v>
      </c>
      <c r="BI66" t="e">
        <f>AND(#REF!,"AAAAAH/t9jw=")</f>
        <v>#REF!</v>
      </c>
      <c r="BJ66" t="e">
        <f>AND(#REF!,"AAAAAH/t9j0=")</f>
        <v>#REF!</v>
      </c>
      <c r="BK66" t="e">
        <f>AND(#REF!,"AAAAAH/t9j4=")</f>
        <v>#REF!</v>
      </c>
      <c r="BL66" t="e">
        <f>AND(#REF!,"AAAAAH/t9j8=")</f>
        <v>#REF!</v>
      </c>
      <c r="BM66" t="e">
        <f>AND(#REF!,"AAAAAH/t9kA=")</f>
        <v>#REF!</v>
      </c>
      <c r="BN66" t="e">
        <f>AND(#REF!,"AAAAAH/t9kE=")</f>
        <v>#REF!</v>
      </c>
      <c r="BO66" t="e">
        <f>AND(#REF!,"AAAAAH/t9kI=")</f>
        <v>#REF!</v>
      </c>
      <c r="BP66" t="e">
        <f>AND(#REF!,"AAAAAH/t9kM=")</f>
        <v>#REF!</v>
      </c>
      <c r="BQ66" t="e">
        <f>AND(#REF!,"AAAAAH/t9kQ=")</f>
        <v>#REF!</v>
      </c>
      <c r="BR66" t="e">
        <f>AND(#REF!,"AAAAAH/t9kU=")</f>
        <v>#REF!</v>
      </c>
      <c r="BS66" t="e">
        <f>AND(#REF!,"AAAAAH/t9kY=")</f>
        <v>#REF!</v>
      </c>
      <c r="BT66" t="e">
        <f>AND(#REF!,"AAAAAH/t9kc=")</f>
        <v>#REF!</v>
      </c>
      <c r="BU66" t="e">
        <f>AND(#REF!,"AAAAAH/t9kg=")</f>
        <v>#REF!</v>
      </c>
      <c r="BV66" t="e">
        <f>AND(#REF!,"AAAAAH/t9kk=")</f>
        <v>#REF!</v>
      </c>
      <c r="BW66" t="e">
        <f>AND(#REF!,"AAAAAH/t9ko=")</f>
        <v>#REF!</v>
      </c>
      <c r="BX66" t="e">
        <f>AND(#REF!,"AAAAAH/t9ks=")</f>
        <v>#REF!</v>
      </c>
      <c r="BY66" t="e">
        <f>AND(#REF!,"AAAAAH/t9kw=")</f>
        <v>#REF!</v>
      </c>
      <c r="BZ66" t="e">
        <f>AND(#REF!,"AAAAAH/t9k0=")</f>
        <v>#REF!</v>
      </c>
      <c r="CA66" t="e">
        <f>AND(#REF!,"AAAAAH/t9k4=")</f>
        <v>#REF!</v>
      </c>
      <c r="CB66" t="e">
        <f>AND(#REF!,"AAAAAH/t9k8=")</f>
        <v>#REF!</v>
      </c>
      <c r="CC66" t="e">
        <f>AND(#REF!,"AAAAAH/t9lA=")</f>
        <v>#REF!</v>
      </c>
      <c r="CD66" t="e">
        <f>AND(#REF!,"AAAAAH/t9lE=")</f>
        <v>#REF!</v>
      </c>
      <c r="CE66" t="e">
        <f>AND(#REF!,"AAAAAH/t9lI=")</f>
        <v>#REF!</v>
      </c>
      <c r="CF66" t="e">
        <f>AND(#REF!,"AAAAAH/t9lM=")</f>
        <v>#REF!</v>
      </c>
      <c r="CG66" t="e">
        <f>AND(#REF!,"AAAAAH/t9lQ=")</f>
        <v>#REF!</v>
      </c>
      <c r="CH66" t="e">
        <f>AND(#REF!,"AAAAAH/t9lU=")</f>
        <v>#REF!</v>
      </c>
      <c r="CI66" t="e">
        <f>AND(#REF!,"AAAAAH/t9lY=")</f>
        <v>#REF!</v>
      </c>
      <c r="CJ66" t="e">
        <f>AND(#REF!,"AAAAAH/t9lc=")</f>
        <v>#REF!</v>
      </c>
      <c r="CK66" t="e">
        <f>AND(#REF!,"AAAAAH/t9lg=")</f>
        <v>#REF!</v>
      </c>
      <c r="CL66" t="e">
        <f>AND(#REF!,"AAAAAH/t9lk=")</f>
        <v>#REF!</v>
      </c>
      <c r="CM66" t="e">
        <f>AND(#REF!,"AAAAAH/t9lo=")</f>
        <v>#REF!</v>
      </c>
      <c r="CN66" t="e">
        <f>AND(#REF!,"AAAAAH/t9ls=")</f>
        <v>#REF!</v>
      </c>
      <c r="CO66" t="e">
        <f>AND(#REF!,"AAAAAH/t9lw=")</f>
        <v>#REF!</v>
      </c>
      <c r="CP66" t="e">
        <f>AND(#REF!,"AAAAAH/t9l0=")</f>
        <v>#REF!</v>
      </c>
      <c r="CQ66" t="e">
        <f>AND(#REF!,"AAAAAH/t9l4=")</f>
        <v>#REF!</v>
      </c>
      <c r="CR66" t="e">
        <f>AND(#REF!,"AAAAAH/t9l8=")</f>
        <v>#REF!</v>
      </c>
      <c r="CS66" t="e">
        <f>AND(#REF!,"AAAAAH/t9mA=")</f>
        <v>#REF!</v>
      </c>
      <c r="CT66" t="e">
        <f>AND(#REF!,"AAAAAH/t9mE=")</f>
        <v>#REF!</v>
      </c>
      <c r="CU66" t="e">
        <f>AND(#REF!,"AAAAAH/t9mI=")</f>
        <v>#REF!</v>
      </c>
      <c r="CV66" t="e">
        <f>AND(#REF!,"AAAAAH/t9mM=")</f>
        <v>#REF!</v>
      </c>
      <c r="CW66" t="e">
        <f>AND(#REF!,"AAAAAH/t9mQ=")</f>
        <v>#REF!</v>
      </c>
      <c r="CX66" t="e">
        <f>AND(#REF!,"AAAAAH/t9mU=")</f>
        <v>#REF!</v>
      </c>
      <c r="CY66" t="e">
        <f>AND(#REF!,"AAAAAH/t9mY=")</f>
        <v>#REF!</v>
      </c>
      <c r="CZ66" t="e">
        <f>AND(#REF!,"AAAAAH/t9mc=")</f>
        <v>#REF!</v>
      </c>
      <c r="DA66" t="e">
        <f>AND(#REF!,"AAAAAH/t9mg=")</f>
        <v>#REF!</v>
      </c>
      <c r="DB66" t="e">
        <f>AND(#REF!,"AAAAAH/t9mk=")</f>
        <v>#REF!</v>
      </c>
      <c r="DC66" t="e">
        <f>AND(#REF!,"AAAAAH/t9mo=")</f>
        <v>#REF!</v>
      </c>
      <c r="DD66" t="e">
        <f>AND(#REF!,"AAAAAH/t9ms=")</f>
        <v>#REF!</v>
      </c>
      <c r="DE66" t="e">
        <f>AND(#REF!,"AAAAAH/t9mw=")</f>
        <v>#REF!</v>
      </c>
      <c r="DF66" t="e">
        <f>AND(#REF!,"AAAAAH/t9m0=")</f>
        <v>#REF!</v>
      </c>
      <c r="DG66" t="e">
        <f>AND(#REF!,"AAAAAH/t9m4=")</f>
        <v>#REF!</v>
      </c>
      <c r="DH66" t="e">
        <f>AND(#REF!,"AAAAAH/t9m8=")</f>
        <v>#REF!</v>
      </c>
      <c r="DI66" t="e">
        <f>AND(#REF!,"AAAAAH/t9nA=")</f>
        <v>#REF!</v>
      </c>
      <c r="DJ66" t="e">
        <f>AND(#REF!,"AAAAAH/t9nE=")</f>
        <v>#REF!</v>
      </c>
      <c r="DK66" t="e">
        <f>AND(#REF!,"AAAAAH/t9nI=")</f>
        <v>#REF!</v>
      </c>
      <c r="DL66" t="e">
        <f>AND(#REF!,"AAAAAH/t9nM=")</f>
        <v>#REF!</v>
      </c>
      <c r="DM66" t="e">
        <f>AND(#REF!,"AAAAAH/t9nQ=")</f>
        <v>#REF!</v>
      </c>
      <c r="DN66" t="e">
        <f>AND(#REF!,"AAAAAH/t9nU=")</f>
        <v>#REF!</v>
      </c>
      <c r="DO66" t="e">
        <f>AND(#REF!,"AAAAAH/t9nY=")</f>
        <v>#REF!</v>
      </c>
      <c r="DP66" t="e">
        <f>AND(#REF!,"AAAAAH/t9nc=")</f>
        <v>#REF!</v>
      </c>
      <c r="DQ66" t="e">
        <f>AND(#REF!,"AAAAAH/t9ng=")</f>
        <v>#REF!</v>
      </c>
      <c r="DR66" t="e">
        <f>AND(#REF!,"AAAAAH/t9nk=")</f>
        <v>#REF!</v>
      </c>
      <c r="DS66" t="e">
        <f>AND(#REF!,"AAAAAH/t9no=")</f>
        <v>#REF!</v>
      </c>
      <c r="DT66" t="e">
        <f>AND(#REF!,"AAAAAH/t9ns=")</f>
        <v>#REF!</v>
      </c>
      <c r="DU66" t="e">
        <f>AND(#REF!,"AAAAAH/t9nw=")</f>
        <v>#REF!</v>
      </c>
      <c r="DV66" t="e">
        <f>AND(#REF!,"AAAAAH/t9n0=")</f>
        <v>#REF!</v>
      </c>
      <c r="DW66" t="e">
        <f>AND(#REF!,"AAAAAH/t9n4=")</f>
        <v>#REF!</v>
      </c>
      <c r="DX66" t="e">
        <f>AND(#REF!,"AAAAAH/t9n8=")</f>
        <v>#REF!</v>
      </c>
      <c r="DY66" t="e">
        <f>AND(#REF!,"AAAAAH/t9oA=")</f>
        <v>#REF!</v>
      </c>
      <c r="DZ66" t="e">
        <f>AND(#REF!,"AAAAAH/t9oE=")</f>
        <v>#REF!</v>
      </c>
      <c r="EA66" t="e">
        <f>AND(#REF!,"AAAAAH/t9oI=")</f>
        <v>#REF!</v>
      </c>
      <c r="EB66" t="e">
        <f>AND(#REF!,"AAAAAH/t9oM=")</f>
        <v>#REF!</v>
      </c>
      <c r="EC66" t="e">
        <f>AND(#REF!,"AAAAAH/t9oQ=")</f>
        <v>#REF!</v>
      </c>
      <c r="ED66" t="e">
        <f>AND(#REF!,"AAAAAH/t9oU=")</f>
        <v>#REF!</v>
      </c>
      <c r="EE66" t="e">
        <f>AND(#REF!,"AAAAAH/t9oY=")</f>
        <v>#REF!</v>
      </c>
      <c r="EF66" t="e">
        <f>AND(#REF!,"AAAAAH/t9oc=")</f>
        <v>#REF!</v>
      </c>
      <c r="EG66" t="e">
        <f>AND(#REF!,"AAAAAH/t9og=")</f>
        <v>#REF!</v>
      </c>
      <c r="EH66" t="e">
        <f>AND(#REF!,"AAAAAH/t9ok=")</f>
        <v>#REF!</v>
      </c>
      <c r="EI66" t="e">
        <f>AND(#REF!,"AAAAAH/t9oo=")</f>
        <v>#REF!</v>
      </c>
      <c r="EJ66" t="e">
        <f>AND(#REF!,"AAAAAH/t9os=")</f>
        <v>#REF!</v>
      </c>
      <c r="EK66" t="e">
        <f>AND(#REF!,"AAAAAH/t9ow=")</f>
        <v>#REF!</v>
      </c>
      <c r="EL66" t="e">
        <f>AND(#REF!,"AAAAAH/t9o0=")</f>
        <v>#REF!</v>
      </c>
      <c r="EM66" t="e">
        <f>AND(#REF!,"AAAAAH/t9o4=")</f>
        <v>#REF!</v>
      </c>
      <c r="EN66" t="e">
        <f>AND(#REF!,"AAAAAH/t9o8=")</f>
        <v>#REF!</v>
      </c>
      <c r="EO66" t="e">
        <f>AND(#REF!,"AAAAAH/t9pA=")</f>
        <v>#REF!</v>
      </c>
      <c r="EP66" t="e">
        <f>AND(#REF!,"AAAAAH/t9pE=")</f>
        <v>#REF!</v>
      </c>
      <c r="EQ66" t="e">
        <f>AND(#REF!,"AAAAAH/t9pI=")</f>
        <v>#REF!</v>
      </c>
      <c r="ER66" t="e">
        <f>AND(#REF!,"AAAAAH/t9pM=")</f>
        <v>#REF!</v>
      </c>
      <c r="ES66" t="e">
        <f>AND(#REF!,"AAAAAH/t9pQ=")</f>
        <v>#REF!</v>
      </c>
      <c r="ET66" t="e">
        <f>AND(#REF!,"AAAAAH/t9pU=")</f>
        <v>#REF!</v>
      </c>
      <c r="EU66" t="e">
        <f>AND(#REF!,"AAAAAH/t9pY=")</f>
        <v>#REF!</v>
      </c>
      <c r="EV66" t="e">
        <f>AND(#REF!,"AAAAAH/t9pc=")</f>
        <v>#REF!</v>
      </c>
      <c r="EW66" t="e">
        <f>AND(#REF!,"AAAAAH/t9pg=")</f>
        <v>#REF!</v>
      </c>
      <c r="EX66" t="e">
        <f>AND(#REF!,"AAAAAH/t9pk=")</f>
        <v>#REF!</v>
      </c>
      <c r="EY66" t="e">
        <f>AND(#REF!,"AAAAAH/t9po=")</f>
        <v>#REF!</v>
      </c>
      <c r="EZ66" t="e">
        <f>AND(#REF!,"AAAAAH/t9ps=")</f>
        <v>#REF!</v>
      </c>
      <c r="FA66" t="e">
        <f>AND(#REF!,"AAAAAH/t9pw=")</f>
        <v>#REF!</v>
      </c>
      <c r="FB66" t="e">
        <f>AND(#REF!,"AAAAAH/t9p0=")</f>
        <v>#REF!</v>
      </c>
      <c r="FC66" t="e">
        <f>AND(#REF!,"AAAAAH/t9p4=")</f>
        <v>#REF!</v>
      </c>
      <c r="FD66" t="e">
        <f>AND(#REF!,"AAAAAH/t9p8=")</f>
        <v>#REF!</v>
      </c>
      <c r="FE66" t="e">
        <f>AND(#REF!,"AAAAAH/t9qA=")</f>
        <v>#REF!</v>
      </c>
      <c r="FF66" t="e">
        <f>AND(#REF!,"AAAAAH/t9qE=")</f>
        <v>#REF!</v>
      </c>
      <c r="FG66" t="e">
        <f>AND(#REF!,"AAAAAH/t9qI=")</f>
        <v>#REF!</v>
      </c>
      <c r="FH66" t="e">
        <f>AND(#REF!,"AAAAAH/t9qM=")</f>
        <v>#REF!</v>
      </c>
      <c r="FI66" t="e">
        <f>AND(#REF!,"AAAAAH/t9qQ=")</f>
        <v>#REF!</v>
      </c>
      <c r="FJ66" t="e">
        <f>AND(#REF!,"AAAAAH/t9qU=")</f>
        <v>#REF!</v>
      </c>
      <c r="FK66" t="e">
        <f>AND(#REF!,"AAAAAH/t9qY=")</f>
        <v>#REF!</v>
      </c>
      <c r="FL66" t="e">
        <f>AND(#REF!,"AAAAAH/t9qc=")</f>
        <v>#REF!</v>
      </c>
      <c r="FM66" t="e">
        <f>AND(#REF!,"AAAAAH/t9qg=")</f>
        <v>#REF!</v>
      </c>
      <c r="FN66" t="e">
        <f>AND(#REF!,"AAAAAH/t9qk=")</f>
        <v>#REF!</v>
      </c>
      <c r="FO66" t="e">
        <f>AND(#REF!,"AAAAAH/t9qo=")</f>
        <v>#REF!</v>
      </c>
      <c r="FP66" t="e">
        <f>AND(#REF!,"AAAAAH/t9qs=")</f>
        <v>#REF!</v>
      </c>
      <c r="FQ66" t="e">
        <f>AND(#REF!,"AAAAAH/t9qw=")</f>
        <v>#REF!</v>
      </c>
      <c r="FR66" t="e">
        <f>AND(#REF!,"AAAAAH/t9q0=")</f>
        <v>#REF!</v>
      </c>
      <c r="FS66" t="e">
        <f>AND(#REF!,"AAAAAH/t9q4=")</f>
        <v>#REF!</v>
      </c>
      <c r="FT66" t="e">
        <f>AND(#REF!,"AAAAAH/t9q8=")</f>
        <v>#REF!</v>
      </c>
      <c r="FU66" t="e">
        <f>AND(#REF!,"AAAAAH/t9rA=")</f>
        <v>#REF!</v>
      </c>
      <c r="FV66" t="e">
        <f>AND(#REF!,"AAAAAH/t9rE=")</f>
        <v>#REF!</v>
      </c>
      <c r="FW66" t="e">
        <f>AND(#REF!,"AAAAAH/t9rI=")</f>
        <v>#REF!</v>
      </c>
      <c r="FX66" t="e">
        <f>AND(#REF!,"AAAAAH/t9rM=")</f>
        <v>#REF!</v>
      </c>
      <c r="FY66" t="e">
        <f>AND(#REF!,"AAAAAH/t9rQ=")</f>
        <v>#REF!</v>
      </c>
      <c r="FZ66" t="e">
        <f>AND(#REF!,"AAAAAH/t9rU=")</f>
        <v>#REF!</v>
      </c>
      <c r="GA66" t="e">
        <f>AND(#REF!,"AAAAAH/t9rY=")</f>
        <v>#REF!</v>
      </c>
      <c r="GB66" t="e">
        <f>AND(#REF!,"AAAAAH/t9rc=")</f>
        <v>#REF!</v>
      </c>
      <c r="GC66" t="e">
        <f>AND(#REF!,"AAAAAH/t9rg=")</f>
        <v>#REF!</v>
      </c>
      <c r="GD66" t="e">
        <f>AND(#REF!,"AAAAAH/t9rk=")</f>
        <v>#REF!</v>
      </c>
      <c r="GE66" t="e">
        <f>AND(#REF!,"AAAAAH/t9ro=")</f>
        <v>#REF!</v>
      </c>
      <c r="GF66" t="e">
        <f>AND(#REF!,"AAAAAH/t9rs=")</f>
        <v>#REF!</v>
      </c>
      <c r="GG66" t="e">
        <f>AND(#REF!,"AAAAAH/t9rw=")</f>
        <v>#REF!</v>
      </c>
      <c r="GH66" t="e">
        <f>AND(#REF!,"AAAAAH/t9r0=")</f>
        <v>#REF!</v>
      </c>
      <c r="GI66" t="e">
        <f>AND(#REF!,"AAAAAH/t9r4=")</f>
        <v>#REF!</v>
      </c>
      <c r="GJ66" t="e">
        <f>AND(#REF!,"AAAAAH/t9r8=")</f>
        <v>#REF!</v>
      </c>
      <c r="GK66" t="e">
        <f>AND(#REF!,"AAAAAH/t9sA=")</f>
        <v>#REF!</v>
      </c>
      <c r="GL66" t="e">
        <f>AND(#REF!,"AAAAAH/t9sE=")</f>
        <v>#REF!</v>
      </c>
      <c r="GM66" t="e">
        <f>AND(#REF!,"AAAAAH/t9sI=")</f>
        <v>#REF!</v>
      </c>
      <c r="GN66" t="e">
        <f>AND(#REF!,"AAAAAH/t9sM=")</f>
        <v>#REF!</v>
      </c>
      <c r="GO66" t="e">
        <f>AND(#REF!,"AAAAAH/t9sQ=")</f>
        <v>#REF!</v>
      </c>
      <c r="GP66" t="e">
        <f>AND(#REF!,"AAAAAH/t9sU=")</f>
        <v>#REF!</v>
      </c>
      <c r="GQ66" t="e">
        <f>AND(#REF!,"AAAAAH/t9sY=")</f>
        <v>#REF!</v>
      </c>
      <c r="GR66" t="e">
        <f>AND(#REF!,"AAAAAH/t9sc=")</f>
        <v>#REF!</v>
      </c>
      <c r="GS66" t="e">
        <f>AND(#REF!,"AAAAAH/t9sg=")</f>
        <v>#REF!</v>
      </c>
      <c r="GT66" t="e">
        <f>AND(#REF!,"AAAAAH/t9sk=")</f>
        <v>#REF!</v>
      </c>
      <c r="GU66" t="e">
        <f>AND(#REF!,"AAAAAH/t9so=")</f>
        <v>#REF!</v>
      </c>
      <c r="GV66" t="e">
        <f>AND(#REF!,"AAAAAH/t9ss=")</f>
        <v>#REF!</v>
      </c>
      <c r="GW66" t="e">
        <f>AND(#REF!,"AAAAAH/t9sw=")</f>
        <v>#REF!</v>
      </c>
      <c r="GX66" t="e">
        <f>AND(#REF!,"AAAAAH/t9s0=")</f>
        <v>#REF!</v>
      </c>
      <c r="GY66" t="e">
        <f>AND(#REF!,"AAAAAH/t9s4=")</f>
        <v>#REF!</v>
      </c>
      <c r="GZ66" t="e">
        <f>AND(#REF!,"AAAAAH/t9s8=")</f>
        <v>#REF!</v>
      </c>
      <c r="HA66" t="e">
        <f>AND(#REF!,"AAAAAH/t9tA=")</f>
        <v>#REF!</v>
      </c>
      <c r="HB66" t="e">
        <f>AND(#REF!,"AAAAAH/t9tE=")</f>
        <v>#REF!</v>
      </c>
      <c r="HC66" t="e">
        <f>IF(#REF!,"AAAAAH/t9tI=",0)</f>
        <v>#REF!</v>
      </c>
      <c r="HD66" t="e">
        <f>AND(#REF!,"AAAAAH/t9tM=")</f>
        <v>#REF!</v>
      </c>
      <c r="HE66" t="e">
        <f>AND(#REF!,"AAAAAH/t9tQ=")</f>
        <v>#REF!</v>
      </c>
      <c r="HF66" t="e">
        <f>AND(#REF!,"AAAAAH/t9tU=")</f>
        <v>#REF!</v>
      </c>
      <c r="HG66" t="e">
        <f>AND(#REF!,"AAAAAH/t9tY=")</f>
        <v>#REF!</v>
      </c>
      <c r="HH66" t="e">
        <f>AND(#REF!,"AAAAAH/t9tc=")</f>
        <v>#REF!</v>
      </c>
      <c r="HI66" t="e">
        <f>AND(#REF!,"AAAAAH/t9tg=")</f>
        <v>#REF!</v>
      </c>
      <c r="HJ66" t="e">
        <f>AND(#REF!,"AAAAAH/t9tk=")</f>
        <v>#REF!</v>
      </c>
      <c r="HK66" t="e">
        <f>AND(#REF!,"AAAAAH/t9to=")</f>
        <v>#REF!</v>
      </c>
      <c r="HL66" t="e">
        <f>AND(#REF!,"AAAAAH/t9ts=")</f>
        <v>#REF!</v>
      </c>
      <c r="HM66" t="e">
        <f>AND(#REF!,"AAAAAH/t9tw=")</f>
        <v>#REF!</v>
      </c>
      <c r="HN66" t="e">
        <f>AND(#REF!,"AAAAAH/t9t0=")</f>
        <v>#REF!</v>
      </c>
      <c r="HO66" t="e">
        <f>AND(#REF!,"AAAAAH/t9t4=")</f>
        <v>#REF!</v>
      </c>
      <c r="HP66" t="e">
        <f>AND(#REF!,"AAAAAH/t9t8=")</f>
        <v>#REF!</v>
      </c>
      <c r="HQ66" t="e">
        <f>AND(#REF!,"AAAAAH/t9uA=")</f>
        <v>#REF!</v>
      </c>
      <c r="HR66" t="e">
        <f>AND(#REF!,"AAAAAH/t9uE=")</f>
        <v>#REF!</v>
      </c>
      <c r="HS66" t="e">
        <f>AND(#REF!,"AAAAAH/t9uI=")</f>
        <v>#REF!</v>
      </c>
      <c r="HT66" t="e">
        <f>AND(#REF!,"AAAAAH/t9uM=")</f>
        <v>#REF!</v>
      </c>
      <c r="HU66" t="e">
        <f>AND(#REF!,"AAAAAH/t9uQ=")</f>
        <v>#REF!</v>
      </c>
      <c r="HV66" t="e">
        <f>AND(#REF!,"AAAAAH/t9uU=")</f>
        <v>#REF!</v>
      </c>
      <c r="HW66" t="e">
        <f>AND(#REF!,"AAAAAH/t9uY=")</f>
        <v>#REF!</v>
      </c>
      <c r="HX66" t="e">
        <f>AND(#REF!,"AAAAAH/t9uc=")</f>
        <v>#REF!</v>
      </c>
      <c r="HY66" t="e">
        <f>AND(#REF!,"AAAAAH/t9ug=")</f>
        <v>#REF!</v>
      </c>
      <c r="HZ66" t="e">
        <f>AND(#REF!,"AAAAAH/t9uk=")</f>
        <v>#REF!</v>
      </c>
      <c r="IA66" t="e">
        <f>AND(#REF!,"AAAAAH/t9uo=")</f>
        <v>#REF!</v>
      </c>
      <c r="IB66" t="e">
        <f>AND(#REF!,"AAAAAH/t9us=")</f>
        <v>#REF!</v>
      </c>
      <c r="IC66" t="e">
        <f>AND(#REF!,"AAAAAH/t9uw=")</f>
        <v>#REF!</v>
      </c>
      <c r="ID66" t="e">
        <f>AND(#REF!,"AAAAAH/t9u0=")</f>
        <v>#REF!</v>
      </c>
      <c r="IE66" t="e">
        <f>AND(#REF!,"AAAAAH/t9u4=")</f>
        <v>#REF!</v>
      </c>
      <c r="IF66" t="e">
        <f>AND(#REF!,"AAAAAH/t9u8=")</f>
        <v>#REF!</v>
      </c>
      <c r="IG66" t="e">
        <f>AND(#REF!,"AAAAAH/t9vA=")</f>
        <v>#REF!</v>
      </c>
      <c r="IH66" t="e">
        <f>AND(#REF!,"AAAAAH/t9vE=")</f>
        <v>#REF!</v>
      </c>
      <c r="II66" t="e">
        <f>AND(#REF!,"AAAAAH/t9vI=")</f>
        <v>#REF!</v>
      </c>
      <c r="IJ66" t="e">
        <f>AND(#REF!,"AAAAAH/t9vM=")</f>
        <v>#REF!</v>
      </c>
      <c r="IK66" t="e">
        <f>AND(#REF!,"AAAAAH/t9vQ=")</f>
        <v>#REF!</v>
      </c>
      <c r="IL66" t="e">
        <f>AND(#REF!,"AAAAAH/t9vU=")</f>
        <v>#REF!</v>
      </c>
      <c r="IM66" t="e">
        <f>AND(#REF!,"AAAAAH/t9vY=")</f>
        <v>#REF!</v>
      </c>
      <c r="IN66" t="e">
        <f>AND(#REF!,"AAAAAH/t9vc=")</f>
        <v>#REF!</v>
      </c>
      <c r="IO66" t="e">
        <f>AND(#REF!,"AAAAAH/t9vg=")</f>
        <v>#REF!</v>
      </c>
      <c r="IP66" t="e">
        <f>AND(#REF!,"AAAAAH/t9vk=")</f>
        <v>#REF!</v>
      </c>
      <c r="IQ66" t="e">
        <f>AND(#REF!,"AAAAAH/t9vo=")</f>
        <v>#REF!</v>
      </c>
      <c r="IR66" t="e">
        <f>AND(#REF!,"AAAAAH/t9vs=")</f>
        <v>#REF!</v>
      </c>
      <c r="IS66" t="e">
        <f>AND(#REF!,"AAAAAH/t9vw=")</f>
        <v>#REF!</v>
      </c>
      <c r="IT66" t="e">
        <f>AND(#REF!,"AAAAAH/t9v0=")</f>
        <v>#REF!</v>
      </c>
      <c r="IU66" t="e">
        <f>AND(#REF!,"AAAAAH/t9v4=")</f>
        <v>#REF!</v>
      </c>
      <c r="IV66" t="e">
        <f>AND(#REF!,"AAAAAH/t9v8=")</f>
        <v>#REF!</v>
      </c>
    </row>
    <row r="67" spans="1:256" x14ac:dyDescent="0.2">
      <c r="A67" t="e">
        <f>AND(#REF!,"AAAAAH/tpgA=")</f>
        <v>#REF!</v>
      </c>
      <c r="B67" t="e">
        <f>AND(#REF!,"AAAAAH/tpgE=")</f>
        <v>#REF!</v>
      </c>
      <c r="C67" t="e">
        <f>AND(#REF!,"AAAAAH/tpgI=")</f>
        <v>#REF!</v>
      </c>
      <c r="D67" t="e">
        <f>AND(#REF!,"AAAAAH/tpgM=")</f>
        <v>#REF!</v>
      </c>
      <c r="E67" t="e">
        <f>AND(#REF!,"AAAAAH/tpgQ=")</f>
        <v>#REF!</v>
      </c>
      <c r="F67" t="e">
        <f>AND(#REF!,"AAAAAH/tpgU=")</f>
        <v>#REF!</v>
      </c>
      <c r="G67" t="e">
        <f>AND(#REF!,"AAAAAH/tpgY=")</f>
        <v>#REF!</v>
      </c>
      <c r="H67" t="e">
        <f>AND(#REF!,"AAAAAH/tpgc=")</f>
        <v>#REF!</v>
      </c>
      <c r="I67" t="e">
        <f>AND(#REF!,"AAAAAH/tpgg=")</f>
        <v>#REF!</v>
      </c>
      <c r="J67" t="e">
        <f>AND(#REF!,"AAAAAH/tpgk=")</f>
        <v>#REF!</v>
      </c>
      <c r="K67" t="e">
        <f>AND(#REF!,"AAAAAH/tpgo=")</f>
        <v>#REF!</v>
      </c>
      <c r="L67" t="e">
        <f>AND(#REF!,"AAAAAH/tpgs=")</f>
        <v>#REF!</v>
      </c>
      <c r="M67" t="e">
        <f>AND(#REF!,"AAAAAH/tpgw=")</f>
        <v>#REF!</v>
      </c>
      <c r="N67" t="e">
        <f>AND(#REF!,"AAAAAH/tpg0=")</f>
        <v>#REF!</v>
      </c>
      <c r="O67" t="e">
        <f>AND(#REF!,"AAAAAH/tpg4=")</f>
        <v>#REF!</v>
      </c>
      <c r="P67" t="e">
        <f>AND(#REF!,"AAAAAH/tpg8=")</f>
        <v>#REF!</v>
      </c>
      <c r="Q67" t="e">
        <f>AND(#REF!,"AAAAAH/tphA=")</f>
        <v>#REF!</v>
      </c>
      <c r="R67" t="e">
        <f>AND(#REF!,"AAAAAH/tphE=")</f>
        <v>#REF!</v>
      </c>
      <c r="S67" t="e">
        <f>AND(#REF!,"AAAAAH/tphI=")</f>
        <v>#REF!</v>
      </c>
      <c r="T67" t="e">
        <f>AND(#REF!,"AAAAAH/tphM=")</f>
        <v>#REF!</v>
      </c>
      <c r="U67" t="e">
        <f>AND(#REF!,"AAAAAH/tphQ=")</f>
        <v>#REF!</v>
      </c>
      <c r="V67" t="e">
        <f>AND(#REF!,"AAAAAH/tphU=")</f>
        <v>#REF!</v>
      </c>
      <c r="W67" t="e">
        <f>AND(#REF!,"AAAAAH/tphY=")</f>
        <v>#REF!</v>
      </c>
      <c r="X67" t="e">
        <f>AND(#REF!,"AAAAAH/tphc=")</f>
        <v>#REF!</v>
      </c>
      <c r="Y67" t="e">
        <f>AND(#REF!,"AAAAAH/tphg=")</f>
        <v>#REF!</v>
      </c>
      <c r="Z67" t="e">
        <f>AND(#REF!,"AAAAAH/tphk=")</f>
        <v>#REF!</v>
      </c>
      <c r="AA67" t="e">
        <f>AND(#REF!,"AAAAAH/tpho=")</f>
        <v>#REF!</v>
      </c>
      <c r="AB67" t="e">
        <f>AND(#REF!,"AAAAAH/tphs=")</f>
        <v>#REF!</v>
      </c>
      <c r="AC67" t="e">
        <f>AND(#REF!,"AAAAAH/tphw=")</f>
        <v>#REF!</v>
      </c>
      <c r="AD67" t="e">
        <f>AND(#REF!,"AAAAAH/tph0=")</f>
        <v>#REF!</v>
      </c>
      <c r="AE67" t="e">
        <f>AND(#REF!,"AAAAAH/tph4=")</f>
        <v>#REF!</v>
      </c>
      <c r="AF67" t="e">
        <f>AND(#REF!,"AAAAAH/tph8=")</f>
        <v>#REF!</v>
      </c>
      <c r="AG67" t="e">
        <f>AND(#REF!,"AAAAAH/tpiA=")</f>
        <v>#REF!</v>
      </c>
      <c r="AH67" t="e">
        <f>AND(#REF!,"AAAAAH/tpiE=")</f>
        <v>#REF!</v>
      </c>
      <c r="AI67" t="e">
        <f>AND(#REF!,"AAAAAH/tpiI=")</f>
        <v>#REF!</v>
      </c>
      <c r="AJ67" t="e">
        <f>AND(#REF!,"AAAAAH/tpiM=")</f>
        <v>#REF!</v>
      </c>
      <c r="AK67" t="e">
        <f>AND(#REF!,"AAAAAH/tpiQ=")</f>
        <v>#REF!</v>
      </c>
      <c r="AL67" t="e">
        <f>AND(#REF!,"AAAAAH/tpiU=")</f>
        <v>#REF!</v>
      </c>
      <c r="AM67" t="e">
        <f>AND(#REF!,"AAAAAH/tpiY=")</f>
        <v>#REF!</v>
      </c>
      <c r="AN67" t="e">
        <f>AND(#REF!,"AAAAAH/tpic=")</f>
        <v>#REF!</v>
      </c>
      <c r="AO67" t="e">
        <f>AND(#REF!,"AAAAAH/tpig=")</f>
        <v>#REF!</v>
      </c>
      <c r="AP67" t="e">
        <f>AND(#REF!,"AAAAAH/tpik=")</f>
        <v>#REF!</v>
      </c>
      <c r="AQ67" t="e">
        <f>AND(#REF!,"AAAAAH/tpio=")</f>
        <v>#REF!</v>
      </c>
      <c r="AR67" t="e">
        <f>AND(#REF!,"AAAAAH/tpis=")</f>
        <v>#REF!</v>
      </c>
      <c r="AS67" t="e">
        <f>AND(#REF!,"AAAAAH/tpiw=")</f>
        <v>#REF!</v>
      </c>
      <c r="AT67" t="e">
        <f>AND(#REF!,"AAAAAH/tpi0=")</f>
        <v>#REF!</v>
      </c>
      <c r="AU67" t="e">
        <f>AND(#REF!,"AAAAAH/tpi4=")</f>
        <v>#REF!</v>
      </c>
      <c r="AV67" t="e">
        <f>AND(#REF!,"AAAAAH/tpi8=")</f>
        <v>#REF!</v>
      </c>
      <c r="AW67" t="e">
        <f>AND(#REF!,"AAAAAH/tpjA=")</f>
        <v>#REF!</v>
      </c>
      <c r="AX67" t="e">
        <f>AND(#REF!,"AAAAAH/tpjE=")</f>
        <v>#REF!</v>
      </c>
      <c r="AY67" t="e">
        <f>AND(#REF!,"AAAAAH/tpjI=")</f>
        <v>#REF!</v>
      </c>
      <c r="AZ67" t="e">
        <f>AND(#REF!,"AAAAAH/tpjM=")</f>
        <v>#REF!</v>
      </c>
      <c r="BA67" t="e">
        <f>AND(#REF!,"AAAAAH/tpjQ=")</f>
        <v>#REF!</v>
      </c>
      <c r="BB67" t="e">
        <f>AND(#REF!,"AAAAAH/tpjU=")</f>
        <v>#REF!</v>
      </c>
      <c r="BC67" t="e">
        <f>AND(#REF!,"AAAAAH/tpjY=")</f>
        <v>#REF!</v>
      </c>
      <c r="BD67" t="e">
        <f>AND(#REF!,"AAAAAH/tpjc=")</f>
        <v>#REF!</v>
      </c>
      <c r="BE67" t="e">
        <f>AND(#REF!,"AAAAAH/tpjg=")</f>
        <v>#REF!</v>
      </c>
      <c r="BF67" t="e">
        <f>AND(#REF!,"AAAAAH/tpjk=")</f>
        <v>#REF!</v>
      </c>
      <c r="BG67" t="e">
        <f>AND(#REF!,"AAAAAH/tpjo=")</f>
        <v>#REF!</v>
      </c>
      <c r="BH67" t="e">
        <f>AND(#REF!,"AAAAAH/tpjs=")</f>
        <v>#REF!</v>
      </c>
      <c r="BI67" t="e">
        <f>AND(#REF!,"AAAAAH/tpjw=")</f>
        <v>#REF!</v>
      </c>
      <c r="BJ67" t="e">
        <f>AND(#REF!,"AAAAAH/tpj0=")</f>
        <v>#REF!</v>
      </c>
      <c r="BK67" t="e">
        <f>AND(#REF!,"AAAAAH/tpj4=")</f>
        <v>#REF!</v>
      </c>
      <c r="BL67" t="e">
        <f>AND(#REF!,"AAAAAH/tpj8=")</f>
        <v>#REF!</v>
      </c>
      <c r="BM67" t="e">
        <f>AND(#REF!,"AAAAAH/tpkA=")</f>
        <v>#REF!</v>
      </c>
      <c r="BN67" t="e">
        <f>AND(#REF!,"AAAAAH/tpkE=")</f>
        <v>#REF!</v>
      </c>
      <c r="BO67" t="e">
        <f>AND(#REF!,"AAAAAH/tpkI=")</f>
        <v>#REF!</v>
      </c>
      <c r="BP67" t="e">
        <f>AND(#REF!,"AAAAAH/tpkM=")</f>
        <v>#REF!</v>
      </c>
      <c r="BQ67" t="e">
        <f>AND(#REF!,"AAAAAH/tpkQ=")</f>
        <v>#REF!</v>
      </c>
      <c r="BR67" t="e">
        <f>AND(#REF!,"AAAAAH/tpkU=")</f>
        <v>#REF!</v>
      </c>
      <c r="BS67" t="e">
        <f>AND(#REF!,"AAAAAH/tpkY=")</f>
        <v>#REF!</v>
      </c>
      <c r="BT67" t="e">
        <f>AND(#REF!,"AAAAAH/tpkc=")</f>
        <v>#REF!</v>
      </c>
      <c r="BU67" t="e">
        <f>AND(#REF!,"AAAAAH/tpkg=")</f>
        <v>#REF!</v>
      </c>
      <c r="BV67" t="e">
        <f>AND(#REF!,"AAAAAH/tpkk=")</f>
        <v>#REF!</v>
      </c>
      <c r="BW67" t="e">
        <f>AND(#REF!,"AAAAAH/tpko=")</f>
        <v>#REF!</v>
      </c>
      <c r="BX67" t="e">
        <f>AND(#REF!,"AAAAAH/tpks=")</f>
        <v>#REF!</v>
      </c>
      <c r="BY67" t="e">
        <f>AND(#REF!,"AAAAAH/tpkw=")</f>
        <v>#REF!</v>
      </c>
      <c r="BZ67" t="e">
        <f>AND(#REF!,"AAAAAH/tpk0=")</f>
        <v>#REF!</v>
      </c>
      <c r="CA67" t="e">
        <f>AND(#REF!,"AAAAAH/tpk4=")</f>
        <v>#REF!</v>
      </c>
      <c r="CB67" t="e">
        <f>AND(#REF!,"AAAAAH/tpk8=")</f>
        <v>#REF!</v>
      </c>
      <c r="CC67" t="e">
        <f>AND(#REF!,"AAAAAH/tplA=")</f>
        <v>#REF!</v>
      </c>
      <c r="CD67" t="e">
        <f>AND(#REF!,"AAAAAH/tplE=")</f>
        <v>#REF!</v>
      </c>
      <c r="CE67" t="e">
        <f>AND(#REF!,"AAAAAH/tplI=")</f>
        <v>#REF!</v>
      </c>
      <c r="CF67" t="e">
        <f>AND(#REF!,"AAAAAH/tplM=")</f>
        <v>#REF!</v>
      </c>
      <c r="CG67" t="e">
        <f>AND(#REF!,"AAAAAH/tplQ=")</f>
        <v>#REF!</v>
      </c>
      <c r="CH67" t="e">
        <f>AND(#REF!,"AAAAAH/tplU=")</f>
        <v>#REF!</v>
      </c>
      <c r="CI67" t="e">
        <f>AND(#REF!,"AAAAAH/tplY=")</f>
        <v>#REF!</v>
      </c>
      <c r="CJ67" t="e">
        <f>AND(#REF!,"AAAAAH/tplc=")</f>
        <v>#REF!</v>
      </c>
      <c r="CK67" t="e">
        <f>AND(#REF!,"AAAAAH/tplg=")</f>
        <v>#REF!</v>
      </c>
      <c r="CL67" t="e">
        <f>AND(#REF!,"AAAAAH/tplk=")</f>
        <v>#REF!</v>
      </c>
      <c r="CM67" t="e">
        <f>AND(#REF!,"AAAAAH/tplo=")</f>
        <v>#REF!</v>
      </c>
      <c r="CN67" t="e">
        <f>AND(#REF!,"AAAAAH/tpls=")</f>
        <v>#REF!</v>
      </c>
      <c r="CO67" t="e">
        <f>AND(#REF!,"AAAAAH/tplw=")</f>
        <v>#REF!</v>
      </c>
      <c r="CP67" t="e">
        <f>AND(#REF!,"AAAAAH/tpl0=")</f>
        <v>#REF!</v>
      </c>
      <c r="CQ67" t="e">
        <f>AND(#REF!,"AAAAAH/tpl4=")</f>
        <v>#REF!</v>
      </c>
      <c r="CR67" t="e">
        <f>AND(#REF!,"AAAAAH/tpl8=")</f>
        <v>#REF!</v>
      </c>
      <c r="CS67" t="e">
        <f>AND(#REF!,"AAAAAH/tpmA=")</f>
        <v>#REF!</v>
      </c>
      <c r="CT67" t="e">
        <f>AND(#REF!,"AAAAAH/tpmE=")</f>
        <v>#REF!</v>
      </c>
      <c r="CU67" t="e">
        <f>AND(#REF!,"AAAAAH/tpmI=")</f>
        <v>#REF!</v>
      </c>
      <c r="CV67" t="e">
        <f>AND(#REF!,"AAAAAH/tpmM=")</f>
        <v>#REF!</v>
      </c>
      <c r="CW67" t="e">
        <f>AND(#REF!,"AAAAAH/tpmQ=")</f>
        <v>#REF!</v>
      </c>
      <c r="CX67" t="e">
        <f>AND(#REF!,"AAAAAH/tpmU=")</f>
        <v>#REF!</v>
      </c>
      <c r="CY67" t="e">
        <f>AND(#REF!,"AAAAAH/tpmY=")</f>
        <v>#REF!</v>
      </c>
      <c r="CZ67" t="e">
        <f>AND(#REF!,"AAAAAH/tpmc=")</f>
        <v>#REF!</v>
      </c>
      <c r="DA67" t="e">
        <f>AND(#REF!,"AAAAAH/tpmg=")</f>
        <v>#REF!</v>
      </c>
      <c r="DB67" t="e">
        <f>AND(#REF!,"AAAAAH/tpmk=")</f>
        <v>#REF!</v>
      </c>
      <c r="DC67" t="e">
        <f>AND(#REF!,"AAAAAH/tpmo=")</f>
        <v>#REF!</v>
      </c>
      <c r="DD67" t="e">
        <f>AND(#REF!,"AAAAAH/tpms=")</f>
        <v>#REF!</v>
      </c>
      <c r="DE67" t="e">
        <f>AND(#REF!,"AAAAAH/tpmw=")</f>
        <v>#REF!</v>
      </c>
      <c r="DF67" t="e">
        <f>AND(#REF!,"AAAAAH/tpm0=")</f>
        <v>#REF!</v>
      </c>
      <c r="DG67" t="e">
        <f>AND(#REF!,"AAAAAH/tpm4=")</f>
        <v>#REF!</v>
      </c>
      <c r="DH67" t="e">
        <f>AND(#REF!,"AAAAAH/tpm8=")</f>
        <v>#REF!</v>
      </c>
      <c r="DI67" t="e">
        <f>AND(#REF!,"AAAAAH/tpnA=")</f>
        <v>#REF!</v>
      </c>
      <c r="DJ67" t="e">
        <f>AND(#REF!,"AAAAAH/tpnE=")</f>
        <v>#REF!</v>
      </c>
      <c r="DK67" t="e">
        <f>AND(#REF!,"AAAAAH/tpnI=")</f>
        <v>#REF!</v>
      </c>
      <c r="DL67" t="e">
        <f>AND(#REF!,"AAAAAH/tpnM=")</f>
        <v>#REF!</v>
      </c>
      <c r="DM67" t="e">
        <f>AND(#REF!,"AAAAAH/tpnQ=")</f>
        <v>#REF!</v>
      </c>
      <c r="DN67" t="e">
        <f>AND(#REF!,"AAAAAH/tpnU=")</f>
        <v>#REF!</v>
      </c>
      <c r="DO67" t="e">
        <f>AND(#REF!,"AAAAAH/tpnY=")</f>
        <v>#REF!</v>
      </c>
      <c r="DP67" t="e">
        <f>AND(#REF!,"AAAAAH/tpnc=")</f>
        <v>#REF!</v>
      </c>
      <c r="DQ67" t="e">
        <f>AND(#REF!,"AAAAAH/tpng=")</f>
        <v>#REF!</v>
      </c>
      <c r="DR67" t="e">
        <f>AND(#REF!,"AAAAAH/tpnk=")</f>
        <v>#REF!</v>
      </c>
      <c r="DS67" t="e">
        <f>AND(#REF!,"AAAAAH/tpno=")</f>
        <v>#REF!</v>
      </c>
      <c r="DT67" t="e">
        <f>AND(#REF!,"AAAAAH/tpns=")</f>
        <v>#REF!</v>
      </c>
      <c r="DU67" t="e">
        <f>AND(#REF!,"AAAAAH/tpnw=")</f>
        <v>#REF!</v>
      </c>
      <c r="DV67" t="e">
        <f>AND(#REF!,"AAAAAH/tpn0=")</f>
        <v>#REF!</v>
      </c>
      <c r="DW67" t="e">
        <f>AND(#REF!,"AAAAAH/tpn4=")</f>
        <v>#REF!</v>
      </c>
      <c r="DX67" t="e">
        <f>AND(#REF!,"AAAAAH/tpn8=")</f>
        <v>#REF!</v>
      </c>
      <c r="DY67" t="e">
        <f>AND(#REF!,"AAAAAH/tpoA=")</f>
        <v>#REF!</v>
      </c>
      <c r="DZ67" t="e">
        <f>AND(#REF!,"AAAAAH/tpoE=")</f>
        <v>#REF!</v>
      </c>
      <c r="EA67" t="e">
        <f>AND(#REF!,"AAAAAH/tpoI=")</f>
        <v>#REF!</v>
      </c>
      <c r="EB67" t="e">
        <f>AND(#REF!,"AAAAAH/tpoM=")</f>
        <v>#REF!</v>
      </c>
      <c r="EC67" t="e">
        <f>AND(#REF!,"AAAAAH/tpoQ=")</f>
        <v>#REF!</v>
      </c>
      <c r="ED67" t="e">
        <f>AND(#REF!,"AAAAAH/tpoU=")</f>
        <v>#REF!</v>
      </c>
      <c r="EE67" t="e">
        <f>AND(#REF!,"AAAAAH/tpoY=")</f>
        <v>#REF!</v>
      </c>
      <c r="EF67" t="e">
        <f>IF(#REF!,"AAAAAH/tpoc=",0)</f>
        <v>#REF!</v>
      </c>
      <c r="EG67" t="e">
        <f>AND(#REF!,"AAAAAH/tpog=")</f>
        <v>#REF!</v>
      </c>
      <c r="EH67" t="e">
        <f>AND(#REF!,"AAAAAH/tpok=")</f>
        <v>#REF!</v>
      </c>
      <c r="EI67" t="e">
        <f>AND(#REF!,"AAAAAH/tpoo=")</f>
        <v>#REF!</v>
      </c>
      <c r="EJ67" t="e">
        <f>AND(#REF!,"AAAAAH/tpos=")</f>
        <v>#REF!</v>
      </c>
      <c r="EK67" t="e">
        <f>AND(#REF!,"AAAAAH/tpow=")</f>
        <v>#REF!</v>
      </c>
      <c r="EL67" t="e">
        <f>AND(#REF!,"AAAAAH/tpo0=")</f>
        <v>#REF!</v>
      </c>
      <c r="EM67" t="e">
        <f>AND(#REF!,"AAAAAH/tpo4=")</f>
        <v>#REF!</v>
      </c>
      <c r="EN67" t="e">
        <f>AND(#REF!,"AAAAAH/tpo8=")</f>
        <v>#REF!</v>
      </c>
      <c r="EO67" t="e">
        <f>AND(#REF!,"AAAAAH/tppA=")</f>
        <v>#REF!</v>
      </c>
      <c r="EP67" t="e">
        <f>AND(#REF!,"AAAAAH/tppE=")</f>
        <v>#REF!</v>
      </c>
      <c r="EQ67" t="e">
        <f>AND(#REF!,"AAAAAH/tppI=")</f>
        <v>#REF!</v>
      </c>
      <c r="ER67" t="e">
        <f>AND(#REF!,"AAAAAH/tppM=")</f>
        <v>#REF!</v>
      </c>
      <c r="ES67" t="e">
        <f>AND(#REF!,"AAAAAH/tppQ=")</f>
        <v>#REF!</v>
      </c>
      <c r="ET67" t="e">
        <f>AND(#REF!,"AAAAAH/tppU=")</f>
        <v>#REF!</v>
      </c>
      <c r="EU67" t="e">
        <f>AND(#REF!,"AAAAAH/tppY=")</f>
        <v>#REF!</v>
      </c>
      <c r="EV67" t="e">
        <f>AND(#REF!,"AAAAAH/tppc=")</f>
        <v>#REF!</v>
      </c>
      <c r="EW67" t="e">
        <f>AND(#REF!,"AAAAAH/tppg=")</f>
        <v>#REF!</v>
      </c>
      <c r="EX67" t="e">
        <f>AND(#REF!,"AAAAAH/tppk=")</f>
        <v>#REF!</v>
      </c>
      <c r="EY67" t="e">
        <f>AND(#REF!,"AAAAAH/tppo=")</f>
        <v>#REF!</v>
      </c>
      <c r="EZ67" t="e">
        <f>AND(#REF!,"AAAAAH/tpps=")</f>
        <v>#REF!</v>
      </c>
      <c r="FA67" t="e">
        <f>AND(#REF!,"AAAAAH/tppw=")</f>
        <v>#REF!</v>
      </c>
      <c r="FB67" t="e">
        <f>AND(#REF!,"AAAAAH/tpp0=")</f>
        <v>#REF!</v>
      </c>
      <c r="FC67" t="e">
        <f>AND(#REF!,"AAAAAH/tpp4=")</f>
        <v>#REF!</v>
      </c>
      <c r="FD67" t="e">
        <f>AND(#REF!,"AAAAAH/tpp8=")</f>
        <v>#REF!</v>
      </c>
      <c r="FE67" t="e">
        <f>AND(#REF!,"AAAAAH/tpqA=")</f>
        <v>#REF!</v>
      </c>
      <c r="FF67" t="e">
        <f>AND(#REF!,"AAAAAH/tpqE=")</f>
        <v>#REF!</v>
      </c>
      <c r="FG67" t="e">
        <f>AND(#REF!,"AAAAAH/tpqI=")</f>
        <v>#REF!</v>
      </c>
      <c r="FH67" t="e">
        <f>AND(#REF!,"AAAAAH/tpqM=")</f>
        <v>#REF!</v>
      </c>
      <c r="FI67" t="e">
        <f>AND(#REF!,"AAAAAH/tpqQ=")</f>
        <v>#REF!</v>
      </c>
      <c r="FJ67" t="e">
        <f>AND(#REF!,"AAAAAH/tpqU=")</f>
        <v>#REF!</v>
      </c>
      <c r="FK67" t="e">
        <f>AND(#REF!,"AAAAAH/tpqY=")</f>
        <v>#REF!</v>
      </c>
      <c r="FL67" t="e">
        <f>AND(#REF!,"AAAAAH/tpqc=")</f>
        <v>#REF!</v>
      </c>
      <c r="FM67" t="e">
        <f>AND(#REF!,"AAAAAH/tpqg=")</f>
        <v>#REF!</v>
      </c>
      <c r="FN67" t="e">
        <f>AND(#REF!,"AAAAAH/tpqk=")</f>
        <v>#REF!</v>
      </c>
      <c r="FO67" t="e">
        <f>AND(#REF!,"AAAAAH/tpqo=")</f>
        <v>#REF!</v>
      </c>
      <c r="FP67" t="e">
        <f>AND(#REF!,"AAAAAH/tpqs=")</f>
        <v>#REF!</v>
      </c>
      <c r="FQ67" t="e">
        <f>AND(#REF!,"AAAAAH/tpqw=")</f>
        <v>#REF!</v>
      </c>
      <c r="FR67" t="e">
        <f>AND(#REF!,"AAAAAH/tpq0=")</f>
        <v>#REF!</v>
      </c>
      <c r="FS67" t="e">
        <f>AND(#REF!,"AAAAAH/tpq4=")</f>
        <v>#REF!</v>
      </c>
      <c r="FT67" t="e">
        <f>AND(#REF!,"AAAAAH/tpq8=")</f>
        <v>#REF!</v>
      </c>
      <c r="FU67" t="e">
        <f>AND(#REF!,"AAAAAH/tprA=")</f>
        <v>#REF!</v>
      </c>
      <c r="FV67" t="e">
        <f>AND(#REF!,"AAAAAH/tprE=")</f>
        <v>#REF!</v>
      </c>
      <c r="FW67" t="e">
        <f>AND(#REF!,"AAAAAH/tprI=")</f>
        <v>#REF!</v>
      </c>
      <c r="FX67" t="e">
        <f>AND(#REF!,"AAAAAH/tprM=")</f>
        <v>#REF!</v>
      </c>
      <c r="FY67" t="e">
        <f>AND(#REF!,"AAAAAH/tprQ=")</f>
        <v>#REF!</v>
      </c>
      <c r="FZ67" t="e">
        <f>AND(#REF!,"AAAAAH/tprU=")</f>
        <v>#REF!</v>
      </c>
      <c r="GA67" t="e">
        <f>AND(#REF!,"AAAAAH/tprY=")</f>
        <v>#REF!</v>
      </c>
      <c r="GB67" t="e">
        <f>AND(#REF!,"AAAAAH/tprc=")</f>
        <v>#REF!</v>
      </c>
      <c r="GC67" t="e">
        <f>AND(#REF!,"AAAAAH/tprg=")</f>
        <v>#REF!</v>
      </c>
      <c r="GD67" t="e">
        <f>AND(#REF!,"AAAAAH/tprk=")</f>
        <v>#REF!</v>
      </c>
      <c r="GE67" t="e">
        <f>AND(#REF!,"AAAAAH/tpro=")</f>
        <v>#REF!</v>
      </c>
      <c r="GF67" t="e">
        <f>AND(#REF!,"AAAAAH/tprs=")</f>
        <v>#REF!</v>
      </c>
      <c r="GG67" t="e">
        <f>AND(#REF!,"AAAAAH/tprw=")</f>
        <v>#REF!</v>
      </c>
      <c r="GH67" t="e">
        <f>AND(#REF!,"AAAAAH/tpr0=")</f>
        <v>#REF!</v>
      </c>
      <c r="GI67" t="e">
        <f>AND(#REF!,"AAAAAH/tpr4=")</f>
        <v>#REF!</v>
      </c>
      <c r="GJ67" t="e">
        <f>AND(#REF!,"AAAAAH/tpr8=")</f>
        <v>#REF!</v>
      </c>
      <c r="GK67" t="e">
        <f>AND(#REF!,"AAAAAH/tpsA=")</f>
        <v>#REF!</v>
      </c>
      <c r="GL67" t="e">
        <f>AND(#REF!,"AAAAAH/tpsE=")</f>
        <v>#REF!</v>
      </c>
      <c r="GM67" t="e">
        <f>AND(#REF!,"AAAAAH/tpsI=")</f>
        <v>#REF!</v>
      </c>
      <c r="GN67" t="e">
        <f>AND(#REF!,"AAAAAH/tpsM=")</f>
        <v>#REF!</v>
      </c>
      <c r="GO67" t="e">
        <f>AND(#REF!,"AAAAAH/tpsQ=")</f>
        <v>#REF!</v>
      </c>
      <c r="GP67" t="e">
        <f>AND(#REF!,"AAAAAH/tpsU=")</f>
        <v>#REF!</v>
      </c>
      <c r="GQ67" t="e">
        <f>AND(#REF!,"AAAAAH/tpsY=")</f>
        <v>#REF!</v>
      </c>
      <c r="GR67" t="e">
        <f>AND(#REF!,"AAAAAH/tpsc=")</f>
        <v>#REF!</v>
      </c>
      <c r="GS67" t="e">
        <f>AND(#REF!,"AAAAAH/tpsg=")</f>
        <v>#REF!</v>
      </c>
      <c r="GT67" t="e">
        <f>AND(#REF!,"AAAAAH/tpsk=")</f>
        <v>#REF!</v>
      </c>
      <c r="GU67" t="e">
        <f>AND(#REF!,"AAAAAH/tpso=")</f>
        <v>#REF!</v>
      </c>
      <c r="GV67" t="e">
        <f>AND(#REF!,"AAAAAH/tpss=")</f>
        <v>#REF!</v>
      </c>
      <c r="GW67" t="e">
        <f>AND(#REF!,"AAAAAH/tpsw=")</f>
        <v>#REF!</v>
      </c>
      <c r="GX67" t="e">
        <f>AND(#REF!,"AAAAAH/tps0=")</f>
        <v>#REF!</v>
      </c>
      <c r="GY67" t="e">
        <f>AND(#REF!,"AAAAAH/tps4=")</f>
        <v>#REF!</v>
      </c>
      <c r="GZ67" t="e">
        <f>AND(#REF!,"AAAAAH/tps8=")</f>
        <v>#REF!</v>
      </c>
      <c r="HA67" t="e">
        <f>AND(#REF!,"AAAAAH/tptA=")</f>
        <v>#REF!</v>
      </c>
      <c r="HB67" t="e">
        <f>AND(#REF!,"AAAAAH/tptE=")</f>
        <v>#REF!</v>
      </c>
      <c r="HC67" t="e">
        <f>AND(#REF!,"AAAAAH/tptI=")</f>
        <v>#REF!</v>
      </c>
      <c r="HD67" t="e">
        <f>AND(#REF!,"AAAAAH/tptM=")</f>
        <v>#REF!</v>
      </c>
      <c r="HE67" t="e">
        <f>AND(#REF!,"AAAAAH/tptQ=")</f>
        <v>#REF!</v>
      </c>
      <c r="HF67" t="e">
        <f>AND(#REF!,"AAAAAH/tptU=")</f>
        <v>#REF!</v>
      </c>
      <c r="HG67" t="e">
        <f>AND(#REF!,"AAAAAH/tptY=")</f>
        <v>#REF!</v>
      </c>
      <c r="HH67" t="e">
        <f>AND(#REF!,"AAAAAH/tptc=")</f>
        <v>#REF!</v>
      </c>
      <c r="HI67" t="e">
        <f>AND(#REF!,"AAAAAH/tptg=")</f>
        <v>#REF!</v>
      </c>
      <c r="HJ67" t="e">
        <f>AND(#REF!,"AAAAAH/tptk=")</f>
        <v>#REF!</v>
      </c>
      <c r="HK67" t="e">
        <f>AND(#REF!,"AAAAAH/tpto=")</f>
        <v>#REF!</v>
      </c>
      <c r="HL67" t="e">
        <f>AND(#REF!,"AAAAAH/tpts=")</f>
        <v>#REF!</v>
      </c>
      <c r="HM67" t="e">
        <f>AND(#REF!,"AAAAAH/tptw=")</f>
        <v>#REF!</v>
      </c>
      <c r="HN67" t="e">
        <f>AND(#REF!,"AAAAAH/tpt0=")</f>
        <v>#REF!</v>
      </c>
      <c r="HO67" t="e">
        <f>AND(#REF!,"AAAAAH/tpt4=")</f>
        <v>#REF!</v>
      </c>
      <c r="HP67" t="e">
        <f>AND(#REF!,"AAAAAH/tpt8=")</f>
        <v>#REF!</v>
      </c>
      <c r="HQ67" t="e">
        <f>AND(#REF!,"AAAAAH/tpuA=")</f>
        <v>#REF!</v>
      </c>
      <c r="HR67" t="e">
        <f>AND(#REF!,"AAAAAH/tpuE=")</f>
        <v>#REF!</v>
      </c>
      <c r="HS67" t="e">
        <f>AND(#REF!,"AAAAAH/tpuI=")</f>
        <v>#REF!</v>
      </c>
      <c r="HT67" t="e">
        <f>AND(#REF!,"AAAAAH/tpuM=")</f>
        <v>#REF!</v>
      </c>
      <c r="HU67" t="e">
        <f>AND(#REF!,"AAAAAH/tpuQ=")</f>
        <v>#REF!</v>
      </c>
      <c r="HV67" t="e">
        <f>AND(#REF!,"AAAAAH/tpuU=")</f>
        <v>#REF!</v>
      </c>
      <c r="HW67" t="e">
        <f>AND(#REF!,"AAAAAH/tpuY=")</f>
        <v>#REF!</v>
      </c>
      <c r="HX67" t="e">
        <f>AND(#REF!,"AAAAAH/tpuc=")</f>
        <v>#REF!</v>
      </c>
      <c r="HY67" t="e">
        <f>AND(#REF!,"AAAAAH/tpug=")</f>
        <v>#REF!</v>
      </c>
      <c r="HZ67" t="e">
        <f>AND(#REF!,"AAAAAH/tpuk=")</f>
        <v>#REF!</v>
      </c>
      <c r="IA67" t="e">
        <f>AND(#REF!,"AAAAAH/tpuo=")</f>
        <v>#REF!</v>
      </c>
      <c r="IB67" t="e">
        <f>AND(#REF!,"AAAAAH/tpus=")</f>
        <v>#REF!</v>
      </c>
      <c r="IC67" t="e">
        <f>AND(#REF!,"AAAAAH/tpuw=")</f>
        <v>#REF!</v>
      </c>
      <c r="ID67" t="e">
        <f>AND(#REF!,"AAAAAH/tpu0=")</f>
        <v>#REF!</v>
      </c>
      <c r="IE67" t="e">
        <f>AND(#REF!,"AAAAAH/tpu4=")</f>
        <v>#REF!</v>
      </c>
      <c r="IF67" t="e">
        <f>AND(#REF!,"AAAAAH/tpu8=")</f>
        <v>#REF!</v>
      </c>
      <c r="IG67" t="e">
        <f>AND(#REF!,"AAAAAH/tpvA=")</f>
        <v>#REF!</v>
      </c>
      <c r="IH67" t="e">
        <f>AND(#REF!,"AAAAAH/tpvE=")</f>
        <v>#REF!</v>
      </c>
      <c r="II67" t="e">
        <f>AND(#REF!,"AAAAAH/tpvI=")</f>
        <v>#REF!</v>
      </c>
      <c r="IJ67" t="e">
        <f>AND(#REF!,"AAAAAH/tpvM=")</f>
        <v>#REF!</v>
      </c>
      <c r="IK67" t="e">
        <f>AND(#REF!,"AAAAAH/tpvQ=")</f>
        <v>#REF!</v>
      </c>
      <c r="IL67" t="e">
        <f>AND(#REF!,"AAAAAH/tpvU=")</f>
        <v>#REF!</v>
      </c>
      <c r="IM67" t="e">
        <f>AND(#REF!,"AAAAAH/tpvY=")</f>
        <v>#REF!</v>
      </c>
      <c r="IN67" t="e">
        <f>AND(#REF!,"AAAAAH/tpvc=")</f>
        <v>#REF!</v>
      </c>
      <c r="IO67" t="e">
        <f>AND(#REF!,"AAAAAH/tpvg=")</f>
        <v>#REF!</v>
      </c>
      <c r="IP67" t="e">
        <f>AND(#REF!,"AAAAAH/tpvk=")</f>
        <v>#REF!</v>
      </c>
      <c r="IQ67" t="e">
        <f>AND(#REF!,"AAAAAH/tpvo=")</f>
        <v>#REF!</v>
      </c>
      <c r="IR67" t="e">
        <f>AND(#REF!,"AAAAAH/tpvs=")</f>
        <v>#REF!</v>
      </c>
      <c r="IS67" t="e">
        <f>AND(#REF!,"AAAAAH/tpvw=")</f>
        <v>#REF!</v>
      </c>
      <c r="IT67" t="e">
        <f>AND(#REF!,"AAAAAH/tpv0=")</f>
        <v>#REF!</v>
      </c>
      <c r="IU67" t="e">
        <f>AND(#REF!,"AAAAAH/tpv4=")</f>
        <v>#REF!</v>
      </c>
      <c r="IV67" t="e">
        <f>AND(#REF!,"AAAAAH/tpv8=")</f>
        <v>#REF!</v>
      </c>
    </row>
    <row r="68" spans="1:256" x14ac:dyDescent="0.2">
      <c r="A68" t="e">
        <f>AND(#REF!,"AAAAAGvnfgA=")</f>
        <v>#REF!</v>
      </c>
      <c r="B68" t="e">
        <f>AND(#REF!,"AAAAAGvnfgE=")</f>
        <v>#REF!</v>
      </c>
      <c r="C68" t="e">
        <f>AND(#REF!,"AAAAAGvnfgI=")</f>
        <v>#REF!</v>
      </c>
      <c r="D68" t="e">
        <f>AND(#REF!,"AAAAAGvnfgM=")</f>
        <v>#REF!</v>
      </c>
      <c r="E68" t="e">
        <f>AND(#REF!,"AAAAAGvnfgQ=")</f>
        <v>#REF!</v>
      </c>
      <c r="F68" t="e">
        <f>AND(#REF!,"AAAAAGvnfgU=")</f>
        <v>#REF!</v>
      </c>
      <c r="G68" t="e">
        <f>AND(#REF!,"AAAAAGvnfgY=")</f>
        <v>#REF!</v>
      </c>
      <c r="H68" t="e">
        <f>AND(#REF!,"AAAAAGvnfgc=")</f>
        <v>#REF!</v>
      </c>
      <c r="I68" t="e">
        <f>AND(#REF!,"AAAAAGvnfgg=")</f>
        <v>#REF!</v>
      </c>
      <c r="J68" t="e">
        <f>AND(#REF!,"AAAAAGvnfgk=")</f>
        <v>#REF!</v>
      </c>
      <c r="K68" t="e">
        <f>AND(#REF!,"AAAAAGvnfgo=")</f>
        <v>#REF!</v>
      </c>
      <c r="L68" t="e">
        <f>AND(#REF!,"AAAAAGvnfgs=")</f>
        <v>#REF!</v>
      </c>
      <c r="M68" t="e">
        <f>AND(#REF!,"AAAAAGvnfgw=")</f>
        <v>#REF!</v>
      </c>
      <c r="N68" t="e">
        <f>AND(#REF!,"AAAAAGvnfg0=")</f>
        <v>#REF!</v>
      </c>
      <c r="O68" t="e">
        <f>AND(#REF!,"AAAAAGvnfg4=")</f>
        <v>#REF!</v>
      </c>
      <c r="P68" t="e">
        <f>AND(#REF!,"AAAAAGvnfg8=")</f>
        <v>#REF!</v>
      </c>
      <c r="Q68" t="e">
        <f>AND(#REF!,"AAAAAGvnfhA=")</f>
        <v>#REF!</v>
      </c>
      <c r="R68" t="e">
        <f>AND(#REF!,"AAAAAGvnfhE=")</f>
        <v>#REF!</v>
      </c>
      <c r="S68" t="e">
        <f>AND(#REF!,"AAAAAGvnfhI=")</f>
        <v>#REF!</v>
      </c>
      <c r="T68" t="e">
        <f>AND(#REF!,"AAAAAGvnfhM=")</f>
        <v>#REF!</v>
      </c>
      <c r="U68" t="e">
        <f>AND(#REF!,"AAAAAGvnfhQ=")</f>
        <v>#REF!</v>
      </c>
      <c r="V68" t="e">
        <f>AND(#REF!,"AAAAAGvnfhU=")</f>
        <v>#REF!</v>
      </c>
      <c r="W68" t="e">
        <f>AND(#REF!,"AAAAAGvnfhY=")</f>
        <v>#REF!</v>
      </c>
      <c r="X68" t="e">
        <f>AND(#REF!,"AAAAAGvnfhc=")</f>
        <v>#REF!</v>
      </c>
      <c r="Y68" t="e">
        <f>AND(#REF!,"AAAAAGvnfhg=")</f>
        <v>#REF!</v>
      </c>
      <c r="Z68" t="e">
        <f>AND(#REF!,"AAAAAGvnfhk=")</f>
        <v>#REF!</v>
      </c>
      <c r="AA68" t="e">
        <f>AND(#REF!,"AAAAAGvnfho=")</f>
        <v>#REF!</v>
      </c>
      <c r="AB68" t="e">
        <f>AND(#REF!,"AAAAAGvnfhs=")</f>
        <v>#REF!</v>
      </c>
      <c r="AC68" t="e">
        <f>AND(#REF!,"AAAAAGvnfhw=")</f>
        <v>#REF!</v>
      </c>
      <c r="AD68" t="e">
        <f>AND(#REF!,"AAAAAGvnfh0=")</f>
        <v>#REF!</v>
      </c>
      <c r="AE68" t="e">
        <f>AND(#REF!,"AAAAAGvnfh4=")</f>
        <v>#REF!</v>
      </c>
      <c r="AF68" t="e">
        <f>AND(#REF!,"AAAAAGvnfh8=")</f>
        <v>#REF!</v>
      </c>
      <c r="AG68" t="e">
        <f>AND(#REF!,"AAAAAGvnfiA=")</f>
        <v>#REF!</v>
      </c>
      <c r="AH68" t="e">
        <f>AND(#REF!,"AAAAAGvnfiE=")</f>
        <v>#REF!</v>
      </c>
      <c r="AI68" t="e">
        <f>AND(#REF!,"AAAAAGvnfiI=")</f>
        <v>#REF!</v>
      </c>
      <c r="AJ68" t="e">
        <f>AND(#REF!,"AAAAAGvnfiM=")</f>
        <v>#REF!</v>
      </c>
      <c r="AK68" t="e">
        <f>AND(#REF!,"AAAAAGvnfiQ=")</f>
        <v>#REF!</v>
      </c>
      <c r="AL68" t="e">
        <f>AND(#REF!,"AAAAAGvnfiU=")</f>
        <v>#REF!</v>
      </c>
      <c r="AM68" t="e">
        <f>AND(#REF!,"AAAAAGvnfiY=")</f>
        <v>#REF!</v>
      </c>
      <c r="AN68" t="e">
        <f>AND(#REF!,"AAAAAGvnfic=")</f>
        <v>#REF!</v>
      </c>
      <c r="AO68" t="e">
        <f>AND(#REF!,"AAAAAGvnfig=")</f>
        <v>#REF!</v>
      </c>
      <c r="AP68" t="e">
        <f>AND(#REF!,"AAAAAGvnfik=")</f>
        <v>#REF!</v>
      </c>
      <c r="AQ68" t="e">
        <f>AND(#REF!,"AAAAAGvnfio=")</f>
        <v>#REF!</v>
      </c>
      <c r="AR68" t="e">
        <f>AND(#REF!,"AAAAAGvnfis=")</f>
        <v>#REF!</v>
      </c>
      <c r="AS68" t="e">
        <f>AND(#REF!,"AAAAAGvnfiw=")</f>
        <v>#REF!</v>
      </c>
      <c r="AT68" t="e">
        <f>AND(#REF!,"AAAAAGvnfi0=")</f>
        <v>#REF!</v>
      </c>
      <c r="AU68" t="e">
        <f>AND(#REF!,"AAAAAGvnfi4=")</f>
        <v>#REF!</v>
      </c>
      <c r="AV68" t="e">
        <f>AND(#REF!,"AAAAAGvnfi8=")</f>
        <v>#REF!</v>
      </c>
      <c r="AW68" t="e">
        <f>AND(#REF!,"AAAAAGvnfjA=")</f>
        <v>#REF!</v>
      </c>
      <c r="AX68" t="e">
        <f>AND(#REF!,"AAAAAGvnfjE=")</f>
        <v>#REF!</v>
      </c>
      <c r="AY68" t="e">
        <f>AND(#REF!,"AAAAAGvnfjI=")</f>
        <v>#REF!</v>
      </c>
      <c r="AZ68" t="e">
        <f>AND(#REF!,"AAAAAGvnfjM=")</f>
        <v>#REF!</v>
      </c>
      <c r="BA68" t="e">
        <f>AND(#REF!,"AAAAAGvnfjQ=")</f>
        <v>#REF!</v>
      </c>
      <c r="BB68" t="e">
        <f>AND(#REF!,"AAAAAGvnfjU=")</f>
        <v>#REF!</v>
      </c>
      <c r="BC68" t="e">
        <f>AND(#REF!,"AAAAAGvnfjY=")</f>
        <v>#REF!</v>
      </c>
      <c r="BD68" t="e">
        <f>AND(#REF!,"AAAAAGvnfjc=")</f>
        <v>#REF!</v>
      </c>
      <c r="BE68" t="e">
        <f>AND(#REF!,"AAAAAGvnfjg=")</f>
        <v>#REF!</v>
      </c>
      <c r="BF68" t="e">
        <f>AND(#REF!,"AAAAAGvnfjk=")</f>
        <v>#REF!</v>
      </c>
      <c r="BG68" t="e">
        <f>AND(#REF!,"AAAAAGvnfjo=")</f>
        <v>#REF!</v>
      </c>
      <c r="BH68" t="e">
        <f>AND(#REF!,"AAAAAGvnfjs=")</f>
        <v>#REF!</v>
      </c>
      <c r="BI68" t="e">
        <f>IF(#REF!,"AAAAAGvnfjw=",0)</f>
        <v>#REF!</v>
      </c>
      <c r="BJ68" t="e">
        <f>AND(#REF!,"AAAAAGvnfj0=")</f>
        <v>#REF!</v>
      </c>
      <c r="BK68" t="e">
        <f>AND(#REF!,"AAAAAGvnfj4=")</f>
        <v>#REF!</v>
      </c>
      <c r="BL68" t="e">
        <f>AND(#REF!,"AAAAAGvnfj8=")</f>
        <v>#REF!</v>
      </c>
      <c r="BM68" t="e">
        <f>AND(#REF!,"AAAAAGvnfkA=")</f>
        <v>#REF!</v>
      </c>
      <c r="BN68" t="e">
        <f>AND(#REF!,"AAAAAGvnfkE=")</f>
        <v>#REF!</v>
      </c>
      <c r="BO68" t="e">
        <f>AND(#REF!,"AAAAAGvnfkI=")</f>
        <v>#REF!</v>
      </c>
      <c r="BP68" t="e">
        <f>AND(#REF!,"AAAAAGvnfkM=")</f>
        <v>#REF!</v>
      </c>
      <c r="BQ68" t="e">
        <f>AND(#REF!,"AAAAAGvnfkQ=")</f>
        <v>#REF!</v>
      </c>
      <c r="BR68" t="e">
        <f>AND(#REF!,"AAAAAGvnfkU=")</f>
        <v>#REF!</v>
      </c>
      <c r="BS68" t="e">
        <f>AND(#REF!,"AAAAAGvnfkY=")</f>
        <v>#REF!</v>
      </c>
      <c r="BT68" t="e">
        <f>AND(#REF!,"AAAAAGvnfkc=")</f>
        <v>#REF!</v>
      </c>
      <c r="BU68" t="e">
        <f>AND(#REF!,"AAAAAGvnfkg=")</f>
        <v>#REF!</v>
      </c>
      <c r="BV68" t="e">
        <f>AND(#REF!,"AAAAAGvnfkk=")</f>
        <v>#REF!</v>
      </c>
      <c r="BW68" t="e">
        <f>AND(#REF!,"AAAAAGvnfko=")</f>
        <v>#REF!</v>
      </c>
      <c r="BX68" t="e">
        <f>AND(#REF!,"AAAAAGvnfks=")</f>
        <v>#REF!</v>
      </c>
      <c r="BY68" t="e">
        <f>AND(#REF!,"AAAAAGvnfkw=")</f>
        <v>#REF!</v>
      </c>
      <c r="BZ68" t="e">
        <f>AND(#REF!,"AAAAAGvnfk0=")</f>
        <v>#REF!</v>
      </c>
      <c r="CA68" t="e">
        <f>AND(#REF!,"AAAAAGvnfk4=")</f>
        <v>#REF!</v>
      </c>
      <c r="CB68" t="e">
        <f>AND(#REF!,"AAAAAGvnfk8=")</f>
        <v>#REF!</v>
      </c>
      <c r="CC68" t="e">
        <f>AND(#REF!,"AAAAAGvnflA=")</f>
        <v>#REF!</v>
      </c>
      <c r="CD68" t="e">
        <f>AND(#REF!,"AAAAAGvnflE=")</f>
        <v>#REF!</v>
      </c>
      <c r="CE68" t="e">
        <f>AND(#REF!,"AAAAAGvnflI=")</f>
        <v>#REF!</v>
      </c>
      <c r="CF68" t="e">
        <f>AND(#REF!,"AAAAAGvnflM=")</f>
        <v>#REF!</v>
      </c>
      <c r="CG68" t="e">
        <f>AND(#REF!,"AAAAAGvnflQ=")</f>
        <v>#REF!</v>
      </c>
      <c r="CH68" t="e">
        <f>AND(#REF!,"AAAAAGvnflU=")</f>
        <v>#REF!</v>
      </c>
      <c r="CI68" t="e">
        <f>AND(#REF!,"AAAAAGvnflY=")</f>
        <v>#REF!</v>
      </c>
      <c r="CJ68" t="e">
        <f>AND(#REF!,"AAAAAGvnflc=")</f>
        <v>#REF!</v>
      </c>
      <c r="CK68" t="e">
        <f>AND(#REF!,"AAAAAGvnflg=")</f>
        <v>#REF!</v>
      </c>
      <c r="CL68" t="e">
        <f>AND(#REF!,"AAAAAGvnflk=")</f>
        <v>#REF!</v>
      </c>
      <c r="CM68" t="e">
        <f>AND(#REF!,"AAAAAGvnflo=")</f>
        <v>#REF!</v>
      </c>
      <c r="CN68" t="e">
        <f>AND(#REF!,"AAAAAGvnfls=")</f>
        <v>#REF!</v>
      </c>
      <c r="CO68" t="e">
        <f>AND(#REF!,"AAAAAGvnflw=")</f>
        <v>#REF!</v>
      </c>
      <c r="CP68" t="e">
        <f>AND(#REF!,"AAAAAGvnfl0=")</f>
        <v>#REF!</v>
      </c>
      <c r="CQ68" t="e">
        <f>AND(#REF!,"AAAAAGvnfl4=")</f>
        <v>#REF!</v>
      </c>
      <c r="CR68" t="e">
        <f>AND(#REF!,"AAAAAGvnfl8=")</f>
        <v>#REF!</v>
      </c>
      <c r="CS68" t="e">
        <f>AND(#REF!,"AAAAAGvnfmA=")</f>
        <v>#REF!</v>
      </c>
      <c r="CT68" t="e">
        <f>AND(#REF!,"AAAAAGvnfmE=")</f>
        <v>#REF!</v>
      </c>
      <c r="CU68" t="e">
        <f>AND(#REF!,"AAAAAGvnfmI=")</f>
        <v>#REF!</v>
      </c>
      <c r="CV68" t="e">
        <f>AND(#REF!,"AAAAAGvnfmM=")</f>
        <v>#REF!</v>
      </c>
      <c r="CW68" t="e">
        <f>AND(#REF!,"AAAAAGvnfmQ=")</f>
        <v>#REF!</v>
      </c>
      <c r="CX68" t="e">
        <f>AND(#REF!,"AAAAAGvnfmU=")</f>
        <v>#REF!</v>
      </c>
      <c r="CY68" t="e">
        <f>AND(#REF!,"AAAAAGvnfmY=")</f>
        <v>#REF!</v>
      </c>
      <c r="CZ68" t="e">
        <f>AND(#REF!,"AAAAAGvnfmc=")</f>
        <v>#REF!</v>
      </c>
      <c r="DA68" t="e">
        <f>AND(#REF!,"AAAAAGvnfmg=")</f>
        <v>#REF!</v>
      </c>
      <c r="DB68" t="e">
        <f>AND(#REF!,"AAAAAGvnfmk=")</f>
        <v>#REF!</v>
      </c>
      <c r="DC68" t="e">
        <f>AND(#REF!,"AAAAAGvnfmo=")</f>
        <v>#REF!</v>
      </c>
      <c r="DD68" t="e">
        <f>AND(#REF!,"AAAAAGvnfms=")</f>
        <v>#REF!</v>
      </c>
      <c r="DE68" t="e">
        <f>AND(#REF!,"AAAAAGvnfmw=")</f>
        <v>#REF!</v>
      </c>
      <c r="DF68" t="e">
        <f>AND(#REF!,"AAAAAGvnfm0=")</f>
        <v>#REF!</v>
      </c>
      <c r="DG68" t="e">
        <f>AND(#REF!,"AAAAAGvnfm4=")</f>
        <v>#REF!</v>
      </c>
      <c r="DH68" t="e">
        <f>AND(#REF!,"AAAAAGvnfm8=")</f>
        <v>#REF!</v>
      </c>
      <c r="DI68" t="e">
        <f>AND(#REF!,"AAAAAGvnfnA=")</f>
        <v>#REF!</v>
      </c>
      <c r="DJ68" t="e">
        <f>AND(#REF!,"AAAAAGvnfnE=")</f>
        <v>#REF!</v>
      </c>
      <c r="DK68" t="e">
        <f>AND(#REF!,"AAAAAGvnfnI=")</f>
        <v>#REF!</v>
      </c>
      <c r="DL68" t="e">
        <f>AND(#REF!,"AAAAAGvnfnM=")</f>
        <v>#REF!</v>
      </c>
      <c r="DM68" t="e">
        <f>AND(#REF!,"AAAAAGvnfnQ=")</f>
        <v>#REF!</v>
      </c>
      <c r="DN68" t="e">
        <f>AND(#REF!,"AAAAAGvnfnU=")</f>
        <v>#REF!</v>
      </c>
      <c r="DO68" t="e">
        <f>AND(#REF!,"AAAAAGvnfnY=")</f>
        <v>#REF!</v>
      </c>
      <c r="DP68" t="e">
        <f>AND(#REF!,"AAAAAGvnfnc=")</f>
        <v>#REF!</v>
      </c>
      <c r="DQ68" t="e">
        <f>AND(#REF!,"AAAAAGvnfng=")</f>
        <v>#REF!</v>
      </c>
      <c r="DR68" t="e">
        <f>AND(#REF!,"AAAAAGvnfnk=")</f>
        <v>#REF!</v>
      </c>
      <c r="DS68" t="e">
        <f>AND(#REF!,"AAAAAGvnfno=")</f>
        <v>#REF!</v>
      </c>
      <c r="DT68" t="e">
        <f>AND(#REF!,"AAAAAGvnfns=")</f>
        <v>#REF!</v>
      </c>
      <c r="DU68" t="e">
        <f>AND(#REF!,"AAAAAGvnfnw=")</f>
        <v>#REF!</v>
      </c>
      <c r="DV68" t="e">
        <f>AND(#REF!,"AAAAAGvnfn0=")</f>
        <v>#REF!</v>
      </c>
      <c r="DW68" t="e">
        <f>AND(#REF!,"AAAAAGvnfn4=")</f>
        <v>#REF!</v>
      </c>
      <c r="DX68" t="e">
        <f>AND(#REF!,"AAAAAGvnfn8=")</f>
        <v>#REF!</v>
      </c>
      <c r="DY68" t="e">
        <f>AND(#REF!,"AAAAAGvnfoA=")</f>
        <v>#REF!</v>
      </c>
      <c r="DZ68" t="e">
        <f>AND(#REF!,"AAAAAGvnfoE=")</f>
        <v>#REF!</v>
      </c>
      <c r="EA68" t="e">
        <f>AND(#REF!,"AAAAAGvnfoI=")</f>
        <v>#REF!</v>
      </c>
      <c r="EB68" t="e">
        <f>AND(#REF!,"AAAAAGvnfoM=")</f>
        <v>#REF!</v>
      </c>
      <c r="EC68" t="e">
        <f>AND(#REF!,"AAAAAGvnfoQ=")</f>
        <v>#REF!</v>
      </c>
      <c r="ED68" t="e">
        <f>AND(#REF!,"AAAAAGvnfoU=")</f>
        <v>#REF!</v>
      </c>
      <c r="EE68" t="e">
        <f>AND(#REF!,"AAAAAGvnfoY=")</f>
        <v>#REF!</v>
      </c>
      <c r="EF68" t="e">
        <f>AND(#REF!,"AAAAAGvnfoc=")</f>
        <v>#REF!</v>
      </c>
      <c r="EG68" t="e">
        <f>AND(#REF!,"AAAAAGvnfog=")</f>
        <v>#REF!</v>
      </c>
      <c r="EH68" t="e">
        <f>AND(#REF!,"AAAAAGvnfok=")</f>
        <v>#REF!</v>
      </c>
      <c r="EI68" t="e">
        <f>AND(#REF!,"AAAAAGvnfoo=")</f>
        <v>#REF!</v>
      </c>
      <c r="EJ68" t="e">
        <f>AND(#REF!,"AAAAAGvnfos=")</f>
        <v>#REF!</v>
      </c>
      <c r="EK68" t="e">
        <f>AND(#REF!,"AAAAAGvnfow=")</f>
        <v>#REF!</v>
      </c>
      <c r="EL68" t="e">
        <f>AND(#REF!,"AAAAAGvnfo0=")</f>
        <v>#REF!</v>
      </c>
      <c r="EM68" t="e">
        <f>AND(#REF!,"AAAAAGvnfo4=")</f>
        <v>#REF!</v>
      </c>
      <c r="EN68" t="e">
        <f>AND(#REF!,"AAAAAGvnfo8=")</f>
        <v>#REF!</v>
      </c>
      <c r="EO68" t="e">
        <f>AND(#REF!,"AAAAAGvnfpA=")</f>
        <v>#REF!</v>
      </c>
      <c r="EP68" t="e">
        <f>AND(#REF!,"AAAAAGvnfpE=")</f>
        <v>#REF!</v>
      </c>
      <c r="EQ68" t="e">
        <f>AND(#REF!,"AAAAAGvnfpI=")</f>
        <v>#REF!</v>
      </c>
      <c r="ER68" t="e">
        <f>AND(#REF!,"AAAAAGvnfpM=")</f>
        <v>#REF!</v>
      </c>
      <c r="ES68" t="e">
        <f>AND(#REF!,"AAAAAGvnfpQ=")</f>
        <v>#REF!</v>
      </c>
      <c r="ET68" t="e">
        <f>AND(#REF!,"AAAAAGvnfpU=")</f>
        <v>#REF!</v>
      </c>
      <c r="EU68" t="e">
        <f>AND(#REF!,"AAAAAGvnfpY=")</f>
        <v>#REF!</v>
      </c>
      <c r="EV68" t="e">
        <f>AND(#REF!,"AAAAAGvnfpc=")</f>
        <v>#REF!</v>
      </c>
      <c r="EW68" t="e">
        <f>AND(#REF!,"AAAAAGvnfpg=")</f>
        <v>#REF!</v>
      </c>
      <c r="EX68" t="e">
        <f>AND(#REF!,"AAAAAGvnfpk=")</f>
        <v>#REF!</v>
      </c>
      <c r="EY68" t="e">
        <f>AND(#REF!,"AAAAAGvnfpo=")</f>
        <v>#REF!</v>
      </c>
      <c r="EZ68" t="e">
        <f>AND(#REF!,"AAAAAGvnfps=")</f>
        <v>#REF!</v>
      </c>
      <c r="FA68" t="e">
        <f>AND(#REF!,"AAAAAGvnfpw=")</f>
        <v>#REF!</v>
      </c>
      <c r="FB68" t="e">
        <f>AND(#REF!,"AAAAAGvnfp0=")</f>
        <v>#REF!</v>
      </c>
      <c r="FC68" t="e">
        <f>AND(#REF!,"AAAAAGvnfp4=")</f>
        <v>#REF!</v>
      </c>
      <c r="FD68" t="e">
        <f>AND(#REF!,"AAAAAGvnfp8=")</f>
        <v>#REF!</v>
      </c>
      <c r="FE68" t="e">
        <f>AND(#REF!,"AAAAAGvnfqA=")</f>
        <v>#REF!</v>
      </c>
      <c r="FF68" t="e">
        <f>AND(#REF!,"AAAAAGvnfqE=")</f>
        <v>#REF!</v>
      </c>
      <c r="FG68" t="e">
        <f>AND(#REF!,"AAAAAGvnfqI=")</f>
        <v>#REF!</v>
      </c>
      <c r="FH68" t="e">
        <f>AND(#REF!,"AAAAAGvnfqM=")</f>
        <v>#REF!</v>
      </c>
      <c r="FI68" t="e">
        <f>AND(#REF!,"AAAAAGvnfqQ=")</f>
        <v>#REF!</v>
      </c>
      <c r="FJ68" t="e">
        <f>AND(#REF!,"AAAAAGvnfqU=")</f>
        <v>#REF!</v>
      </c>
      <c r="FK68" t="e">
        <f>AND(#REF!,"AAAAAGvnfqY=")</f>
        <v>#REF!</v>
      </c>
      <c r="FL68" t="e">
        <f>AND(#REF!,"AAAAAGvnfqc=")</f>
        <v>#REF!</v>
      </c>
      <c r="FM68" t="e">
        <f>AND(#REF!,"AAAAAGvnfqg=")</f>
        <v>#REF!</v>
      </c>
      <c r="FN68" t="e">
        <f>AND(#REF!,"AAAAAGvnfqk=")</f>
        <v>#REF!</v>
      </c>
      <c r="FO68" t="e">
        <f>AND(#REF!,"AAAAAGvnfqo=")</f>
        <v>#REF!</v>
      </c>
      <c r="FP68" t="e">
        <f>AND(#REF!,"AAAAAGvnfqs=")</f>
        <v>#REF!</v>
      </c>
      <c r="FQ68" t="e">
        <f>AND(#REF!,"AAAAAGvnfqw=")</f>
        <v>#REF!</v>
      </c>
      <c r="FR68" t="e">
        <f>AND(#REF!,"AAAAAGvnfq0=")</f>
        <v>#REF!</v>
      </c>
      <c r="FS68" t="e">
        <f>AND(#REF!,"AAAAAGvnfq4=")</f>
        <v>#REF!</v>
      </c>
      <c r="FT68" t="e">
        <f>AND(#REF!,"AAAAAGvnfq8=")</f>
        <v>#REF!</v>
      </c>
      <c r="FU68" t="e">
        <f>AND(#REF!,"AAAAAGvnfrA=")</f>
        <v>#REF!</v>
      </c>
      <c r="FV68" t="e">
        <f>AND(#REF!,"AAAAAGvnfrE=")</f>
        <v>#REF!</v>
      </c>
      <c r="FW68" t="e">
        <f>AND(#REF!,"AAAAAGvnfrI=")</f>
        <v>#REF!</v>
      </c>
      <c r="FX68" t="e">
        <f>AND(#REF!,"AAAAAGvnfrM=")</f>
        <v>#REF!</v>
      </c>
      <c r="FY68" t="e">
        <f>AND(#REF!,"AAAAAGvnfrQ=")</f>
        <v>#REF!</v>
      </c>
      <c r="FZ68" t="e">
        <f>AND(#REF!,"AAAAAGvnfrU=")</f>
        <v>#REF!</v>
      </c>
      <c r="GA68" t="e">
        <f>AND(#REF!,"AAAAAGvnfrY=")</f>
        <v>#REF!</v>
      </c>
      <c r="GB68" t="e">
        <f>AND(#REF!,"AAAAAGvnfrc=")</f>
        <v>#REF!</v>
      </c>
      <c r="GC68" t="e">
        <f>AND(#REF!,"AAAAAGvnfrg=")</f>
        <v>#REF!</v>
      </c>
      <c r="GD68" t="e">
        <f>AND(#REF!,"AAAAAGvnfrk=")</f>
        <v>#REF!</v>
      </c>
      <c r="GE68" t="e">
        <f>AND(#REF!,"AAAAAGvnfro=")</f>
        <v>#REF!</v>
      </c>
      <c r="GF68" t="e">
        <f>AND(#REF!,"AAAAAGvnfrs=")</f>
        <v>#REF!</v>
      </c>
      <c r="GG68" t="e">
        <f>AND(#REF!,"AAAAAGvnfrw=")</f>
        <v>#REF!</v>
      </c>
      <c r="GH68" t="e">
        <f>AND(#REF!,"AAAAAGvnfr0=")</f>
        <v>#REF!</v>
      </c>
      <c r="GI68" t="e">
        <f>AND(#REF!,"AAAAAGvnfr4=")</f>
        <v>#REF!</v>
      </c>
      <c r="GJ68" t="e">
        <f>AND(#REF!,"AAAAAGvnfr8=")</f>
        <v>#REF!</v>
      </c>
      <c r="GK68" t="e">
        <f>AND(#REF!,"AAAAAGvnfsA=")</f>
        <v>#REF!</v>
      </c>
      <c r="GL68" t="e">
        <f>AND(#REF!,"AAAAAGvnfsE=")</f>
        <v>#REF!</v>
      </c>
      <c r="GM68" t="e">
        <f>AND(#REF!,"AAAAAGvnfsI=")</f>
        <v>#REF!</v>
      </c>
      <c r="GN68" t="e">
        <f>AND(#REF!,"AAAAAGvnfsM=")</f>
        <v>#REF!</v>
      </c>
      <c r="GO68" t="e">
        <f>AND(#REF!,"AAAAAGvnfsQ=")</f>
        <v>#REF!</v>
      </c>
      <c r="GP68" t="e">
        <f>AND(#REF!,"AAAAAGvnfsU=")</f>
        <v>#REF!</v>
      </c>
      <c r="GQ68" t="e">
        <f>AND(#REF!,"AAAAAGvnfsY=")</f>
        <v>#REF!</v>
      </c>
      <c r="GR68" t="e">
        <f>AND(#REF!,"AAAAAGvnfsc=")</f>
        <v>#REF!</v>
      </c>
      <c r="GS68" t="e">
        <f>AND(#REF!,"AAAAAGvnfsg=")</f>
        <v>#REF!</v>
      </c>
      <c r="GT68" t="e">
        <f>AND(#REF!,"AAAAAGvnfsk=")</f>
        <v>#REF!</v>
      </c>
      <c r="GU68" t="e">
        <f>AND(#REF!,"AAAAAGvnfso=")</f>
        <v>#REF!</v>
      </c>
      <c r="GV68" t="e">
        <f>AND(#REF!,"AAAAAGvnfss=")</f>
        <v>#REF!</v>
      </c>
      <c r="GW68" t="e">
        <f>AND(#REF!,"AAAAAGvnfsw=")</f>
        <v>#REF!</v>
      </c>
      <c r="GX68" t="e">
        <f>AND(#REF!,"AAAAAGvnfs0=")</f>
        <v>#REF!</v>
      </c>
      <c r="GY68" t="e">
        <f>AND(#REF!,"AAAAAGvnfs4=")</f>
        <v>#REF!</v>
      </c>
      <c r="GZ68" t="e">
        <f>AND(#REF!,"AAAAAGvnfs8=")</f>
        <v>#REF!</v>
      </c>
      <c r="HA68" t="e">
        <f>AND(#REF!,"AAAAAGvnftA=")</f>
        <v>#REF!</v>
      </c>
      <c r="HB68" t="e">
        <f>AND(#REF!,"AAAAAGvnftE=")</f>
        <v>#REF!</v>
      </c>
      <c r="HC68" t="e">
        <f>AND(#REF!,"AAAAAGvnftI=")</f>
        <v>#REF!</v>
      </c>
      <c r="HD68" t="e">
        <f>AND(#REF!,"AAAAAGvnftM=")</f>
        <v>#REF!</v>
      </c>
      <c r="HE68" t="e">
        <f>AND(#REF!,"AAAAAGvnftQ=")</f>
        <v>#REF!</v>
      </c>
      <c r="HF68" t="e">
        <f>AND(#REF!,"AAAAAGvnftU=")</f>
        <v>#REF!</v>
      </c>
      <c r="HG68" t="e">
        <f>AND(#REF!,"AAAAAGvnftY=")</f>
        <v>#REF!</v>
      </c>
      <c r="HH68" t="e">
        <f>AND(#REF!,"AAAAAGvnftc=")</f>
        <v>#REF!</v>
      </c>
      <c r="HI68" t="e">
        <f>AND(#REF!,"AAAAAGvnftg=")</f>
        <v>#REF!</v>
      </c>
      <c r="HJ68" t="e">
        <f>AND(#REF!,"AAAAAGvnftk=")</f>
        <v>#REF!</v>
      </c>
      <c r="HK68" t="e">
        <f>AND(#REF!,"AAAAAGvnfto=")</f>
        <v>#REF!</v>
      </c>
      <c r="HL68" t="e">
        <f>AND(#REF!,"AAAAAGvnfts=")</f>
        <v>#REF!</v>
      </c>
      <c r="HM68" t="e">
        <f>AND(#REF!,"AAAAAGvnftw=")</f>
        <v>#REF!</v>
      </c>
      <c r="HN68" t="e">
        <f>AND(#REF!,"AAAAAGvnft0=")</f>
        <v>#REF!</v>
      </c>
      <c r="HO68" t="e">
        <f>AND(#REF!,"AAAAAGvnft4=")</f>
        <v>#REF!</v>
      </c>
      <c r="HP68" t="e">
        <f>AND(#REF!,"AAAAAGvnft8=")</f>
        <v>#REF!</v>
      </c>
      <c r="HQ68" t="e">
        <f>AND(#REF!,"AAAAAGvnfuA=")</f>
        <v>#REF!</v>
      </c>
      <c r="HR68" t="e">
        <f>AND(#REF!,"AAAAAGvnfuE=")</f>
        <v>#REF!</v>
      </c>
      <c r="HS68" t="e">
        <f>AND(#REF!,"AAAAAGvnfuI=")</f>
        <v>#REF!</v>
      </c>
      <c r="HT68" t="e">
        <f>AND(#REF!,"AAAAAGvnfuM=")</f>
        <v>#REF!</v>
      </c>
      <c r="HU68" t="e">
        <f>AND(#REF!,"AAAAAGvnfuQ=")</f>
        <v>#REF!</v>
      </c>
      <c r="HV68" t="e">
        <f>AND(#REF!,"AAAAAGvnfuU=")</f>
        <v>#REF!</v>
      </c>
      <c r="HW68" t="e">
        <f>AND(#REF!,"AAAAAGvnfuY=")</f>
        <v>#REF!</v>
      </c>
      <c r="HX68" t="e">
        <f>AND(#REF!,"AAAAAGvnfuc=")</f>
        <v>#REF!</v>
      </c>
      <c r="HY68" t="e">
        <f>AND(#REF!,"AAAAAGvnfug=")</f>
        <v>#REF!</v>
      </c>
      <c r="HZ68" t="e">
        <f>AND(#REF!,"AAAAAGvnfuk=")</f>
        <v>#REF!</v>
      </c>
      <c r="IA68" t="e">
        <f>AND(#REF!,"AAAAAGvnfuo=")</f>
        <v>#REF!</v>
      </c>
      <c r="IB68" t="e">
        <f>AND(#REF!,"AAAAAGvnfus=")</f>
        <v>#REF!</v>
      </c>
      <c r="IC68" t="e">
        <f>AND(#REF!,"AAAAAGvnfuw=")</f>
        <v>#REF!</v>
      </c>
      <c r="ID68" t="e">
        <f>AND(#REF!,"AAAAAGvnfu0=")</f>
        <v>#REF!</v>
      </c>
      <c r="IE68" t="e">
        <f>AND(#REF!,"AAAAAGvnfu4=")</f>
        <v>#REF!</v>
      </c>
      <c r="IF68" t="e">
        <f>AND(#REF!,"AAAAAGvnfu8=")</f>
        <v>#REF!</v>
      </c>
      <c r="IG68" t="e">
        <f>AND(#REF!,"AAAAAGvnfvA=")</f>
        <v>#REF!</v>
      </c>
      <c r="IH68" t="e">
        <f>IF(#REF!,"AAAAAGvnfvE=",0)</f>
        <v>#REF!</v>
      </c>
      <c r="II68" t="e">
        <f>AND(#REF!,"AAAAAGvnfvI=")</f>
        <v>#REF!</v>
      </c>
      <c r="IJ68" t="e">
        <f>AND(#REF!,"AAAAAGvnfvM=")</f>
        <v>#REF!</v>
      </c>
      <c r="IK68" t="e">
        <f>AND(#REF!,"AAAAAGvnfvQ=")</f>
        <v>#REF!</v>
      </c>
      <c r="IL68" t="e">
        <f>AND(#REF!,"AAAAAGvnfvU=")</f>
        <v>#REF!</v>
      </c>
      <c r="IM68" t="e">
        <f>AND(#REF!,"AAAAAGvnfvY=")</f>
        <v>#REF!</v>
      </c>
      <c r="IN68" t="e">
        <f>AND(#REF!,"AAAAAGvnfvc=")</f>
        <v>#REF!</v>
      </c>
      <c r="IO68" t="e">
        <f>AND(#REF!,"AAAAAGvnfvg=")</f>
        <v>#REF!</v>
      </c>
      <c r="IP68" t="e">
        <f>AND(#REF!,"AAAAAGvnfvk=")</f>
        <v>#REF!</v>
      </c>
      <c r="IQ68" t="e">
        <f>AND(#REF!,"AAAAAGvnfvo=")</f>
        <v>#REF!</v>
      </c>
      <c r="IR68" t="e">
        <f>AND(#REF!,"AAAAAGvnfvs=")</f>
        <v>#REF!</v>
      </c>
      <c r="IS68" t="e">
        <f>AND(#REF!,"AAAAAGvnfvw=")</f>
        <v>#REF!</v>
      </c>
      <c r="IT68" t="e">
        <f>AND(#REF!,"AAAAAGvnfv0=")</f>
        <v>#REF!</v>
      </c>
      <c r="IU68" t="e">
        <f>AND(#REF!,"AAAAAGvnfv4=")</f>
        <v>#REF!</v>
      </c>
      <c r="IV68" t="e">
        <f>AND(#REF!,"AAAAAGvnfv8=")</f>
        <v>#REF!</v>
      </c>
    </row>
    <row r="69" spans="1:256" x14ac:dyDescent="0.2">
      <c r="A69" t="e">
        <f>AND(#REF!,"AAAAAHt/7QA=")</f>
        <v>#REF!</v>
      </c>
      <c r="B69" t="e">
        <f>AND(#REF!,"AAAAAHt/7QE=")</f>
        <v>#REF!</v>
      </c>
      <c r="C69" t="e">
        <f>AND(#REF!,"AAAAAHt/7QI=")</f>
        <v>#REF!</v>
      </c>
      <c r="D69" t="e">
        <f>AND(#REF!,"AAAAAHt/7QM=")</f>
        <v>#REF!</v>
      </c>
      <c r="E69" t="e">
        <f>AND(#REF!,"AAAAAHt/7QQ=")</f>
        <v>#REF!</v>
      </c>
      <c r="F69" t="e">
        <f>AND(#REF!,"AAAAAHt/7QU=")</f>
        <v>#REF!</v>
      </c>
      <c r="G69" t="e">
        <f>AND(#REF!,"AAAAAHt/7QY=")</f>
        <v>#REF!</v>
      </c>
      <c r="H69" t="e">
        <f>AND(#REF!,"AAAAAHt/7Qc=")</f>
        <v>#REF!</v>
      </c>
      <c r="I69" t="e">
        <f>AND(#REF!,"AAAAAHt/7Qg=")</f>
        <v>#REF!</v>
      </c>
      <c r="J69" t="e">
        <f>AND(#REF!,"AAAAAHt/7Qk=")</f>
        <v>#REF!</v>
      </c>
      <c r="K69" t="e">
        <f>AND(#REF!,"AAAAAHt/7Qo=")</f>
        <v>#REF!</v>
      </c>
      <c r="L69" t="e">
        <f>AND(#REF!,"AAAAAHt/7Qs=")</f>
        <v>#REF!</v>
      </c>
      <c r="M69" t="e">
        <f>AND(#REF!,"AAAAAHt/7Qw=")</f>
        <v>#REF!</v>
      </c>
      <c r="N69" t="e">
        <f>AND(#REF!,"AAAAAHt/7Q0=")</f>
        <v>#REF!</v>
      </c>
      <c r="O69" t="e">
        <f>AND(#REF!,"AAAAAHt/7Q4=")</f>
        <v>#REF!</v>
      </c>
      <c r="P69" t="e">
        <f>AND(#REF!,"AAAAAHt/7Q8=")</f>
        <v>#REF!</v>
      </c>
      <c r="Q69" t="e">
        <f>AND(#REF!,"AAAAAHt/7RA=")</f>
        <v>#REF!</v>
      </c>
      <c r="R69" t="e">
        <f>AND(#REF!,"AAAAAHt/7RE=")</f>
        <v>#REF!</v>
      </c>
      <c r="S69" t="e">
        <f>AND(#REF!,"AAAAAHt/7RI=")</f>
        <v>#REF!</v>
      </c>
      <c r="T69" t="e">
        <f>AND(#REF!,"AAAAAHt/7RM=")</f>
        <v>#REF!</v>
      </c>
      <c r="U69" t="e">
        <f>AND(#REF!,"AAAAAHt/7RQ=")</f>
        <v>#REF!</v>
      </c>
      <c r="V69" t="e">
        <f>AND(#REF!,"AAAAAHt/7RU=")</f>
        <v>#REF!</v>
      </c>
      <c r="W69" t="e">
        <f>AND(#REF!,"AAAAAHt/7RY=")</f>
        <v>#REF!</v>
      </c>
      <c r="X69" t="e">
        <f>AND(#REF!,"AAAAAHt/7Rc=")</f>
        <v>#REF!</v>
      </c>
      <c r="Y69" t="e">
        <f>AND(#REF!,"AAAAAHt/7Rg=")</f>
        <v>#REF!</v>
      </c>
      <c r="Z69" t="e">
        <f>AND(#REF!,"AAAAAHt/7Rk=")</f>
        <v>#REF!</v>
      </c>
      <c r="AA69" t="e">
        <f>AND(#REF!,"AAAAAHt/7Ro=")</f>
        <v>#REF!</v>
      </c>
      <c r="AB69" t="e">
        <f>AND(#REF!,"AAAAAHt/7Rs=")</f>
        <v>#REF!</v>
      </c>
      <c r="AC69" t="e">
        <f>AND(#REF!,"AAAAAHt/7Rw=")</f>
        <v>#REF!</v>
      </c>
      <c r="AD69" t="e">
        <f>AND(#REF!,"AAAAAHt/7R0=")</f>
        <v>#REF!</v>
      </c>
      <c r="AE69" t="e">
        <f>AND(#REF!,"AAAAAHt/7R4=")</f>
        <v>#REF!</v>
      </c>
      <c r="AF69" t="e">
        <f>AND(#REF!,"AAAAAHt/7R8=")</f>
        <v>#REF!</v>
      </c>
      <c r="AG69" t="e">
        <f>AND(#REF!,"AAAAAHt/7SA=")</f>
        <v>#REF!</v>
      </c>
      <c r="AH69" t="e">
        <f>AND(#REF!,"AAAAAHt/7SE=")</f>
        <v>#REF!</v>
      </c>
      <c r="AI69" t="e">
        <f>AND(#REF!,"AAAAAHt/7SI=")</f>
        <v>#REF!</v>
      </c>
      <c r="AJ69" t="e">
        <f>AND(#REF!,"AAAAAHt/7SM=")</f>
        <v>#REF!</v>
      </c>
      <c r="AK69" t="e">
        <f>AND(#REF!,"AAAAAHt/7SQ=")</f>
        <v>#REF!</v>
      </c>
      <c r="AL69" t="e">
        <f>AND(#REF!,"AAAAAHt/7SU=")</f>
        <v>#REF!</v>
      </c>
      <c r="AM69" t="e">
        <f>AND(#REF!,"AAAAAHt/7SY=")</f>
        <v>#REF!</v>
      </c>
      <c r="AN69" t="e">
        <f>AND(#REF!,"AAAAAHt/7Sc=")</f>
        <v>#REF!</v>
      </c>
      <c r="AO69" t="e">
        <f>AND(#REF!,"AAAAAHt/7Sg=")</f>
        <v>#REF!</v>
      </c>
      <c r="AP69" t="e">
        <f>AND(#REF!,"AAAAAHt/7Sk=")</f>
        <v>#REF!</v>
      </c>
      <c r="AQ69" t="e">
        <f>AND(#REF!,"AAAAAHt/7So=")</f>
        <v>#REF!</v>
      </c>
      <c r="AR69" t="e">
        <f>AND(#REF!,"AAAAAHt/7Ss=")</f>
        <v>#REF!</v>
      </c>
      <c r="AS69" t="e">
        <f>AND(#REF!,"AAAAAHt/7Sw=")</f>
        <v>#REF!</v>
      </c>
      <c r="AT69" t="e">
        <f>AND(#REF!,"AAAAAHt/7S0=")</f>
        <v>#REF!</v>
      </c>
      <c r="AU69" t="e">
        <f>AND(#REF!,"AAAAAHt/7S4=")</f>
        <v>#REF!</v>
      </c>
      <c r="AV69" t="e">
        <f>AND(#REF!,"AAAAAHt/7S8=")</f>
        <v>#REF!</v>
      </c>
      <c r="AW69" t="e">
        <f>AND(#REF!,"AAAAAHt/7TA=")</f>
        <v>#REF!</v>
      </c>
      <c r="AX69" t="e">
        <f>AND(#REF!,"AAAAAHt/7TE=")</f>
        <v>#REF!</v>
      </c>
      <c r="AY69" t="e">
        <f>AND(#REF!,"AAAAAHt/7TI=")</f>
        <v>#REF!</v>
      </c>
      <c r="AZ69" t="e">
        <f>AND(#REF!,"AAAAAHt/7TM=")</f>
        <v>#REF!</v>
      </c>
      <c r="BA69" t="e">
        <f>AND(#REF!,"AAAAAHt/7TQ=")</f>
        <v>#REF!</v>
      </c>
      <c r="BB69" t="e">
        <f>AND(#REF!,"AAAAAHt/7TU=")</f>
        <v>#REF!</v>
      </c>
      <c r="BC69" t="e">
        <f>AND(#REF!,"AAAAAHt/7TY=")</f>
        <v>#REF!</v>
      </c>
      <c r="BD69" t="e">
        <f>AND(#REF!,"AAAAAHt/7Tc=")</f>
        <v>#REF!</v>
      </c>
      <c r="BE69" t="e">
        <f>AND(#REF!,"AAAAAHt/7Tg=")</f>
        <v>#REF!</v>
      </c>
      <c r="BF69" t="e">
        <f>AND(#REF!,"AAAAAHt/7Tk=")</f>
        <v>#REF!</v>
      </c>
      <c r="BG69" t="e">
        <f>AND(#REF!,"AAAAAHt/7To=")</f>
        <v>#REF!</v>
      </c>
      <c r="BH69" t="e">
        <f>AND(#REF!,"AAAAAHt/7Ts=")</f>
        <v>#REF!</v>
      </c>
      <c r="BI69" t="e">
        <f>AND(#REF!,"AAAAAHt/7Tw=")</f>
        <v>#REF!</v>
      </c>
      <c r="BJ69" t="e">
        <f>AND(#REF!,"AAAAAHt/7T0=")</f>
        <v>#REF!</v>
      </c>
      <c r="BK69" t="e">
        <f>AND(#REF!,"AAAAAHt/7T4=")</f>
        <v>#REF!</v>
      </c>
      <c r="BL69" t="e">
        <f>AND(#REF!,"AAAAAHt/7T8=")</f>
        <v>#REF!</v>
      </c>
      <c r="BM69" t="e">
        <f>AND(#REF!,"AAAAAHt/7UA=")</f>
        <v>#REF!</v>
      </c>
      <c r="BN69" t="e">
        <f>AND(#REF!,"AAAAAHt/7UE=")</f>
        <v>#REF!</v>
      </c>
      <c r="BO69" t="e">
        <f>AND(#REF!,"AAAAAHt/7UI=")</f>
        <v>#REF!</v>
      </c>
      <c r="BP69" t="e">
        <f>AND(#REF!,"AAAAAHt/7UM=")</f>
        <v>#REF!</v>
      </c>
      <c r="BQ69" t="e">
        <f>AND(#REF!,"AAAAAHt/7UQ=")</f>
        <v>#REF!</v>
      </c>
      <c r="BR69" t="e">
        <f>AND(#REF!,"AAAAAHt/7UU=")</f>
        <v>#REF!</v>
      </c>
      <c r="BS69" t="e">
        <f>AND(#REF!,"AAAAAHt/7UY=")</f>
        <v>#REF!</v>
      </c>
      <c r="BT69" t="e">
        <f>AND(#REF!,"AAAAAHt/7Uc=")</f>
        <v>#REF!</v>
      </c>
      <c r="BU69" t="e">
        <f>AND(#REF!,"AAAAAHt/7Ug=")</f>
        <v>#REF!</v>
      </c>
      <c r="BV69" t="e">
        <f>AND(#REF!,"AAAAAHt/7Uk=")</f>
        <v>#REF!</v>
      </c>
      <c r="BW69" t="e">
        <f>AND(#REF!,"AAAAAHt/7Uo=")</f>
        <v>#REF!</v>
      </c>
      <c r="BX69" t="e">
        <f>AND(#REF!,"AAAAAHt/7Us=")</f>
        <v>#REF!</v>
      </c>
      <c r="BY69" t="e">
        <f>AND(#REF!,"AAAAAHt/7Uw=")</f>
        <v>#REF!</v>
      </c>
      <c r="BZ69" t="e">
        <f>AND(#REF!,"AAAAAHt/7U0=")</f>
        <v>#REF!</v>
      </c>
      <c r="CA69" t="e">
        <f>AND(#REF!,"AAAAAHt/7U4=")</f>
        <v>#REF!</v>
      </c>
      <c r="CB69" t="e">
        <f>AND(#REF!,"AAAAAHt/7U8=")</f>
        <v>#REF!</v>
      </c>
      <c r="CC69" t="e">
        <f>AND(#REF!,"AAAAAHt/7VA=")</f>
        <v>#REF!</v>
      </c>
      <c r="CD69" t="e">
        <f>AND(#REF!,"AAAAAHt/7VE=")</f>
        <v>#REF!</v>
      </c>
      <c r="CE69" t="e">
        <f>AND(#REF!,"AAAAAHt/7VI=")</f>
        <v>#REF!</v>
      </c>
      <c r="CF69" t="e">
        <f>AND(#REF!,"AAAAAHt/7VM=")</f>
        <v>#REF!</v>
      </c>
      <c r="CG69" t="e">
        <f>AND(#REF!,"AAAAAHt/7VQ=")</f>
        <v>#REF!</v>
      </c>
      <c r="CH69" t="e">
        <f>AND(#REF!,"AAAAAHt/7VU=")</f>
        <v>#REF!</v>
      </c>
      <c r="CI69" t="e">
        <f>AND(#REF!,"AAAAAHt/7VY=")</f>
        <v>#REF!</v>
      </c>
      <c r="CJ69" t="e">
        <f>AND(#REF!,"AAAAAHt/7Vc=")</f>
        <v>#REF!</v>
      </c>
      <c r="CK69" t="e">
        <f>AND(#REF!,"AAAAAHt/7Vg=")</f>
        <v>#REF!</v>
      </c>
      <c r="CL69" t="e">
        <f>AND(#REF!,"AAAAAHt/7Vk=")</f>
        <v>#REF!</v>
      </c>
      <c r="CM69" t="e">
        <f>AND(#REF!,"AAAAAHt/7Vo=")</f>
        <v>#REF!</v>
      </c>
      <c r="CN69" t="e">
        <f>AND(#REF!,"AAAAAHt/7Vs=")</f>
        <v>#REF!</v>
      </c>
      <c r="CO69" t="e">
        <f>AND(#REF!,"AAAAAHt/7Vw=")</f>
        <v>#REF!</v>
      </c>
      <c r="CP69" t="e">
        <f>AND(#REF!,"AAAAAHt/7V0=")</f>
        <v>#REF!</v>
      </c>
      <c r="CQ69" t="e">
        <f>AND(#REF!,"AAAAAHt/7V4=")</f>
        <v>#REF!</v>
      </c>
      <c r="CR69" t="e">
        <f>AND(#REF!,"AAAAAHt/7V8=")</f>
        <v>#REF!</v>
      </c>
      <c r="CS69" t="e">
        <f>AND(#REF!,"AAAAAHt/7WA=")</f>
        <v>#REF!</v>
      </c>
      <c r="CT69" t="e">
        <f>AND(#REF!,"AAAAAHt/7WE=")</f>
        <v>#REF!</v>
      </c>
      <c r="CU69" t="e">
        <f>AND(#REF!,"AAAAAHt/7WI=")</f>
        <v>#REF!</v>
      </c>
      <c r="CV69" t="e">
        <f>AND(#REF!,"AAAAAHt/7WM=")</f>
        <v>#REF!</v>
      </c>
      <c r="CW69" t="e">
        <f>AND(#REF!,"AAAAAHt/7WQ=")</f>
        <v>#REF!</v>
      </c>
      <c r="CX69" t="e">
        <f>AND(#REF!,"AAAAAHt/7WU=")</f>
        <v>#REF!</v>
      </c>
      <c r="CY69" t="e">
        <f>AND(#REF!,"AAAAAHt/7WY=")</f>
        <v>#REF!</v>
      </c>
      <c r="CZ69" t="e">
        <f>AND(#REF!,"AAAAAHt/7Wc=")</f>
        <v>#REF!</v>
      </c>
      <c r="DA69" t="e">
        <f>AND(#REF!,"AAAAAHt/7Wg=")</f>
        <v>#REF!</v>
      </c>
      <c r="DB69" t="e">
        <f>AND(#REF!,"AAAAAHt/7Wk=")</f>
        <v>#REF!</v>
      </c>
      <c r="DC69" t="e">
        <f>AND(#REF!,"AAAAAHt/7Wo=")</f>
        <v>#REF!</v>
      </c>
      <c r="DD69" t="e">
        <f>AND(#REF!,"AAAAAHt/7Ws=")</f>
        <v>#REF!</v>
      </c>
      <c r="DE69" t="e">
        <f>AND(#REF!,"AAAAAHt/7Ww=")</f>
        <v>#REF!</v>
      </c>
      <c r="DF69" t="e">
        <f>AND(#REF!,"AAAAAHt/7W0=")</f>
        <v>#REF!</v>
      </c>
      <c r="DG69" t="e">
        <f>AND(#REF!,"AAAAAHt/7W4=")</f>
        <v>#REF!</v>
      </c>
      <c r="DH69" t="e">
        <f>AND(#REF!,"AAAAAHt/7W8=")</f>
        <v>#REF!</v>
      </c>
      <c r="DI69" t="e">
        <f>AND(#REF!,"AAAAAHt/7XA=")</f>
        <v>#REF!</v>
      </c>
      <c r="DJ69" t="e">
        <f>AND(#REF!,"AAAAAHt/7XE=")</f>
        <v>#REF!</v>
      </c>
      <c r="DK69" t="e">
        <f>AND(#REF!,"AAAAAHt/7XI=")</f>
        <v>#REF!</v>
      </c>
      <c r="DL69" t="e">
        <f>AND(#REF!,"AAAAAHt/7XM=")</f>
        <v>#REF!</v>
      </c>
      <c r="DM69" t="e">
        <f>AND(#REF!,"AAAAAHt/7XQ=")</f>
        <v>#REF!</v>
      </c>
      <c r="DN69" t="e">
        <f>AND(#REF!,"AAAAAHt/7XU=")</f>
        <v>#REF!</v>
      </c>
      <c r="DO69" t="e">
        <f>AND(#REF!,"AAAAAHt/7XY=")</f>
        <v>#REF!</v>
      </c>
      <c r="DP69" t="e">
        <f>AND(#REF!,"AAAAAHt/7Xc=")</f>
        <v>#REF!</v>
      </c>
      <c r="DQ69" t="e">
        <f>AND(#REF!,"AAAAAHt/7Xg=")</f>
        <v>#REF!</v>
      </c>
      <c r="DR69" t="e">
        <f>AND(#REF!,"AAAAAHt/7Xk=")</f>
        <v>#REF!</v>
      </c>
      <c r="DS69" t="e">
        <f>AND(#REF!,"AAAAAHt/7Xo=")</f>
        <v>#REF!</v>
      </c>
      <c r="DT69" t="e">
        <f>AND(#REF!,"AAAAAHt/7Xs=")</f>
        <v>#REF!</v>
      </c>
      <c r="DU69" t="e">
        <f>AND(#REF!,"AAAAAHt/7Xw=")</f>
        <v>#REF!</v>
      </c>
      <c r="DV69" t="e">
        <f>AND(#REF!,"AAAAAHt/7X0=")</f>
        <v>#REF!</v>
      </c>
      <c r="DW69" t="e">
        <f>AND(#REF!,"AAAAAHt/7X4=")</f>
        <v>#REF!</v>
      </c>
      <c r="DX69" t="e">
        <f>AND(#REF!,"AAAAAHt/7X8=")</f>
        <v>#REF!</v>
      </c>
      <c r="DY69" t="e">
        <f>AND(#REF!,"AAAAAHt/7YA=")</f>
        <v>#REF!</v>
      </c>
      <c r="DZ69" t="e">
        <f>AND(#REF!,"AAAAAHt/7YE=")</f>
        <v>#REF!</v>
      </c>
      <c r="EA69" t="e">
        <f>AND(#REF!,"AAAAAHt/7YI=")</f>
        <v>#REF!</v>
      </c>
      <c r="EB69" t="e">
        <f>AND(#REF!,"AAAAAHt/7YM=")</f>
        <v>#REF!</v>
      </c>
      <c r="EC69" t="e">
        <f>AND(#REF!,"AAAAAHt/7YQ=")</f>
        <v>#REF!</v>
      </c>
      <c r="ED69" t="e">
        <f>AND(#REF!,"AAAAAHt/7YU=")</f>
        <v>#REF!</v>
      </c>
      <c r="EE69" t="e">
        <f>AND(#REF!,"AAAAAHt/7YY=")</f>
        <v>#REF!</v>
      </c>
      <c r="EF69" t="e">
        <f>AND(#REF!,"AAAAAHt/7Yc=")</f>
        <v>#REF!</v>
      </c>
      <c r="EG69" t="e">
        <f>AND(#REF!,"AAAAAHt/7Yg=")</f>
        <v>#REF!</v>
      </c>
      <c r="EH69" t="e">
        <f>AND(#REF!,"AAAAAHt/7Yk=")</f>
        <v>#REF!</v>
      </c>
      <c r="EI69" t="e">
        <f>AND(#REF!,"AAAAAHt/7Yo=")</f>
        <v>#REF!</v>
      </c>
      <c r="EJ69" t="e">
        <f>AND(#REF!,"AAAAAHt/7Ys=")</f>
        <v>#REF!</v>
      </c>
      <c r="EK69" t="e">
        <f>AND(#REF!,"AAAAAHt/7Yw=")</f>
        <v>#REF!</v>
      </c>
      <c r="EL69" t="e">
        <f>AND(#REF!,"AAAAAHt/7Y0=")</f>
        <v>#REF!</v>
      </c>
      <c r="EM69" t="e">
        <f>AND(#REF!,"AAAAAHt/7Y4=")</f>
        <v>#REF!</v>
      </c>
      <c r="EN69" t="e">
        <f>AND(#REF!,"AAAAAHt/7Y8=")</f>
        <v>#REF!</v>
      </c>
      <c r="EO69" t="e">
        <f>AND(#REF!,"AAAAAHt/7ZA=")</f>
        <v>#REF!</v>
      </c>
      <c r="EP69" t="e">
        <f>AND(#REF!,"AAAAAHt/7ZE=")</f>
        <v>#REF!</v>
      </c>
      <c r="EQ69" t="e">
        <f>AND(#REF!,"AAAAAHt/7ZI=")</f>
        <v>#REF!</v>
      </c>
      <c r="ER69" t="e">
        <f>AND(#REF!,"AAAAAHt/7ZM=")</f>
        <v>#REF!</v>
      </c>
      <c r="ES69" t="e">
        <f>AND(#REF!,"AAAAAHt/7ZQ=")</f>
        <v>#REF!</v>
      </c>
      <c r="ET69" t="e">
        <f>AND(#REF!,"AAAAAHt/7ZU=")</f>
        <v>#REF!</v>
      </c>
      <c r="EU69" t="e">
        <f>AND(#REF!,"AAAAAHt/7ZY=")</f>
        <v>#REF!</v>
      </c>
      <c r="EV69" t="e">
        <f>AND(#REF!,"AAAAAHt/7Zc=")</f>
        <v>#REF!</v>
      </c>
      <c r="EW69" t="e">
        <f>AND(#REF!,"AAAAAHt/7Zg=")</f>
        <v>#REF!</v>
      </c>
      <c r="EX69" t="e">
        <f>AND(#REF!,"AAAAAHt/7Zk=")</f>
        <v>#REF!</v>
      </c>
      <c r="EY69" t="e">
        <f>AND(#REF!,"AAAAAHt/7Zo=")</f>
        <v>#REF!</v>
      </c>
      <c r="EZ69" t="e">
        <f>AND(#REF!,"AAAAAHt/7Zs=")</f>
        <v>#REF!</v>
      </c>
      <c r="FA69" t="e">
        <f>AND(#REF!,"AAAAAHt/7Zw=")</f>
        <v>#REF!</v>
      </c>
      <c r="FB69" t="e">
        <f>AND(#REF!,"AAAAAHt/7Z0=")</f>
        <v>#REF!</v>
      </c>
      <c r="FC69" t="e">
        <f>AND(#REF!,"AAAAAHt/7Z4=")</f>
        <v>#REF!</v>
      </c>
      <c r="FD69" t="e">
        <f>AND(#REF!,"AAAAAHt/7Z8=")</f>
        <v>#REF!</v>
      </c>
      <c r="FE69" t="e">
        <f>AND(#REF!,"AAAAAHt/7aA=")</f>
        <v>#REF!</v>
      </c>
      <c r="FF69" t="e">
        <f>AND(#REF!,"AAAAAHt/7aE=")</f>
        <v>#REF!</v>
      </c>
      <c r="FG69" t="e">
        <f>AND(#REF!,"AAAAAHt/7aI=")</f>
        <v>#REF!</v>
      </c>
      <c r="FH69" t="e">
        <f>AND(#REF!,"AAAAAHt/7aM=")</f>
        <v>#REF!</v>
      </c>
      <c r="FI69" t="e">
        <f>AND(#REF!,"AAAAAHt/7aQ=")</f>
        <v>#REF!</v>
      </c>
      <c r="FJ69" t="e">
        <f>AND(#REF!,"AAAAAHt/7aU=")</f>
        <v>#REF!</v>
      </c>
      <c r="FK69" t="e">
        <f>IF(#REF!,"AAAAAHt/7aY=",0)</f>
        <v>#REF!</v>
      </c>
      <c r="FL69" t="e">
        <f>AND(#REF!,"AAAAAHt/7ac=")</f>
        <v>#REF!</v>
      </c>
      <c r="FM69" t="e">
        <f>AND(#REF!,"AAAAAHt/7ag=")</f>
        <v>#REF!</v>
      </c>
      <c r="FN69" t="e">
        <f>AND(#REF!,"AAAAAHt/7ak=")</f>
        <v>#REF!</v>
      </c>
      <c r="FO69" t="e">
        <f>AND(#REF!,"AAAAAHt/7ao=")</f>
        <v>#REF!</v>
      </c>
      <c r="FP69" t="e">
        <f>AND(#REF!,"AAAAAHt/7as=")</f>
        <v>#REF!</v>
      </c>
      <c r="FQ69" t="e">
        <f>AND(#REF!,"AAAAAHt/7aw=")</f>
        <v>#REF!</v>
      </c>
      <c r="FR69" t="e">
        <f>AND(#REF!,"AAAAAHt/7a0=")</f>
        <v>#REF!</v>
      </c>
      <c r="FS69" t="e">
        <f>AND(#REF!,"AAAAAHt/7a4=")</f>
        <v>#REF!</v>
      </c>
      <c r="FT69" t="e">
        <f>AND(#REF!,"AAAAAHt/7a8=")</f>
        <v>#REF!</v>
      </c>
      <c r="FU69" t="e">
        <f>AND(#REF!,"AAAAAHt/7bA=")</f>
        <v>#REF!</v>
      </c>
      <c r="FV69" t="e">
        <f>AND(#REF!,"AAAAAHt/7bE=")</f>
        <v>#REF!</v>
      </c>
      <c r="FW69" t="e">
        <f>AND(#REF!,"AAAAAHt/7bI=")</f>
        <v>#REF!</v>
      </c>
      <c r="FX69" t="e">
        <f>AND(#REF!,"AAAAAHt/7bM=")</f>
        <v>#REF!</v>
      </c>
      <c r="FY69" t="e">
        <f>AND(#REF!,"AAAAAHt/7bQ=")</f>
        <v>#REF!</v>
      </c>
      <c r="FZ69" t="e">
        <f>AND(#REF!,"AAAAAHt/7bU=")</f>
        <v>#REF!</v>
      </c>
      <c r="GA69" t="e">
        <f>AND(#REF!,"AAAAAHt/7bY=")</f>
        <v>#REF!</v>
      </c>
      <c r="GB69" t="e">
        <f>AND(#REF!,"AAAAAHt/7bc=")</f>
        <v>#REF!</v>
      </c>
      <c r="GC69" t="e">
        <f>AND(#REF!,"AAAAAHt/7bg=")</f>
        <v>#REF!</v>
      </c>
      <c r="GD69" t="e">
        <f>AND(#REF!,"AAAAAHt/7bk=")</f>
        <v>#REF!</v>
      </c>
      <c r="GE69" t="e">
        <f>AND(#REF!,"AAAAAHt/7bo=")</f>
        <v>#REF!</v>
      </c>
      <c r="GF69" t="e">
        <f>AND(#REF!,"AAAAAHt/7bs=")</f>
        <v>#REF!</v>
      </c>
      <c r="GG69" t="e">
        <f>AND(#REF!,"AAAAAHt/7bw=")</f>
        <v>#REF!</v>
      </c>
      <c r="GH69" t="e">
        <f>AND(#REF!,"AAAAAHt/7b0=")</f>
        <v>#REF!</v>
      </c>
      <c r="GI69" t="e">
        <f>AND(#REF!,"AAAAAHt/7b4=")</f>
        <v>#REF!</v>
      </c>
      <c r="GJ69" t="e">
        <f>AND(#REF!,"AAAAAHt/7b8=")</f>
        <v>#REF!</v>
      </c>
      <c r="GK69" t="e">
        <f>AND(#REF!,"AAAAAHt/7cA=")</f>
        <v>#REF!</v>
      </c>
      <c r="GL69" t="e">
        <f>AND(#REF!,"AAAAAHt/7cE=")</f>
        <v>#REF!</v>
      </c>
      <c r="GM69" t="e">
        <f>AND(#REF!,"AAAAAHt/7cI=")</f>
        <v>#REF!</v>
      </c>
      <c r="GN69" t="e">
        <f>AND(#REF!,"AAAAAHt/7cM=")</f>
        <v>#REF!</v>
      </c>
      <c r="GO69" t="e">
        <f>AND(#REF!,"AAAAAHt/7cQ=")</f>
        <v>#REF!</v>
      </c>
      <c r="GP69" t="e">
        <f>AND(#REF!,"AAAAAHt/7cU=")</f>
        <v>#REF!</v>
      </c>
      <c r="GQ69" t="e">
        <f>AND(#REF!,"AAAAAHt/7cY=")</f>
        <v>#REF!</v>
      </c>
      <c r="GR69" t="e">
        <f>AND(#REF!,"AAAAAHt/7cc=")</f>
        <v>#REF!</v>
      </c>
      <c r="GS69" t="e">
        <f>AND(#REF!,"AAAAAHt/7cg=")</f>
        <v>#REF!</v>
      </c>
      <c r="GT69" t="e">
        <f>AND(#REF!,"AAAAAHt/7ck=")</f>
        <v>#REF!</v>
      </c>
      <c r="GU69" t="e">
        <f>AND(#REF!,"AAAAAHt/7co=")</f>
        <v>#REF!</v>
      </c>
      <c r="GV69" t="e">
        <f>AND(#REF!,"AAAAAHt/7cs=")</f>
        <v>#REF!</v>
      </c>
      <c r="GW69" t="e">
        <f>AND(#REF!,"AAAAAHt/7cw=")</f>
        <v>#REF!</v>
      </c>
      <c r="GX69" t="e">
        <f>AND(#REF!,"AAAAAHt/7c0=")</f>
        <v>#REF!</v>
      </c>
      <c r="GY69" t="e">
        <f>AND(#REF!,"AAAAAHt/7c4=")</f>
        <v>#REF!</v>
      </c>
      <c r="GZ69" t="e">
        <f>AND(#REF!,"AAAAAHt/7c8=")</f>
        <v>#REF!</v>
      </c>
      <c r="HA69" t="e">
        <f>AND(#REF!,"AAAAAHt/7dA=")</f>
        <v>#REF!</v>
      </c>
      <c r="HB69" t="e">
        <f>AND(#REF!,"AAAAAHt/7dE=")</f>
        <v>#REF!</v>
      </c>
      <c r="HC69" t="e">
        <f>AND(#REF!,"AAAAAHt/7dI=")</f>
        <v>#REF!</v>
      </c>
      <c r="HD69" t="e">
        <f>AND(#REF!,"AAAAAHt/7dM=")</f>
        <v>#REF!</v>
      </c>
      <c r="HE69" t="e">
        <f>AND(#REF!,"AAAAAHt/7dQ=")</f>
        <v>#REF!</v>
      </c>
      <c r="HF69" t="e">
        <f>AND(#REF!,"AAAAAHt/7dU=")</f>
        <v>#REF!</v>
      </c>
      <c r="HG69" t="e">
        <f>AND(#REF!,"AAAAAHt/7dY=")</f>
        <v>#REF!</v>
      </c>
      <c r="HH69" t="e">
        <f>AND(#REF!,"AAAAAHt/7dc=")</f>
        <v>#REF!</v>
      </c>
      <c r="HI69" t="e">
        <f>AND(#REF!,"AAAAAHt/7dg=")</f>
        <v>#REF!</v>
      </c>
      <c r="HJ69" t="e">
        <f>AND(#REF!,"AAAAAHt/7dk=")</f>
        <v>#REF!</v>
      </c>
      <c r="HK69" t="e">
        <f>AND(#REF!,"AAAAAHt/7do=")</f>
        <v>#REF!</v>
      </c>
      <c r="HL69" t="e">
        <f>AND(#REF!,"AAAAAHt/7ds=")</f>
        <v>#REF!</v>
      </c>
      <c r="HM69" t="e">
        <f>AND(#REF!,"AAAAAHt/7dw=")</f>
        <v>#REF!</v>
      </c>
      <c r="HN69" t="e">
        <f>AND(#REF!,"AAAAAHt/7d0=")</f>
        <v>#REF!</v>
      </c>
      <c r="HO69" t="e">
        <f>AND(#REF!,"AAAAAHt/7d4=")</f>
        <v>#REF!</v>
      </c>
      <c r="HP69" t="e">
        <f>AND(#REF!,"AAAAAHt/7d8=")</f>
        <v>#REF!</v>
      </c>
      <c r="HQ69" t="e">
        <f>AND(#REF!,"AAAAAHt/7eA=")</f>
        <v>#REF!</v>
      </c>
      <c r="HR69" t="e">
        <f>AND(#REF!,"AAAAAHt/7eE=")</f>
        <v>#REF!</v>
      </c>
      <c r="HS69" t="e">
        <f>AND(#REF!,"AAAAAHt/7eI=")</f>
        <v>#REF!</v>
      </c>
      <c r="HT69" t="e">
        <f>AND(#REF!,"AAAAAHt/7eM=")</f>
        <v>#REF!</v>
      </c>
      <c r="HU69" t="e">
        <f>AND(#REF!,"AAAAAHt/7eQ=")</f>
        <v>#REF!</v>
      </c>
      <c r="HV69" t="e">
        <f>AND(#REF!,"AAAAAHt/7eU=")</f>
        <v>#REF!</v>
      </c>
      <c r="HW69" t="e">
        <f>AND(#REF!,"AAAAAHt/7eY=")</f>
        <v>#REF!</v>
      </c>
      <c r="HX69" t="e">
        <f>AND(#REF!,"AAAAAHt/7ec=")</f>
        <v>#REF!</v>
      </c>
      <c r="HY69" t="e">
        <f>AND(#REF!,"AAAAAHt/7eg=")</f>
        <v>#REF!</v>
      </c>
      <c r="HZ69" t="e">
        <f>AND(#REF!,"AAAAAHt/7ek=")</f>
        <v>#REF!</v>
      </c>
      <c r="IA69" t="e">
        <f>AND(#REF!,"AAAAAHt/7eo=")</f>
        <v>#REF!</v>
      </c>
      <c r="IB69" t="e">
        <f>AND(#REF!,"AAAAAHt/7es=")</f>
        <v>#REF!</v>
      </c>
      <c r="IC69" t="e">
        <f>AND(#REF!,"AAAAAHt/7ew=")</f>
        <v>#REF!</v>
      </c>
      <c r="ID69" t="e">
        <f>AND(#REF!,"AAAAAHt/7e0=")</f>
        <v>#REF!</v>
      </c>
      <c r="IE69" t="e">
        <f>AND(#REF!,"AAAAAHt/7e4=")</f>
        <v>#REF!</v>
      </c>
      <c r="IF69" t="e">
        <f>AND(#REF!,"AAAAAHt/7e8=")</f>
        <v>#REF!</v>
      </c>
      <c r="IG69" t="e">
        <f>AND(#REF!,"AAAAAHt/7fA=")</f>
        <v>#REF!</v>
      </c>
      <c r="IH69" t="e">
        <f>AND(#REF!,"AAAAAHt/7fE=")</f>
        <v>#REF!</v>
      </c>
      <c r="II69" t="e">
        <f>AND(#REF!,"AAAAAHt/7fI=")</f>
        <v>#REF!</v>
      </c>
      <c r="IJ69" t="e">
        <f>AND(#REF!,"AAAAAHt/7fM=")</f>
        <v>#REF!</v>
      </c>
      <c r="IK69" t="e">
        <f>AND(#REF!,"AAAAAHt/7fQ=")</f>
        <v>#REF!</v>
      </c>
      <c r="IL69" t="e">
        <f>AND(#REF!,"AAAAAHt/7fU=")</f>
        <v>#REF!</v>
      </c>
      <c r="IM69" t="e">
        <f>AND(#REF!,"AAAAAHt/7fY=")</f>
        <v>#REF!</v>
      </c>
      <c r="IN69" t="e">
        <f>AND(#REF!,"AAAAAHt/7fc=")</f>
        <v>#REF!</v>
      </c>
      <c r="IO69" t="e">
        <f>AND(#REF!,"AAAAAHt/7fg=")</f>
        <v>#REF!</v>
      </c>
      <c r="IP69" t="e">
        <f>AND(#REF!,"AAAAAHt/7fk=")</f>
        <v>#REF!</v>
      </c>
      <c r="IQ69" t="e">
        <f>AND(#REF!,"AAAAAHt/7fo=")</f>
        <v>#REF!</v>
      </c>
      <c r="IR69" t="e">
        <f>AND(#REF!,"AAAAAHt/7fs=")</f>
        <v>#REF!</v>
      </c>
      <c r="IS69" t="e">
        <f>AND(#REF!,"AAAAAHt/7fw=")</f>
        <v>#REF!</v>
      </c>
      <c r="IT69" t="e">
        <f>AND(#REF!,"AAAAAHt/7f0=")</f>
        <v>#REF!</v>
      </c>
      <c r="IU69" t="e">
        <f>AND(#REF!,"AAAAAHt/7f4=")</f>
        <v>#REF!</v>
      </c>
      <c r="IV69" t="e">
        <f>AND(#REF!,"AAAAAHt/7f8=")</f>
        <v>#REF!</v>
      </c>
    </row>
    <row r="70" spans="1:256" x14ac:dyDescent="0.2">
      <c r="A70" t="e">
        <f>AND(#REF!,"AAAAAC9+3QA=")</f>
        <v>#REF!</v>
      </c>
      <c r="B70" t="e">
        <f>AND(#REF!,"AAAAAC9+3QE=")</f>
        <v>#REF!</v>
      </c>
      <c r="C70" t="e">
        <f>AND(#REF!,"AAAAAC9+3QI=")</f>
        <v>#REF!</v>
      </c>
      <c r="D70" t="e">
        <f>AND(#REF!,"AAAAAC9+3QM=")</f>
        <v>#REF!</v>
      </c>
      <c r="E70" t="e">
        <f>AND(#REF!,"AAAAAC9+3QQ=")</f>
        <v>#REF!</v>
      </c>
      <c r="F70" t="e">
        <f>AND(#REF!,"AAAAAC9+3QU=")</f>
        <v>#REF!</v>
      </c>
      <c r="G70" t="e">
        <f>AND(#REF!,"AAAAAC9+3QY=")</f>
        <v>#REF!</v>
      </c>
      <c r="H70" t="e">
        <f>AND(#REF!,"AAAAAC9+3Qc=")</f>
        <v>#REF!</v>
      </c>
      <c r="I70" t="e">
        <f>AND(#REF!,"AAAAAC9+3Qg=")</f>
        <v>#REF!</v>
      </c>
      <c r="J70" t="e">
        <f>AND(#REF!,"AAAAAC9+3Qk=")</f>
        <v>#REF!</v>
      </c>
      <c r="K70" t="e">
        <f>AND(#REF!,"AAAAAC9+3Qo=")</f>
        <v>#REF!</v>
      </c>
      <c r="L70" t="e">
        <f>AND(#REF!,"AAAAAC9+3Qs=")</f>
        <v>#REF!</v>
      </c>
      <c r="M70" t="e">
        <f>AND(#REF!,"AAAAAC9+3Qw=")</f>
        <v>#REF!</v>
      </c>
      <c r="N70" t="e">
        <f>AND(#REF!,"AAAAAC9+3Q0=")</f>
        <v>#REF!</v>
      </c>
      <c r="O70" t="e">
        <f>AND(#REF!,"AAAAAC9+3Q4=")</f>
        <v>#REF!</v>
      </c>
      <c r="P70" t="e">
        <f>AND(#REF!,"AAAAAC9+3Q8=")</f>
        <v>#REF!</v>
      </c>
      <c r="Q70" t="e">
        <f>AND(#REF!,"AAAAAC9+3RA=")</f>
        <v>#REF!</v>
      </c>
      <c r="R70" t="e">
        <f>AND(#REF!,"AAAAAC9+3RE=")</f>
        <v>#REF!</v>
      </c>
      <c r="S70" t="e">
        <f>AND(#REF!,"AAAAAC9+3RI=")</f>
        <v>#REF!</v>
      </c>
      <c r="T70" t="e">
        <f>AND(#REF!,"AAAAAC9+3RM=")</f>
        <v>#REF!</v>
      </c>
      <c r="U70" t="e">
        <f>AND(#REF!,"AAAAAC9+3RQ=")</f>
        <v>#REF!</v>
      </c>
      <c r="V70" t="e">
        <f>AND(#REF!,"AAAAAC9+3RU=")</f>
        <v>#REF!</v>
      </c>
      <c r="W70" t="e">
        <f>AND(#REF!,"AAAAAC9+3RY=")</f>
        <v>#REF!</v>
      </c>
      <c r="X70" t="e">
        <f>AND(#REF!,"AAAAAC9+3Rc=")</f>
        <v>#REF!</v>
      </c>
      <c r="Y70" t="e">
        <f>AND(#REF!,"AAAAAC9+3Rg=")</f>
        <v>#REF!</v>
      </c>
      <c r="Z70" t="e">
        <f>AND(#REF!,"AAAAAC9+3Rk=")</f>
        <v>#REF!</v>
      </c>
      <c r="AA70" t="e">
        <f>AND(#REF!,"AAAAAC9+3Ro=")</f>
        <v>#REF!</v>
      </c>
      <c r="AB70" t="e">
        <f>AND(#REF!,"AAAAAC9+3Rs=")</f>
        <v>#REF!</v>
      </c>
      <c r="AC70" t="e">
        <f>AND(#REF!,"AAAAAC9+3Rw=")</f>
        <v>#REF!</v>
      </c>
      <c r="AD70" t="e">
        <f>AND(#REF!,"AAAAAC9+3R0=")</f>
        <v>#REF!</v>
      </c>
      <c r="AE70" t="e">
        <f>AND(#REF!,"AAAAAC9+3R4=")</f>
        <v>#REF!</v>
      </c>
      <c r="AF70" t="e">
        <f>AND(#REF!,"AAAAAC9+3R8=")</f>
        <v>#REF!</v>
      </c>
      <c r="AG70" t="e">
        <f>AND(#REF!,"AAAAAC9+3SA=")</f>
        <v>#REF!</v>
      </c>
      <c r="AH70" t="e">
        <f>AND(#REF!,"AAAAAC9+3SE=")</f>
        <v>#REF!</v>
      </c>
      <c r="AI70" t="e">
        <f>AND(#REF!,"AAAAAC9+3SI=")</f>
        <v>#REF!</v>
      </c>
      <c r="AJ70" t="e">
        <f>AND(#REF!,"AAAAAC9+3SM=")</f>
        <v>#REF!</v>
      </c>
      <c r="AK70" t="e">
        <f>AND(#REF!,"AAAAAC9+3SQ=")</f>
        <v>#REF!</v>
      </c>
      <c r="AL70" t="e">
        <f>AND(#REF!,"AAAAAC9+3SU=")</f>
        <v>#REF!</v>
      </c>
      <c r="AM70" t="e">
        <f>AND(#REF!,"AAAAAC9+3SY=")</f>
        <v>#REF!</v>
      </c>
      <c r="AN70" t="e">
        <f>AND(#REF!,"AAAAAC9+3Sc=")</f>
        <v>#REF!</v>
      </c>
      <c r="AO70" t="e">
        <f>AND(#REF!,"AAAAAC9+3Sg=")</f>
        <v>#REF!</v>
      </c>
      <c r="AP70" t="e">
        <f>AND(#REF!,"AAAAAC9+3Sk=")</f>
        <v>#REF!</v>
      </c>
      <c r="AQ70" t="e">
        <f>AND(#REF!,"AAAAAC9+3So=")</f>
        <v>#REF!</v>
      </c>
      <c r="AR70" t="e">
        <f>AND(#REF!,"AAAAAC9+3Ss=")</f>
        <v>#REF!</v>
      </c>
      <c r="AS70" t="e">
        <f>AND(#REF!,"AAAAAC9+3Sw=")</f>
        <v>#REF!</v>
      </c>
      <c r="AT70" t="e">
        <f>AND(#REF!,"AAAAAC9+3S0=")</f>
        <v>#REF!</v>
      </c>
      <c r="AU70" t="e">
        <f>AND(#REF!,"AAAAAC9+3S4=")</f>
        <v>#REF!</v>
      </c>
      <c r="AV70" t="e">
        <f>AND(#REF!,"AAAAAC9+3S8=")</f>
        <v>#REF!</v>
      </c>
      <c r="AW70" t="e">
        <f>AND(#REF!,"AAAAAC9+3TA=")</f>
        <v>#REF!</v>
      </c>
      <c r="AX70" t="e">
        <f>AND(#REF!,"AAAAAC9+3TE=")</f>
        <v>#REF!</v>
      </c>
      <c r="AY70" t="e">
        <f>AND(#REF!,"AAAAAC9+3TI=")</f>
        <v>#REF!</v>
      </c>
      <c r="AZ70" t="e">
        <f>AND(#REF!,"AAAAAC9+3TM=")</f>
        <v>#REF!</v>
      </c>
      <c r="BA70" t="e">
        <f>AND(#REF!,"AAAAAC9+3TQ=")</f>
        <v>#REF!</v>
      </c>
      <c r="BB70" t="e">
        <f>AND(#REF!,"AAAAAC9+3TU=")</f>
        <v>#REF!</v>
      </c>
      <c r="BC70" t="e">
        <f>AND(#REF!,"AAAAAC9+3TY=")</f>
        <v>#REF!</v>
      </c>
      <c r="BD70" t="e">
        <f>AND(#REF!,"AAAAAC9+3Tc=")</f>
        <v>#REF!</v>
      </c>
      <c r="BE70" t="e">
        <f>AND(#REF!,"AAAAAC9+3Tg=")</f>
        <v>#REF!</v>
      </c>
      <c r="BF70" t="e">
        <f>AND(#REF!,"AAAAAC9+3Tk=")</f>
        <v>#REF!</v>
      </c>
      <c r="BG70" t="e">
        <f>AND(#REF!,"AAAAAC9+3To=")</f>
        <v>#REF!</v>
      </c>
      <c r="BH70" t="e">
        <f>AND(#REF!,"AAAAAC9+3Ts=")</f>
        <v>#REF!</v>
      </c>
      <c r="BI70" t="e">
        <f>AND(#REF!,"AAAAAC9+3Tw=")</f>
        <v>#REF!</v>
      </c>
      <c r="BJ70" t="e">
        <f>AND(#REF!,"AAAAAC9+3T0=")</f>
        <v>#REF!</v>
      </c>
      <c r="BK70" t="e">
        <f>AND(#REF!,"AAAAAC9+3T4=")</f>
        <v>#REF!</v>
      </c>
      <c r="BL70" t="e">
        <f>AND(#REF!,"AAAAAC9+3T8=")</f>
        <v>#REF!</v>
      </c>
      <c r="BM70" t="e">
        <f>AND(#REF!,"AAAAAC9+3UA=")</f>
        <v>#REF!</v>
      </c>
      <c r="BN70" t="e">
        <f>AND(#REF!,"AAAAAC9+3UE=")</f>
        <v>#REF!</v>
      </c>
      <c r="BO70" t="e">
        <f>AND(#REF!,"AAAAAC9+3UI=")</f>
        <v>#REF!</v>
      </c>
      <c r="BP70" t="e">
        <f>AND(#REF!,"AAAAAC9+3UM=")</f>
        <v>#REF!</v>
      </c>
      <c r="BQ70" t="e">
        <f>AND(#REF!,"AAAAAC9+3UQ=")</f>
        <v>#REF!</v>
      </c>
      <c r="BR70" t="e">
        <f>AND(#REF!,"AAAAAC9+3UU=")</f>
        <v>#REF!</v>
      </c>
      <c r="BS70" t="e">
        <f>AND(#REF!,"AAAAAC9+3UY=")</f>
        <v>#REF!</v>
      </c>
      <c r="BT70" t="e">
        <f>AND(#REF!,"AAAAAC9+3Uc=")</f>
        <v>#REF!</v>
      </c>
      <c r="BU70" t="e">
        <f>AND(#REF!,"AAAAAC9+3Ug=")</f>
        <v>#REF!</v>
      </c>
      <c r="BV70" t="e">
        <f>AND(#REF!,"AAAAAC9+3Uk=")</f>
        <v>#REF!</v>
      </c>
      <c r="BW70" t="e">
        <f>AND(#REF!,"AAAAAC9+3Uo=")</f>
        <v>#REF!</v>
      </c>
      <c r="BX70" t="e">
        <f>AND(#REF!,"AAAAAC9+3Us=")</f>
        <v>#REF!</v>
      </c>
      <c r="BY70" t="e">
        <f>AND(#REF!,"AAAAAC9+3Uw=")</f>
        <v>#REF!</v>
      </c>
      <c r="BZ70" t="e">
        <f>AND(#REF!,"AAAAAC9+3U0=")</f>
        <v>#REF!</v>
      </c>
      <c r="CA70" t="e">
        <f>AND(#REF!,"AAAAAC9+3U4=")</f>
        <v>#REF!</v>
      </c>
      <c r="CB70" t="e">
        <f>AND(#REF!,"AAAAAC9+3U8=")</f>
        <v>#REF!</v>
      </c>
      <c r="CC70" t="e">
        <f>AND(#REF!,"AAAAAC9+3VA=")</f>
        <v>#REF!</v>
      </c>
      <c r="CD70" t="e">
        <f>AND(#REF!,"AAAAAC9+3VE=")</f>
        <v>#REF!</v>
      </c>
      <c r="CE70" t="e">
        <f>AND(#REF!,"AAAAAC9+3VI=")</f>
        <v>#REF!</v>
      </c>
      <c r="CF70" t="e">
        <f>AND(#REF!,"AAAAAC9+3VM=")</f>
        <v>#REF!</v>
      </c>
      <c r="CG70" t="e">
        <f>AND(#REF!,"AAAAAC9+3VQ=")</f>
        <v>#REF!</v>
      </c>
      <c r="CH70" t="e">
        <f>AND(#REF!,"AAAAAC9+3VU=")</f>
        <v>#REF!</v>
      </c>
      <c r="CI70" t="e">
        <f>AND(#REF!,"AAAAAC9+3VY=")</f>
        <v>#REF!</v>
      </c>
      <c r="CJ70" t="e">
        <f>AND(#REF!,"AAAAAC9+3Vc=")</f>
        <v>#REF!</v>
      </c>
      <c r="CK70" t="e">
        <f>AND(#REF!,"AAAAAC9+3Vg=")</f>
        <v>#REF!</v>
      </c>
      <c r="CL70" t="e">
        <f>AND(#REF!,"AAAAAC9+3Vk=")</f>
        <v>#REF!</v>
      </c>
      <c r="CM70" t="e">
        <f>AND(#REF!,"AAAAAC9+3Vo=")</f>
        <v>#REF!</v>
      </c>
      <c r="CN70" t="e">
        <f>IF(#REF!,"AAAAAC9+3Vs=",0)</f>
        <v>#REF!</v>
      </c>
      <c r="CO70" t="e">
        <f>AND(#REF!,"AAAAAC9+3Vw=")</f>
        <v>#REF!</v>
      </c>
      <c r="CP70" t="e">
        <f>AND(#REF!,"AAAAAC9+3V0=")</f>
        <v>#REF!</v>
      </c>
      <c r="CQ70" t="e">
        <f>AND(#REF!,"AAAAAC9+3V4=")</f>
        <v>#REF!</v>
      </c>
      <c r="CR70" t="e">
        <f>AND(#REF!,"AAAAAC9+3V8=")</f>
        <v>#REF!</v>
      </c>
      <c r="CS70" t="e">
        <f>AND(#REF!,"AAAAAC9+3WA=")</f>
        <v>#REF!</v>
      </c>
      <c r="CT70" t="e">
        <f>AND(#REF!,"AAAAAC9+3WE=")</f>
        <v>#REF!</v>
      </c>
      <c r="CU70" t="e">
        <f>AND(#REF!,"AAAAAC9+3WI=")</f>
        <v>#REF!</v>
      </c>
      <c r="CV70" t="e">
        <f>AND(#REF!,"AAAAAC9+3WM=")</f>
        <v>#REF!</v>
      </c>
      <c r="CW70" t="e">
        <f>AND(#REF!,"AAAAAC9+3WQ=")</f>
        <v>#REF!</v>
      </c>
      <c r="CX70" t="e">
        <f>AND(#REF!,"AAAAAC9+3WU=")</f>
        <v>#REF!</v>
      </c>
      <c r="CY70" t="e">
        <f>AND(#REF!,"AAAAAC9+3WY=")</f>
        <v>#REF!</v>
      </c>
      <c r="CZ70" t="e">
        <f>AND(#REF!,"AAAAAC9+3Wc=")</f>
        <v>#REF!</v>
      </c>
      <c r="DA70" t="e">
        <f>AND(#REF!,"AAAAAC9+3Wg=")</f>
        <v>#REF!</v>
      </c>
      <c r="DB70" t="e">
        <f>AND(#REF!,"AAAAAC9+3Wk=")</f>
        <v>#REF!</v>
      </c>
      <c r="DC70" t="e">
        <f>AND(#REF!,"AAAAAC9+3Wo=")</f>
        <v>#REF!</v>
      </c>
      <c r="DD70" t="e">
        <f>AND(#REF!,"AAAAAC9+3Ws=")</f>
        <v>#REF!</v>
      </c>
      <c r="DE70" t="e">
        <f>AND(#REF!,"AAAAAC9+3Ww=")</f>
        <v>#REF!</v>
      </c>
      <c r="DF70" t="e">
        <f>AND(#REF!,"AAAAAC9+3W0=")</f>
        <v>#REF!</v>
      </c>
      <c r="DG70" t="e">
        <f>AND(#REF!,"AAAAAC9+3W4=")</f>
        <v>#REF!</v>
      </c>
      <c r="DH70" t="e">
        <f>AND(#REF!,"AAAAAC9+3W8=")</f>
        <v>#REF!</v>
      </c>
      <c r="DI70" t="e">
        <f>AND(#REF!,"AAAAAC9+3XA=")</f>
        <v>#REF!</v>
      </c>
      <c r="DJ70" t="e">
        <f>AND(#REF!,"AAAAAC9+3XE=")</f>
        <v>#REF!</v>
      </c>
      <c r="DK70" t="e">
        <f>AND(#REF!,"AAAAAC9+3XI=")</f>
        <v>#REF!</v>
      </c>
      <c r="DL70" t="e">
        <f>AND(#REF!,"AAAAAC9+3XM=")</f>
        <v>#REF!</v>
      </c>
      <c r="DM70" t="e">
        <f>AND(#REF!,"AAAAAC9+3XQ=")</f>
        <v>#REF!</v>
      </c>
      <c r="DN70" t="e">
        <f>AND(#REF!,"AAAAAC9+3XU=")</f>
        <v>#REF!</v>
      </c>
      <c r="DO70" t="e">
        <f>AND(#REF!,"AAAAAC9+3XY=")</f>
        <v>#REF!</v>
      </c>
      <c r="DP70" t="e">
        <f>AND(#REF!,"AAAAAC9+3Xc=")</f>
        <v>#REF!</v>
      </c>
      <c r="DQ70" t="e">
        <f>AND(#REF!,"AAAAAC9+3Xg=")</f>
        <v>#REF!</v>
      </c>
      <c r="DR70" t="e">
        <f>AND(#REF!,"AAAAAC9+3Xk=")</f>
        <v>#REF!</v>
      </c>
      <c r="DS70" t="e">
        <f>AND(#REF!,"AAAAAC9+3Xo=")</f>
        <v>#REF!</v>
      </c>
      <c r="DT70" t="e">
        <f>AND(#REF!,"AAAAAC9+3Xs=")</f>
        <v>#REF!</v>
      </c>
      <c r="DU70" t="e">
        <f>AND(#REF!,"AAAAAC9+3Xw=")</f>
        <v>#REF!</v>
      </c>
      <c r="DV70" t="e">
        <f>AND(#REF!,"AAAAAC9+3X0=")</f>
        <v>#REF!</v>
      </c>
      <c r="DW70" t="e">
        <f>AND(#REF!,"AAAAAC9+3X4=")</f>
        <v>#REF!</v>
      </c>
      <c r="DX70" t="e">
        <f>AND(#REF!,"AAAAAC9+3X8=")</f>
        <v>#REF!</v>
      </c>
      <c r="DY70" t="e">
        <f>AND(#REF!,"AAAAAC9+3YA=")</f>
        <v>#REF!</v>
      </c>
      <c r="DZ70" t="e">
        <f>AND(#REF!,"AAAAAC9+3YE=")</f>
        <v>#REF!</v>
      </c>
      <c r="EA70" t="e">
        <f>AND(#REF!,"AAAAAC9+3YI=")</f>
        <v>#REF!</v>
      </c>
      <c r="EB70" t="e">
        <f>AND(#REF!,"AAAAAC9+3YM=")</f>
        <v>#REF!</v>
      </c>
      <c r="EC70" t="e">
        <f>AND(#REF!,"AAAAAC9+3YQ=")</f>
        <v>#REF!</v>
      </c>
      <c r="ED70" t="e">
        <f>AND(#REF!,"AAAAAC9+3YU=")</f>
        <v>#REF!</v>
      </c>
      <c r="EE70" t="e">
        <f>AND(#REF!,"AAAAAC9+3YY=")</f>
        <v>#REF!</v>
      </c>
      <c r="EF70" t="e">
        <f>AND(#REF!,"AAAAAC9+3Yc=")</f>
        <v>#REF!</v>
      </c>
      <c r="EG70" t="e">
        <f>AND(#REF!,"AAAAAC9+3Yg=")</f>
        <v>#REF!</v>
      </c>
      <c r="EH70" t="e">
        <f>AND(#REF!,"AAAAAC9+3Yk=")</f>
        <v>#REF!</v>
      </c>
      <c r="EI70" t="e">
        <f>AND(#REF!,"AAAAAC9+3Yo=")</f>
        <v>#REF!</v>
      </c>
      <c r="EJ70" t="e">
        <f>AND(#REF!,"AAAAAC9+3Ys=")</f>
        <v>#REF!</v>
      </c>
      <c r="EK70" t="e">
        <f>AND(#REF!,"AAAAAC9+3Yw=")</f>
        <v>#REF!</v>
      </c>
      <c r="EL70" t="e">
        <f>AND(#REF!,"AAAAAC9+3Y0=")</f>
        <v>#REF!</v>
      </c>
      <c r="EM70" t="e">
        <f>AND(#REF!,"AAAAAC9+3Y4=")</f>
        <v>#REF!</v>
      </c>
      <c r="EN70" t="e">
        <f>AND(#REF!,"AAAAAC9+3Y8=")</f>
        <v>#REF!</v>
      </c>
      <c r="EO70" t="e">
        <f>AND(#REF!,"AAAAAC9+3ZA=")</f>
        <v>#REF!</v>
      </c>
      <c r="EP70" t="e">
        <f>AND(#REF!,"AAAAAC9+3ZE=")</f>
        <v>#REF!</v>
      </c>
      <c r="EQ70" t="e">
        <f>AND(#REF!,"AAAAAC9+3ZI=")</f>
        <v>#REF!</v>
      </c>
      <c r="ER70" t="e">
        <f>AND(#REF!,"AAAAAC9+3ZM=")</f>
        <v>#REF!</v>
      </c>
      <c r="ES70" t="e">
        <f>AND(#REF!,"AAAAAC9+3ZQ=")</f>
        <v>#REF!</v>
      </c>
      <c r="ET70" t="e">
        <f>AND(#REF!,"AAAAAC9+3ZU=")</f>
        <v>#REF!</v>
      </c>
      <c r="EU70" t="e">
        <f>AND(#REF!,"AAAAAC9+3ZY=")</f>
        <v>#REF!</v>
      </c>
      <c r="EV70" t="e">
        <f>AND(#REF!,"AAAAAC9+3Zc=")</f>
        <v>#REF!</v>
      </c>
      <c r="EW70" t="e">
        <f>AND(#REF!,"AAAAAC9+3Zg=")</f>
        <v>#REF!</v>
      </c>
      <c r="EX70" t="e">
        <f>AND(#REF!,"AAAAAC9+3Zk=")</f>
        <v>#REF!</v>
      </c>
      <c r="EY70" t="e">
        <f>AND(#REF!,"AAAAAC9+3Zo=")</f>
        <v>#REF!</v>
      </c>
      <c r="EZ70" t="e">
        <f>AND(#REF!,"AAAAAC9+3Zs=")</f>
        <v>#REF!</v>
      </c>
      <c r="FA70" t="e">
        <f>AND(#REF!,"AAAAAC9+3Zw=")</f>
        <v>#REF!</v>
      </c>
      <c r="FB70" t="e">
        <f>AND(#REF!,"AAAAAC9+3Z0=")</f>
        <v>#REF!</v>
      </c>
      <c r="FC70" t="e">
        <f>AND(#REF!,"AAAAAC9+3Z4=")</f>
        <v>#REF!</v>
      </c>
      <c r="FD70" t="e">
        <f>AND(#REF!,"AAAAAC9+3Z8=")</f>
        <v>#REF!</v>
      </c>
      <c r="FE70" t="e">
        <f>AND(#REF!,"AAAAAC9+3aA=")</f>
        <v>#REF!</v>
      </c>
      <c r="FF70" t="e">
        <f>AND(#REF!,"AAAAAC9+3aE=")</f>
        <v>#REF!</v>
      </c>
      <c r="FG70" t="e">
        <f>AND(#REF!,"AAAAAC9+3aI=")</f>
        <v>#REF!</v>
      </c>
      <c r="FH70" t="e">
        <f>AND(#REF!,"AAAAAC9+3aM=")</f>
        <v>#REF!</v>
      </c>
      <c r="FI70" t="e">
        <f>AND(#REF!,"AAAAAC9+3aQ=")</f>
        <v>#REF!</v>
      </c>
      <c r="FJ70" t="e">
        <f>AND(#REF!,"AAAAAC9+3aU=")</f>
        <v>#REF!</v>
      </c>
      <c r="FK70" t="e">
        <f>AND(#REF!,"AAAAAC9+3aY=")</f>
        <v>#REF!</v>
      </c>
      <c r="FL70" t="e">
        <f>AND(#REF!,"AAAAAC9+3ac=")</f>
        <v>#REF!</v>
      </c>
      <c r="FM70" t="e">
        <f>AND(#REF!,"AAAAAC9+3ag=")</f>
        <v>#REF!</v>
      </c>
      <c r="FN70" t="e">
        <f>AND(#REF!,"AAAAAC9+3ak=")</f>
        <v>#REF!</v>
      </c>
      <c r="FO70" t="e">
        <f>AND(#REF!,"AAAAAC9+3ao=")</f>
        <v>#REF!</v>
      </c>
      <c r="FP70" t="e">
        <f>AND(#REF!,"AAAAAC9+3as=")</f>
        <v>#REF!</v>
      </c>
      <c r="FQ70" t="e">
        <f>AND(#REF!,"AAAAAC9+3aw=")</f>
        <v>#REF!</v>
      </c>
      <c r="FR70" t="e">
        <f>AND(#REF!,"AAAAAC9+3a0=")</f>
        <v>#REF!</v>
      </c>
      <c r="FS70" t="e">
        <f>AND(#REF!,"AAAAAC9+3a4=")</f>
        <v>#REF!</v>
      </c>
      <c r="FT70" t="e">
        <f>AND(#REF!,"AAAAAC9+3a8=")</f>
        <v>#REF!</v>
      </c>
      <c r="FU70" t="e">
        <f>AND(#REF!,"AAAAAC9+3bA=")</f>
        <v>#REF!</v>
      </c>
      <c r="FV70" t="e">
        <f>AND(#REF!,"AAAAAC9+3bE=")</f>
        <v>#REF!</v>
      </c>
      <c r="FW70" t="e">
        <f>AND(#REF!,"AAAAAC9+3bI=")</f>
        <v>#REF!</v>
      </c>
      <c r="FX70" t="e">
        <f>AND(#REF!,"AAAAAC9+3bM=")</f>
        <v>#REF!</v>
      </c>
      <c r="FY70" t="e">
        <f>AND(#REF!,"AAAAAC9+3bQ=")</f>
        <v>#REF!</v>
      </c>
      <c r="FZ70" t="e">
        <f>AND(#REF!,"AAAAAC9+3bU=")</f>
        <v>#REF!</v>
      </c>
      <c r="GA70" t="e">
        <f>AND(#REF!,"AAAAAC9+3bY=")</f>
        <v>#REF!</v>
      </c>
      <c r="GB70" t="e">
        <f>AND(#REF!,"AAAAAC9+3bc=")</f>
        <v>#REF!</v>
      </c>
      <c r="GC70" t="e">
        <f>AND(#REF!,"AAAAAC9+3bg=")</f>
        <v>#REF!</v>
      </c>
      <c r="GD70" t="e">
        <f>AND(#REF!,"AAAAAC9+3bk=")</f>
        <v>#REF!</v>
      </c>
      <c r="GE70" t="e">
        <f>AND(#REF!,"AAAAAC9+3bo=")</f>
        <v>#REF!</v>
      </c>
      <c r="GF70" t="e">
        <f>AND(#REF!,"AAAAAC9+3bs=")</f>
        <v>#REF!</v>
      </c>
      <c r="GG70" t="e">
        <f>AND(#REF!,"AAAAAC9+3bw=")</f>
        <v>#REF!</v>
      </c>
      <c r="GH70" t="e">
        <f>AND(#REF!,"AAAAAC9+3b0=")</f>
        <v>#REF!</v>
      </c>
      <c r="GI70" t="e">
        <f>AND(#REF!,"AAAAAC9+3b4=")</f>
        <v>#REF!</v>
      </c>
      <c r="GJ70" t="e">
        <f>AND(#REF!,"AAAAAC9+3b8=")</f>
        <v>#REF!</v>
      </c>
      <c r="GK70" t="e">
        <f>AND(#REF!,"AAAAAC9+3cA=")</f>
        <v>#REF!</v>
      </c>
      <c r="GL70" t="e">
        <f>AND(#REF!,"AAAAAC9+3cE=")</f>
        <v>#REF!</v>
      </c>
      <c r="GM70" t="e">
        <f>AND(#REF!,"AAAAAC9+3cI=")</f>
        <v>#REF!</v>
      </c>
      <c r="GN70" t="e">
        <f>AND(#REF!,"AAAAAC9+3cM=")</f>
        <v>#REF!</v>
      </c>
      <c r="GO70" t="e">
        <f>AND(#REF!,"AAAAAC9+3cQ=")</f>
        <v>#REF!</v>
      </c>
      <c r="GP70" t="e">
        <f>AND(#REF!,"AAAAAC9+3cU=")</f>
        <v>#REF!</v>
      </c>
      <c r="GQ70" t="e">
        <f>AND(#REF!,"AAAAAC9+3cY=")</f>
        <v>#REF!</v>
      </c>
      <c r="GR70" t="e">
        <f>AND(#REF!,"AAAAAC9+3cc=")</f>
        <v>#REF!</v>
      </c>
      <c r="GS70" t="e">
        <f>AND(#REF!,"AAAAAC9+3cg=")</f>
        <v>#REF!</v>
      </c>
      <c r="GT70" t="e">
        <f>AND(#REF!,"AAAAAC9+3ck=")</f>
        <v>#REF!</v>
      </c>
      <c r="GU70" t="e">
        <f>AND(#REF!,"AAAAAC9+3co=")</f>
        <v>#REF!</v>
      </c>
      <c r="GV70" t="e">
        <f>AND(#REF!,"AAAAAC9+3cs=")</f>
        <v>#REF!</v>
      </c>
      <c r="GW70" t="e">
        <f>AND(#REF!,"AAAAAC9+3cw=")</f>
        <v>#REF!</v>
      </c>
      <c r="GX70" t="e">
        <f>AND(#REF!,"AAAAAC9+3c0=")</f>
        <v>#REF!</v>
      </c>
      <c r="GY70" t="e">
        <f>AND(#REF!,"AAAAAC9+3c4=")</f>
        <v>#REF!</v>
      </c>
      <c r="GZ70" t="e">
        <f>AND(#REF!,"AAAAAC9+3c8=")</f>
        <v>#REF!</v>
      </c>
      <c r="HA70" t="e">
        <f>AND(#REF!,"AAAAAC9+3dA=")</f>
        <v>#REF!</v>
      </c>
      <c r="HB70" t="e">
        <f>AND(#REF!,"AAAAAC9+3dE=")</f>
        <v>#REF!</v>
      </c>
      <c r="HC70" t="e">
        <f>AND(#REF!,"AAAAAC9+3dI=")</f>
        <v>#REF!</v>
      </c>
      <c r="HD70" t="e">
        <f>AND(#REF!,"AAAAAC9+3dM=")</f>
        <v>#REF!</v>
      </c>
      <c r="HE70" t="e">
        <f>AND(#REF!,"AAAAAC9+3dQ=")</f>
        <v>#REF!</v>
      </c>
      <c r="HF70" t="e">
        <f>AND(#REF!,"AAAAAC9+3dU=")</f>
        <v>#REF!</v>
      </c>
      <c r="HG70" t="e">
        <f>AND(#REF!,"AAAAAC9+3dY=")</f>
        <v>#REF!</v>
      </c>
      <c r="HH70" t="e">
        <f>AND(#REF!,"AAAAAC9+3dc=")</f>
        <v>#REF!</v>
      </c>
      <c r="HI70" t="e">
        <f>AND(#REF!,"AAAAAC9+3dg=")</f>
        <v>#REF!</v>
      </c>
      <c r="HJ70" t="e">
        <f>AND(#REF!,"AAAAAC9+3dk=")</f>
        <v>#REF!</v>
      </c>
      <c r="HK70" t="e">
        <f>AND(#REF!,"AAAAAC9+3do=")</f>
        <v>#REF!</v>
      </c>
      <c r="HL70" t="e">
        <f>AND(#REF!,"AAAAAC9+3ds=")</f>
        <v>#REF!</v>
      </c>
      <c r="HM70" t="e">
        <f>AND(#REF!,"AAAAAC9+3dw=")</f>
        <v>#REF!</v>
      </c>
      <c r="HN70" t="e">
        <f>AND(#REF!,"AAAAAC9+3d0=")</f>
        <v>#REF!</v>
      </c>
      <c r="HO70" t="e">
        <f>AND(#REF!,"AAAAAC9+3d4=")</f>
        <v>#REF!</v>
      </c>
      <c r="HP70" t="e">
        <f>AND(#REF!,"AAAAAC9+3d8=")</f>
        <v>#REF!</v>
      </c>
      <c r="HQ70" t="e">
        <f>AND(#REF!,"AAAAAC9+3eA=")</f>
        <v>#REF!</v>
      </c>
      <c r="HR70" t="e">
        <f>AND(#REF!,"AAAAAC9+3eE=")</f>
        <v>#REF!</v>
      </c>
      <c r="HS70" t="e">
        <f>AND(#REF!,"AAAAAC9+3eI=")</f>
        <v>#REF!</v>
      </c>
      <c r="HT70" t="e">
        <f>AND(#REF!,"AAAAAC9+3eM=")</f>
        <v>#REF!</v>
      </c>
      <c r="HU70" t="e">
        <f>AND(#REF!,"AAAAAC9+3eQ=")</f>
        <v>#REF!</v>
      </c>
      <c r="HV70" t="e">
        <f>AND(#REF!,"AAAAAC9+3eU=")</f>
        <v>#REF!</v>
      </c>
      <c r="HW70" t="e">
        <f>AND(#REF!,"AAAAAC9+3eY=")</f>
        <v>#REF!</v>
      </c>
      <c r="HX70" t="e">
        <f>AND(#REF!,"AAAAAC9+3ec=")</f>
        <v>#REF!</v>
      </c>
      <c r="HY70" t="e">
        <f>AND(#REF!,"AAAAAC9+3eg=")</f>
        <v>#REF!</v>
      </c>
      <c r="HZ70" t="e">
        <f>AND(#REF!,"AAAAAC9+3ek=")</f>
        <v>#REF!</v>
      </c>
      <c r="IA70" t="e">
        <f>AND(#REF!,"AAAAAC9+3eo=")</f>
        <v>#REF!</v>
      </c>
      <c r="IB70" t="e">
        <f>AND(#REF!,"AAAAAC9+3es=")</f>
        <v>#REF!</v>
      </c>
      <c r="IC70" t="e">
        <f>AND(#REF!,"AAAAAC9+3ew=")</f>
        <v>#REF!</v>
      </c>
      <c r="ID70" t="e">
        <f>AND(#REF!,"AAAAAC9+3e0=")</f>
        <v>#REF!</v>
      </c>
      <c r="IE70" t="e">
        <f>AND(#REF!,"AAAAAC9+3e4=")</f>
        <v>#REF!</v>
      </c>
      <c r="IF70" t="e">
        <f>AND(#REF!,"AAAAAC9+3e8=")</f>
        <v>#REF!</v>
      </c>
      <c r="IG70" t="e">
        <f>AND(#REF!,"AAAAAC9+3fA=")</f>
        <v>#REF!</v>
      </c>
      <c r="IH70" t="e">
        <f>AND(#REF!,"AAAAAC9+3fE=")</f>
        <v>#REF!</v>
      </c>
      <c r="II70" t="e">
        <f>AND(#REF!,"AAAAAC9+3fI=")</f>
        <v>#REF!</v>
      </c>
      <c r="IJ70" t="e">
        <f>AND(#REF!,"AAAAAC9+3fM=")</f>
        <v>#REF!</v>
      </c>
      <c r="IK70" t="e">
        <f>AND(#REF!,"AAAAAC9+3fQ=")</f>
        <v>#REF!</v>
      </c>
      <c r="IL70" t="e">
        <f>AND(#REF!,"AAAAAC9+3fU=")</f>
        <v>#REF!</v>
      </c>
      <c r="IM70" t="e">
        <f>AND(#REF!,"AAAAAC9+3fY=")</f>
        <v>#REF!</v>
      </c>
      <c r="IN70" t="e">
        <f>AND(#REF!,"AAAAAC9+3fc=")</f>
        <v>#REF!</v>
      </c>
      <c r="IO70" t="e">
        <f>AND(#REF!,"AAAAAC9+3fg=")</f>
        <v>#REF!</v>
      </c>
      <c r="IP70" t="e">
        <f>AND(#REF!,"AAAAAC9+3fk=")</f>
        <v>#REF!</v>
      </c>
      <c r="IQ70" t="e">
        <f>AND(#REF!,"AAAAAC9+3fo=")</f>
        <v>#REF!</v>
      </c>
      <c r="IR70" t="e">
        <f>AND(#REF!,"AAAAAC9+3fs=")</f>
        <v>#REF!</v>
      </c>
      <c r="IS70" t="e">
        <f>AND(#REF!,"AAAAAC9+3fw=")</f>
        <v>#REF!</v>
      </c>
      <c r="IT70" t="e">
        <f>AND(#REF!,"AAAAAC9+3f0=")</f>
        <v>#REF!</v>
      </c>
      <c r="IU70" t="e">
        <f>AND(#REF!,"AAAAAC9+3f4=")</f>
        <v>#REF!</v>
      </c>
      <c r="IV70" t="e">
        <f>AND(#REF!,"AAAAAC9+3f8=")</f>
        <v>#REF!</v>
      </c>
    </row>
    <row r="71" spans="1:256" x14ac:dyDescent="0.2">
      <c r="A71" t="e">
        <f>AND(#REF!,"AAAAAHZvywA=")</f>
        <v>#REF!</v>
      </c>
      <c r="B71" t="e">
        <f>AND(#REF!,"AAAAAHZvywE=")</f>
        <v>#REF!</v>
      </c>
      <c r="C71" t="e">
        <f>AND(#REF!,"AAAAAHZvywI=")</f>
        <v>#REF!</v>
      </c>
      <c r="D71" t="e">
        <f>AND(#REF!,"AAAAAHZvywM=")</f>
        <v>#REF!</v>
      </c>
      <c r="E71" t="e">
        <f>AND(#REF!,"AAAAAHZvywQ=")</f>
        <v>#REF!</v>
      </c>
      <c r="F71" t="e">
        <f>AND(#REF!,"AAAAAHZvywU=")</f>
        <v>#REF!</v>
      </c>
      <c r="G71" t="e">
        <f>AND(#REF!,"AAAAAHZvywY=")</f>
        <v>#REF!</v>
      </c>
      <c r="H71" t="e">
        <f>AND(#REF!,"AAAAAHZvywc=")</f>
        <v>#REF!</v>
      </c>
      <c r="I71" t="e">
        <f>AND(#REF!,"AAAAAHZvywg=")</f>
        <v>#REF!</v>
      </c>
      <c r="J71" t="e">
        <f>AND(#REF!,"AAAAAHZvywk=")</f>
        <v>#REF!</v>
      </c>
      <c r="K71" t="e">
        <f>AND(#REF!,"AAAAAHZvywo=")</f>
        <v>#REF!</v>
      </c>
      <c r="L71" t="e">
        <f>AND(#REF!,"AAAAAHZvyws=")</f>
        <v>#REF!</v>
      </c>
      <c r="M71" t="e">
        <f>AND(#REF!,"AAAAAHZvyww=")</f>
        <v>#REF!</v>
      </c>
      <c r="N71" t="e">
        <f>AND(#REF!,"AAAAAHZvyw0=")</f>
        <v>#REF!</v>
      </c>
      <c r="O71" t="e">
        <f>AND(#REF!,"AAAAAHZvyw4=")</f>
        <v>#REF!</v>
      </c>
      <c r="P71" t="e">
        <f>AND(#REF!,"AAAAAHZvyw8=")</f>
        <v>#REF!</v>
      </c>
      <c r="Q71" t="e">
        <f>IF(#REF!,"AAAAAHZvyxA=",0)</f>
        <v>#REF!</v>
      </c>
      <c r="R71" t="e">
        <f>AND(#REF!,"AAAAAHZvyxE=")</f>
        <v>#REF!</v>
      </c>
      <c r="S71" t="e">
        <f>AND(#REF!,"AAAAAHZvyxI=")</f>
        <v>#REF!</v>
      </c>
      <c r="T71" t="e">
        <f>AND(#REF!,"AAAAAHZvyxM=")</f>
        <v>#REF!</v>
      </c>
      <c r="U71" t="e">
        <f>AND(#REF!,"AAAAAHZvyxQ=")</f>
        <v>#REF!</v>
      </c>
      <c r="V71" t="e">
        <f>AND(#REF!,"AAAAAHZvyxU=")</f>
        <v>#REF!</v>
      </c>
      <c r="W71" t="e">
        <f>AND(#REF!,"AAAAAHZvyxY=")</f>
        <v>#REF!</v>
      </c>
      <c r="X71" t="e">
        <f>AND(#REF!,"AAAAAHZvyxc=")</f>
        <v>#REF!</v>
      </c>
      <c r="Y71" t="e">
        <f>AND(#REF!,"AAAAAHZvyxg=")</f>
        <v>#REF!</v>
      </c>
      <c r="Z71" t="e">
        <f>AND(#REF!,"AAAAAHZvyxk=")</f>
        <v>#REF!</v>
      </c>
      <c r="AA71" t="e">
        <f>AND(#REF!,"AAAAAHZvyxo=")</f>
        <v>#REF!</v>
      </c>
      <c r="AB71" t="e">
        <f>AND(#REF!,"AAAAAHZvyxs=")</f>
        <v>#REF!</v>
      </c>
      <c r="AC71" t="e">
        <f>AND(#REF!,"AAAAAHZvyxw=")</f>
        <v>#REF!</v>
      </c>
      <c r="AD71" t="e">
        <f>AND(#REF!,"AAAAAHZvyx0=")</f>
        <v>#REF!</v>
      </c>
      <c r="AE71" t="e">
        <f>AND(#REF!,"AAAAAHZvyx4=")</f>
        <v>#REF!</v>
      </c>
      <c r="AF71" t="e">
        <f>AND(#REF!,"AAAAAHZvyx8=")</f>
        <v>#REF!</v>
      </c>
      <c r="AG71" t="e">
        <f>AND(#REF!,"AAAAAHZvyyA=")</f>
        <v>#REF!</v>
      </c>
      <c r="AH71" t="e">
        <f>AND(#REF!,"AAAAAHZvyyE=")</f>
        <v>#REF!</v>
      </c>
      <c r="AI71" t="e">
        <f>AND(#REF!,"AAAAAHZvyyI=")</f>
        <v>#REF!</v>
      </c>
      <c r="AJ71" t="e">
        <f>AND(#REF!,"AAAAAHZvyyM=")</f>
        <v>#REF!</v>
      </c>
      <c r="AK71" t="e">
        <f>AND(#REF!,"AAAAAHZvyyQ=")</f>
        <v>#REF!</v>
      </c>
      <c r="AL71" t="e">
        <f>AND(#REF!,"AAAAAHZvyyU=")</f>
        <v>#REF!</v>
      </c>
      <c r="AM71" t="e">
        <f>AND(#REF!,"AAAAAHZvyyY=")</f>
        <v>#REF!</v>
      </c>
      <c r="AN71" t="e">
        <f>AND(#REF!,"AAAAAHZvyyc=")</f>
        <v>#REF!</v>
      </c>
      <c r="AO71" t="e">
        <f>AND(#REF!,"AAAAAHZvyyg=")</f>
        <v>#REF!</v>
      </c>
      <c r="AP71" t="e">
        <f>AND(#REF!,"AAAAAHZvyyk=")</f>
        <v>#REF!</v>
      </c>
      <c r="AQ71" t="e">
        <f>AND(#REF!,"AAAAAHZvyyo=")</f>
        <v>#REF!</v>
      </c>
      <c r="AR71" t="e">
        <f>AND(#REF!,"AAAAAHZvyys=")</f>
        <v>#REF!</v>
      </c>
      <c r="AS71" t="e">
        <f>AND(#REF!,"AAAAAHZvyyw=")</f>
        <v>#REF!</v>
      </c>
      <c r="AT71" t="e">
        <f>AND(#REF!,"AAAAAHZvyy0=")</f>
        <v>#REF!</v>
      </c>
      <c r="AU71" t="e">
        <f>AND(#REF!,"AAAAAHZvyy4=")</f>
        <v>#REF!</v>
      </c>
      <c r="AV71" t="e">
        <f>AND(#REF!,"AAAAAHZvyy8=")</f>
        <v>#REF!</v>
      </c>
      <c r="AW71" t="e">
        <f>AND(#REF!,"AAAAAHZvyzA=")</f>
        <v>#REF!</v>
      </c>
      <c r="AX71" t="e">
        <f>AND(#REF!,"AAAAAHZvyzE=")</f>
        <v>#REF!</v>
      </c>
      <c r="AY71" t="e">
        <f>AND(#REF!,"AAAAAHZvyzI=")</f>
        <v>#REF!</v>
      </c>
      <c r="AZ71" t="e">
        <f>AND(#REF!,"AAAAAHZvyzM=")</f>
        <v>#REF!</v>
      </c>
      <c r="BA71" t="e">
        <f>AND(#REF!,"AAAAAHZvyzQ=")</f>
        <v>#REF!</v>
      </c>
      <c r="BB71" t="e">
        <f>AND(#REF!,"AAAAAHZvyzU=")</f>
        <v>#REF!</v>
      </c>
      <c r="BC71" t="e">
        <f>AND(#REF!,"AAAAAHZvyzY=")</f>
        <v>#REF!</v>
      </c>
      <c r="BD71" t="e">
        <f>AND(#REF!,"AAAAAHZvyzc=")</f>
        <v>#REF!</v>
      </c>
      <c r="BE71" t="e">
        <f>AND(#REF!,"AAAAAHZvyzg=")</f>
        <v>#REF!</v>
      </c>
      <c r="BF71" t="e">
        <f>AND(#REF!,"AAAAAHZvyzk=")</f>
        <v>#REF!</v>
      </c>
      <c r="BG71" t="e">
        <f>AND(#REF!,"AAAAAHZvyzo=")</f>
        <v>#REF!</v>
      </c>
      <c r="BH71" t="e">
        <f>AND(#REF!,"AAAAAHZvyzs=")</f>
        <v>#REF!</v>
      </c>
      <c r="BI71" t="e">
        <f>AND(#REF!,"AAAAAHZvyzw=")</f>
        <v>#REF!</v>
      </c>
      <c r="BJ71" t="e">
        <f>AND(#REF!,"AAAAAHZvyz0=")</f>
        <v>#REF!</v>
      </c>
      <c r="BK71" t="e">
        <f>AND(#REF!,"AAAAAHZvyz4=")</f>
        <v>#REF!</v>
      </c>
      <c r="BL71" t="e">
        <f>AND(#REF!,"AAAAAHZvyz8=")</f>
        <v>#REF!</v>
      </c>
      <c r="BM71" t="e">
        <f>AND(#REF!,"AAAAAHZvy0A=")</f>
        <v>#REF!</v>
      </c>
      <c r="BN71" t="e">
        <f>AND(#REF!,"AAAAAHZvy0E=")</f>
        <v>#REF!</v>
      </c>
      <c r="BO71" t="e">
        <f>AND(#REF!,"AAAAAHZvy0I=")</f>
        <v>#REF!</v>
      </c>
      <c r="BP71" t="e">
        <f>AND(#REF!,"AAAAAHZvy0M=")</f>
        <v>#REF!</v>
      </c>
      <c r="BQ71" t="e">
        <f>AND(#REF!,"AAAAAHZvy0Q=")</f>
        <v>#REF!</v>
      </c>
      <c r="BR71" t="e">
        <f>AND(#REF!,"AAAAAHZvy0U=")</f>
        <v>#REF!</v>
      </c>
      <c r="BS71" t="e">
        <f>AND(#REF!,"AAAAAHZvy0Y=")</f>
        <v>#REF!</v>
      </c>
      <c r="BT71" t="e">
        <f>AND(#REF!,"AAAAAHZvy0c=")</f>
        <v>#REF!</v>
      </c>
      <c r="BU71" t="e">
        <f>AND(#REF!,"AAAAAHZvy0g=")</f>
        <v>#REF!</v>
      </c>
      <c r="BV71" t="e">
        <f>AND(#REF!,"AAAAAHZvy0k=")</f>
        <v>#REF!</v>
      </c>
      <c r="BW71" t="e">
        <f>AND(#REF!,"AAAAAHZvy0o=")</f>
        <v>#REF!</v>
      </c>
      <c r="BX71" t="e">
        <f>AND(#REF!,"AAAAAHZvy0s=")</f>
        <v>#REF!</v>
      </c>
      <c r="BY71" t="e">
        <f>AND(#REF!,"AAAAAHZvy0w=")</f>
        <v>#REF!</v>
      </c>
      <c r="BZ71" t="e">
        <f>AND(#REF!,"AAAAAHZvy00=")</f>
        <v>#REF!</v>
      </c>
      <c r="CA71" t="e">
        <f>AND(#REF!,"AAAAAHZvy04=")</f>
        <v>#REF!</v>
      </c>
      <c r="CB71" t="e">
        <f>AND(#REF!,"AAAAAHZvy08=")</f>
        <v>#REF!</v>
      </c>
      <c r="CC71" t="e">
        <f>AND(#REF!,"AAAAAHZvy1A=")</f>
        <v>#REF!</v>
      </c>
      <c r="CD71" t="e">
        <f>AND(#REF!,"AAAAAHZvy1E=")</f>
        <v>#REF!</v>
      </c>
      <c r="CE71" t="e">
        <f>AND(#REF!,"AAAAAHZvy1I=")</f>
        <v>#REF!</v>
      </c>
      <c r="CF71" t="e">
        <f>AND(#REF!,"AAAAAHZvy1M=")</f>
        <v>#REF!</v>
      </c>
      <c r="CG71" t="e">
        <f>AND(#REF!,"AAAAAHZvy1Q=")</f>
        <v>#REF!</v>
      </c>
      <c r="CH71" t="e">
        <f>AND(#REF!,"AAAAAHZvy1U=")</f>
        <v>#REF!</v>
      </c>
      <c r="CI71" t="e">
        <f>AND(#REF!,"AAAAAHZvy1Y=")</f>
        <v>#REF!</v>
      </c>
      <c r="CJ71" t="e">
        <f>AND(#REF!,"AAAAAHZvy1c=")</f>
        <v>#REF!</v>
      </c>
      <c r="CK71" t="e">
        <f>AND(#REF!,"AAAAAHZvy1g=")</f>
        <v>#REF!</v>
      </c>
      <c r="CL71" t="e">
        <f>AND(#REF!,"AAAAAHZvy1k=")</f>
        <v>#REF!</v>
      </c>
      <c r="CM71" t="e">
        <f>AND(#REF!,"AAAAAHZvy1o=")</f>
        <v>#REF!</v>
      </c>
      <c r="CN71" t="e">
        <f>AND(#REF!,"AAAAAHZvy1s=")</f>
        <v>#REF!</v>
      </c>
      <c r="CO71" t="e">
        <f>AND(#REF!,"AAAAAHZvy1w=")</f>
        <v>#REF!</v>
      </c>
      <c r="CP71" t="e">
        <f>AND(#REF!,"AAAAAHZvy10=")</f>
        <v>#REF!</v>
      </c>
      <c r="CQ71" t="e">
        <f>AND(#REF!,"AAAAAHZvy14=")</f>
        <v>#REF!</v>
      </c>
      <c r="CR71" t="e">
        <f>AND(#REF!,"AAAAAHZvy18=")</f>
        <v>#REF!</v>
      </c>
      <c r="CS71" t="e">
        <f>AND(#REF!,"AAAAAHZvy2A=")</f>
        <v>#REF!</v>
      </c>
      <c r="CT71" t="e">
        <f>AND(#REF!,"AAAAAHZvy2E=")</f>
        <v>#REF!</v>
      </c>
      <c r="CU71" t="e">
        <f>AND(#REF!,"AAAAAHZvy2I=")</f>
        <v>#REF!</v>
      </c>
      <c r="CV71" t="e">
        <f>AND(#REF!,"AAAAAHZvy2M=")</f>
        <v>#REF!</v>
      </c>
      <c r="CW71" t="e">
        <f>AND(#REF!,"AAAAAHZvy2Q=")</f>
        <v>#REF!</v>
      </c>
      <c r="CX71" t="e">
        <f>AND(#REF!,"AAAAAHZvy2U=")</f>
        <v>#REF!</v>
      </c>
      <c r="CY71" t="e">
        <f>AND(#REF!,"AAAAAHZvy2Y=")</f>
        <v>#REF!</v>
      </c>
      <c r="CZ71" t="e">
        <f>AND(#REF!,"AAAAAHZvy2c=")</f>
        <v>#REF!</v>
      </c>
      <c r="DA71" t="e">
        <f>AND(#REF!,"AAAAAHZvy2g=")</f>
        <v>#REF!</v>
      </c>
      <c r="DB71" t="e">
        <f>AND(#REF!,"AAAAAHZvy2k=")</f>
        <v>#REF!</v>
      </c>
      <c r="DC71" t="e">
        <f>AND(#REF!,"AAAAAHZvy2o=")</f>
        <v>#REF!</v>
      </c>
      <c r="DD71" t="e">
        <f>AND(#REF!,"AAAAAHZvy2s=")</f>
        <v>#REF!</v>
      </c>
      <c r="DE71" t="e">
        <f>AND(#REF!,"AAAAAHZvy2w=")</f>
        <v>#REF!</v>
      </c>
      <c r="DF71" t="e">
        <f>AND(#REF!,"AAAAAHZvy20=")</f>
        <v>#REF!</v>
      </c>
      <c r="DG71" t="e">
        <f>AND(#REF!,"AAAAAHZvy24=")</f>
        <v>#REF!</v>
      </c>
      <c r="DH71" t="e">
        <f>AND(#REF!,"AAAAAHZvy28=")</f>
        <v>#REF!</v>
      </c>
      <c r="DI71" t="e">
        <f>AND(#REF!,"AAAAAHZvy3A=")</f>
        <v>#REF!</v>
      </c>
      <c r="DJ71" t="e">
        <f>AND(#REF!,"AAAAAHZvy3E=")</f>
        <v>#REF!</v>
      </c>
      <c r="DK71" t="e">
        <f>AND(#REF!,"AAAAAHZvy3I=")</f>
        <v>#REF!</v>
      </c>
      <c r="DL71" t="e">
        <f>AND(#REF!,"AAAAAHZvy3M=")</f>
        <v>#REF!</v>
      </c>
      <c r="DM71" t="e">
        <f>AND(#REF!,"AAAAAHZvy3Q=")</f>
        <v>#REF!</v>
      </c>
      <c r="DN71" t="e">
        <f>AND(#REF!,"AAAAAHZvy3U=")</f>
        <v>#REF!</v>
      </c>
      <c r="DO71" t="e">
        <f>AND(#REF!,"AAAAAHZvy3Y=")</f>
        <v>#REF!</v>
      </c>
      <c r="DP71" t="e">
        <f>AND(#REF!,"AAAAAHZvy3c=")</f>
        <v>#REF!</v>
      </c>
      <c r="DQ71" t="e">
        <f>AND(#REF!,"AAAAAHZvy3g=")</f>
        <v>#REF!</v>
      </c>
      <c r="DR71" t="e">
        <f>AND(#REF!,"AAAAAHZvy3k=")</f>
        <v>#REF!</v>
      </c>
      <c r="DS71" t="e">
        <f>AND(#REF!,"AAAAAHZvy3o=")</f>
        <v>#REF!</v>
      </c>
      <c r="DT71" t="e">
        <f>AND(#REF!,"AAAAAHZvy3s=")</f>
        <v>#REF!</v>
      </c>
      <c r="DU71" t="e">
        <f>AND(#REF!,"AAAAAHZvy3w=")</f>
        <v>#REF!</v>
      </c>
      <c r="DV71" t="e">
        <f>AND(#REF!,"AAAAAHZvy30=")</f>
        <v>#REF!</v>
      </c>
      <c r="DW71" t="e">
        <f>AND(#REF!,"AAAAAHZvy34=")</f>
        <v>#REF!</v>
      </c>
      <c r="DX71" t="e">
        <f>AND(#REF!,"AAAAAHZvy38=")</f>
        <v>#REF!</v>
      </c>
      <c r="DY71" t="e">
        <f>AND(#REF!,"AAAAAHZvy4A=")</f>
        <v>#REF!</v>
      </c>
      <c r="DZ71" t="e">
        <f>AND(#REF!,"AAAAAHZvy4E=")</f>
        <v>#REF!</v>
      </c>
      <c r="EA71" t="e">
        <f>AND(#REF!,"AAAAAHZvy4I=")</f>
        <v>#REF!</v>
      </c>
      <c r="EB71" t="e">
        <f>AND(#REF!,"AAAAAHZvy4M=")</f>
        <v>#REF!</v>
      </c>
      <c r="EC71" t="e">
        <f>AND(#REF!,"AAAAAHZvy4Q=")</f>
        <v>#REF!</v>
      </c>
      <c r="ED71" t="e">
        <f>AND(#REF!,"AAAAAHZvy4U=")</f>
        <v>#REF!</v>
      </c>
      <c r="EE71" t="e">
        <f>AND(#REF!,"AAAAAHZvy4Y=")</f>
        <v>#REF!</v>
      </c>
      <c r="EF71" t="e">
        <f>AND(#REF!,"AAAAAHZvy4c=")</f>
        <v>#REF!</v>
      </c>
      <c r="EG71" t="e">
        <f>AND(#REF!,"AAAAAHZvy4g=")</f>
        <v>#REF!</v>
      </c>
      <c r="EH71" t="e">
        <f>AND(#REF!,"AAAAAHZvy4k=")</f>
        <v>#REF!</v>
      </c>
      <c r="EI71" t="e">
        <f>AND(#REF!,"AAAAAHZvy4o=")</f>
        <v>#REF!</v>
      </c>
      <c r="EJ71" t="e">
        <f>AND(#REF!,"AAAAAHZvy4s=")</f>
        <v>#REF!</v>
      </c>
      <c r="EK71" t="e">
        <f>AND(#REF!,"AAAAAHZvy4w=")</f>
        <v>#REF!</v>
      </c>
      <c r="EL71" t="e">
        <f>AND(#REF!,"AAAAAHZvy40=")</f>
        <v>#REF!</v>
      </c>
      <c r="EM71" t="e">
        <f>AND(#REF!,"AAAAAHZvy44=")</f>
        <v>#REF!</v>
      </c>
      <c r="EN71" t="e">
        <f>AND(#REF!,"AAAAAHZvy48=")</f>
        <v>#REF!</v>
      </c>
      <c r="EO71" t="e">
        <f>AND(#REF!,"AAAAAHZvy5A=")</f>
        <v>#REF!</v>
      </c>
      <c r="EP71" t="e">
        <f>AND(#REF!,"AAAAAHZvy5E=")</f>
        <v>#REF!</v>
      </c>
      <c r="EQ71" t="e">
        <f>AND(#REF!,"AAAAAHZvy5I=")</f>
        <v>#REF!</v>
      </c>
      <c r="ER71" t="e">
        <f>AND(#REF!,"AAAAAHZvy5M=")</f>
        <v>#REF!</v>
      </c>
      <c r="ES71" t="e">
        <f>AND(#REF!,"AAAAAHZvy5Q=")</f>
        <v>#REF!</v>
      </c>
      <c r="ET71" t="e">
        <f>AND(#REF!,"AAAAAHZvy5U=")</f>
        <v>#REF!</v>
      </c>
      <c r="EU71" t="e">
        <f>AND(#REF!,"AAAAAHZvy5Y=")</f>
        <v>#REF!</v>
      </c>
      <c r="EV71" t="e">
        <f>AND(#REF!,"AAAAAHZvy5c=")</f>
        <v>#REF!</v>
      </c>
      <c r="EW71" t="e">
        <f>AND(#REF!,"AAAAAHZvy5g=")</f>
        <v>#REF!</v>
      </c>
      <c r="EX71" t="e">
        <f>AND(#REF!,"AAAAAHZvy5k=")</f>
        <v>#REF!</v>
      </c>
      <c r="EY71" t="e">
        <f>AND(#REF!,"AAAAAHZvy5o=")</f>
        <v>#REF!</v>
      </c>
      <c r="EZ71" t="e">
        <f>AND(#REF!,"AAAAAHZvy5s=")</f>
        <v>#REF!</v>
      </c>
      <c r="FA71" t="e">
        <f>AND(#REF!,"AAAAAHZvy5w=")</f>
        <v>#REF!</v>
      </c>
      <c r="FB71" t="e">
        <f>AND(#REF!,"AAAAAHZvy50=")</f>
        <v>#REF!</v>
      </c>
      <c r="FC71" t="e">
        <f>AND(#REF!,"AAAAAHZvy54=")</f>
        <v>#REF!</v>
      </c>
      <c r="FD71" t="e">
        <f>AND(#REF!,"AAAAAHZvy58=")</f>
        <v>#REF!</v>
      </c>
      <c r="FE71" t="e">
        <f>AND(#REF!,"AAAAAHZvy6A=")</f>
        <v>#REF!</v>
      </c>
      <c r="FF71" t="e">
        <f>AND(#REF!,"AAAAAHZvy6E=")</f>
        <v>#REF!</v>
      </c>
      <c r="FG71" t="e">
        <f>AND(#REF!,"AAAAAHZvy6I=")</f>
        <v>#REF!</v>
      </c>
      <c r="FH71" t="e">
        <f>AND(#REF!,"AAAAAHZvy6M=")</f>
        <v>#REF!</v>
      </c>
      <c r="FI71" t="e">
        <f>AND(#REF!,"AAAAAHZvy6Q=")</f>
        <v>#REF!</v>
      </c>
      <c r="FJ71" t="e">
        <f>AND(#REF!,"AAAAAHZvy6U=")</f>
        <v>#REF!</v>
      </c>
      <c r="FK71" t="e">
        <f>AND(#REF!,"AAAAAHZvy6Y=")</f>
        <v>#REF!</v>
      </c>
      <c r="FL71" t="e">
        <f>AND(#REF!,"AAAAAHZvy6c=")</f>
        <v>#REF!</v>
      </c>
      <c r="FM71" t="e">
        <f>AND(#REF!,"AAAAAHZvy6g=")</f>
        <v>#REF!</v>
      </c>
      <c r="FN71" t="e">
        <f>AND(#REF!,"AAAAAHZvy6k=")</f>
        <v>#REF!</v>
      </c>
      <c r="FO71" t="e">
        <f>AND(#REF!,"AAAAAHZvy6o=")</f>
        <v>#REF!</v>
      </c>
      <c r="FP71" t="e">
        <f>AND(#REF!,"AAAAAHZvy6s=")</f>
        <v>#REF!</v>
      </c>
      <c r="FQ71" t="e">
        <f>AND(#REF!,"AAAAAHZvy6w=")</f>
        <v>#REF!</v>
      </c>
      <c r="FR71" t="e">
        <f>AND(#REF!,"AAAAAHZvy60=")</f>
        <v>#REF!</v>
      </c>
      <c r="FS71" t="e">
        <f>AND(#REF!,"AAAAAHZvy64=")</f>
        <v>#REF!</v>
      </c>
      <c r="FT71" t="e">
        <f>AND(#REF!,"AAAAAHZvy68=")</f>
        <v>#REF!</v>
      </c>
      <c r="FU71" t="e">
        <f>AND(#REF!,"AAAAAHZvy7A=")</f>
        <v>#REF!</v>
      </c>
      <c r="FV71" t="e">
        <f>AND(#REF!,"AAAAAHZvy7E=")</f>
        <v>#REF!</v>
      </c>
      <c r="FW71" t="e">
        <f>AND(#REF!,"AAAAAHZvy7I=")</f>
        <v>#REF!</v>
      </c>
      <c r="FX71" t="e">
        <f>AND(#REF!,"AAAAAHZvy7M=")</f>
        <v>#REF!</v>
      </c>
      <c r="FY71" t="e">
        <f>AND(#REF!,"AAAAAHZvy7Q=")</f>
        <v>#REF!</v>
      </c>
      <c r="FZ71" t="e">
        <f>AND(#REF!,"AAAAAHZvy7U=")</f>
        <v>#REF!</v>
      </c>
      <c r="GA71" t="e">
        <f>AND(#REF!,"AAAAAHZvy7Y=")</f>
        <v>#REF!</v>
      </c>
      <c r="GB71" t="e">
        <f>AND(#REF!,"AAAAAHZvy7c=")</f>
        <v>#REF!</v>
      </c>
      <c r="GC71" t="e">
        <f>AND(#REF!,"AAAAAHZvy7g=")</f>
        <v>#REF!</v>
      </c>
      <c r="GD71" t="e">
        <f>AND(#REF!,"AAAAAHZvy7k=")</f>
        <v>#REF!</v>
      </c>
      <c r="GE71" t="e">
        <f>AND(#REF!,"AAAAAHZvy7o=")</f>
        <v>#REF!</v>
      </c>
      <c r="GF71" t="e">
        <f>AND(#REF!,"AAAAAHZvy7s=")</f>
        <v>#REF!</v>
      </c>
      <c r="GG71" t="e">
        <f>AND(#REF!,"AAAAAHZvy7w=")</f>
        <v>#REF!</v>
      </c>
      <c r="GH71" t="e">
        <f>AND(#REF!,"AAAAAHZvy70=")</f>
        <v>#REF!</v>
      </c>
      <c r="GI71" t="e">
        <f>AND(#REF!,"AAAAAHZvy74=")</f>
        <v>#REF!</v>
      </c>
      <c r="GJ71" t="e">
        <f>AND(#REF!,"AAAAAHZvy78=")</f>
        <v>#REF!</v>
      </c>
      <c r="GK71" t="e">
        <f>AND(#REF!,"AAAAAHZvy8A=")</f>
        <v>#REF!</v>
      </c>
      <c r="GL71" t="e">
        <f>AND(#REF!,"AAAAAHZvy8E=")</f>
        <v>#REF!</v>
      </c>
      <c r="GM71" t="e">
        <f>AND(#REF!,"AAAAAHZvy8I=")</f>
        <v>#REF!</v>
      </c>
      <c r="GN71" t="e">
        <f>AND(#REF!,"AAAAAHZvy8M=")</f>
        <v>#REF!</v>
      </c>
      <c r="GO71" t="e">
        <f>AND(#REF!,"AAAAAHZvy8Q=")</f>
        <v>#REF!</v>
      </c>
      <c r="GP71" t="e">
        <f>IF(#REF!,"AAAAAHZvy8U=",0)</f>
        <v>#REF!</v>
      </c>
      <c r="GQ71" t="e">
        <f>AND(#REF!,"AAAAAHZvy8Y=")</f>
        <v>#REF!</v>
      </c>
      <c r="GR71" t="e">
        <f>AND(#REF!,"AAAAAHZvy8c=")</f>
        <v>#REF!</v>
      </c>
      <c r="GS71" t="e">
        <f>AND(#REF!,"AAAAAHZvy8g=")</f>
        <v>#REF!</v>
      </c>
      <c r="GT71" t="e">
        <f>AND(#REF!,"AAAAAHZvy8k=")</f>
        <v>#REF!</v>
      </c>
      <c r="GU71" t="e">
        <f>AND(#REF!,"AAAAAHZvy8o=")</f>
        <v>#REF!</v>
      </c>
      <c r="GV71" t="e">
        <f>AND(#REF!,"AAAAAHZvy8s=")</f>
        <v>#REF!</v>
      </c>
      <c r="GW71" t="e">
        <f>AND(#REF!,"AAAAAHZvy8w=")</f>
        <v>#REF!</v>
      </c>
      <c r="GX71" t="e">
        <f>AND(#REF!,"AAAAAHZvy80=")</f>
        <v>#REF!</v>
      </c>
      <c r="GY71" t="e">
        <f>AND(#REF!,"AAAAAHZvy84=")</f>
        <v>#REF!</v>
      </c>
      <c r="GZ71" t="e">
        <f>AND(#REF!,"AAAAAHZvy88=")</f>
        <v>#REF!</v>
      </c>
      <c r="HA71" t="e">
        <f>AND(#REF!,"AAAAAHZvy9A=")</f>
        <v>#REF!</v>
      </c>
      <c r="HB71" t="e">
        <f>AND(#REF!,"AAAAAHZvy9E=")</f>
        <v>#REF!</v>
      </c>
      <c r="HC71" t="e">
        <f>AND(#REF!,"AAAAAHZvy9I=")</f>
        <v>#REF!</v>
      </c>
      <c r="HD71" t="e">
        <f>AND(#REF!,"AAAAAHZvy9M=")</f>
        <v>#REF!</v>
      </c>
      <c r="HE71" t="e">
        <f>AND(#REF!,"AAAAAHZvy9Q=")</f>
        <v>#REF!</v>
      </c>
      <c r="HF71" t="e">
        <f>AND(#REF!,"AAAAAHZvy9U=")</f>
        <v>#REF!</v>
      </c>
      <c r="HG71" t="e">
        <f>AND(#REF!,"AAAAAHZvy9Y=")</f>
        <v>#REF!</v>
      </c>
      <c r="HH71" t="e">
        <f>AND(#REF!,"AAAAAHZvy9c=")</f>
        <v>#REF!</v>
      </c>
      <c r="HI71" t="e">
        <f>AND(#REF!,"AAAAAHZvy9g=")</f>
        <v>#REF!</v>
      </c>
      <c r="HJ71" t="e">
        <f>AND(#REF!,"AAAAAHZvy9k=")</f>
        <v>#REF!</v>
      </c>
      <c r="HK71" t="e">
        <f>AND(#REF!,"AAAAAHZvy9o=")</f>
        <v>#REF!</v>
      </c>
      <c r="HL71" t="e">
        <f>AND(#REF!,"AAAAAHZvy9s=")</f>
        <v>#REF!</v>
      </c>
      <c r="HM71" t="e">
        <f>AND(#REF!,"AAAAAHZvy9w=")</f>
        <v>#REF!</v>
      </c>
      <c r="HN71" t="e">
        <f>AND(#REF!,"AAAAAHZvy90=")</f>
        <v>#REF!</v>
      </c>
      <c r="HO71" t="e">
        <f>AND(#REF!,"AAAAAHZvy94=")</f>
        <v>#REF!</v>
      </c>
      <c r="HP71" t="e">
        <f>AND(#REF!,"AAAAAHZvy98=")</f>
        <v>#REF!</v>
      </c>
      <c r="HQ71" t="e">
        <f>AND(#REF!,"AAAAAHZvy+A=")</f>
        <v>#REF!</v>
      </c>
      <c r="HR71" t="e">
        <f>AND(#REF!,"AAAAAHZvy+E=")</f>
        <v>#REF!</v>
      </c>
      <c r="HS71" t="e">
        <f>AND(#REF!,"AAAAAHZvy+I=")</f>
        <v>#REF!</v>
      </c>
      <c r="HT71" t="e">
        <f>AND(#REF!,"AAAAAHZvy+M=")</f>
        <v>#REF!</v>
      </c>
      <c r="HU71" t="e">
        <f>AND(#REF!,"AAAAAHZvy+Q=")</f>
        <v>#REF!</v>
      </c>
      <c r="HV71" t="e">
        <f>AND(#REF!,"AAAAAHZvy+U=")</f>
        <v>#REF!</v>
      </c>
      <c r="HW71" t="e">
        <f>AND(#REF!,"AAAAAHZvy+Y=")</f>
        <v>#REF!</v>
      </c>
      <c r="HX71" t="e">
        <f>AND(#REF!,"AAAAAHZvy+c=")</f>
        <v>#REF!</v>
      </c>
      <c r="HY71" t="e">
        <f>AND(#REF!,"AAAAAHZvy+g=")</f>
        <v>#REF!</v>
      </c>
      <c r="HZ71" t="e">
        <f>AND(#REF!,"AAAAAHZvy+k=")</f>
        <v>#REF!</v>
      </c>
      <c r="IA71" t="e">
        <f>AND(#REF!,"AAAAAHZvy+o=")</f>
        <v>#REF!</v>
      </c>
      <c r="IB71" t="e">
        <f>AND(#REF!,"AAAAAHZvy+s=")</f>
        <v>#REF!</v>
      </c>
      <c r="IC71" t="e">
        <f>AND(#REF!,"AAAAAHZvy+w=")</f>
        <v>#REF!</v>
      </c>
      <c r="ID71" t="e">
        <f>AND(#REF!,"AAAAAHZvy+0=")</f>
        <v>#REF!</v>
      </c>
      <c r="IE71" t="e">
        <f>AND(#REF!,"AAAAAHZvy+4=")</f>
        <v>#REF!</v>
      </c>
      <c r="IF71" t="e">
        <f>AND(#REF!,"AAAAAHZvy+8=")</f>
        <v>#REF!</v>
      </c>
      <c r="IG71" t="e">
        <f>AND(#REF!,"AAAAAHZvy/A=")</f>
        <v>#REF!</v>
      </c>
      <c r="IH71" t="e">
        <f>AND(#REF!,"AAAAAHZvy/E=")</f>
        <v>#REF!</v>
      </c>
      <c r="II71" t="e">
        <f>AND(#REF!,"AAAAAHZvy/I=")</f>
        <v>#REF!</v>
      </c>
      <c r="IJ71" t="e">
        <f>AND(#REF!,"AAAAAHZvy/M=")</f>
        <v>#REF!</v>
      </c>
      <c r="IK71" t="e">
        <f>AND(#REF!,"AAAAAHZvy/Q=")</f>
        <v>#REF!</v>
      </c>
      <c r="IL71" t="e">
        <f>AND(#REF!,"AAAAAHZvy/U=")</f>
        <v>#REF!</v>
      </c>
      <c r="IM71" t="e">
        <f>AND(#REF!,"AAAAAHZvy/Y=")</f>
        <v>#REF!</v>
      </c>
      <c r="IN71" t="e">
        <f>AND(#REF!,"AAAAAHZvy/c=")</f>
        <v>#REF!</v>
      </c>
      <c r="IO71" t="e">
        <f>AND(#REF!,"AAAAAHZvy/g=")</f>
        <v>#REF!</v>
      </c>
      <c r="IP71" t="e">
        <f>AND(#REF!,"AAAAAHZvy/k=")</f>
        <v>#REF!</v>
      </c>
      <c r="IQ71" t="e">
        <f>AND(#REF!,"AAAAAHZvy/o=")</f>
        <v>#REF!</v>
      </c>
      <c r="IR71" t="e">
        <f>AND(#REF!,"AAAAAHZvy/s=")</f>
        <v>#REF!</v>
      </c>
      <c r="IS71" t="e">
        <f>AND(#REF!,"AAAAAHZvy/w=")</f>
        <v>#REF!</v>
      </c>
      <c r="IT71" t="e">
        <f>AND(#REF!,"AAAAAHZvy/0=")</f>
        <v>#REF!</v>
      </c>
      <c r="IU71" t="e">
        <f>AND(#REF!,"AAAAAHZvy/4=")</f>
        <v>#REF!</v>
      </c>
      <c r="IV71" t="e">
        <f>AND(#REF!,"AAAAAHZvy/8=")</f>
        <v>#REF!</v>
      </c>
    </row>
    <row r="72" spans="1:256" x14ac:dyDescent="0.2">
      <c r="A72" t="e">
        <f>AND(#REF!,"AAAAAH39/QA=")</f>
        <v>#REF!</v>
      </c>
      <c r="B72" t="e">
        <f>AND(#REF!,"AAAAAH39/QE=")</f>
        <v>#REF!</v>
      </c>
      <c r="C72" t="e">
        <f>AND(#REF!,"AAAAAH39/QI=")</f>
        <v>#REF!</v>
      </c>
      <c r="D72" t="e">
        <f>AND(#REF!,"AAAAAH39/QM=")</f>
        <v>#REF!</v>
      </c>
      <c r="E72" t="e">
        <f>AND(#REF!,"AAAAAH39/QQ=")</f>
        <v>#REF!</v>
      </c>
      <c r="F72" t="e">
        <f>AND(#REF!,"AAAAAH39/QU=")</f>
        <v>#REF!</v>
      </c>
      <c r="G72" t="e">
        <f>AND(#REF!,"AAAAAH39/QY=")</f>
        <v>#REF!</v>
      </c>
      <c r="H72" t="e">
        <f>AND(#REF!,"AAAAAH39/Qc=")</f>
        <v>#REF!</v>
      </c>
      <c r="I72" t="e">
        <f>AND(#REF!,"AAAAAH39/Qg=")</f>
        <v>#REF!</v>
      </c>
      <c r="J72" t="e">
        <f>AND(#REF!,"AAAAAH39/Qk=")</f>
        <v>#REF!</v>
      </c>
      <c r="K72" t="e">
        <f>AND(#REF!,"AAAAAH39/Qo=")</f>
        <v>#REF!</v>
      </c>
      <c r="L72" t="e">
        <f>AND(#REF!,"AAAAAH39/Qs=")</f>
        <v>#REF!</v>
      </c>
      <c r="M72" t="e">
        <f>AND(#REF!,"AAAAAH39/Qw=")</f>
        <v>#REF!</v>
      </c>
      <c r="N72" t="e">
        <f>AND(#REF!,"AAAAAH39/Q0=")</f>
        <v>#REF!</v>
      </c>
      <c r="O72" t="e">
        <f>AND(#REF!,"AAAAAH39/Q4=")</f>
        <v>#REF!</v>
      </c>
      <c r="P72" t="e">
        <f>AND(#REF!,"AAAAAH39/Q8=")</f>
        <v>#REF!</v>
      </c>
      <c r="Q72" t="e">
        <f>AND(#REF!,"AAAAAH39/RA=")</f>
        <v>#REF!</v>
      </c>
      <c r="R72" t="e">
        <f>AND(#REF!,"AAAAAH39/RE=")</f>
        <v>#REF!</v>
      </c>
      <c r="S72" t="e">
        <f>AND(#REF!,"AAAAAH39/RI=")</f>
        <v>#REF!</v>
      </c>
      <c r="T72" t="e">
        <f>AND(#REF!,"AAAAAH39/RM=")</f>
        <v>#REF!</v>
      </c>
      <c r="U72" t="e">
        <f>AND(#REF!,"AAAAAH39/RQ=")</f>
        <v>#REF!</v>
      </c>
      <c r="V72" t="e">
        <f>AND(#REF!,"AAAAAH39/RU=")</f>
        <v>#REF!</v>
      </c>
      <c r="W72" t="e">
        <f>AND(#REF!,"AAAAAH39/RY=")</f>
        <v>#REF!</v>
      </c>
      <c r="X72" t="e">
        <f>AND(#REF!,"AAAAAH39/Rc=")</f>
        <v>#REF!</v>
      </c>
      <c r="Y72" t="e">
        <f>AND(#REF!,"AAAAAH39/Rg=")</f>
        <v>#REF!</v>
      </c>
      <c r="Z72" t="e">
        <f>AND(#REF!,"AAAAAH39/Rk=")</f>
        <v>#REF!</v>
      </c>
      <c r="AA72" t="e">
        <f>AND(#REF!,"AAAAAH39/Ro=")</f>
        <v>#REF!</v>
      </c>
      <c r="AB72" t="e">
        <f>AND(#REF!,"AAAAAH39/Rs=")</f>
        <v>#REF!</v>
      </c>
      <c r="AC72" t="e">
        <f>AND(#REF!,"AAAAAH39/Rw=")</f>
        <v>#REF!</v>
      </c>
      <c r="AD72" t="e">
        <f>AND(#REF!,"AAAAAH39/R0=")</f>
        <v>#REF!</v>
      </c>
      <c r="AE72" t="e">
        <f>AND(#REF!,"AAAAAH39/R4=")</f>
        <v>#REF!</v>
      </c>
      <c r="AF72" t="e">
        <f>AND(#REF!,"AAAAAH39/R8=")</f>
        <v>#REF!</v>
      </c>
      <c r="AG72" t="e">
        <f>AND(#REF!,"AAAAAH39/SA=")</f>
        <v>#REF!</v>
      </c>
      <c r="AH72" t="e">
        <f>AND(#REF!,"AAAAAH39/SE=")</f>
        <v>#REF!</v>
      </c>
      <c r="AI72" t="e">
        <f>AND(#REF!,"AAAAAH39/SI=")</f>
        <v>#REF!</v>
      </c>
      <c r="AJ72" t="e">
        <f>AND(#REF!,"AAAAAH39/SM=")</f>
        <v>#REF!</v>
      </c>
      <c r="AK72" t="e">
        <f>AND(#REF!,"AAAAAH39/SQ=")</f>
        <v>#REF!</v>
      </c>
      <c r="AL72" t="e">
        <f>AND(#REF!,"AAAAAH39/SU=")</f>
        <v>#REF!</v>
      </c>
      <c r="AM72" t="e">
        <f>AND(#REF!,"AAAAAH39/SY=")</f>
        <v>#REF!</v>
      </c>
      <c r="AN72" t="e">
        <f>AND(#REF!,"AAAAAH39/Sc=")</f>
        <v>#REF!</v>
      </c>
      <c r="AO72" t="e">
        <f>AND(#REF!,"AAAAAH39/Sg=")</f>
        <v>#REF!</v>
      </c>
      <c r="AP72" t="e">
        <f>AND(#REF!,"AAAAAH39/Sk=")</f>
        <v>#REF!</v>
      </c>
      <c r="AQ72" t="e">
        <f>AND(#REF!,"AAAAAH39/So=")</f>
        <v>#REF!</v>
      </c>
      <c r="AR72" t="e">
        <f>AND(#REF!,"AAAAAH39/Ss=")</f>
        <v>#REF!</v>
      </c>
      <c r="AS72" t="e">
        <f>AND(#REF!,"AAAAAH39/Sw=")</f>
        <v>#REF!</v>
      </c>
      <c r="AT72" t="e">
        <f>AND(#REF!,"AAAAAH39/S0=")</f>
        <v>#REF!</v>
      </c>
      <c r="AU72" t="e">
        <f>AND(#REF!,"AAAAAH39/S4=")</f>
        <v>#REF!</v>
      </c>
      <c r="AV72" t="e">
        <f>AND(#REF!,"AAAAAH39/S8=")</f>
        <v>#REF!</v>
      </c>
      <c r="AW72" t="e">
        <f>AND(#REF!,"AAAAAH39/TA=")</f>
        <v>#REF!</v>
      </c>
      <c r="AX72" t="e">
        <f>AND(#REF!,"AAAAAH39/TE=")</f>
        <v>#REF!</v>
      </c>
      <c r="AY72" t="e">
        <f>AND(#REF!,"AAAAAH39/TI=")</f>
        <v>#REF!</v>
      </c>
      <c r="AZ72" t="e">
        <f>AND(#REF!,"AAAAAH39/TM=")</f>
        <v>#REF!</v>
      </c>
      <c r="BA72" t="e">
        <f>AND(#REF!,"AAAAAH39/TQ=")</f>
        <v>#REF!</v>
      </c>
      <c r="BB72" t="e">
        <f>AND(#REF!,"AAAAAH39/TU=")</f>
        <v>#REF!</v>
      </c>
      <c r="BC72" t="e">
        <f>AND(#REF!,"AAAAAH39/TY=")</f>
        <v>#REF!</v>
      </c>
      <c r="BD72" t="e">
        <f>AND(#REF!,"AAAAAH39/Tc=")</f>
        <v>#REF!</v>
      </c>
      <c r="BE72" t="e">
        <f>AND(#REF!,"AAAAAH39/Tg=")</f>
        <v>#REF!</v>
      </c>
      <c r="BF72" t="e">
        <f>AND(#REF!,"AAAAAH39/Tk=")</f>
        <v>#REF!</v>
      </c>
      <c r="BG72" t="e">
        <f>AND(#REF!,"AAAAAH39/To=")</f>
        <v>#REF!</v>
      </c>
      <c r="BH72" t="e">
        <f>AND(#REF!,"AAAAAH39/Ts=")</f>
        <v>#REF!</v>
      </c>
      <c r="BI72" t="e">
        <f>AND(#REF!,"AAAAAH39/Tw=")</f>
        <v>#REF!</v>
      </c>
      <c r="BJ72" t="e">
        <f>AND(#REF!,"AAAAAH39/T0=")</f>
        <v>#REF!</v>
      </c>
      <c r="BK72" t="e">
        <f>AND(#REF!,"AAAAAH39/T4=")</f>
        <v>#REF!</v>
      </c>
      <c r="BL72" t="e">
        <f>AND(#REF!,"AAAAAH39/T8=")</f>
        <v>#REF!</v>
      </c>
      <c r="BM72" t="e">
        <f>AND(#REF!,"AAAAAH39/UA=")</f>
        <v>#REF!</v>
      </c>
      <c r="BN72" t="e">
        <f>AND(#REF!,"AAAAAH39/UE=")</f>
        <v>#REF!</v>
      </c>
      <c r="BO72" t="e">
        <f>AND(#REF!,"AAAAAH39/UI=")</f>
        <v>#REF!</v>
      </c>
      <c r="BP72" t="e">
        <f>AND(#REF!,"AAAAAH39/UM=")</f>
        <v>#REF!</v>
      </c>
      <c r="BQ72" t="e">
        <f>AND(#REF!,"AAAAAH39/UQ=")</f>
        <v>#REF!</v>
      </c>
      <c r="BR72" t="e">
        <f>AND(#REF!,"AAAAAH39/UU=")</f>
        <v>#REF!</v>
      </c>
      <c r="BS72" t="e">
        <f>AND(#REF!,"AAAAAH39/UY=")</f>
        <v>#REF!</v>
      </c>
      <c r="BT72" t="e">
        <f>AND(#REF!,"AAAAAH39/Uc=")</f>
        <v>#REF!</v>
      </c>
      <c r="BU72" t="e">
        <f>AND(#REF!,"AAAAAH39/Ug=")</f>
        <v>#REF!</v>
      </c>
      <c r="BV72" t="e">
        <f>AND(#REF!,"AAAAAH39/Uk=")</f>
        <v>#REF!</v>
      </c>
      <c r="BW72" t="e">
        <f>AND(#REF!,"AAAAAH39/Uo=")</f>
        <v>#REF!</v>
      </c>
      <c r="BX72" t="e">
        <f>AND(#REF!,"AAAAAH39/Us=")</f>
        <v>#REF!</v>
      </c>
      <c r="BY72" t="e">
        <f>AND(#REF!,"AAAAAH39/Uw=")</f>
        <v>#REF!</v>
      </c>
      <c r="BZ72" t="e">
        <f>AND(#REF!,"AAAAAH39/U0=")</f>
        <v>#REF!</v>
      </c>
      <c r="CA72" t="e">
        <f>AND(#REF!,"AAAAAH39/U4=")</f>
        <v>#REF!</v>
      </c>
      <c r="CB72" t="e">
        <f>AND(#REF!,"AAAAAH39/U8=")</f>
        <v>#REF!</v>
      </c>
      <c r="CC72" t="e">
        <f>AND(#REF!,"AAAAAH39/VA=")</f>
        <v>#REF!</v>
      </c>
      <c r="CD72" t="e">
        <f>AND(#REF!,"AAAAAH39/VE=")</f>
        <v>#REF!</v>
      </c>
      <c r="CE72" t="e">
        <f>AND(#REF!,"AAAAAH39/VI=")</f>
        <v>#REF!</v>
      </c>
      <c r="CF72" t="e">
        <f>AND(#REF!,"AAAAAH39/VM=")</f>
        <v>#REF!</v>
      </c>
      <c r="CG72" t="e">
        <f>AND(#REF!,"AAAAAH39/VQ=")</f>
        <v>#REF!</v>
      </c>
      <c r="CH72" t="e">
        <f>AND(#REF!,"AAAAAH39/VU=")</f>
        <v>#REF!</v>
      </c>
      <c r="CI72" t="e">
        <f>AND(#REF!,"AAAAAH39/VY=")</f>
        <v>#REF!</v>
      </c>
      <c r="CJ72" t="e">
        <f>AND(#REF!,"AAAAAH39/Vc=")</f>
        <v>#REF!</v>
      </c>
      <c r="CK72" t="e">
        <f>AND(#REF!,"AAAAAH39/Vg=")</f>
        <v>#REF!</v>
      </c>
      <c r="CL72" t="e">
        <f>AND(#REF!,"AAAAAH39/Vk=")</f>
        <v>#REF!</v>
      </c>
      <c r="CM72" t="e">
        <f>AND(#REF!,"AAAAAH39/Vo=")</f>
        <v>#REF!</v>
      </c>
      <c r="CN72" t="e">
        <f>AND(#REF!,"AAAAAH39/Vs=")</f>
        <v>#REF!</v>
      </c>
      <c r="CO72" t="e">
        <f>AND(#REF!,"AAAAAH39/Vw=")</f>
        <v>#REF!</v>
      </c>
      <c r="CP72" t="e">
        <f>AND(#REF!,"AAAAAH39/V0=")</f>
        <v>#REF!</v>
      </c>
      <c r="CQ72" t="e">
        <f>AND(#REF!,"AAAAAH39/V4=")</f>
        <v>#REF!</v>
      </c>
      <c r="CR72" t="e">
        <f>AND(#REF!,"AAAAAH39/V8=")</f>
        <v>#REF!</v>
      </c>
      <c r="CS72" t="e">
        <f>AND(#REF!,"AAAAAH39/WA=")</f>
        <v>#REF!</v>
      </c>
      <c r="CT72" t="e">
        <f>AND(#REF!,"AAAAAH39/WE=")</f>
        <v>#REF!</v>
      </c>
      <c r="CU72" t="e">
        <f>AND(#REF!,"AAAAAH39/WI=")</f>
        <v>#REF!</v>
      </c>
      <c r="CV72" t="e">
        <f>AND(#REF!,"AAAAAH39/WM=")</f>
        <v>#REF!</v>
      </c>
      <c r="CW72" t="e">
        <f>AND(#REF!,"AAAAAH39/WQ=")</f>
        <v>#REF!</v>
      </c>
      <c r="CX72" t="e">
        <f>AND(#REF!,"AAAAAH39/WU=")</f>
        <v>#REF!</v>
      </c>
      <c r="CY72" t="e">
        <f>AND(#REF!,"AAAAAH39/WY=")</f>
        <v>#REF!</v>
      </c>
      <c r="CZ72" t="e">
        <f>AND(#REF!,"AAAAAH39/Wc=")</f>
        <v>#REF!</v>
      </c>
      <c r="DA72" t="e">
        <f>AND(#REF!,"AAAAAH39/Wg=")</f>
        <v>#REF!</v>
      </c>
      <c r="DB72" t="e">
        <f>AND(#REF!,"AAAAAH39/Wk=")</f>
        <v>#REF!</v>
      </c>
      <c r="DC72" t="e">
        <f>AND(#REF!,"AAAAAH39/Wo=")</f>
        <v>#REF!</v>
      </c>
      <c r="DD72" t="e">
        <f>AND(#REF!,"AAAAAH39/Ws=")</f>
        <v>#REF!</v>
      </c>
      <c r="DE72" t="e">
        <f>AND(#REF!,"AAAAAH39/Ww=")</f>
        <v>#REF!</v>
      </c>
      <c r="DF72" t="e">
        <f>AND(#REF!,"AAAAAH39/W0=")</f>
        <v>#REF!</v>
      </c>
      <c r="DG72" t="e">
        <f>AND(#REF!,"AAAAAH39/W4=")</f>
        <v>#REF!</v>
      </c>
      <c r="DH72" t="e">
        <f>AND(#REF!,"AAAAAH39/W8=")</f>
        <v>#REF!</v>
      </c>
      <c r="DI72" t="e">
        <f>AND(#REF!,"AAAAAH39/XA=")</f>
        <v>#REF!</v>
      </c>
      <c r="DJ72" t="e">
        <f>AND(#REF!,"AAAAAH39/XE=")</f>
        <v>#REF!</v>
      </c>
      <c r="DK72" t="e">
        <f>AND(#REF!,"AAAAAH39/XI=")</f>
        <v>#REF!</v>
      </c>
      <c r="DL72" t="e">
        <f>AND(#REF!,"AAAAAH39/XM=")</f>
        <v>#REF!</v>
      </c>
      <c r="DM72" t="e">
        <f>AND(#REF!,"AAAAAH39/XQ=")</f>
        <v>#REF!</v>
      </c>
      <c r="DN72" t="e">
        <f>AND(#REF!,"AAAAAH39/XU=")</f>
        <v>#REF!</v>
      </c>
      <c r="DO72" t="e">
        <f>AND(#REF!,"AAAAAH39/XY=")</f>
        <v>#REF!</v>
      </c>
      <c r="DP72" t="e">
        <f>AND(#REF!,"AAAAAH39/Xc=")</f>
        <v>#REF!</v>
      </c>
      <c r="DQ72" t="e">
        <f>AND(#REF!,"AAAAAH39/Xg=")</f>
        <v>#REF!</v>
      </c>
      <c r="DR72" t="e">
        <f>AND(#REF!,"AAAAAH39/Xk=")</f>
        <v>#REF!</v>
      </c>
      <c r="DS72" t="e">
        <f>IF(#REF!,"AAAAAH39/Xo=",0)</f>
        <v>#REF!</v>
      </c>
      <c r="DT72" t="e">
        <f>AND(#REF!,"AAAAAH39/Xs=")</f>
        <v>#REF!</v>
      </c>
      <c r="DU72" t="e">
        <f>AND(#REF!,"AAAAAH39/Xw=")</f>
        <v>#REF!</v>
      </c>
      <c r="DV72" t="e">
        <f>AND(#REF!,"AAAAAH39/X0=")</f>
        <v>#REF!</v>
      </c>
      <c r="DW72" t="e">
        <f>AND(#REF!,"AAAAAH39/X4=")</f>
        <v>#REF!</v>
      </c>
      <c r="DX72" t="e">
        <f>AND(#REF!,"AAAAAH39/X8=")</f>
        <v>#REF!</v>
      </c>
      <c r="DY72" t="e">
        <f>AND(#REF!,"AAAAAH39/YA=")</f>
        <v>#REF!</v>
      </c>
      <c r="DZ72" t="e">
        <f>AND(#REF!,"AAAAAH39/YE=")</f>
        <v>#REF!</v>
      </c>
      <c r="EA72" t="e">
        <f>AND(#REF!,"AAAAAH39/YI=")</f>
        <v>#REF!</v>
      </c>
      <c r="EB72" t="e">
        <f>AND(#REF!,"AAAAAH39/YM=")</f>
        <v>#REF!</v>
      </c>
      <c r="EC72" t="e">
        <f>AND(#REF!,"AAAAAH39/YQ=")</f>
        <v>#REF!</v>
      </c>
      <c r="ED72" t="e">
        <f>AND(#REF!,"AAAAAH39/YU=")</f>
        <v>#REF!</v>
      </c>
      <c r="EE72" t="e">
        <f>AND(#REF!,"AAAAAH39/YY=")</f>
        <v>#REF!</v>
      </c>
      <c r="EF72" t="e">
        <f>AND(#REF!,"AAAAAH39/Yc=")</f>
        <v>#REF!</v>
      </c>
      <c r="EG72" t="e">
        <f>AND(#REF!,"AAAAAH39/Yg=")</f>
        <v>#REF!</v>
      </c>
      <c r="EH72" t="e">
        <f>AND(#REF!,"AAAAAH39/Yk=")</f>
        <v>#REF!</v>
      </c>
      <c r="EI72" t="e">
        <f>AND(#REF!,"AAAAAH39/Yo=")</f>
        <v>#REF!</v>
      </c>
      <c r="EJ72" t="e">
        <f>AND(#REF!,"AAAAAH39/Ys=")</f>
        <v>#REF!</v>
      </c>
      <c r="EK72" t="e">
        <f>AND(#REF!,"AAAAAH39/Yw=")</f>
        <v>#REF!</v>
      </c>
      <c r="EL72" t="e">
        <f>AND(#REF!,"AAAAAH39/Y0=")</f>
        <v>#REF!</v>
      </c>
      <c r="EM72" t="e">
        <f>AND(#REF!,"AAAAAH39/Y4=")</f>
        <v>#REF!</v>
      </c>
      <c r="EN72" t="e">
        <f>AND(#REF!,"AAAAAH39/Y8=")</f>
        <v>#REF!</v>
      </c>
      <c r="EO72" t="e">
        <f>AND(#REF!,"AAAAAH39/ZA=")</f>
        <v>#REF!</v>
      </c>
      <c r="EP72" t="e">
        <f>AND(#REF!,"AAAAAH39/ZE=")</f>
        <v>#REF!</v>
      </c>
      <c r="EQ72" t="e">
        <f>AND(#REF!,"AAAAAH39/ZI=")</f>
        <v>#REF!</v>
      </c>
      <c r="ER72" t="e">
        <f>AND(#REF!,"AAAAAH39/ZM=")</f>
        <v>#REF!</v>
      </c>
      <c r="ES72" t="e">
        <f>AND(#REF!,"AAAAAH39/ZQ=")</f>
        <v>#REF!</v>
      </c>
      <c r="ET72" t="e">
        <f>AND(#REF!,"AAAAAH39/ZU=")</f>
        <v>#REF!</v>
      </c>
      <c r="EU72" t="e">
        <f>AND(#REF!,"AAAAAH39/ZY=")</f>
        <v>#REF!</v>
      </c>
      <c r="EV72" t="e">
        <f>AND(#REF!,"AAAAAH39/Zc=")</f>
        <v>#REF!</v>
      </c>
      <c r="EW72" t="e">
        <f>AND(#REF!,"AAAAAH39/Zg=")</f>
        <v>#REF!</v>
      </c>
      <c r="EX72" t="e">
        <f>AND(#REF!,"AAAAAH39/Zk=")</f>
        <v>#REF!</v>
      </c>
      <c r="EY72" t="e">
        <f>AND(#REF!,"AAAAAH39/Zo=")</f>
        <v>#REF!</v>
      </c>
      <c r="EZ72" t="e">
        <f>AND(#REF!,"AAAAAH39/Zs=")</f>
        <v>#REF!</v>
      </c>
      <c r="FA72" t="e">
        <f>AND(#REF!,"AAAAAH39/Zw=")</f>
        <v>#REF!</v>
      </c>
      <c r="FB72" t="e">
        <f>AND(#REF!,"AAAAAH39/Z0=")</f>
        <v>#REF!</v>
      </c>
      <c r="FC72" t="e">
        <f>AND(#REF!,"AAAAAH39/Z4=")</f>
        <v>#REF!</v>
      </c>
      <c r="FD72" t="e">
        <f>AND(#REF!,"AAAAAH39/Z8=")</f>
        <v>#REF!</v>
      </c>
      <c r="FE72" t="e">
        <f>AND(#REF!,"AAAAAH39/aA=")</f>
        <v>#REF!</v>
      </c>
      <c r="FF72" t="e">
        <f>AND(#REF!,"AAAAAH39/aE=")</f>
        <v>#REF!</v>
      </c>
      <c r="FG72" t="e">
        <f>AND(#REF!,"AAAAAH39/aI=")</f>
        <v>#REF!</v>
      </c>
      <c r="FH72" t="e">
        <f>AND(#REF!,"AAAAAH39/aM=")</f>
        <v>#REF!</v>
      </c>
      <c r="FI72" t="e">
        <f>AND(#REF!,"AAAAAH39/aQ=")</f>
        <v>#REF!</v>
      </c>
      <c r="FJ72" t="e">
        <f>AND(#REF!,"AAAAAH39/aU=")</f>
        <v>#REF!</v>
      </c>
      <c r="FK72" t="e">
        <f>AND(#REF!,"AAAAAH39/aY=")</f>
        <v>#REF!</v>
      </c>
      <c r="FL72" t="e">
        <f>AND(#REF!,"AAAAAH39/ac=")</f>
        <v>#REF!</v>
      </c>
      <c r="FM72" t="e">
        <f>AND(#REF!,"AAAAAH39/ag=")</f>
        <v>#REF!</v>
      </c>
      <c r="FN72" t="e">
        <f>AND(#REF!,"AAAAAH39/ak=")</f>
        <v>#REF!</v>
      </c>
      <c r="FO72" t="e">
        <f>AND(#REF!,"AAAAAH39/ao=")</f>
        <v>#REF!</v>
      </c>
      <c r="FP72" t="e">
        <f>AND(#REF!,"AAAAAH39/as=")</f>
        <v>#REF!</v>
      </c>
      <c r="FQ72" t="e">
        <f>AND(#REF!,"AAAAAH39/aw=")</f>
        <v>#REF!</v>
      </c>
      <c r="FR72" t="e">
        <f>AND(#REF!,"AAAAAH39/a0=")</f>
        <v>#REF!</v>
      </c>
      <c r="FS72" t="e">
        <f>AND(#REF!,"AAAAAH39/a4=")</f>
        <v>#REF!</v>
      </c>
      <c r="FT72" t="e">
        <f>AND(#REF!,"AAAAAH39/a8=")</f>
        <v>#REF!</v>
      </c>
      <c r="FU72" t="e">
        <f>AND(#REF!,"AAAAAH39/bA=")</f>
        <v>#REF!</v>
      </c>
      <c r="FV72" t="e">
        <f>AND(#REF!,"AAAAAH39/bE=")</f>
        <v>#REF!</v>
      </c>
      <c r="FW72" t="e">
        <f>AND(#REF!,"AAAAAH39/bI=")</f>
        <v>#REF!</v>
      </c>
      <c r="FX72" t="e">
        <f>AND(#REF!,"AAAAAH39/bM=")</f>
        <v>#REF!</v>
      </c>
      <c r="FY72" t="e">
        <f>AND(#REF!,"AAAAAH39/bQ=")</f>
        <v>#REF!</v>
      </c>
      <c r="FZ72" t="e">
        <f>AND(#REF!,"AAAAAH39/bU=")</f>
        <v>#REF!</v>
      </c>
      <c r="GA72" t="e">
        <f>AND(#REF!,"AAAAAH39/bY=")</f>
        <v>#REF!</v>
      </c>
      <c r="GB72" t="e">
        <f>AND(#REF!,"AAAAAH39/bc=")</f>
        <v>#REF!</v>
      </c>
      <c r="GC72" t="e">
        <f>AND(#REF!,"AAAAAH39/bg=")</f>
        <v>#REF!</v>
      </c>
      <c r="GD72" t="e">
        <f>AND(#REF!,"AAAAAH39/bk=")</f>
        <v>#REF!</v>
      </c>
      <c r="GE72" t="e">
        <f>AND(#REF!,"AAAAAH39/bo=")</f>
        <v>#REF!</v>
      </c>
      <c r="GF72" t="e">
        <f>AND(#REF!,"AAAAAH39/bs=")</f>
        <v>#REF!</v>
      </c>
      <c r="GG72" t="e">
        <f>AND(#REF!,"AAAAAH39/bw=")</f>
        <v>#REF!</v>
      </c>
      <c r="GH72" t="e">
        <f>AND(#REF!,"AAAAAH39/b0=")</f>
        <v>#REF!</v>
      </c>
      <c r="GI72" t="e">
        <f>AND(#REF!,"AAAAAH39/b4=")</f>
        <v>#REF!</v>
      </c>
      <c r="GJ72" t="e">
        <f>AND(#REF!,"AAAAAH39/b8=")</f>
        <v>#REF!</v>
      </c>
      <c r="GK72" t="e">
        <f>AND(#REF!,"AAAAAH39/cA=")</f>
        <v>#REF!</v>
      </c>
      <c r="GL72" t="e">
        <f>AND(#REF!,"AAAAAH39/cE=")</f>
        <v>#REF!</v>
      </c>
      <c r="GM72" t="e">
        <f>AND(#REF!,"AAAAAH39/cI=")</f>
        <v>#REF!</v>
      </c>
      <c r="GN72" t="e">
        <f>AND(#REF!,"AAAAAH39/cM=")</f>
        <v>#REF!</v>
      </c>
      <c r="GO72" t="e">
        <f>AND(#REF!,"AAAAAH39/cQ=")</f>
        <v>#REF!</v>
      </c>
      <c r="GP72" t="e">
        <f>AND(#REF!,"AAAAAH39/cU=")</f>
        <v>#REF!</v>
      </c>
      <c r="GQ72" t="e">
        <f>AND(#REF!,"AAAAAH39/cY=")</f>
        <v>#REF!</v>
      </c>
      <c r="GR72" t="e">
        <f>AND(#REF!,"AAAAAH39/cc=")</f>
        <v>#REF!</v>
      </c>
      <c r="GS72" t="e">
        <f>AND(#REF!,"AAAAAH39/cg=")</f>
        <v>#REF!</v>
      </c>
      <c r="GT72" t="e">
        <f>AND(#REF!,"AAAAAH39/ck=")</f>
        <v>#REF!</v>
      </c>
      <c r="GU72" t="e">
        <f>AND(#REF!,"AAAAAH39/co=")</f>
        <v>#REF!</v>
      </c>
      <c r="GV72" t="e">
        <f>AND(#REF!,"AAAAAH39/cs=")</f>
        <v>#REF!</v>
      </c>
      <c r="GW72" t="e">
        <f>AND(#REF!,"AAAAAH39/cw=")</f>
        <v>#REF!</v>
      </c>
      <c r="GX72" t="e">
        <f>AND(#REF!,"AAAAAH39/c0=")</f>
        <v>#REF!</v>
      </c>
      <c r="GY72" t="e">
        <f>AND(#REF!,"AAAAAH39/c4=")</f>
        <v>#REF!</v>
      </c>
      <c r="GZ72" t="e">
        <f>AND(#REF!,"AAAAAH39/c8=")</f>
        <v>#REF!</v>
      </c>
      <c r="HA72" t="e">
        <f>AND(#REF!,"AAAAAH39/dA=")</f>
        <v>#REF!</v>
      </c>
      <c r="HB72" t="e">
        <f>AND(#REF!,"AAAAAH39/dE=")</f>
        <v>#REF!</v>
      </c>
      <c r="HC72" t="e">
        <f>AND(#REF!,"AAAAAH39/dI=")</f>
        <v>#REF!</v>
      </c>
      <c r="HD72" t="e">
        <f>AND(#REF!,"AAAAAH39/dM=")</f>
        <v>#REF!</v>
      </c>
      <c r="HE72" t="e">
        <f>AND(#REF!,"AAAAAH39/dQ=")</f>
        <v>#REF!</v>
      </c>
      <c r="HF72" t="e">
        <f>AND(#REF!,"AAAAAH39/dU=")</f>
        <v>#REF!</v>
      </c>
      <c r="HG72" t="e">
        <f>AND(#REF!,"AAAAAH39/dY=")</f>
        <v>#REF!</v>
      </c>
      <c r="HH72" t="e">
        <f>AND(#REF!,"AAAAAH39/dc=")</f>
        <v>#REF!</v>
      </c>
      <c r="HI72" t="e">
        <f>AND(#REF!,"AAAAAH39/dg=")</f>
        <v>#REF!</v>
      </c>
      <c r="HJ72" t="e">
        <f>AND(#REF!,"AAAAAH39/dk=")</f>
        <v>#REF!</v>
      </c>
      <c r="HK72" t="e">
        <f>AND(#REF!,"AAAAAH39/do=")</f>
        <v>#REF!</v>
      </c>
      <c r="HL72" t="e">
        <f>AND(#REF!,"AAAAAH39/ds=")</f>
        <v>#REF!</v>
      </c>
      <c r="HM72" t="e">
        <f>AND(#REF!,"AAAAAH39/dw=")</f>
        <v>#REF!</v>
      </c>
      <c r="HN72" t="e">
        <f>AND(#REF!,"AAAAAH39/d0=")</f>
        <v>#REF!</v>
      </c>
      <c r="HO72" t="e">
        <f>AND(#REF!,"AAAAAH39/d4=")</f>
        <v>#REF!</v>
      </c>
      <c r="HP72" t="e">
        <f>AND(#REF!,"AAAAAH39/d8=")</f>
        <v>#REF!</v>
      </c>
      <c r="HQ72" t="e">
        <f>AND(#REF!,"AAAAAH39/eA=")</f>
        <v>#REF!</v>
      </c>
      <c r="HR72" t="e">
        <f>AND(#REF!,"AAAAAH39/eE=")</f>
        <v>#REF!</v>
      </c>
      <c r="HS72" t="e">
        <f>AND(#REF!,"AAAAAH39/eI=")</f>
        <v>#REF!</v>
      </c>
      <c r="HT72" t="e">
        <f>AND(#REF!,"AAAAAH39/eM=")</f>
        <v>#REF!</v>
      </c>
      <c r="HU72" t="e">
        <f>AND(#REF!,"AAAAAH39/eQ=")</f>
        <v>#REF!</v>
      </c>
      <c r="HV72" t="e">
        <f>AND(#REF!,"AAAAAH39/eU=")</f>
        <v>#REF!</v>
      </c>
      <c r="HW72" t="e">
        <f>AND(#REF!,"AAAAAH39/eY=")</f>
        <v>#REF!</v>
      </c>
      <c r="HX72" t="e">
        <f>AND(#REF!,"AAAAAH39/ec=")</f>
        <v>#REF!</v>
      </c>
      <c r="HY72" t="e">
        <f>AND(#REF!,"AAAAAH39/eg=")</f>
        <v>#REF!</v>
      </c>
      <c r="HZ72" t="e">
        <f>AND(#REF!,"AAAAAH39/ek=")</f>
        <v>#REF!</v>
      </c>
      <c r="IA72" t="e">
        <f>AND(#REF!,"AAAAAH39/eo=")</f>
        <v>#REF!</v>
      </c>
      <c r="IB72" t="e">
        <f>AND(#REF!,"AAAAAH39/es=")</f>
        <v>#REF!</v>
      </c>
      <c r="IC72" t="e">
        <f>AND(#REF!,"AAAAAH39/ew=")</f>
        <v>#REF!</v>
      </c>
      <c r="ID72" t="e">
        <f>AND(#REF!,"AAAAAH39/e0=")</f>
        <v>#REF!</v>
      </c>
      <c r="IE72" t="e">
        <f>AND(#REF!,"AAAAAH39/e4=")</f>
        <v>#REF!</v>
      </c>
      <c r="IF72" t="e">
        <f>AND(#REF!,"AAAAAH39/e8=")</f>
        <v>#REF!</v>
      </c>
      <c r="IG72" t="e">
        <f>AND(#REF!,"AAAAAH39/fA=")</f>
        <v>#REF!</v>
      </c>
      <c r="IH72" t="e">
        <f>AND(#REF!,"AAAAAH39/fE=")</f>
        <v>#REF!</v>
      </c>
      <c r="II72" t="e">
        <f>AND(#REF!,"AAAAAH39/fI=")</f>
        <v>#REF!</v>
      </c>
      <c r="IJ72" t="e">
        <f>AND(#REF!,"AAAAAH39/fM=")</f>
        <v>#REF!</v>
      </c>
      <c r="IK72" t="e">
        <f>AND(#REF!,"AAAAAH39/fQ=")</f>
        <v>#REF!</v>
      </c>
      <c r="IL72" t="e">
        <f>AND(#REF!,"AAAAAH39/fU=")</f>
        <v>#REF!</v>
      </c>
      <c r="IM72" t="e">
        <f>AND(#REF!,"AAAAAH39/fY=")</f>
        <v>#REF!</v>
      </c>
      <c r="IN72" t="e">
        <f>AND(#REF!,"AAAAAH39/fc=")</f>
        <v>#REF!</v>
      </c>
      <c r="IO72" t="e">
        <f>AND(#REF!,"AAAAAH39/fg=")</f>
        <v>#REF!</v>
      </c>
      <c r="IP72" t="e">
        <f>AND(#REF!,"AAAAAH39/fk=")</f>
        <v>#REF!</v>
      </c>
      <c r="IQ72" t="e">
        <f>AND(#REF!,"AAAAAH39/fo=")</f>
        <v>#REF!</v>
      </c>
      <c r="IR72" t="e">
        <f>AND(#REF!,"AAAAAH39/fs=")</f>
        <v>#REF!</v>
      </c>
      <c r="IS72" t="e">
        <f>AND(#REF!,"AAAAAH39/fw=")</f>
        <v>#REF!</v>
      </c>
      <c r="IT72" t="e">
        <f>AND(#REF!,"AAAAAH39/f0=")</f>
        <v>#REF!</v>
      </c>
      <c r="IU72" t="e">
        <f>AND(#REF!,"AAAAAH39/f4=")</f>
        <v>#REF!</v>
      </c>
      <c r="IV72" t="e">
        <f>AND(#REF!,"AAAAAH39/f8=")</f>
        <v>#REF!</v>
      </c>
    </row>
    <row r="73" spans="1:256" x14ac:dyDescent="0.2">
      <c r="A73" t="e">
        <f>AND(#REF!,"AAAAAGz//wA=")</f>
        <v>#REF!</v>
      </c>
      <c r="B73" t="e">
        <f>AND(#REF!,"AAAAAGz//wE=")</f>
        <v>#REF!</v>
      </c>
      <c r="C73" t="e">
        <f>AND(#REF!,"AAAAAGz//wI=")</f>
        <v>#REF!</v>
      </c>
      <c r="D73" t="e">
        <f>AND(#REF!,"AAAAAGz//wM=")</f>
        <v>#REF!</v>
      </c>
      <c r="E73" t="e">
        <f>AND(#REF!,"AAAAAGz//wQ=")</f>
        <v>#REF!</v>
      </c>
      <c r="F73" t="e">
        <f>AND(#REF!,"AAAAAGz//wU=")</f>
        <v>#REF!</v>
      </c>
      <c r="G73" t="e">
        <f>AND(#REF!,"AAAAAGz//wY=")</f>
        <v>#REF!</v>
      </c>
      <c r="H73" t="e">
        <f>AND(#REF!,"AAAAAGz//wc=")</f>
        <v>#REF!</v>
      </c>
      <c r="I73" t="e">
        <f>AND(#REF!,"AAAAAGz//wg=")</f>
        <v>#REF!</v>
      </c>
      <c r="J73" t="e">
        <f>AND(#REF!,"AAAAAGz//wk=")</f>
        <v>#REF!</v>
      </c>
      <c r="K73" t="e">
        <f>AND(#REF!,"AAAAAGz//wo=")</f>
        <v>#REF!</v>
      </c>
      <c r="L73" t="e">
        <f>AND(#REF!,"AAAAAGz//ws=")</f>
        <v>#REF!</v>
      </c>
      <c r="M73" t="e">
        <f>AND(#REF!,"AAAAAGz//ww=")</f>
        <v>#REF!</v>
      </c>
      <c r="N73" t="e">
        <f>AND(#REF!,"AAAAAGz//w0=")</f>
        <v>#REF!</v>
      </c>
      <c r="O73" t="e">
        <f>AND(#REF!,"AAAAAGz//w4=")</f>
        <v>#REF!</v>
      </c>
      <c r="P73" t="e">
        <f>AND(#REF!,"AAAAAGz//w8=")</f>
        <v>#REF!</v>
      </c>
      <c r="Q73" t="e">
        <f>AND(#REF!,"AAAAAGz//xA=")</f>
        <v>#REF!</v>
      </c>
      <c r="R73" t="e">
        <f>AND(#REF!,"AAAAAGz//xE=")</f>
        <v>#REF!</v>
      </c>
      <c r="S73" t="e">
        <f>AND(#REF!,"AAAAAGz//xI=")</f>
        <v>#REF!</v>
      </c>
      <c r="T73" t="e">
        <f>AND(#REF!,"AAAAAGz//xM=")</f>
        <v>#REF!</v>
      </c>
      <c r="U73" t="e">
        <f>AND(#REF!,"AAAAAGz//xQ=")</f>
        <v>#REF!</v>
      </c>
      <c r="V73" t="e">
        <f>AND(#REF!,"AAAAAGz//xU=")</f>
        <v>#REF!</v>
      </c>
      <c r="W73" t="e">
        <f>AND(#REF!,"AAAAAGz//xY=")</f>
        <v>#REF!</v>
      </c>
      <c r="X73" t="e">
        <f>AND(#REF!,"AAAAAGz//xc=")</f>
        <v>#REF!</v>
      </c>
      <c r="Y73" t="e">
        <f>AND(#REF!,"AAAAAGz//xg=")</f>
        <v>#REF!</v>
      </c>
      <c r="Z73" t="e">
        <f>AND(#REF!,"AAAAAGz//xk=")</f>
        <v>#REF!</v>
      </c>
      <c r="AA73" t="e">
        <f>AND(#REF!,"AAAAAGz//xo=")</f>
        <v>#REF!</v>
      </c>
      <c r="AB73" t="e">
        <f>AND(#REF!,"AAAAAGz//xs=")</f>
        <v>#REF!</v>
      </c>
      <c r="AC73" t="e">
        <f>AND(#REF!,"AAAAAGz//xw=")</f>
        <v>#REF!</v>
      </c>
      <c r="AD73" t="e">
        <f>AND(#REF!,"AAAAAGz//x0=")</f>
        <v>#REF!</v>
      </c>
      <c r="AE73" t="e">
        <f>AND(#REF!,"AAAAAGz//x4=")</f>
        <v>#REF!</v>
      </c>
      <c r="AF73" t="e">
        <f>AND(#REF!,"AAAAAGz//x8=")</f>
        <v>#REF!</v>
      </c>
      <c r="AG73" t="e">
        <f>AND(#REF!,"AAAAAGz//yA=")</f>
        <v>#REF!</v>
      </c>
      <c r="AH73" t="e">
        <f>AND(#REF!,"AAAAAGz//yE=")</f>
        <v>#REF!</v>
      </c>
      <c r="AI73" t="e">
        <f>AND(#REF!,"AAAAAGz//yI=")</f>
        <v>#REF!</v>
      </c>
      <c r="AJ73" t="e">
        <f>AND(#REF!,"AAAAAGz//yM=")</f>
        <v>#REF!</v>
      </c>
      <c r="AK73" t="e">
        <f>AND(#REF!,"AAAAAGz//yQ=")</f>
        <v>#REF!</v>
      </c>
      <c r="AL73" t="e">
        <f>AND(#REF!,"AAAAAGz//yU=")</f>
        <v>#REF!</v>
      </c>
      <c r="AM73" t="e">
        <f>AND(#REF!,"AAAAAGz//yY=")</f>
        <v>#REF!</v>
      </c>
      <c r="AN73" t="e">
        <f>AND(#REF!,"AAAAAGz//yc=")</f>
        <v>#REF!</v>
      </c>
      <c r="AO73" t="e">
        <f>AND(#REF!,"AAAAAGz//yg=")</f>
        <v>#REF!</v>
      </c>
      <c r="AP73" t="e">
        <f>AND(#REF!,"AAAAAGz//yk=")</f>
        <v>#REF!</v>
      </c>
      <c r="AQ73" t="e">
        <f>AND(#REF!,"AAAAAGz//yo=")</f>
        <v>#REF!</v>
      </c>
      <c r="AR73" t="e">
        <f>AND(#REF!,"AAAAAGz//ys=")</f>
        <v>#REF!</v>
      </c>
      <c r="AS73" t="e">
        <f>AND(#REF!,"AAAAAGz//yw=")</f>
        <v>#REF!</v>
      </c>
      <c r="AT73" t="e">
        <f>AND(#REF!,"AAAAAGz//y0=")</f>
        <v>#REF!</v>
      </c>
      <c r="AU73" t="e">
        <f>AND(#REF!,"AAAAAGz//y4=")</f>
        <v>#REF!</v>
      </c>
      <c r="AV73" t="e">
        <f>IF(#REF!,"AAAAAGz//y8=",0)</f>
        <v>#REF!</v>
      </c>
      <c r="AW73" t="e">
        <f>AND(#REF!,"AAAAAGz//zA=")</f>
        <v>#REF!</v>
      </c>
      <c r="AX73" t="e">
        <f>AND(#REF!,"AAAAAGz//zE=")</f>
        <v>#REF!</v>
      </c>
      <c r="AY73" t="e">
        <f>AND(#REF!,"AAAAAGz//zI=")</f>
        <v>#REF!</v>
      </c>
      <c r="AZ73" t="e">
        <f>AND(#REF!,"AAAAAGz//zM=")</f>
        <v>#REF!</v>
      </c>
      <c r="BA73" t="e">
        <f>AND(#REF!,"AAAAAGz//zQ=")</f>
        <v>#REF!</v>
      </c>
      <c r="BB73" t="e">
        <f>AND(#REF!,"AAAAAGz//zU=")</f>
        <v>#REF!</v>
      </c>
      <c r="BC73" t="e">
        <f>AND(#REF!,"AAAAAGz//zY=")</f>
        <v>#REF!</v>
      </c>
      <c r="BD73" t="e">
        <f>AND(#REF!,"AAAAAGz//zc=")</f>
        <v>#REF!</v>
      </c>
      <c r="BE73" t="e">
        <f>AND(#REF!,"AAAAAGz//zg=")</f>
        <v>#REF!</v>
      </c>
      <c r="BF73" t="e">
        <f>AND(#REF!,"AAAAAGz//zk=")</f>
        <v>#REF!</v>
      </c>
      <c r="BG73" t="e">
        <f>AND(#REF!,"AAAAAGz//zo=")</f>
        <v>#REF!</v>
      </c>
      <c r="BH73" t="e">
        <f>AND(#REF!,"AAAAAGz//zs=")</f>
        <v>#REF!</v>
      </c>
      <c r="BI73" t="e">
        <f>AND(#REF!,"AAAAAGz//zw=")</f>
        <v>#REF!</v>
      </c>
      <c r="BJ73" t="e">
        <f>AND(#REF!,"AAAAAGz//z0=")</f>
        <v>#REF!</v>
      </c>
      <c r="BK73" t="e">
        <f>AND(#REF!,"AAAAAGz//z4=")</f>
        <v>#REF!</v>
      </c>
      <c r="BL73" t="e">
        <f>AND(#REF!,"AAAAAGz//z8=")</f>
        <v>#REF!</v>
      </c>
      <c r="BM73" t="e">
        <f>AND(#REF!,"AAAAAGz//0A=")</f>
        <v>#REF!</v>
      </c>
      <c r="BN73" t="e">
        <f>AND(#REF!,"AAAAAGz//0E=")</f>
        <v>#REF!</v>
      </c>
      <c r="BO73" t="e">
        <f>AND(#REF!,"AAAAAGz//0I=")</f>
        <v>#REF!</v>
      </c>
      <c r="BP73" t="e">
        <f>AND(#REF!,"AAAAAGz//0M=")</f>
        <v>#REF!</v>
      </c>
      <c r="BQ73" t="e">
        <f>AND(#REF!,"AAAAAGz//0Q=")</f>
        <v>#REF!</v>
      </c>
      <c r="BR73" t="e">
        <f>AND(#REF!,"AAAAAGz//0U=")</f>
        <v>#REF!</v>
      </c>
      <c r="BS73" t="e">
        <f>AND(#REF!,"AAAAAGz//0Y=")</f>
        <v>#REF!</v>
      </c>
      <c r="BT73" t="e">
        <f>AND(#REF!,"AAAAAGz//0c=")</f>
        <v>#REF!</v>
      </c>
      <c r="BU73" t="e">
        <f>AND(#REF!,"AAAAAGz//0g=")</f>
        <v>#REF!</v>
      </c>
      <c r="BV73" t="e">
        <f>AND(#REF!,"AAAAAGz//0k=")</f>
        <v>#REF!</v>
      </c>
      <c r="BW73" t="e">
        <f>AND(#REF!,"AAAAAGz//0o=")</f>
        <v>#REF!</v>
      </c>
      <c r="BX73" t="e">
        <f>AND(#REF!,"AAAAAGz//0s=")</f>
        <v>#REF!</v>
      </c>
      <c r="BY73" t="e">
        <f>AND(#REF!,"AAAAAGz//0w=")</f>
        <v>#REF!</v>
      </c>
      <c r="BZ73" t="e">
        <f>AND(#REF!,"AAAAAGz//00=")</f>
        <v>#REF!</v>
      </c>
      <c r="CA73" t="e">
        <f>AND(#REF!,"AAAAAGz//04=")</f>
        <v>#REF!</v>
      </c>
      <c r="CB73" t="e">
        <f>AND(#REF!,"AAAAAGz//08=")</f>
        <v>#REF!</v>
      </c>
      <c r="CC73" t="e">
        <f>AND(#REF!,"AAAAAGz//1A=")</f>
        <v>#REF!</v>
      </c>
      <c r="CD73" t="e">
        <f>AND(#REF!,"AAAAAGz//1E=")</f>
        <v>#REF!</v>
      </c>
      <c r="CE73" t="e">
        <f>AND(#REF!,"AAAAAGz//1I=")</f>
        <v>#REF!</v>
      </c>
      <c r="CF73" t="e">
        <f>AND(#REF!,"AAAAAGz//1M=")</f>
        <v>#REF!</v>
      </c>
      <c r="CG73" t="e">
        <f>AND(#REF!,"AAAAAGz//1Q=")</f>
        <v>#REF!</v>
      </c>
      <c r="CH73" t="e">
        <f>AND(#REF!,"AAAAAGz//1U=")</f>
        <v>#REF!</v>
      </c>
      <c r="CI73" t="e">
        <f>AND(#REF!,"AAAAAGz//1Y=")</f>
        <v>#REF!</v>
      </c>
      <c r="CJ73" t="e">
        <f>AND(#REF!,"AAAAAGz//1c=")</f>
        <v>#REF!</v>
      </c>
      <c r="CK73" t="e">
        <f>AND(#REF!,"AAAAAGz//1g=")</f>
        <v>#REF!</v>
      </c>
      <c r="CL73" t="e">
        <f>AND(#REF!,"AAAAAGz//1k=")</f>
        <v>#REF!</v>
      </c>
      <c r="CM73" t="e">
        <f>AND(#REF!,"AAAAAGz//1o=")</f>
        <v>#REF!</v>
      </c>
      <c r="CN73" t="e">
        <f>AND(#REF!,"AAAAAGz//1s=")</f>
        <v>#REF!</v>
      </c>
      <c r="CO73" t="e">
        <f>AND(#REF!,"AAAAAGz//1w=")</f>
        <v>#REF!</v>
      </c>
      <c r="CP73" t="e">
        <f>AND(#REF!,"AAAAAGz//10=")</f>
        <v>#REF!</v>
      </c>
      <c r="CQ73" t="e">
        <f>AND(#REF!,"AAAAAGz//14=")</f>
        <v>#REF!</v>
      </c>
      <c r="CR73" t="e">
        <f>AND(#REF!,"AAAAAGz//18=")</f>
        <v>#REF!</v>
      </c>
      <c r="CS73" t="e">
        <f>AND(#REF!,"AAAAAGz//2A=")</f>
        <v>#REF!</v>
      </c>
      <c r="CT73" t="e">
        <f>AND(#REF!,"AAAAAGz//2E=")</f>
        <v>#REF!</v>
      </c>
      <c r="CU73" t="e">
        <f>AND(#REF!,"AAAAAGz//2I=")</f>
        <v>#REF!</v>
      </c>
      <c r="CV73" t="e">
        <f>AND(#REF!,"AAAAAGz//2M=")</f>
        <v>#REF!</v>
      </c>
      <c r="CW73" t="e">
        <f>AND(#REF!,"AAAAAGz//2Q=")</f>
        <v>#REF!</v>
      </c>
      <c r="CX73" t="e">
        <f>AND(#REF!,"AAAAAGz//2U=")</f>
        <v>#REF!</v>
      </c>
      <c r="CY73" t="e">
        <f>AND(#REF!,"AAAAAGz//2Y=")</f>
        <v>#REF!</v>
      </c>
      <c r="CZ73" t="e">
        <f>AND(#REF!,"AAAAAGz//2c=")</f>
        <v>#REF!</v>
      </c>
      <c r="DA73" t="e">
        <f>AND(#REF!,"AAAAAGz//2g=")</f>
        <v>#REF!</v>
      </c>
      <c r="DB73" t="e">
        <f>AND(#REF!,"AAAAAGz//2k=")</f>
        <v>#REF!</v>
      </c>
      <c r="DC73" t="e">
        <f>AND(#REF!,"AAAAAGz//2o=")</f>
        <v>#REF!</v>
      </c>
      <c r="DD73" t="e">
        <f>AND(#REF!,"AAAAAGz//2s=")</f>
        <v>#REF!</v>
      </c>
      <c r="DE73" t="e">
        <f>AND(#REF!,"AAAAAGz//2w=")</f>
        <v>#REF!</v>
      </c>
      <c r="DF73" t="e">
        <f>AND(#REF!,"AAAAAGz//20=")</f>
        <v>#REF!</v>
      </c>
      <c r="DG73" t="e">
        <f>AND(#REF!,"AAAAAGz//24=")</f>
        <v>#REF!</v>
      </c>
      <c r="DH73" t="e">
        <f>AND(#REF!,"AAAAAGz//28=")</f>
        <v>#REF!</v>
      </c>
      <c r="DI73" t="e">
        <f>AND(#REF!,"AAAAAGz//3A=")</f>
        <v>#REF!</v>
      </c>
      <c r="DJ73" t="e">
        <f>AND(#REF!,"AAAAAGz//3E=")</f>
        <v>#REF!</v>
      </c>
      <c r="DK73" t="e">
        <f>AND(#REF!,"AAAAAGz//3I=")</f>
        <v>#REF!</v>
      </c>
      <c r="DL73" t="e">
        <f>AND(#REF!,"AAAAAGz//3M=")</f>
        <v>#REF!</v>
      </c>
      <c r="DM73" t="e">
        <f>AND(#REF!,"AAAAAGz//3Q=")</f>
        <v>#REF!</v>
      </c>
      <c r="DN73" t="e">
        <f>AND(#REF!,"AAAAAGz//3U=")</f>
        <v>#REF!</v>
      </c>
      <c r="DO73" t="e">
        <f>AND(#REF!,"AAAAAGz//3Y=")</f>
        <v>#REF!</v>
      </c>
      <c r="DP73" t="e">
        <f>AND(#REF!,"AAAAAGz//3c=")</f>
        <v>#REF!</v>
      </c>
      <c r="DQ73" t="e">
        <f>AND(#REF!,"AAAAAGz//3g=")</f>
        <v>#REF!</v>
      </c>
      <c r="DR73" t="e">
        <f>AND(#REF!,"AAAAAGz//3k=")</f>
        <v>#REF!</v>
      </c>
      <c r="DS73" t="e">
        <f>AND(#REF!,"AAAAAGz//3o=")</f>
        <v>#REF!</v>
      </c>
      <c r="DT73" t="e">
        <f>AND(#REF!,"AAAAAGz//3s=")</f>
        <v>#REF!</v>
      </c>
      <c r="DU73" t="e">
        <f>AND(#REF!,"AAAAAGz//3w=")</f>
        <v>#REF!</v>
      </c>
      <c r="DV73" t="e">
        <f>AND(#REF!,"AAAAAGz//30=")</f>
        <v>#REF!</v>
      </c>
      <c r="DW73" t="e">
        <f>AND(#REF!,"AAAAAGz//34=")</f>
        <v>#REF!</v>
      </c>
      <c r="DX73" t="e">
        <f>AND(#REF!,"AAAAAGz//38=")</f>
        <v>#REF!</v>
      </c>
      <c r="DY73" t="e">
        <f>AND(#REF!,"AAAAAGz//4A=")</f>
        <v>#REF!</v>
      </c>
      <c r="DZ73" t="e">
        <f>AND(#REF!,"AAAAAGz//4E=")</f>
        <v>#REF!</v>
      </c>
      <c r="EA73" t="e">
        <f>AND(#REF!,"AAAAAGz//4I=")</f>
        <v>#REF!</v>
      </c>
      <c r="EB73" t="e">
        <f>AND(#REF!,"AAAAAGz//4M=")</f>
        <v>#REF!</v>
      </c>
      <c r="EC73" t="e">
        <f>AND(#REF!,"AAAAAGz//4Q=")</f>
        <v>#REF!</v>
      </c>
      <c r="ED73" t="e">
        <f>AND(#REF!,"AAAAAGz//4U=")</f>
        <v>#REF!</v>
      </c>
      <c r="EE73" t="e">
        <f>AND(#REF!,"AAAAAGz//4Y=")</f>
        <v>#REF!</v>
      </c>
      <c r="EF73" t="e">
        <f>AND(#REF!,"AAAAAGz//4c=")</f>
        <v>#REF!</v>
      </c>
      <c r="EG73" t="e">
        <f>AND(#REF!,"AAAAAGz//4g=")</f>
        <v>#REF!</v>
      </c>
      <c r="EH73" t="e">
        <f>AND(#REF!,"AAAAAGz//4k=")</f>
        <v>#REF!</v>
      </c>
      <c r="EI73" t="e">
        <f>AND(#REF!,"AAAAAGz//4o=")</f>
        <v>#REF!</v>
      </c>
      <c r="EJ73" t="e">
        <f>AND(#REF!,"AAAAAGz//4s=")</f>
        <v>#REF!</v>
      </c>
      <c r="EK73" t="e">
        <f>AND(#REF!,"AAAAAGz//4w=")</f>
        <v>#REF!</v>
      </c>
      <c r="EL73" t="e">
        <f>AND(#REF!,"AAAAAGz//40=")</f>
        <v>#REF!</v>
      </c>
      <c r="EM73" t="e">
        <f>AND(#REF!,"AAAAAGz//44=")</f>
        <v>#REF!</v>
      </c>
      <c r="EN73" t="e">
        <f>AND(#REF!,"AAAAAGz//48=")</f>
        <v>#REF!</v>
      </c>
      <c r="EO73" t="e">
        <f>AND(#REF!,"AAAAAGz//5A=")</f>
        <v>#REF!</v>
      </c>
      <c r="EP73" t="e">
        <f>AND(#REF!,"AAAAAGz//5E=")</f>
        <v>#REF!</v>
      </c>
      <c r="EQ73" t="e">
        <f>AND(#REF!,"AAAAAGz//5I=")</f>
        <v>#REF!</v>
      </c>
      <c r="ER73" t="e">
        <f>AND(#REF!,"AAAAAGz//5M=")</f>
        <v>#REF!</v>
      </c>
      <c r="ES73" t="e">
        <f>AND(#REF!,"AAAAAGz//5Q=")</f>
        <v>#REF!</v>
      </c>
      <c r="ET73" t="e">
        <f>AND(#REF!,"AAAAAGz//5U=")</f>
        <v>#REF!</v>
      </c>
      <c r="EU73" t="e">
        <f>AND(#REF!,"AAAAAGz//5Y=")</f>
        <v>#REF!</v>
      </c>
      <c r="EV73" t="e">
        <f>AND(#REF!,"AAAAAGz//5c=")</f>
        <v>#REF!</v>
      </c>
      <c r="EW73" t="e">
        <f>AND(#REF!,"AAAAAGz//5g=")</f>
        <v>#REF!</v>
      </c>
      <c r="EX73" t="e">
        <f>AND(#REF!,"AAAAAGz//5k=")</f>
        <v>#REF!</v>
      </c>
      <c r="EY73" t="e">
        <f>AND(#REF!,"AAAAAGz//5o=")</f>
        <v>#REF!</v>
      </c>
      <c r="EZ73" t="e">
        <f>AND(#REF!,"AAAAAGz//5s=")</f>
        <v>#REF!</v>
      </c>
      <c r="FA73" t="e">
        <f>AND(#REF!,"AAAAAGz//5w=")</f>
        <v>#REF!</v>
      </c>
      <c r="FB73" t="e">
        <f>AND(#REF!,"AAAAAGz//50=")</f>
        <v>#REF!</v>
      </c>
      <c r="FC73" t="e">
        <f>AND(#REF!,"AAAAAGz//54=")</f>
        <v>#REF!</v>
      </c>
      <c r="FD73" t="e">
        <f>AND(#REF!,"AAAAAGz//58=")</f>
        <v>#REF!</v>
      </c>
      <c r="FE73" t="e">
        <f>AND(#REF!,"AAAAAGz//6A=")</f>
        <v>#REF!</v>
      </c>
      <c r="FF73" t="e">
        <f>AND(#REF!,"AAAAAGz//6E=")</f>
        <v>#REF!</v>
      </c>
      <c r="FG73" t="e">
        <f>AND(#REF!,"AAAAAGz//6I=")</f>
        <v>#REF!</v>
      </c>
      <c r="FH73" t="e">
        <f>AND(#REF!,"AAAAAGz//6M=")</f>
        <v>#REF!</v>
      </c>
      <c r="FI73" t="e">
        <f>AND(#REF!,"AAAAAGz//6Q=")</f>
        <v>#REF!</v>
      </c>
      <c r="FJ73" t="e">
        <f>AND(#REF!,"AAAAAGz//6U=")</f>
        <v>#REF!</v>
      </c>
      <c r="FK73" t="e">
        <f>AND(#REF!,"AAAAAGz//6Y=")</f>
        <v>#REF!</v>
      </c>
      <c r="FL73" t="e">
        <f>AND(#REF!,"AAAAAGz//6c=")</f>
        <v>#REF!</v>
      </c>
      <c r="FM73" t="e">
        <f>AND(#REF!,"AAAAAGz//6g=")</f>
        <v>#REF!</v>
      </c>
      <c r="FN73" t="e">
        <f>AND(#REF!,"AAAAAGz//6k=")</f>
        <v>#REF!</v>
      </c>
      <c r="FO73" t="e">
        <f>AND(#REF!,"AAAAAGz//6o=")</f>
        <v>#REF!</v>
      </c>
      <c r="FP73" t="e">
        <f>AND(#REF!,"AAAAAGz//6s=")</f>
        <v>#REF!</v>
      </c>
      <c r="FQ73" t="e">
        <f>AND(#REF!,"AAAAAGz//6w=")</f>
        <v>#REF!</v>
      </c>
      <c r="FR73" t="e">
        <f>AND(#REF!,"AAAAAGz//60=")</f>
        <v>#REF!</v>
      </c>
      <c r="FS73" t="e">
        <f>AND(#REF!,"AAAAAGz//64=")</f>
        <v>#REF!</v>
      </c>
      <c r="FT73" t="e">
        <f>AND(#REF!,"AAAAAGz//68=")</f>
        <v>#REF!</v>
      </c>
      <c r="FU73" t="e">
        <f>AND(#REF!,"AAAAAGz//7A=")</f>
        <v>#REF!</v>
      </c>
      <c r="FV73" t="e">
        <f>AND(#REF!,"AAAAAGz//7E=")</f>
        <v>#REF!</v>
      </c>
      <c r="FW73" t="e">
        <f>AND(#REF!,"AAAAAGz//7I=")</f>
        <v>#REF!</v>
      </c>
      <c r="FX73" t="e">
        <f>AND(#REF!,"AAAAAGz//7M=")</f>
        <v>#REF!</v>
      </c>
      <c r="FY73" t="e">
        <f>AND(#REF!,"AAAAAGz//7Q=")</f>
        <v>#REF!</v>
      </c>
      <c r="FZ73" t="e">
        <f>AND(#REF!,"AAAAAGz//7U=")</f>
        <v>#REF!</v>
      </c>
      <c r="GA73" t="e">
        <f>AND(#REF!,"AAAAAGz//7Y=")</f>
        <v>#REF!</v>
      </c>
      <c r="GB73" t="e">
        <f>AND(#REF!,"AAAAAGz//7c=")</f>
        <v>#REF!</v>
      </c>
      <c r="GC73" t="e">
        <f>AND(#REF!,"AAAAAGz//7g=")</f>
        <v>#REF!</v>
      </c>
      <c r="GD73" t="e">
        <f>AND(#REF!,"AAAAAGz//7k=")</f>
        <v>#REF!</v>
      </c>
      <c r="GE73" t="e">
        <f>AND(#REF!,"AAAAAGz//7o=")</f>
        <v>#REF!</v>
      </c>
      <c r="GF73" t="e">
        <f>AND(#REF!,"AAAAAGz//7s=")</f>
        <v>#REF!</v>
      </c>
      <c r="GG73" t="e">
        <f>AND(#REF!,"AAAAAGz//7w=")</f>
        <v>#REF!</v>
      </c>
      <c r="GH73" t="e">
        <f>AND(#REF!,"AAAAAGz//70=")</f>
        <v>#REF!</v>
      </c>
      <c r="GI73" t="e">
        <f>AND(#REF!,"AAAAAGz//74=")</f>
        <v>#REF!</v>
      </c>
      <c r="GJ73" t="e">
        <f>AND(#REF!,"AAAAAGz//78=")</f>
        <v>#REF!</v>
      </c>
      <c r="GK73" t="e">
        <f>AND(#REF!,"AAAAAGz//8A=")</f>
        <v>#REF!</v>
      </c>
      <c r="GL73" t="e">
        <f>AND(#REF!,"AAAAAGz//8E=")</f>
        <v>#REF!</v>
      </c>
      <c r="GM73" t="e">
        <f>AND(#REF!,"AAAAAGz//8I=")</f>
        <v>#REF!</v>
      </c>
      <c r="GN73" t="e">
        <f>AND(#REF!,"AAAAAGz//8M=")</f>
        <v>#REF!</v>
      </c>
      <c r="GO73" t="e">
        <f>AND(#REF!,"AAAAAGz//8Q=")</f>
        <v>#REF!</v>
      </c>
      <c r="GP73" t="e">
        <f>AND(#REF!,"AAAAAGz//8U=")</f>
        <v>#REF!</v>
      </c>
      <c r="GQ73" t="e">
        <f>AND(#REF!,"AAAAAGz//8Y=")</f>
        <v>#REF!</v>
      </c>
      <c r="GR73" t="e">
        <f>AND(#REF!,"AAAAAGz//8c=")</f>
        <v>#REF!</v>
      </c>
      <c r="GS73" t="e">
        <f>AND(#REF!,"AAAAAGz//8g=")</f>
        <v>#REF!</v>
      </c>
      <c r="GT73" t="e">
        <f>AND(#REF!,"AAAAAGz//8k=")</f>
        <v>#REF!</v>
      </c>
      <c r="GU73" t="e">
        <f>AND(#REF!,"AAAAAGz//8o=")</f>
        <v>#REF!</v>
      </c>
      <c r="GV73" t="e">
        <f>AND(#REF!,"AAAAAGz//8s=")</f>
        <v>#REF!</v>
      </c>
      <c r="GW73" t="e">
        <f>AND(#REF!,"AAAAAGz//8w=")</f>
        <v>#REF!</v>
      </c>
      <c r="GX73" t="e">
        <f>AND(#REF!,"AAAAAGz//80=")</f>
        <v>#REF!</v>
      </c>
      <c r="GY73" t="e">
        <f>AND(#REF!,"AAAAAGz//84=")</f>
        <v>#REF!</v>
      </c>
      <c r="GZ73" t="e">
        <f>AND(#REF!,"AAAAAGz//88=")</f>
        <v>#REF!</v>
      </c>
      <c r="HA73" t="e">
        <f>AND(#REF!,"AAAAAGz//9A=")</f>
        <v>#REF!</v>
      </c>
      <c r="HB73" t="e">
        <f>AND(#REF!,"AAAAAGz//9E=")</f>
        <v>#REF!</v>
      </c>
      <c r="HC73" t="e">
        <f>AND(#REF!,"AAAAAGz//9I=")</f>
        <v>#REF!</v>
      </c>
      <c r="HD73" t="e">
        <f>AND(#REF!,"AAAAAGz//9M=")</f>
        <v>#REF!</v>
      </c>
      <c r="HE73" t="e">
        <f>AND(#REF!,"AAAAAGz//9Q=")</f>
        <v>#REF!</v>
      </c>
      <c r="HF73" t="e">
        <f>AND(#REF!,"AAAAAGz//9U=")</f>
        <v>#REF!</v>
      </c>
      <c r="HG73" t="e">
        <f>AND(#REF!,"AAAAAGz//9Y=")</f>
        <v>#REF!</v>
      </c>
      <c r="HH73" t="e">
        <f>AND(#REF!,"AAAAAGz//9c=")</f>
        <v>#REF!</v>
      </c>
      <c r="HI73" t="e">
        <f>AND(#REF!,"AAAAAGz//9g=")</f>
        <v>#REF!</v>
      </c>
      <c r="HJ73" t="e">
        <f>AND(#REF!,"AAAAAGz//9k=")</f>
        <v>#REF!</v>
      </c>
      <c r="HK73" t="e">
        <f>AND(#REF!,"AAAAAGz//9o=")</f>
        <v>#REF!</v>
      </c>
      <c r="HL73" t="e">
        <f>AND(#REF!,"AAAAAGz//9s=")</f>
        <v>#REF!</v>
      </c>
      <c r="HM73" t="e">
        <f>AND(#REF!,"AAAAAGz//9w=")</f>
        <v>#REF!</v>
      </c>
      <c r="HN73" t="e">
        <f>AND(#REF!,"AAAAAGz//90=")</f>
        <v>#REF!</v>
      </c>
      <c r="HO73" t="e">
        <f>AND(#REF!,"AAAAAGz//94=")</f>
        <v>#REF!</v>
      </c>
      <c r="HP73" t="e">
        <f>AND(#REF!,"AAAAAGz//98=")</f>
        <v>#REF!</v>
      </c>
      <c r="HQ73" t="e">
        <f>AND(#REF!,"AAAAAGz//+A=")</f>
        <v>#REF!</v>
      </c>
      <c r="HR73" t="e">
        <f>AND(#REF!,"AAAAAGz//+E=")</f>
        <v>#REF!</v>
      </c>
      <c r="HS73" t="e">
        <f>AND(#REF!,"AAAAAGz//+I=")</f>
        <v>#REF!</v>
      </c>
      <c r="HT73" t="e">
        <f>AND(#REF!,"AAAAAGz//+M=")</f>
        <v>#REF!</v>
      </c>
      <c r="HU73" t="e">
        <f>IF(#REF!,"AAAAAGz//+Q=",0)</f>
        <v>#REF!</v>
      </c>
      <c r="HV73" t="e">
        <f>AND(#REF!,"AAAAAGz//+U=")</f>
        <v>#REF!</v>
      </c>
      <c r="HW73" t="e">
        <f>AND(#REF!,"AAAAAGz//+Y=")</f>
        <v>#REF!</v>
      </c>
      <c r="HX73" t="e">
        <f>AND(#REF!,"AAAAAGz//+c=")</f>
        <v>#REF!</v>
      </c>
      <c r="HY73" t="e">
        <f>AND(#REF!,"AAAAAGz//+g=")</f>
        <v>#REF!</v>
      </c>
      <c r="HZ73" t="e">
        <f>AND(#REF!,"AAAAAGz//+k=")</f>
        <v>#REF!</v>
      </c>
      <c r="IA73" t="e">
        <f>AND(#REF!,"AAAAAGz//+o=")</f>
        <v>#REF!</v>
      </c>
      <c r="IB73" t="e">
        <f>AND(#REF!,"AAAAAGz//+s=")</f>
        <v>#REF!</v>
      </c>
      <c r="IC73" t="e">
        <f>AND(#REF!,"AAAAAGz//+w=")</f>
        <v>#REF!</v>
      </c>
      <c r="ID73" t="e">
        <f>AND(#REF!,"AAAAAGz//+0=")</f>
        <v>#REF!</v>
      </c>
      <c r="IE73" t="e">
        <f>AND(#REF!,"AAAAAGz//+4=")</f>
        <v>#REF!</v>
      </c>
      <c r="IF73" t="e">
        <f>AND(#REF!,"AAAAAGz//+8=")</f>
        <v>#REF!</v>
      </c>
      <c r="IG73" t="e">
        <f>AND(#REF!,"AAAAAGz///A=")</f>
        <v>#REF!</v>
      </c>
      <c r="IH73" t="e">
        <f>AND(#REF!,"AAAAAGz///E=")</f>
        <v>#REF!</v>
      </c>
      <c r="II73" t="e">
        <f>AND(#REF!,"AAAAAGz///I=")</f>
        <v>#REF!</v>
      </c>
      <c r="IJ73" t="e">
        <f>AND(#REF!,"AAAAAGz///M=")</f>
        <v>#REF!</v>
      </c>
      <c r="IK73" t="e">
        <f>AND(#REF!,"AAAAAGz///Q=")</f>
        <v>#REF!</v>
      </c>
      <c r="IL73" t="e">
        <f>AND(#REF!,"AAAAAGz///U=")</f>
        <v>#REF!</v>
      </c>
      <c r="IM73" t="e">
        <f>AND(#REF!,"AAAAAGz///Y=")</f>
        <v>#REF!</v>
      </c>
      <c r="IN73" t="e">
        <f>AND(#REF!,"AAAAAGz///c=")</f>
        <v>#REF!</v>
      </c>
      <c r="IO73" t="e">
        <f>AND(#REF!,"AAAAAGz///g=")</f>
        <v>#REF!</v>
      </c>
      <c r="IP73" t="e">
        <f>AND(#REF!,"AAAAAGz///k=")</f>
        <v>#REF!</v>
      </c>
      <c r="IQ73" t="e">
        <f>AND(#REF!,"AAAAAGz///o=")</f>
        <v>#REF!</v>
      </c>
      <c r="IR73" t="e">
        <f>AND(#REF!,"AAAAAGz///s=")</f>
        <v>#REF!</v>
      </c>
      <c r="IS73" t="e">
        <f>AND(#REF!,"AAAAAGz///w=")</f>
        <v>#REF!</v>
      </c>
      <c r="IT73" t="e">
        <f>AND(#REF!,"AAAAAGz///0=")</f>
        <v>#REF!</v>
      </c>
      <c r="IU73" t="e">
        <f>AND(#REF!,"AAAAAGz///4=")</f>
        <v>#REF!</v>
      </c>
      <c r="IV73" t="e">
        <f>AND(#REF!,"AAAAAGz///8=")</f>
        <v>#REF!</v>
      </c>
    </row>
    <row r="74" spans="1:256" x14ac:dyDescent="0.2">
      <c r="A74" t="e">
        <f>AND(#REF!,"AAAAACfefwA=")</f>
        <v>#REF!</v>
      </c>
      <c r="B74" t="e">
        <f>AND(#REF!,"AAAAACfefwE=")</f>
        <v>#REF!</v>
      </c>
      <c r="C74" t="e">
        <f>AND(#REF!,"AAAAACfefwI=")</f>
        <v>#REF!</v>
      </c>
      <c r="D74" t="e">
        <f>AND(#REF!,"AAAAACfefwM=")</f>
        <v>#REF!</v>
      </c>
      <c r="E74" t="e">
        <f>AND(#REF!,"AAAAACfefwQ=")</f>
        <v>#REF!</v>
      </c>
      <c r="F74" t="e">
        <f>AND(#REF!,"AAAAACfefwU=")</f>
        <v>#REF!</v>
      </c>
      <c r="G74" t="e">
        <f>AND(#REF!,"AAAAACfefwY=")</f>
        <v>#REF!</v>
      </c>
      <c r="H74" t="e">
        <f>AND(#REF!,"AAAAACfefwc=")</f>
        <v>#REF!</v>
      </c>
      <c r="I74" t="e">
        <f>AND(#REF!,"AAAAACfefwg=")</f>
        <v>#REF!</v>
      </c>
      <c r="J74" t="e">
        <f>AND(#REF!,"AAAAACfefwk=")</f>
        <v>#REF!</v>
      </c>
      <c r="K74" t="e">
        <f>AND(#REF!,"AAAAACfefwo=")</f>
        <v>#REF!</v>
      </c>
      <c r="L74" t="e">
        <f>AND(#REF!,"AAAAACfefws=")</f>
        <v>#REF!</v>
      </c>
      <c r="M74" t="e">
        <f>AND(#REF!,"AAAAACfefww=")</f>
        <v>#REF!</v>
      </c>
      <c r="N74" t="e">
        <f>AND(#REF!,"AAAAACfefw0=")</f>
        <v>#REF!</v>
      </c>
      <c r="O74" t="e">
        <f>AND(#REF!,"AAAAACfefw4=")</f>
        <v>#REF!</v>
      </c>
      <c r="P74" t="e">
        <f>AND(#REF!,"AAAAACfefw8=")</f>
        <v>#REF!</v>
      </c>
      <c r="Q74" t="e">
        <f>AND(#REF!,"AAAAACfefxA=")</f>
        <v>#REF!</v>
      </c>
      <c r="R74" t="e">
        <f>AND(#REF!,"AAAAACfefxE=")</f>
        <v>#REF!</v>
      </c>
      <c r="S74" t="e">
        <f>AND(#REF!,"AAAAACfefxI=")</f>
        <v>#REF!</v>
      </c>
      <c r="T74" t="e">
        <f>AND(#REF!,"AAAAACfefxM=")</f>
        <v>#REF!</v>
      </c>
      <c r="U74" t="e">
        <f>AND(#REF!,"AAAAACfefxQ=")</f>
        <v>#REF!</v>
      </c>
      <c r="V74" t="e">
        <f>AND(#REF!,"AAAAACfefxU=")</f>
        <v>#REF!</v>
      </c>
      <c r="W74" t="e">
        <f>AND(#REF!,"AAAAACfefxY=")</f>
        <v>#REF!</v>
      </c>
      <c r="X74" t="e">
        <f>AND(#REF!,"AAAAACfefxc=")</f>
        <v>#REF!</v>
      </c>
      <c r="Y74" t="e">
        <f>AND(#REF!,"AAAAACfefxg=")</f>
        <v>#REF!</v>
      </c>
      <c r="Z74" t="e">
        <f>AND(#REF!,"AAAAACfefxk=")</f>
        <v>#REF!</v>
      </c>
      <c r="AA74" t="e">
        <f>AND(#REF!,"AAAAACfefxo=")</f>
        <v>#REF!</v>
      </c>
      <c r="AB74" t="e">
        <f>AND(#REF!,"AAAAACfefxs=")</f>
        <v>#REF!</v>
      </c>
      <c r="AC74" t="e">
        <f>AND(#REF!,"AAAAACfefxw=")</f>
        <v>#REF!</v>
      </c>
      <c r="AD74" t="e">
        <f>AND(#REF!,"AAAAACfefx0=")</f>
        <v>#REF!</v>
      </c>
      <c r="AE74" t="e">
        <f>AND(#REF!,"AAAAACfefx4=")</f>
        <v>#REF!</v>
      </c>
      <c r="AF74" t="e">
        <f>AND(#REF!,"AAAAACfefx8=")</f>
        <v>#REF!</v>
      </c>
      <c r="AG74" t="e">
        <f>AND(#REF!,"AAAAACfefyA=")</f>
        <v>#REF!</v>
      </c>
      <c r="AH74" t="e">
        <f>AND(#REF!,"AAAAACfefyE=")</f>
        <v>#REF!</v>
      </c>
      <c r="AI74" t="e">
        <f>AND(#REF!,"AAAAACfefyI=")</f>
        <v>#REF!</v>
      </c>
      <c r="AJ74" t="e">
        <f>AND(#REF!,"AAAAACfefyM=")</f>
        <v>#REF!</v>
      </c>
      <c r="AK74" t="e">
        <f>AND(#REF!,"AAAAACfefyQ=")</f>
        <v>#REF!</v>
      </c>
      <c r="AL74" t="e">
        <f>AND(#REF!,"AAAAACfefyU=")</f>
        <v>#REF!</v>
      </c>
      <c r="AM74" t="e">
        <f>AND(#REF!,"AAAAACfefyY=")</f>
        <v>#REF!</v>
      </c>
      <c r="AN74" t="e">
        <f>AND(#REF!,"AAAAACfefyc=")</f>
        <v>#REF!</v>
      </c>
      <c r="AO74" t="e">
        <f>AND(#REF!,"AAAAACfefyg=")</f>
        <v>#REF!</v>
      </c>
      <c r="AP74" t="e">
        <f>AND(#REF!,"AAAAACfefyk=")</f>
        <v>#REF!</v>
      </c>
      <c r="AQ74" t="e">
        <f>AND(#REF!,"AAAAACfefyo=")</f>
        <v>#REF!</v>
      </c>
      <c r="AR74" t="e">
        <f>AND(#REF!,"AAAAACfefys=")</f>
        <v>#REF!</v>
      </c>
      <c r="AS74" t="e">
        <f>AND(#REF!,"AAAAACfefyw=")</f>
        <v>#REF!</v>
      </c>
      <c r="AT74" t="e">
        <f>AND(#REF!,"AAAAACfefy0=")</f>
        <v>#REF!</v>
      </c>
      <c r="AU74" t="e">
        <f>AND(#REF!,"AAAAACfefy4=")</f>
        <v>#REF!</v>
      </c>
      <c r="AV74" t="e">
        <f>AND(#REF!,"AAAAACfefy8=")</f>
        <v>#REF!</v>
      </c>
      <c r="AW74" t="e">
        <f>AND(#REF!,"AAAAACfefzA=")</f>
        <v>#REF!</v>
      </c>
      <c r="AX74" t="e">
        <f>AND(#REF!,"AAAAACfefzE=")</f>
        <v>#REF!</v>
      </c>
      <c r="AY74" t="e">
        <f>AND(#REF!,"AAAAACfefzI=")</f>
        <v>#REF!</v>
      </c>
      <c r="AZ74" t="e">
        <f>AND(#REF!,"AAAAACfefzM=")</f>
        <v>#REF!</v>
      </c>
      <c r="BA74" t="e">
        <f>AND(#REF!,"AAAAACfefzQ=")</f>
        <v>#REF!</v>
      </c>
      <c r="BB74" t="e">
        <f>AND(#REF!,"AAAAACfefzU=")</f>
        <v>#REF!</v>
      </c>
      <c r="BC74" t="e">
        <f>AND(#REF!,"AAAAACfefzY=")</f>
        <v>#REF!</v>
      </c>
      <c r="BD74" t="e">
        <f>AND(#REF!,"AAAAACfefzc=")</f>
        <v>#REF!</v>
      </c>
      <c r="BE74" t="e">
        <f>AND(#REF!,"AAAAACfefzg=")</f>
        <v>#REF!</v>
      </c>
      <c r="BF74" t="e">
        <f>AND(#REF!,"AAAAACfefzk=")</f>
        <v>#REF!</v>
      </c>
      <c r="BG74" t="e">
        <f>AND(#REF!,"AAAAACfefzo=")</f>
        <v>#REF!</v>
      </c>
      <c r="BH74" t="e">
        <f>AND(#REF!,"AAAAACfefzs=")</f>
        <v>#REF!</v>
      </c>
      <c r="BI74" t="e">
        <f>AND(#REF!,"AAAAACfefzw=")</f>
        <v>#REF!</v>
      </c>
      <c r="BJ74" t="e">
        <f>AND(#REF!,"AAAAACfefz0=")</f>
        <v>#REF!</v>
      </c>
      <c r="BK74" t="e">
        <f>AND(#REF!,"AAAAACfefz4=")</f>
        <v>#REF!</v>
      </c>
      <c r="BL74" t="e">
        <f>AND(#REF!,"AAAAACfefz8=")</f>
        <v>#REF!</v>
      </c>
      <c r="BM74" t="e">
        <f>AND(#REF!,"AAAAACfef0A=")</f>
        <v>#REF!</v>
      </c>
      <c r="BN74" t="e">
        <f>AND(#REF!,"AAAAACfef0E=")</f>
        <v>#REF!</v>
      </c>
      <c r="BO74" t="e">
        <f>AND(#REF!,"AAAAACfef0I=")</f>
        <v>#REF!</v>
      </c>
      <c r="BP74" t="e">
        <f>AND(#REF!,"AAAAACfef0M=")</f>
        <v>#REF!</v>
      </c>
      <c r="BQ74" t="e">
        <f>AND(#REF!,"AAAAACfef0Q=")</f>
        <v>#REF!</v>
      </c>
      <c r="BR74" t="e">
        <f>AND(#REF!,"AAAAACfef0U=")</f>
        <v>#REF!</v>
      </c>
      <c r="BS74" t="e">
        <f>AND(#REF!,"AAAAACfef0Y=")</f>
        <v>#REF!</v>
      </c>
      <c r="BT74" t="e">
        <f>AND(#REF!,"AAAAACfef0c=")</f>
        <v>#REF!</v>
      </c>
      <c r="BU74" t="e">
        <f>AND(#REF!,"AAAAACfef0g=")</f>
        <v>#REF!</v>
      </c>
      <c r="BV74" t="e">
        <f>AND(#REF!,"AAAAACfef0k=")</f>
        <v>#REF!</v>
      </c>
      <c r="BW74" t="e">
        <f>AND(#REF!,"AAAAACfef0o=")</f>
        <v>#REF!</v>
      </c>
      <c r="BX74" t="e">
        <f>AND(#REF!,"AAAAACfef0s=")</f>
        <v>#REF!</v>
      </c>
      <c r="BY74" t="e">
        <f>AND(#REF!,"AAAAACfef0w=")</f>
        <v>#REF!</v>
      </c>
      <c r="BZ74" t="e">
        <f>AND(#REF!,"AAAAACfef00=")</f>
        <v>#REF!</v>
      </c>
      <c r="CA74" t="e">
        <f>AND(#REF!,"AAAAACfef04=")</f>
        <v>#REF!</v>
      </c>
      <c r="CB74" t="e">
        <f>AND(#REF!,"AAAAACfef08=")</f>
        <v>#REF!</v>
      </c>
      <c r="CC74" t="e">
        <f>AND(#REF!,"AAAAACfef1A=")</f>
        <v>#REF!</v>
      </c>
      <c r="CD74" t="e">
        <f>AND(#REF!,"AAAAACfef1E=")</f>
        <v>#REF!</v>
      </c>
      <c r="CE74" t="e">
        <f>AND(#REF!,"AAAAACfef1I=")</f>
        <v>#REF!</v>
      </c>
      <c r="CF74" t="e">
        <f>AND(#REF!,"AAAAACfef1M=")</f>
        <v>#REF!</v>
      </c>
      <c r="CG74" t="e">
        <f>AND(#REF!,"AAAAACfef1Q=")</f>
        <v>#REF!</v>
      </c>
      <c r="CH74" t="e">
        <f>AND(#REF!,"AAAAACfef1U=")</f>
        <v>#REF!</v>
      </c>
      <c r="CI74" t="e">
        <f>AND(#REF!,"AAAAACfef1Y=")</f>
        <v>#REF!</v>
      </c>
      <c r="CJ74" t="e">
        <f>AND(#REF!,"AAAAACfef1c=")</f>
        <v>#REF!</v>
      </c>
      <c r="CK74" t="e">
        <f>AND(#REF!,"AAAAACfef1g=")</f>
        <v>#REF!</v>
      </c>
      <c r="CL74" t="e">
        <f>AND(#REF!,"AAAAACfef1k=")</f>
        <v>#REF!</v>
      </c>
      <c r="CM74" t="e">
        <f>AND(#REF!,"AAAAACfef1o=")</f>
        <v>#REF!</v>
      </c>
      <c r="CN74" t="e">
        <f>AND(#REF!,"AAAAACfef1s=")</f>
        <v>#REF!</v>
      </c>
      <c r="CO74" t="e">
        <f>AND(#REF!,"AAAAACfef1w=")</f>
        <v>#REF!</v>
      </c>
      <c r="CP74" t="e">
        <f>AND(#REF!,"AAAAACfef10=")</f>
        <v>#REF!</v>
      </c>
      <c r="CQ74" t="e">
        <f>AND(#REF!,"AAAAACfef14=")</f>
        <v>#REF!</v>
      </c>
      <c r="CR74" t="e">
        <f>AND(#REF!,"AAAAACfef18=")</f>
        <v>#REF!</v>
      </c>
      <c r="CS74" t="e">
        <f>AND(#REF!,"AAAAACfef2A=")</f>
        <v>#REF!</v>
      </c>
      <c r="CT74" t="e">
        <f>AND(#REF!,"AAAAACfef2E=")</f>
        <v>#REF!</v>
      </c>
      <c r="CU74" t="e">
        <f>AND(#REF!,"AAAAACfef2I=")</f>
        <v>#REF!</v>
      </c>
      <c r="CV74" t="e">
        <f>AND(#REF!,"AAAAACfef2M=")</f>
        <v>#REF!</v>
      </c>
      <c r="CW74" t="e">
        <f>AND(#REF!,"AAAAACfef2Q=")</f>
        <v>#REF!</v>
      </c>
      <c r="CX74" t="e">
        <f>AND(#REF!,"AAAAACfef2U=")</f>
        <v>#REF!</v>
      </c>
      <c r="CY74" t="e">
        <f>AND(#REF!,"AAAAACfef2Y=")</f>
        <v>#REF!</v>
      </c>
      <c r="CZ74" t="e">
        <f>AND(#REF!,"AAAAACfef2c=")</f>
        <v>#REF!</v>
      </c>
      <c r="DA74" t="e">
        <f>AND(#REF!,"AAAAACfef2g=")</f>
        <v>#REF!</v>
      </c>
      <c r="DB74" t="e">
        <f>AND(#REF!,"AAAAACfef2k=")</f>
        <v>#REF!</v>
      </c>
      <c r="DC74" t="e">
        <f>AND(#REF!,"AAAAACfef2o=")</f>
        <v>#REF!</v>
      </c>
      <c r="DD74" t="e">
        <f>AND(#REF!,"AAAAACfef2s=")</f>
        <v>#REF!</v>
      </c>
      <c r="DE74" t="e">
        <f>AND(#REF!,"AAAAACfef2w=")</f>
        <v>#REF!</v>
      </c>
      <c r="DF74" t="e">
        <f>AND(#REF!,"AAAAACfef20=")</f>
        <v>#REF!</v>
      </c>
      <c r="DG74" t="e">
        <f>AND(#REF!,"AAAAACfef24=")</f>
        <v>#REF!</v>
      </c>
      <c r="DH74" t="e">
        <f>AND(#REF!,"AAAAACfef28=")</f>
        <v>#REF!</v>
      </c>
      <c r="DI74" t="e">
        <f>AND(#REF!,"AAAAACfef3A=")</f>
        <v>#REF!</v>
      </c>
      <c r="DJ74" t="e">
        <f>AND(#REF!,"AAAAACfef3E=")</f>
        <v>#REF!</v>
      </c>
      <c r="DK74" t="e">
        <f>AND(#REF!,"AAAAACfef3I=")</f>
        <v>#REF!</v>
      </c>
      <c r="DL74" t="e">
        <f>AND(#REF!,"AAAAACfef3M=")</f>
        <v>#REF!</v>
      </c>
      <c r="DM74" t="e">
        <f>AND(#REF!,"AAAAACfef3Q=")</f>
        <v>#REF!</v>
      </c>
      <c r="DN74" t="e">
        <f>AND(#REF!,"AAAAACfef3U=")</f>
        <v>#REF!</v>
      </c>
      <c r="DO74" t="e">
        <f>AND(#REF!,"AAAAACfef3Y=")</f>
        <v>#REF!</v>
      </c>
      <c r="DP74" t="e">
        <f>AND(#REF!,"AAAAACfef3c=")</f>
        <v>#REF!</v>
      </c>
      <c r="DQ74" t="e">
        <f>AND(#REF!,"AAAAACfef3g=")</f>
        <v>#REF!</v>
      </c>
      <c r="DR74" t="e">
        <f>AND(#REF!,"AAAAACfef3k=")</f>
        <v>#REF!</v>
      </c>
      <c r="DS74" t="e">
        <f>AND(#REF!,"AAAAACfef3o=")</f>
        <v>#REF!</v>
      </c>
      <c r="DT74" t="e">
        <f>AND(#REF!,"AAAAACfef3s=")</f>
        <v>#REF!</v>
      </c>
      <c r="DU74" t="e">
        <f>AND(#REF!,"AAAAACfef3w=")</f>
        <v>#REF!</v>
      </c>
      <c r="DV74" t="e">
        <f>AND(#REF!,"AAAAACfef30=")</f>
        <v>#REF!</v>
      </c>
      <c r="DW74" t="e">
        <f>AND(#REF!,"AAAAACfef34=")</f>
        <v>#REF!</v>
      </c>
      <c r="DX74" t="e">
        <f>AND(#REF!,"AAAAACfef38=")</f>
        <v>#REF!</v>
      </c>
      <c r="DY74" t="e">
        <f>AND(#REF!,"AAAAACfef4A=")</f>
        <v>#REF!</v>
      </c>
      <c r="DZ74" t="e">
        <f>AND(#REF!,"AAAAACfef4E=")</f>
        <v>#REF!</v>
      </c>
      <c r="EA74" t="e">
        <f>AND(#REF!,"AAAAACfef4I=")</f>
        <v>#REF!</v>
      </c>
      <c r="EB74" t="e">
        <f>AND(#REF!,"AAAAACfef4M=")</f>
        <v>#REF!</v>
      </c>
      <c r="EC74" t="e">
        <f>AND(#REF!,"AAAAACfef4Q=")</f>
        <v>#REF!</v>
      </c>
      <c r="ED74" t="e">
        <f>AND(#REF!,"AAAAACfef4U=")</f>
        <v>#REF!</v>
      </c>
      <c r="EE74" t="e">
        <f>AND(#REF!,"AAAAACfef4Y=")</f>
        <v>#REF!</v>
      </c>
      <c r="EF74" t="e">
        <f>AND(#REF!,"AAAAACfef4c=")</f>
        <v>#REF!</v>
      </c>
      <c r="EG74" t="e">
        <f>AND(#REF!,"AAAAACfef4g=")</f>
        <v>#REF!</v>
      </c>
      <c r="EH74" t="e">
        <f>AND(#REF!,"AAAAACfef4k=")</f>
        <v>#REF!</v>
      </c>
      <c r="EI74" t="e">
        <f>AND(#REF!,"AAAAACfef4o=")</f>
        <v>#REF!</v>
      </c>
      <c r="EJ74" t="e">
        <f>AND(#REF!,"AAAAACfef4s=")</f>
        <v>#REF!</v>
      </c>
      <c r="EK74" t="e">
        <f>AND(#REF!,"AAAAACfef4w=")</f>
        <v>#REF!</v>
      </c>
      <c r="EL74" t="e">
        <f>AND(#REF!,"AAAAACfef40=")</f>
        <v>#REF!</v>
      </c>
      <c r="EM74" t="e">
        <f>AND(#REF!,"AAAAACfef44=")</f>
        <v>#REF!</v>
      </c>
      <c r="EN74" t="e">
        <f>AND(#REF!,"AAAAACfef48=")</f>
        <v>#REF!</v>
      </c>
      <c r="EO74" t="e">
        <f>AND(#REF!,"AAAAACfef5A=")</f>
        <v>#REF!</v>
      </c>
      <c r="EP74" t="e">
        <f>AND(#REF!,"AAAAACfef5E=")</f>
        <v>#REF!</v>
      </c>
      <c r="EQ74" t="e">
        <f>AND(#REF!,"AAAAACfef5I=")</f>
        <v>#REF!</v>
      </c>
      <c r="ER74" t="e">
        <f>AND(#REF!,"AAAAACfef5M=")</f>
        <v>#REF!</v>
      </c>
      <c r="ES74" t="e">
        <f>AND(#REF!,"AAAAACfef5Q=")</f>
        <v>#REF!</v>
      </c>
      <c r="ET74" t="e">
        <f>AND(#REF!,"AAAAACfef5U=")</f>
        <v>#REF!</v>
      </c>
      <c r="EU74" t="e">
        <f>AND(#REF!,"AAAAACfef5Y=")</f>
        <v>#REF!</v>
      </c>
      <c r="EV74" t="e">
        <f>AND(#REF!,"AAAAACfef5c=")</f>
        <v>#REF!</v>
      </c>
      <c r="EW74" t="e">
        <f>AND(#REF!,"AAAAACfef5g=")</f>
        <v>#REF!</v>
      </c>
      <c r="EX74" t="e">
        <f>IF(#REF!,"AAAAACfef5k=",0)</f>
        <v>#REF!</v>
      </c>
      <c r="EY74" t="e">
        <f>AND(#REF!,"AAAAACfef5o=")</f>
        <v>#REF!</v>
      </c>
      <c r="EZ74" t="e">
        <f>AND(#REF!,"AAAAACfef5s=")</f>
        <v>#REF!</v>
      </c>
      <c r="FA74" t="e">
        <f>AND(#REF!,"AAAAACfef5w=")</f>
        <v>#REF!</v>
      </c>
      <c r="FB74" t="e">
        <f>AND(#REF!,"AAAAACfef50=")</f>
        <v>#REF!</v>
      </c>
      <c r="FC74" t="e">
        <f>AND(#REF!,"AAAAACfef54=")</f>
        <v>#REF!</v>
      </c>
      <c r="FD74" t="e">
        <f>AND(#REF!,"AAAAACfef58=")</f>
        <v>#REF!</v>
      </c>
      <c r="FE74" t="e">
        <f>AND(#REF!,"AAAAACfef6A=")</f>
        <v>#REF!</v>
      </c>
      <c r="FF74" t="e">
        <f>AND(#REF!,"AAAAACfef6E=")</f>
        <v>#REF!</v>
      </c>
      <c r="FG74" t="e">
        <f>AND(#REF!,"AAAAACfef6I=")</f>
        <v>#REF!</v>
      </c>
      <c r="FH74" t="e">
        <f>AND(#REF!,"AAAAACfef6M=")</f>
        <v>#REF!</v>
      </c>
      <c r="FI74" t="e">
        <f>AND(#REF!,"AAAAACfef6Q=")</f>
        <v>#REF!</v>
      </c>
      <c r="FJ74" t="e">
        <f>AND(#REF!,"AAAAACfef6U=")</f>
        <v>#REF!</v>
      </c>
      <c r="FK74" t="e">
        <f>AND(#REF!,"AAAAACfef6Y=")</f>
        <v>#REF!</v>
      </c>
      <c r="FL74" t="e">
        <f>AND(#REF!,"AAAAACfef6c=")</f>
        <v>#REF!</v>
      </c>
      <c r="FM74" t="e">
        <f>AND(#REF!,"AAAAACfef6g=")</f>
        <v>#REF!</v>
      </c>
      <c r="FN74" t="e">
        <f>AND(#REF!,"AAAAACfef6k=")</f>
        <v>#REF!</v>
      </c>
      <c r="FO74" t="e">
        <f>AND(#REF!,"AAAAACfef6o=")</f>
        <v>#REF!</v>
      </c>
      <c r="FP74" t="e">
        <f>AND(#REF!,"AAAAACfef6s=")</f>
        <v>#REF!</v>
      </c>
      <c r="FQ74" t="e">
        <f>AND(#REF!,"AAAAACfef6w=")</f>
        <v>#REF!</v>
      </c>
      <c r="FR74" t="e">
        <f>AND(#REF!,"AAAAACfef60=")</f>
        <v>#REF!</v>
      </c>
      <c r="FS74" t="e">
        <f>AND(#REF!,"AAAAACfef64=")</f>
        <v>#REF!</v>
      </c>
      <c r="FT74" t="e">
        <f>AND(#REF!,"AAAAACfef68=")</f>
        <v>#REF!</v>
      </c>
      <c r="FU74" t="e">
        <f>AND(#REF!,"AAAAACfef7A=")</f>
        <v>#REF!</v>
      </c>
      <c r="FV74" t="e">
        <f>AND(#REF!,"AAAAACfef7E=")</f>
        <v>#REF!</v>
      </c>
      <c r="FW74" t="e">
        <f>AND(#REF!,"AAAAACfef7I=")</f>
        <v>#REF!</v>
      </c>
      <c r="FX74" t="e">
        <f>AND(#REF!,"AAAAACfef7M=")</f>
        <v>#REF!</v>
      </c>
      <c r="FY74" t="e">
        <f>AND(#REF!,"AAAAACfef7Q=")</f>
        <v>#REF!</v>
      </c>
      <c r="FZ74" t="e">
        <f>AND(#REF!,"AAAAACfef7U=")</f>
        <v>#REF!</v>
      </c>
      <c r="GA74" t="e">
        <f>AND(#REF!,"AAAAACfef7Y=")</f>
        <v>#REF!</v>
      </c>
      <c r="GB74" t="e">
        <f>AND(#REF!,"AAAAACfef7c=")</f>
        <v>#REF!</v>
      </c>
      <c r="GC74" t="e">
        <f>AND(#REF!,"AAAAACfef7g=")</f>
        <v>#REF!</v>
      </c>
      <c r="GD74" t="e">
        <f>AND(#REF!,"AAAAACfef7k=")</f>
        <v>#REF!</v>
      </c>
      <c r="GE74" t="e">
        <f>AND(#REF!,"AAAAACfef7o=")</f>
        <v>#REF!</v>
      </c>
      <c r="GF74" t="e">
        <f>AND(#REF!,"AAAAACfef7s=")</f>
        <v>#REF!</v>
      </c>
      <c r="GG74" t="e">
        <f>AND(#REF!,"AAAAACfef7w=")</f>
        <v>#REF!</v>
      </c>
      <c r="GH74" t="e">
        <f>AND(#REF!,"AAAAACfef70=")</f>
        <v>#REF!</v>
      </c>
      <c r="GI74" t="e">
        <f>AND(#REF!,"AAAAACfef74=")</f>
        <v>#REF!</v>
      </c>
      <c r="GJ74" t="e">
        <f>AND(#REF!,"AAAAACfef78=")</f>
        <v>#REF!</v>
      </c>
      <c r="GK74" t="e">
        <f>AND(#REF!,"AAAAACfef8A=")</f>
        <v>#REF!</v>
      </c>
      <c r="GL74" t="e">
        <f>AND(#REF!,"AAAAACfef8E=")</f>
        <v>#REF!</v>
      </c>
      <c r="GM74" t="e">
        <f>AND(#REF!,"AAAAACfef8I=")</f>
        <v>#REF!</v>
      </c>
      <c r="GN74" t="e">
        <f>AND(#REF!,"AAAAACfef8M=")</f>
        <v>#REF!</v>
      </c>
      <c r="GO74" t="e">
        <f>AND(#REF!,"AAAAACfef8Q=")</f>
        <v>#REF!</v>
      </c>
      <c r="GP74" t="e">
        <f>AND(#REF!,"AAAAACfef8U=")</f>
        <v>#REF!</v>
      </c>
      <c r="GQ74" t="e">
        <f>AND(#REF!,"AAAAACfef8Y=")</f>
        <v>#REF!</v>
      </c>
      <c r="GR74" t="e">
        <f>AND(#REF!,"AAAAACfef8c=")</f>
        <v>#REF!</v>
      </c>
      <c r="GS74" t="e">
        <f>AND(#REF!,"AAAAACfef8g=")</f>
        <v>#REF!</v>
      </c>
      <c r="GT74" t="e">
        <f>AND(#REF!,"AAAAACfef8k=")</f>
        <v>#REF!</v>
      </c>
      <c r="GU74" t="e">
        <f>AND(#REF!,"AAAAACfef8o=")</f>
        <v>#REF!</v>
      </c>
      <c r="GV74" t="e">
        <f>AND(#REF!,"AAAAACfef8s=")</f>
        <v>#REF!</v>
      </c>
      <c r="GW74" t="e">
        <f>AND(#REF!,"AAAAACfef8w=")</f>
        <v>#REF!</v>
      </c>
      <c r="GX74" t="e">
        <f>AND(#REF!,"AAAAACfef80=")</f>
        <v>#REF!</v>
      </c>
      <c r="GY74" t="e">
        <f>AND(#REF!,"AAAAACfef84=")</f>
        <v>#REF!</v>
      </c>
      <c r="GZ74" t="e">
        <f>AND(#REF!,"AAAAACfef88=")</f>
        <v>#REF!</v>
      </c>
      <c r="HA74" t="e">
        <f>AND(#REF!,"AAAAACfef9A=")</f>
        <v>#REF!</v>
      </c>
      <c r="HB74" t="e">
        <f>AND(#REF!,"AAAAACfef9E=")</f>
        <v>#REF!</v>
      </c>
      <c r="HC74" t="e">
        <f>AND(#REF!,"AAAAACfef9I=")</f>
        <v>#REF!</v>
      </c>
      <c r="HD74" t="e">
        <f>AND(#REF!,"AAAAACfef9M=")</f>
        <v>#REF!</v>
      </c>
      <c r="HE74" t="e">
        <f>AND(#REF!,"AAAAACfef9Q=")</f>
        <v>#REF!</v>
      </c>
      <c r="HF74" t="e">
        <f>AND(#REF!,"AAAAACfef9U=")</f>
        <v>#REF!</v>
      </c>
      <c r="HG74" t="e">
        <f>AND(#REF!,"AAAAACfef9Y=")</f>
        <v>#REF!</v>
      </c>
      <c r="HH74" t="e">
        <f>AND(#REF!,"AAAAACfef9c=")</f>
        <v>#REF!</v>
      </c>
      <c r="HI74" t="e">
        <f>AND(#REF!,"AAAAACfef9g=")</f>
        <v>#REF!</v>
      </c>
      <c r="HJ74" t="e">
        <f>AND(#REF!,"AAAAACfef9k=")</f>
        <v>#REF!</v>
      </c>
      <c r="HK74" t="e">
        <f>AND(#REF!,"AAAAACfef9o=")</f>
        <v>#REF!</v>
      </c>
      <c r="HL74" t="e">
        <f>AND(#REF!,"AAAAACfef9s=")</f>
        <v>#REF!</v>
      </c>
      <c r="HM74" t="e">
        <f>AND(#REF!,"AAAAACfef9w=")</f>
        <v>#REF!</v>
      </c>
      <c r="HN74" t="e">
        <f>AND(#REF!,"AAAAACfef90=")</f>
        <v>#REF!</v>
      </c>
      <c r="HO74" t="e">
        <f>AND(#REF!,"AAAAACfef94=")</f>
        <v>#REF!</v>
      </c>
      <c r="HP74" t="e">
        <f>AND(#REF!,"AAAAACfef98=")</f>
        <v>#REF!</v>
      </c>
      <c r="HQ74" t="e">
        <f>AND(#REF!,"AAAAACfef+A=")</f>
        <v>#REF!</v>
      </c>
      <c r="HR74" t="e">
        <f>AND(#REF!,"AAAAACfef+E=")</f>
        <v>#REF!</v>
      </c>
      <c r="HS74" t="e">
        <f>AND(#REF!,"AAAAACfef+I=")</f>
        <v>#REF!</v>
      </c>
      <c r="HT74" t="e">
        <f>AND(#REF!,"AAAAACfef+M=")</f>
        <v>#REF!</v>
      </c>
      <c r="HU74" t="e">
        <f>AND(#REF!,"AAAAACfef+Q=")</f>
        <v>#REF!</v>
      </c>
      <c r="HV74" t="e">
        <f>AND(#REF!,"AAAAACfef+U=")</f>
        <v>#REF!</v>
      </c>
      <c r="HW74" t="e">
        <f>AND(#REF!,"AAAAACfef+Y=")</f>
        <v>#REF!</v>
      </c>
      <c r="HX74" t="e">
        <f>AND(#REF!,"AAAAACfef+c=")</f>
        <v>#REF!</v>
      </c>
      <c r="HY74" t="e">
        <f>AND(#REF!,"AAAAACfef+g=")</f>
        <v>#REF!</v>
      </c>
      <c r="HZ74" t="e">
        <f>AND(#REF!,"AAAAACfef+k=")</f>
        <v>#REF!</v>
      </c>
      <c r="IA74" t="e">
        <f>AND(#REF!,"AAAAACfef+o=")</f>
        <v>#REF!</v>
      </c>
      <c r="IB74" t="e">
        <f>AND(#REF!,"AAAAACfef+s=")</f>
        <v>#REF!</v>
      </c>
      <c r="IC74" t="e">
        <f>AND(#REF!,"AAAAACfef+w=")</f>
        <v>#REF!</v>
      </c>
      <c r="ID74" t="e">
        <f>AND(#REF!,"AAAAACfef+0=")</f>
        <v>#REF!</v>
      </c>
      <c r="IE74" t="e">
        <f>AND(#REF!,"AAAAACfef+4=")</f>
        <v>#REF!</v>
      </c>
      <c r="IF74" t="e">
        <f>AND(#REF!,"AAAAACfef+8=")</f>
        <v>#REF!</v>
      </c>
      <c r="IG74" t="e">
        <f>AND(#REF!,"AAAAACfef/A=")</f>
        <v>#REF!</v>
      </c>
      <c r="IH74" t="e">
        <f>AND(#REF!,"AAAAACfef/E=")</f>
        <v>#REF!</v>
      </c>
      <c r="II74" t="e">
        <f>AND(#REF!,"AAAAACfef/I=")</f>
        <v>#REF!</v>
      </c>
      <c r="IJ74" t="e">
        <f>AND(#REF!,"AAAAACfef/M=")</f>
        <v>#REF!</v>
      </c>
      <c r="IK74" t="e">
        <f>AND(#REF!,"AAAAACfef/Q=")</f>
        <v>#REF!</v>
      </c>
      <c r="IL74" t="e">
        <f>AND(#REF!,"AAAAACfef/U=")</f>
        <v>#REF!</v>
      </c>
      <c r="IM74" t="e">
        <f>AND(#REF!,"AAAAACfef/Y=")</f>
        <v>#REF!</v>
      </c>
      <c r="IN74" t="e">
        <f>AND(#REF!,"AAAAACfef/c=")</f>
        <v>#REF!</v>
      </c>
      <c r="IO74" t="e">
        <f>AND(#REF!,"AAAAACfef/g=")</f>
        <v>#REF!</v>
      </c>
      <c r="IP74" t="e">
        <f>AND(#REF!,"AAAAACfef/k=")</f>
        <v>#REF!</v>
      </c>
      <c r="IQ74" t="e">
        <f>AND(#REF!,"AAAAACfef/o=")</f>
        <v>#REF!</v>
      </c>
      <c r="IR74" t="e">
        <f>AND(#REF!,"AAAAACfef/s=")</f>
        <v>#REF!</v>
      </c>
      <c r="IS74" t="e">
        <f>AND(#REF!,"AAAAACfef/w=")</f>
        <v>#REF!</v>
      </c>
      <c r="IT74" t="e">
        <f>AND(#REF!,"AAAAACfef/0=")</f>
        <v>#REF!</v>
      </c>
      <c r="IU74" t="e">
        <f>AND(#REF!,"AAAAACfef/4=")</f>
        <v>#REF!</v>
      </c>
      <c r="IV74" t="e">
        <f>AND(#REF!,"AAAAACfef/8=")</f>
        <v>#REF!</v>
      </c>
    </row>
    <row r="75" spans="1:256" x14ac:dyDescent="0.2">
      <c r="A75" t="e">
        <f>AND(#REF!,"AAAAAHZ/+wA=")</f>
        <v>#REF!</v>
      </c>
      <c r="B75" t="e">
        <f>AND(#REF!,"AAAAAHZ/+wE=")</f>
        <v>#REF!</v>
      </c>
      <c r="C75" t="e">
        <f>AND(#REF!,"AAAAAHZ/+wI=")</f>
        <v>#REF!</v>
      </c>
      <c r="D75" t="e">
        <f>AND(#REF!,"AAAAAHZ/+wM=")</f>
        <v>#REF!</v>
      </c>
      <c r="E75" t="e">
        <f>AND(#REF!,"AAAAAHZ/+wQ=")</f>
        <v>#REF!</v>
      </c>
      <c r="F75" t="e">
        <f>AND(#REF!,"AAAAAHZ/+wU=")</f>
        <v>#REF!</v>
      </c>
      <c r="G75" t="e">
        <f>AND(#REF!,"AAAAAHZ/+wY=")</f>
        <v>#REF!</v>
      </c>
      <c r="H75" t="e">
        <f>AND(#REF!,"AAAAAHZ/+wc=")</f>
        <v>#REF!</v>
      </c>
      <c r="I75" t="e">
        <f>AND(#REF!,"AAAAAHZ/+wg=")</f>
        <v>#REF!</v>
      </c>
      <c r="J75" t="e">
        <f>AND(#REF!,"AAAAAHZ/+wk=")</f>
        <v>#REF!</v>
      </c>
      <c r="K75" t="e">
        <f>AND(#REF!,"AAAAAHZ/+wo=")</f>
        <v>#REF!</v>
      </c>
      <c r="L75" t="e">
        <f>AND(#REF!,"AAAAAHZ/+ws=")</f>
        <v>#REF!</v>
      </c>
      <c r="M75" t="e">
        <f>AND(#REF!,"AAAAAHZ/+ww=")</f>
        <v>#REF!</v>
      </c>
      <c r="N75" t="e">
        <f>AND(#REF!,"AAAAAHZ/+w0=")</f>
        <v>#REF!</v>
      </c>
      <c r="O75" t="e">
        <f>AND(#REF!,"AAAAAHZ/+w4=")</f>
        <v>#REF!</v>
      </c>
      <c r="P75" t="e">
        <f>AND(#REF!,"AAAAAHZ/+w8=")</f>
        <v>#REF!</v>
      </c>
      <c r="Q75" t="e">
        <f>AND(#REF!,"AAAAAHZ/+xA=")</f>
        <v>#REF!</v>
      </c>
      <c r="R75" t="e">
        <f>AND(#REF!,"AAAAAHZ/+xE=")</f>
        <v>#REF!</v>
      </c>
      <c r="S75" t="e">
        <f>AND(#REF!,"AAAAAHZ/+xI=")</f>
        <v>#REF!</v>
      </c>
      <c r="T75" t="e">
        <f>AND(#REF!,"AAAAAHZ/+xM=")</f>
        <v>#REF!</v>
      </c>
      <c r="U75" t="e">
        <f>AND(#REF!,"AAAAAHZ/+xQ=")</f>
        <v>#REF!</v>
      </c>
      <c r="V75" t="e">
        <f>AND(#REF!,"AAAAAHZ/+xU=")</f>
        <v>#REF!</v>
      </c>
      <c r="W75" t="e">
        <f>AND(#REF!,"AAAAAHZ/+xY=")</f>
        <v>#REF!</v>
      </c>
      <c r="X75" t="e">
        <f>AND(#REF!,"AAAAAHZ/+xc=")</f>
        <v>#REF!</v>
      </c>
      <c r="Y75" t="e">
        <f>AND(#REF!,"AAAAAHZ/+xg=")</f>
        <v>#REF!</v>
      </c>
      <c r="Z75" t="e">
        <f>AND(#REF!,"AAAAAHZ/+xk=")</f>
        <v>#REF!</v>
      </c>
      <c r="AA75" t="e">
        <f>AND(#REF!,"AAAAAHZ/+xo=")</f>
        <v>#REF!</v>
      </c>
      <c r="AB75" t="e">
        <f>AND(#REF!,"AAAAAHZ/+xs=")</f>
        <v>#REF!</v>
      </c>
      <c r="AC75" t="e">
        <f>AND(#REF!,"AAAAAHZ/+xw=")</f>
        <v>#REF!</v>
      </c>
      <c r="AD75" t="e">
        <f>AND(#REF!,"AAAAAHZ/+x0=")</f>
        <v>#REF!</v>
      </c>
      <c r="AE75" t="e">
        <f>AND(#REF!,"AAAAAHZ/+x4=")</f>
        <v>#REF!</v>
      </c>
      <c r="AF75" t="e">
        <f>AND(#REF!,"AAAAAHZ/+x8=")</f>
        <v>#REF!</v>
      </c>
      <c r="AG75" t="e">
        <f>AND(#REF!,"AAAAAHZ/+yA=")</f>
        <v>#REF!</v>
      </c>
      <c r="AH75" t="e">
        <f>AND(#REF!,"AAAAAHZ/+yE=")</f>
        <v>#REF!</v>
      </c>
      <c r="AI75" t="e">
        <f>AND(#REF!,"AAAAAHZ/+yI=")</f>
        <v>#REF!</v>
      </c>
      <c r="AJ75" t="e">
        <f>AND(#REF!,"AAAAAHZ/+yM=")</f>
        <v>#REF!</v>
      </c>
      <c r="AK75" t="e">
        <f>AND(#REF!,"AAAAAHZ/+yQ=")</f>
        <v>#REF!</v>
      </c>
      <c r="AL75" t="e">
        <f>AND(#REF!,"AAAAAHZ/+yU=")</f>
        <v>#REF!</v>
      </c>
      <c r="AM75" t="e">
        <f>AND(#REF!,"AAAAAHZ/+yY=")</f>
        <v>#REF!</v>
      </c>
      <c r="AN75" t="e">
        <f>AND(#REF!,"AAAAAHZ/+yc=")</f>
        <v>#REF!</v>
      </c>
      <c r="AO75" t="e">
        <f>AND(#REF!,"AAAAAHZ/+yg=")</f>
        <v>#REF!</v>
      </c>
      <c r="AP75" t="e">
        <f>AND(#REF!,"AAAAAHZ/+yk=")</f>
        <v>#REF!</v>
      </c>
      <c r="AQ75" t="e">
        <f>AND(#REF!,"AAAAAHZ/+yo=")</f>
        <v>#REF!</v>
      </c>
      <c r="AR75" t="e">
        <f>AND(#REF!,"AAAAAHZ/+ys=")</f>
        <v>#REF!</v>
      </c>
      <c r="AS75" t="e">
        <f>AND(#REF!,"AAAAAHZ/+yw=")</f>
        <v>#REF!</v>
      </c>
      <c r="AT75" t="e">
        <f>AND(#REF!,"AAAAAHZ/+y0=")</f>
        <v>#REF!</v>
      </c>
      <c r="AU75" t="e">
        <f>AND(#REF!,"AAAAAHZ/+y4=")</f>
        <v>#REF!</v>
      </c>
      <c r="AV75" t="e">
        <f>AND(#REF!,"AAAAAHZ/+y8=")</f>
        <v>#REF!</v>
      </c>
      <c r="AW75" t="e">
        <f>AND(#REF!,"AAAAAHZ/+zA=")</f>
        <v>#REF!</v>
      </c>
      <c r="AX75" t="e">
        <f>AND(#REF!,"AAAAAHZ/+zE=")</f>
        <v>#REF!</v>
      </c>
      <c r="AY75" t="e">
        <f>AND(#REF!,"AAAAAHZ/+zI=")</f>
        <v>#REF!</v>
      </c>
      <c r="AZ75" t="e">
        <f>AND(#REF!,"AAAAAHZ/+zM=")</f>
        <v>#REF!</v>
      </c>
      <c r="BA75" t="e">
        <f>AND(#REF!,"AAAAAHZ/+zQ=")</f>
        <v>#REF!</v>
      </c>
      <c r="BB75" t="e">
        <f>AND(#REF!,"AAAAAHZ/+zU=")</f>
        <v>#REF!</v>
      </c>
      <c r="BC75" t="e">
        <f>AND(#REF!,"AAAAAHZ/+zY=")</f>
        <v>#REF!</v>
      </c>
      <c r="BD75" t="e">
        <f>AND(#REF!,"AAAAAHZ/+zc=")</f>
        <v>#REF!</v>
      </c>
      <c r="BE75" t="e">
        <f>AND(#REF!,"AAAAAHZ/+zg=")</f>
        <v>#REF!</v>
      </c>
      <c r="BF75" t="e">
        <f>AND(#REF!,"AAAAAHZ/+zk=")</f>
        <v>#REF!</v>
      </c>
      <c r="BG75" t="e">
        <f>AND(#REF!,"AAAAAHZ/+zo=")</f>
        <v>#REF!</v>
      </c>
      <c r="BH75" t="e">
        <f>AND(#REF!,"AAAAAHZ/+zs=")</f>
        <v>#REF!</v>
      </c>
      <c r="BI75" t="e">
        <f>AND(#REF!,"AAAAAHZ/+zw=")</f>
        <v>#REF!</v>
      </c>
      <c r="BJ75" t="e">
        <f>AND(#REF!,"AAAAAHZ/+z0=")</f>
        <v>#REF!</v>
      </c>
      <c r="BK75" t="e">
        <f>AND(#REF!,"AAAAAHZ/+z4=")</f>
        <v>#REF!</v>
      </c>
      <c r="BL75" t="e">
        <f>AND(#REF!,"AAAAAHZ/+z8=")</f>
        <v>#REF!</v>
      </c>
      <c r="BM75" t="e">
        <f>AND(#REF!,"AAAAAHZ/+0A=")</f>
        <v>#REF!</v>
      </c>
      <c r="BN75" t="e">
        <f>AND(#REF!,"AAAAAHZ/+0E=")</f>
        <v>#REF!</v>
      </c>
      <c r="BO75" t="e">
        <f>AND(#REF!,"AAAAAHZ/+0I=")</f>
        <v>#REF!</v>
      </c>
      <c r="BP75" t="e">
        <f>AND(#REF!,"AAAAAHZ/+0M=")</f>
        <v>#REF!</v>
      </c>
      <c r="BQ75" t="e">
        <f>AND(#REF!,"AAAAAHZ/+0Q=")</f>
        <v>#REF!</v>
      </c>
      <c r="BR75" t="e">
        <f>AND(#REF!,"AAAAAHZ/+0U=")</f>
        <v>#REF!</v>
      </c>
      <c r="BS75" t="e">
        <f>AND(#REF!,"AAAAAHZ/+0Y=")</f>
        <v>#REF!</v>
      </c>
      <c r="BT75" t="e">
        <f>AND(#REF!,"AAAAAHZ/+0c=")</f>
        <v>#REF!</v>
      </c>
      <c r="BU75" t="e">
        <f>AND(#REF!,"AAAAAHZ/+0g=")</f>
        <v>#REF!</v>
      </c>
      <c r="BV75" t="e">
        <f>AND(#REF!,"AAAAAHZ/+0k=")</f>
        <v>#REF!</v>
      </c>
      <c r="BW75" t="e">
        <f>AND(#REF!,"AAAAAHZ/+0o=")</f>
        <v>#REF!</v>
      </c>
      <c r="BX75" t="e">
        <f>AND(#REF!,"AAAAAHZ/+0s=")</f>
        <v>#REF!</v>
      </c>
      <c r="BY75" t="e">
        <f>AND(#REF!,"AAAAAHZ/+0w=")</f>
        <v>#REF!</v>
      </c>
      <c r="BZ75" t="e">
        <f>AND(#REF!,"AAAAAHZ/+00=")</f>
        <v>#REF!</v>
      </c>
      <c r="CA75" t="e">
        <f>IF(#REF!,"AAAAAHZ/+04=",0)</f>
        <v>#REF!</v>
      </c>
      <c r="CB75" t="e">
        <f>AND(#REF!,"AAAAAHZ/+08=")</f>
        <v>#REF!</v>
      </c>
      <c r="CC75" t="e">
        <f>AND(#REF!,"AAAAAHZ/+1A=")</f>
        <v>#REF!</v>
      </c>
      <c r="CD75" t="e">
        <f>AND(#REF!,"AAAAAHZ/+1E=")</f>
        <v>#REF!</v>
      </c>
      <c r="CE75" t="e">
        <f>AND(#REF!,"AAAAAHZ/+1I=")</f>
        <v>#REF!</v>
      </c>
      <c r="CF75" t="e">
        <f>AND(#REF!,"AAAAAHZ/+1M=")</f>
        <v>#REF!</v>
      </c>
      <c r="CG75" t="e">
        <f>AND(#REF!,"AAAAAHZ/+1Q=")</f>
        <v>#REF!</v>
      </c>
      <c r="CH75" t="e">
        <f>AND(#REF!,"AAAAAHZ/+1U=")</f>
        <v>#REF!</v>
      </c>
      <c r="CI75" t="e">
        <f>AND(#REF!,"AAAAAHZ/+1Y=")</f>
        <v>#REF!</v>
      </c>
      <c r="CJ75" t="e">
        <f>AND(#REF!,"AAAAAHZ/+1c=")</f>
        <v>#REF!</v>
      </c>
      <c r="CK75" t="e">
        <f>AND(#REF!,"AAAAAHZ/+1g=")</f>
        <v>#REF!</v>
      </c>
      <c r="CL75" t="e">
        <f>AND(#REF!,"AAAAAHZ/+1k=")</f>
        <v>#REF!</v>
      </c>
      <c r="CM75" t="e">
        <f>AND(#REF!,"AAAAAHZ/+1o=")</f>
        <v>#REF!</v>
      </c>
      <c r="CN75" t="e">
        <f>AND(#REF!,"AAAAAHZ/+1s=")</f>
        <v>#REF!</v>
      </c>
      <c r="CO75" t="e">
        <f>AND(#REF!,"AAAAAHZ/+1w=")</f>
        <v>#REF!</v>
      </c>
      <c r="CP75" t="e">
        <f>AND(#REF!,"AAAAAHZ/+10=")</f>
        <v>#REF!</v>
      </c>
      <c r="CQ75" t="e">
        <f>AND(#REF!,"AAAAAHZ/+14=")</f>
        <v>#REF!</v>
      </c>
      <c r="CR75" t="e">
        <f>AND(#REF!,"AAAAAHZ/+18=")</f>
        <v>#REF!</v>
      </c>
      <c r="CS75" t="e">
        <f>AND(#REF!,"AAAAAHZ/+2A=")</f>
        <v>#REF!</v>
      </c>
      <c r="CT75" t="e">
        <f>AND(#REF!,"AAAAAHZ/+2E=")</f>
        <v>#REF!</v>
      </c>
      <c r="CU75" t="e">
        <f>AND(#REF!,"AAAAAHZ/+2I=")</f>
        <v>#REF!</v>
      </c>
      <c r="CV75" t="e">
        <f>AND(#REF!,"AAAAAHZ/+2M=")</f>
        <v>#REF!</v>
      </c>
      <c r="CW75" t="e">
        <f>AND(#REF!,"AAAAAHZ/+2Q=")</f>
        <v>#REF!</v>
      </c>
      <c r="CX75" t="e">
        <f>AND(#REF!,"AAAAAHZ/+2U=")</f>
        <v>#REF!</v>
      </c>
      <c r="CY75" t="e">
        <f>AND(#REF!,"AAAAAHZ/+2Y=")</f>
        <v>#REF!</v>
      </c>
      <c r="CZ75" t="e">
        <f>AND(#REF!,"AAAAAHZ/+2c=")</f>
        <v>#REF!</v>
      </c>
      <c r="DA75" t="e">
        <f>AND(#REF!,"AAAAAHZ/+2g=")</f>
        <v>#REF!</v>
      </c>
      <c r="DB75" t="e">
        <f>AND(#REF!,"AAAAAHZ/+2k=")</f>
        <v>#REF!</v>
      </c>
      <c r="DC75" t="e">
        <f>AND(#REF!,"AAAAAHZ/+2o=")</f>
        <v>#REF!</v>
      </c>
      <c r="DD75" t="e">
        <f>AND(#REF!,"AAAAAHZ/+2s=")</f>
        <v>#REF!</v>
      </c>
      <c r="DE75" t="e">
        <f>AND(#REF!,"AAAAAHZ/+2w=")</f>
        <v>#REF!</v>
      </c>
      <c r="DF75" t="e">
        <f>AND(#REF!,"AAAAAHZ/+20=")</f>
        <v>#REF!</v>
      </c>
      <c r="DG75" t="e">
        <f>AND(#REF!,"AAAAAHZ/+24=")</f>
        <v>#REF!</v>
      </c>
      <c r="DH75" t="e">
        <f>AND(#REF!,"AAAAAHZ/+28=")</f>
        <v>#REF!</v>
      </c>
      <c r="DI75" t="e">
        <f>AND(#REF!,"AAAAAHZ/+3A=")</f>
        <v>#REF!</v>
      </c>
      <c r="DJ75" t="e">
        <f>AND(#REF!,"AAAAAHZ/+3E=")</f>
        <v>#REF!</v>
      </c>
      <c r="DK75" t="e">
        <f>AND(#REF!,"AAAAAHZ/+3I=")</f>
        <v>#REF!</v>
      </c>
      <c r="DL75" t="e">
        <f>AND(#REF!,"AAAAAHZ/+3M=")</f>
        <v>#REF!</v>
      </c>
      <c r="DM75" t="e">
        <f>AND(#REF!,"AAAAAHZ/+3Q=")</f>
        <v>#REF!</v>
      </c>
      <c r="DN75" t="e">
        <f>AND(#REF!,"AAAAAHZ/+3U=")</f>
        <v>#REF!</v>
      </c>
      <c r="DO75" t="e">
        <f>AND(#REF!,"AAAAAHZ/+3Y=")</f>
        <v>#REF!</v>
      </c>
      <c r="DP75" t="e">
        <f>AND(#REF!,"AAAAAHZ/+3c=")</f>
        <v>#REF!</v>
      </c>
      <c r="DQ75" t="e">
        <f>AND(#REF!,"AAAAAHZ/+3g=")</f>
        <v>#REF!</v>
      </c>
      <c r="DR75" t="e">
        <f>AND(#REF!,"AAAAAHZ/+3k=")</f>
        <v>#REF!</v>
      </c>
      <c r="DS75" t="e">
        <f>AND(#REF!,"AAAAAHZ/+3o=")</f>
        <v>#REF!</v>
      </c>
      <c r="DT75" t="e">
        <f>AND(#REF!,"AAAAAHZ/+3s=")</f>
        <v>#REF!</v>
      </c>
      <c r="DU75" t="e">
        <f>AND(#REF!,"AAAAAHZ/+3w=")</f>
        <v>#REF!</v>
      </c>
      <c r="DV75" t="e">
        <f>AND(#REF!,"AAAAAHZ/+30=")</f>
        <v>#REF!</v>
      </c>
      <c r="DW75" t="e">
        <f>AND(#REF!,"AAAAAHZ/+34=")</f>
        <v>#REF!</v>
      </c>
      <c r="DX75" t="e">
        <f>AND(#REF!,"AAAAAHZ/+38=")</f>
        <v>#REF!</v>
      </c>
      <c r="DY75" t="e">
        <f>AND(#REF!,"AAAAAHZ/+4A=")</f>
        <v>#REF!</v>
      </c>
      <c r="DZ75" t="e">
        <f>AND(#REF!,"AAAAAHZ/+4E=")</f>
        <v>#REF!</v>
      </c>
      <c r="EA75" t="e">
        <f>AND(#REF!,"AAAAAHZ/+4I=")</f>
        <v>#REF!</v>
      </c>
      <c r="EB75" t="e">
        <f>AND(#REF!,"AAAAAHZ/+4M=")</f>
        <v>#REF!</v>
      </c>
      <c r="EC75" t="e">
        <f>AND(#REF!,"AAAAAHZ/+4Q=")</f>
        <v>#REF!</v>
      </c>
      <c r="ED75" t="e">
        <f>AND(#REF!,"AAAAAHZ/+4U=")</f>
        <v>#REF!</v>
      </c>
      <c r="EE75" t="e">
        <f>AND(#REF!,"AAAAAHZ/+4Y=")</f>
        <v>#REF!</v>
      </c>
      <c r="EF75" t="e">
        <f>AND(#REF!,"AAAAAHZ/+4c=")</f>
        <v>#REF!</v>
      </c>
      <c r="EG75" t="e">
        <f>AND(#REF!,"AAAAAHZ/+4g=")</f>
        <v>#REF!</v>
      </c>
      <c r="EH75" t="e">
        <f>AND(#REF!,"AAAAAHZ/+4k=")</f>
        <v>#REF!</v>
      </c>
      <c r="EI75" t="e">
        <f>AND(#REF!,"AAAAAHZ/+4o=")</f>
        <v>#REF!</v>
      </c>
      <c r="EJ75" t="e">
        <f>AND(#REF!,"AAAAAHZ/+4s=")</f>
        <v>#REF!</v>
      </c>
      <c r="EK75" t="e">
        <f>AND(#REF!,"AAAAAHZ/+4w=")</f>
        <v>#REF!</v>
      </c>
      <c r="EL75" t="e">
        <f>AND(#REF!,"AAAAAHZ/+40=")</f>
        <v>#REF!</v>
      </c>
      <c r="EM75" t="e">
        <f>AND(#REF!,"AAAAAHZ/+44=")</f>
        <v>#REF!</v>
      </c>
      <c r="EN75" t="e">
        <f>AND(#REF!,"AAAAAHZ/+48=")</f>
        <v>#REF!</v>
      </c>
      <c r="EO75" t="e">
        <f>AND(#REF!,"AAAAAHZ/+5A=")</f>
        <v>#REF!</v>
      </c>
      <c r="EP75" t="e">
        <f>AND(#REF!,"AAAAAHZ/+5E=")</f>
        <v>#REF!</v>
      </c>
      <c r="EQ75" t="e">
        <f>AND(#REF!,"AAAAAHZ/+5I=")</f>
        <v>#REF!</v>
      </c>
      <c r="ER75" t="e">
        <f>AND(#REF!,"AAAAAHZ/+5M=")</f>
        <v>#REF!</v>
      </c>
      <c r="ES75" t="e">
        <f>AND(#REF!,"AAAAAHZ/+5Q=")</f>
        <v>#REF!</v>
      </c>
      <c r="ET75" t="e">
        <f>AND(#REF!,"AAAAAHZ/+5U=")</f>
        <v>#REF!</v>
      </c>
      <c r="EU75" t="e">
        <f>AND(#REF!,"AAAAAHZ/+5Y=")</f>
        <v>#REF!</v>
      </c>
      <c r="EV75" t="e">
        <f>AND(#REF!,"AAAAAHZ/+5c=")</f>
        <v>#REF!</v>
      </c>
      <c r="EW75" t="e">
        <f>AND(#REF!,"AAAAAHZ/+5g=")</f>
        <v>#REF!</v>
      </c>
      <c r="EX75" t="e">
        <f>AND(#REF!,"AAAAAHZ/+5k=")</f>
        <v>#REF!</v>
      </c>
      <c r="EY75" t="e">
        <f>AND(#REF!,"AAAAAHZ/+5o=")</f>
        <v>#REF!</v>
      </c>
      <c r="EZ75" t="e">
        <f>AND(#REF!,"AAAAAHZ/+5s=")</f>
        <v>#REF!</v>
      </c>
      <c r="FA75" t="e">
        <f>AND(#REF!,"AAAAAHZ/+5w=")</f>
        <v>#REF!</v>
      </c>
      <c r="FB75" t="e">
        <f>AND(#REF!,"AAAAAHZ/+50=")</f>
        <v>#REF!</v>
      </c>
      <c r="FC75" t="e">
        <f>AND(#REF!,"AAAAAHZ/+54=")</f>
        <v>#REF!</v>
      </c>
      <c r="FD75" t="e">
        <f>AND(#REF!,"AAAAAHZ/+58=")</f>
        <v>#REF!</v>
      </c>
      <c r="FE75" t="e">
        <f>AND(#REF!,"AAAAAHZ/+6A=")</f>
        <v>#REF!</v>
      </c>
      <c r="FF75" t="e">
        <f>AND(#REF!,"AAAAAHZ/+6E=")</f>
        <v>#REF!</v>
      </c>
      <c r="FG75" t="e">
        <f>AND(#REF!,"AAAAAHZ/+6I=")</f>
        <v>#REF!</v>
      </c>
      <c r="FH75" t="e">
        <f>AND(#REF!,"AAAAAHZ/+6M=")</f>
        <v>#REF!</v>
      </c>
      <c r="FI75" t="e">
        <f>AND(#REF!,"AAAAAHZ/+6Q=")</f>
        <v>#REF!</v>
      </c>
      <c r="FJ75" t="e">
        <f>AND(#REF!,"AAAAAHZ/+6U=")</f>
        <v>#REF!</v>
      </c>
      <c r="FK75" t="e">
        <f>AND(#REF!,"AAAAAHZ/+6Y=")</f>
        <v>#REF!</v>
      </c>
      <c r="FL75" t="e">
        <f>AND(#REF!,"AAAAAHZ/+6c=")</f>
        <v>#REF!</v>
      </c>
      <c r="FM75" t="e">
        <f>AND(#REF!,"AAAAAHZ/+6g=")</f>
        <v>#REF!</v>
      </c>
      <c r="FN75" t="e">
        <f>AND(#REF!,"AAAAAHZ/+6k=")</f>
        <v>#REF!</v>
      </c>
      <c r="FO75" t="e">
        <f>AND(#REF!,"AAAAAHZ/+6o=")</f>
        <v>#REF!</v>
      </c>
      <c r="FP75" t="e">
        <f>AND(#REF!,"AAAAAHZ/+6s=")</f>
        <v>#REF!</v>
      </c>
      <c r="FQ75" t="e">
        <f>AND(#REF!,"AAAAAHZ/+6w=")</f>
        <v>#REF!</v>
      </c>
      <c r="FR75" t="e">
        <f>AND(#REF!,"AAAAAHZ/+60=")</f>
        <v>#REF!</v>
      </c>
      <c r="FS75" t="e">
        <f>AND(#REF!,"AAAAAHZ/+64=")</f>
        <v>#REF!</v>
      </c>
      <c r="FT75" t="e">
        <f>AND(#REF!,"AAAAAHZ/+68=")</f>
        <v>#REF!</v>
      </c>
      <c r="FU75" t="e">
        <f>AND(#REF!,"AAAAAHZ/+7A=")</f>
        <v>#REF!</v>
      </c>
      <c r="FV75" t="e">
        <f>AND(#REF!,"AAAAAHZ/+7E=")</f>
        <v>#REF!</v>
      </c>
      <c r="FW75" t="e">
        <f>AND(#REF!,"AAAAAHZ/+7I=")</f>
        <v>#REF!</v>
      </c>
      <c r="FX75" t="e">
        <f>AND(#REF!,"AAAAAHZ/+7M=")</f>
        <v>#REF!</v>
      </c>
      <c r="FY75" t="e">
        <f>AND(#REF!,"AAAAAHZ/+7Q=")</f>
        <v>#REF!</v>
      </c>
      <c r="FZ75" t="e">
        <f>AND(#REF!,"AAAAAHZ/+7U=")</f>
        <v>#REF!</v>
      </c>
      <c r="GA75" t="e">
        <f>AND(#REF!,"AAAAAHZ/+7Y=")</f>
        <v>#REF!</v>
      </c>
      <c r="GB75" t="e">
        <f>AND(#REF!,"AAAAAHZ/+7c=")</f>
        <v>#REF!</v>
      </c>
      <c r="GC75" t="e">
        <f>AND(#REF!,"AAAAAHZ/+7g=")</f>
        <v>#REF!</v>
      </c>
      <c r="GD75" t="e">
        <f>AND(#REF!,"AAAAAHZ/+7k=")</f>
        <v>#REF!</v>
      </c>
      <c r="GE75" t="e">
        <f>AND(#REF!,"AAAAAHZ/+7o=")</f>
        <v>#REF!</v>
      </c>
      <c r="GF75" t="e">
        <f>AND(#REF!,"AAAAAHZ/+7s=")</f>
        <v>#REF!</v>
      </c>
      <c r="GG75" t="e">
        <f>AND(#REF!,"AAAAAHZ/+7w=")</f>
        <v>#REF!</v>
      </c>
      <c r="GH75" t="e">
        <f>AND(#REF!,"AAAAAHZ/+70=")</f>
        <v>#REF!</v>
      </c>
      <c r="GI75" t="e">
        <f>AND(#REF!,"AAAAAHZ/+74=")</f>
        <v>#REF!</v>
      </c>
      <c r="GJ75" t="e">
        <f>AND(#REF!,"AAAAAHZ/+78=")</f>
        <v>#REF!</v>
      </c>
      <c r="GK75" t="e">
        <f>AND(#REF!,"AAAAAHZ/+8A=")</f>
        <v>#REF!</v>
      </c>
      <c r="GL75" t="e">
        <f>AND(#REF!,"AAAAAHZ/+8E=")</f>
        <v>#REF!</v>
      </c>
      <c r="GM75" t="e">
        <f>AND(#REF!,"AAAAAHZ/+8I=")</f>
        <v>#REF!</v>
      </c>
      <c r="GN75" t="e">
        <f>AND(#REF!,"AAAAAHZ/+8M=")</f>
        <v>#REF!</v>
      </c>
      <c r="GO75" t="e">
        <f>AND(#REF!,"AAAAAHZ/+8Q=")</f>
        <v>#REF!</v>
      </c>
      <c r="GP75" t="e">
        <f>AND(#REF!,"AAAAAHZ/+8U=")</f>
        <v>#REF!</v>
      </c>
      <c r="GQ75" t="e">
        <f>AND(#REF!,"AAAAAHZ/+8Y=")</f>
        <v>#REF!</v>
      </c>
      <c r="GR75" t="e">
        <f>AND(#REF!,"AAAAAHZ/+8c=")</f>
        <v>#REF!</v>
      </c>
      <c r="GS75" t="e">
        <f>AND(#REF!,"AAAAAHZ/+8g=")</f>
        <v>#REF!</v>
      </c>
      <c r="GT75" t="e">
        <f>AND(#REF!,"AAAAAHZ/+8k=")</f>
        <v>#REF!</v>
      </c>
      <c r="GU75" t="e">
        <f>AND(#REF!,"AAAAAHZ/+8o=")</f>
        <v>#REF!</v>
      </c>
      <c r="GV75" t="e">
        <f>AND(#REF!,"AAAAAHZ/+8s=")</f>
        <v>#REF!</v>
      </c>
      <c r="GW75" t="e">
        <f>AND(#REF!,"AAAAAHZ/+8w=")</f>
        <v>#REF!</v>
      </c>
      <c r="GX75" t="e">
        <f>AND(#REF!,"AAAAAHZ/+80=")</f>
        <v>#REF!</v>
      </c>
      <c r="GY75" t="e">
        <f>AND(#REF!,"AAAAAHZ/+84=")</f>
        <v>#REF!</v>
      </c>
      <c r="GZ75" t="e">
        <f>AND(#REF!,"AAAAAHZ/+88=")</f>
        <v>#REF!</v>
      </c>
      <c r="HA75" t="e">
        <f>AND(#REF!,"AAAAAHZ/+9A=")</f>
        <v>#REF!</v>
      </c>
      <c r="HB75" t="e">
        <f>AND(#REF!,"AAAAAHZ/+9E=")</f>
        <v>#REF!</v>
      </c>
      <c r="HC75" t="e">
        <f>AND(#REF!,"AAAAAHZ/+9I=")</f>
        <v>#REF!</v>
      </c>
      <c r="HD75" t="e">
        <f>AND(#REF!,"AAAAAHZ/+9M=")</f>
        <v>#REF!</v>
      </c>
      <c r="HE75" t="e">
        <f>AND(#REF!,"AAAAAHZ/+9Q=")</f>
        <v>#REF!</v>
      </c>
      <c r="HF75" t="e">
        <f>AND(#REF!,"AAAAAHZ/+9U=")</f>
        <v>#REF!</v>
      </c>
      <c r="HG75" t="e">
        <f>AND(#REF!,"AAAAAHZ/+9Y=")</f>
        <v>#REF!</v>
      </c>
      <c r="HH75" t="e">
        <f>AND(#REF!,"AAAAAHZ/+9c=")</f>
        <v>#REF!</v>
      </c>
      <c r="HI75" t="e">
        <f>AND(#REF!,"AAAAAHZ/+9g=")</f>
        <v>#REF!</v>
      </c>
      <c r="HJ75" t="e">
        <f>AND(#REF!,"AAAAAHZ/+9k=")</f>
        <v>#REF!</v>
      </c>
      <c r="HK75" t="e">
        <f>AND(#REF!,"AAAAAHZ/+9o=")</f>
        <v>#REF!</v>
      </c>
      <c r="HL75" t="e">
        <f>AND(#REF!,"AAAAAHZ/+9s=")</f>
        <v>#REF!</v>
      </c>
      <c r="HM75" t="e">
        <f>AND(#REF!,"AAAAAHZ/+9w=")</f>
        <v>#REF!</v>
      </c>
      <c r="HN75" t="e">
        <f>AND(#REF!,"AAAAAHZ/+90=")</f>
        <v>#REF!</v>
      </c>
      <c r="HO75" t="e">
        <f>AND(#REF!,"AAAAAHZ/+94=")</f>
        <v>#REF!</v>
      </c>
      <c r="HP75" t="e">
        <f>AND(#REF!,"AAAAAHZ/+98=")</f>
        <v>#REF!</v>
      </c>
      <c r="HQ75" t="e">
        <f>AND(#REF!,"AAAAAHZ/++A=")</f>
        <v>#REF!</v>
      </c>
      <c r="HR75" t="e">
        <f>AND(#REF!,"AAAAAHZ/++E=")</f>
        <v>#REF!</v>
      </c>
      <c r="HS75" t="e">
        <f>AND(#REF!,"AAAAAHZ/++I=")</f>
        <v>#REF!</v>
      </c>
      <c r="HT75" t="e">
        <f>AND(#REF!,"AAAAAHZ/++M=")</f>
        <v>#REF!</v>
      </c>
      <c r="HU75" t="e">
        <f>AND(#REF!,"AAAAAHZ/++Q=")</f>
        <v>#REF!</v>
      </c>
      <c r="HV75" t="e">
        <f>AND(#REF!,"AAAAAHZ/++U=")</f>
        <v>#REF!</v>
      </c>
      <c r="HW75" t="e">
        <f>AND(#REF!,"AAAAAHZ/++Y=")</f>
        <v>#REF!</v>
      </c>
      <c r="HX75" t="e">
        <f>AND(#REF!,"AAAAAHZ/++c=")</f>
        <v>#REF!</v>
      </c>
      <c r="HY75" t="e">
        <f>AND(#REF!,"AAAAAHZ/++g=")</f>
        <v>#REF!</v>
      </c>
      <c r="HZ75" t="e">
        <f>AND(#REF!,"AAAAAHZ/++k=")</f>
        <v>#REF!</v>
      </c>
      <c r="IA75" t="e">
        <f>AND(#REF!,"AAAAAHZ/++o=")</f>
        <v>#REF!</v>
      </c>
      <c r="IB75" t="e">
        <f>AND(#REF!,"AAAAAHZ/++s=")</f>
        <v>#REF!</v>
      </c>
      <c r="IC75" t="e">
        <f>AND(#REF!,"AAAAAHZ/++w=")</f>
        <v>#REF!</v>
      </c>
      <c r="ID75" t="e">
        <f>AND(#REF!,"AAAAAHZ/++0=")</f>
        <v>#REF!</v>
      </c>
      <c r="IE75" t="e">
        <f>AND(#REF!,"AAAAAHZ/++4=")</f>
        <v>#REF!</v>
      </c>
      <c r="IF75" t="e">
        <f>AND(#REF!,"AAAAAHZ/++8=")</f>
        <v>#REF!</v>
      </c>
      <c r="IG75" t="e">
        <f>AND(#REF!,"AAAAAHZ/+/A=")</f>
        <v>#REF!</v>
      </c>
      <c r="IH75" t="e">
        <f>AND(#REF!,"AAAAAHZ/+/E=")</f>
        <v>#REF!</v>
      </c>
      <c r="II75" t="e">
        <f>AND(#REF!,"AAAAAHZ/+/I=")</f>
        <v>#REF!</v>
      </c>
      <c r="IJ75" t="e">
        <f>AND(#REF!,"AAAAAHZ/+/M=")</f>
        <v>#REF!</v>
      </c>
      <c r="IK75" t="e">
        <f>AND(#REF!,"AAAAAHZ/+/Q=")</f>
        <v>#REF!</v>
      </c>
      <c r="IL75" t="e">
        <f>AND(#REF!,"AAAAAHZ/+/U=")</f>
        <v>#REF!</v>
      </c>
      <c r="IM75" t="e">
        <f>AND(#REF!,"AAAAAHZ/+/Y=")</f>
        <v>#REF!</v>
      </c>
      <c r="IN75" t="e">
        <f>AND(#REF!,"AAAAAHZ/+/c=")</f>
        <v>#REF!</v>
      </c>
      <c r="IO75" t="e">
        <f>AND(#REF!,"AAAAAHZ/+/g=")</f>
        <v>#REF!</v>
      </c>
      <c r="IP75" t="e">
        <f>AND(#REF!,"AAAAAHZ/+/k=")</f>
        <v>#REF!</v>
      </c>
      <c r="IQ75" t="e">
        <f>AND(#REF!,"AAAAAHZ/+/o=")</f>
        <v>#REF!</v>
      </c>
      <c r="IR75" t="e">
        <f>AND(#REF!,"AAAAAHZ/+/s=")</f>
        <v>#REF!</v>
      </c>
      <c r="IS75" t="e">
        <f>AND(#REF!,"AAAAAHZ/+/w=")</f>
        <v>#REF!</v>
      </c>
      <c r="IT75" t="e">
        <f>AND(#REF!,"AAAAAHZ/+/0=")</f>
        <v>#REF!</v>
      </c>
      <c r="IU75" t="e">
        <f>AND(#REF!,"AAAAAHZ/+/4=")</f>
        <v>#REF!</v>
      </c>
      <c r="IV75" t="e">
        <f>AND(#REF!,"AAAAAHZ/+/8=")</f>
        <v>#REF!</v>
      </c>
    </row>
    <row r="76" spans="1:256" x14ac:dyDescent="0.2">
      <c r="A76" t="e">
        <f>AND(#REF!,"AAAAAH9/vwA=")</f>
        <v>#REF!</v>
      </c>
      <c r="B76" t="e">
        <f>AND(#REF!,"AAAAAH9/vwE=")</f>
        <v>#REF!</v>
      </c>
      <c r="C76" t="e">
        <f>AND(#REF!,"AAAAAH9/vwI=")</f>
        <v>#REF!</v>
      </c>
      <c r="D76" t="e">
        <f>IF(#REF!,"AAAAAH9/vwM=",0)</f>
        <v>#REF!</v>
      </c>
      <c r="E76" t="e">
        <f>AND(#REF!,"AAAAAH9/vwQ=")</f>
        <v>#REF!</v>
      </c>
      <c r="F76" t="e">
        <f>AND(#REF!,"AAAAAH9/vwU=")</f>
        <v>#REF!</v>
      </c>
      <c r="G76" t="e">
        <f>AND(#REF!,"AAAAAH9/vwY=")</f>
        <v>#REF!</v>
      </c>
      <c r="H76" t="e">
        <f>AND(#REF!,"AAAAAH9/vwc=")</f>
        <v>#REF!</v>
      </c>
      <c r="I76" t="e">
        <f>AND(#REF!,"AAAAAH9/vwg=")</f>
        <v>#REF!</v>
      </c>
      <c r="J76" t="e">
        <f>AND(#REF!,"AAAAAH9/vwk=")</f>
        <v>#REF!</v>
      </c>
      <c r="K76" t="e">
        <f>AND(#REF!,"AAAAAH9/vwo=")</f>
        <v>#REF!</v>
      </c>
      <c r="L76" t="e">
        <f>AND(#REF!,"AAAAAH9/vws=")</f>
        <v>#REF!</v>
      </c>
      <c r="M76" t="e">
        <f>AND(#REF!,"AAAAAH9/vww=")</f>
        <v>#REF!</v>
      </c>
      <c r="N76" t="e">
        <f>AND(#REF!,"AAAAAH9/vw0=")</f>
        <v>#REF!</v>
      </c>
      <c r="O76" t="e">
        <f>AND(#REF!,"AAAAAH9/vw4=")</f>
        <v>#REF!</v>
      </c>
      <c r="P76" t="e">
        <f>AND(#REF!,"AAAAAH9/vw8=")</f>
        <v>#REF!</v>
      </c>
      <c r="Q76" t="e">
        <f>AND(#REF!,"AAAAAH9/vxA=")</f>
        <v>#REF!</v>
      </c>
      <c r="R76" t="e">
        <f>AND(#REF!,"AAAAAH9/vxE=")</f>
        <v>#REF!</v>
      </c>
      <c r="S76" t="e">
        <f>AND(#REF!,"AAAAAH9/vxI=")</f>
        <v>#REF!</v>
      </c>
      <c r="T76" t="e">
        <f>AND(#REF!,"AAAAAH9/vxM=")</f>
        <v>#REF!</v>
      </c>
      <c r="U76" t="e">
        <f>AND(#REF!,"AAAAAH9/vxQ=")</f>
        <v>#REF!</v>
      </c>
      <c r="V76" t="e">
        <f>AND(#REF!,"AAAAAH9/vxU=")</f>
        <v>#REF!</v>
      </c>
      <c r="W76" t="e">
        <f>AND(#REF!,"AAAAAH9/vxY=")</f>
        <v>#REF!</v>
      </c>
      <c r="X76" t="e">
        <f>AND(#REF!,"AAAAAH9/vxc=")</f>
        <v>#REF!</v>
      </c>
      <c r="Y76" t="e">
        <f>AND(#REF!,"AAAAAH9/vxg=")</f>
        <v>#REF!</v>
      </c>
      <c r="Z76" t="e">
        <f>AND(#REF!,"AAAAAH9/vxk=")</f>
        <v>#REF!</v>
      </c>
      <c r="AA76" t="e">
        <f>AND(#REF!,"AAAAAH9/vxo=")</f>
        <v>#REF!</v>
      </c>
      <c r="AB76" t="e">
        <f>AND(#REF!,"AAAAAH9/vxs=")</f>
        <v>#REF!</v>
      </c>
      <c r="AC76" t="e">
        <f>AND(#REF!,"AAAAAH9/vxw=")</f>
        <v>#REF!</v>
      </c>
      <c r="AD76" t="e">
        <f>AND(#REF!,"AAAAAH9/vx0=")</f>
        <v>#REF!</v>
      </c>
      <c r="AE76" t="e">
        <f>AND(#REF!,"AAAAAH9/vx4=")</f>
        <v>#REF!</v>
      </c>
      <c r="AF76" t="e">
        <f>AND(#REF!,"AAAAAH9/vx8=")</f>
        <v>#REF!</v>
      </c>
      <c r="AG76" t="e">
        <f>AND(#REF!,"AAAAAH9/vyA=")</f>
        <v>#REF!</v>
      </c>
      <c r="AH76" t="e">
        <f>AND(#REF!,"AAAAAH9/vyE=")</f>
        <v>#REF!</v>
      </c>
      <c r="AI76" t="e">
        <f>AND(#REF!,"AAAAAH9/vyI=")</f>
        <v>#REF!</v>
      </c>
      <c r="AJ76" t="e">
        <f>AND(#REF!,"AAAAAH9/vyM=")</f>
        <v>#REF!</v>
      </c>
      <c r="AK76" t="e">
        <f>AND(#REF!,"AAAAAH9/vyQ=")</f>
        <v>#REF!</v>
      </c>
      <c r="AL76" t="e">
        <f>AND(#REF!,"AAAAAH9/vyU=")</f>
        <v>#REF!</v>
      </c>
      <c r="AM76" t="e">
        <f>AND(#REF!,"AAAAAH9/vyY=")</f>
        <v>#REF!</v>
      </c>
      <c r="AN76" t="e">
        <f>AND(#REF!,"AAAAAH9/vyc=")</f>
        <v>#REF!</v>
      </c>
      <c r="AO76" t="e">
        <f>AND(#REF!,"AAAAAH9/vyg=")</f>
        <v>#REF!</v>
      </c>
      <c r="AP76" t="e">
        <f>AND(#REF!,"AAAAAH9/vyk=")</f>
        <v>#REF!</v>
      </c>
      <c r="AQ76" t="e">
        <f>AND(#REF!,"AAAAAH9/vyo=")</f>
        <v>#REF!</v>
      </c>
      <c r="AR76" t="e">
        <f>AND(#REF!,"AAAAAH9/vys=")</f>
        <v>#REF!</v>
      </c>
      <c r="AS76" t="e">
        <f>AND(#REF!,"AAAAAH9/vyw=")</f>
        <v>#REF!</v>
      </c>
      <c r="AT76" t="e">
        <f>AND(#REF!,"AAAAAH9/vy0=")</f>
        <v>#REF!</v>
      </c>
      <c r="AU76" t="e">
        <f>AND(#REF!,"AAAAAH9/vy4=")</f>
        <v>#REF!</v>
      </c>
      <c r="AV76" t="e">
        <f>AND(#REF!,"AAAAAH9/vy8=")</f>
        <v>#REF!</v>
      </c>
      <c r="AW76" t="e">
        <f>AND(#REF!,"AAAAAH9/vzA=")</f>
        <v>#REF!</v>
      </c>
      <c r="AX76" t="e">
        <f>AND(#REF!,"AAAAAH9/vzE=")</f>
        <v>#REF!</v>
      </c>
      <c r="AY76" t="e">
        <f>AND(#REF!,"AAAAAH9/vzI=")</f>
        <v>#REF!</v>
      </c>
      <c r="AZ76" t="e">
        <f>AND(#REF!,"AAAAAH9/vzM=")</f>
        <v>#REF!</v>
      </c>
      <c r="BA76" t="e">
        <f>AND(#REF!,"AAAAAH9/vzQ=")</f>
        <v>#REF!</v>
      </c>
      <c r="BB76" t="e">
        <f>AND(#REF!,"AAAAAH9/vzU=")</f>
        <v>#REF!</v>
      </c>
      <c r="BC76" t="e">
        <f>AND(#REF!,"AAAAAH9/vzY=")</f>
        <v>#REF!</v>
      </c>
      <c r="BD76" t="e">
        <f>AND(#REF!,"AAAAAH9/vzc=")</f>
        <v>#REF!</v>
      </c>
      <c r="BE76" t="e">
        <f>AND(#REF!,"AAAAAH9/vzg=")</f>
        <v>#REF!</v>
      </c>
      <c r="BF76" t="e">
        <f>AND(#REF!,"AAAAAH9/vzk=")</f>
        <v>#REF!</v>
      </c>
      <c r="BG76" t="e">
        <f>AND(#REF!,"AAAAAH9/vzo=")</f>
        <v>#REF!</v>
      </c>
      <c r="BH76" t="e">
        <f>AND(#REF!,"AAAAAH9/vzs=")</f>
        <v>#REF!</v>
      </c>
      <c r="BI76" t="e">
        <f>AND(#REF!,"AAAAAH9/vzw=")</f>
        <v>#REF!</v>
      </c>
      <c r="BJ76" t="e">
        <f>AND(#REF!,"AAAAAH9/vz0=")</f>
        <v>#REF!</v>
      </c>
      <c r="BK76" t="e">
        <f>AND(#REF!,"AAAAAH9/vz4=")</f>
        <v>#REF!</v>
      </c>
      <c r="BL76" t="e">
        <f>AND(#REF!,"AAAAAH9/vz8=")</f>
        <v>#REF!</v>
      </c>
      <c r="BM76" t="e">
        <f>AND(#REF!,"AAAAAH9/v0A=")</f>
        <v>#REF!</v>
      </c>
      <c r="BN76" t="e">
        <f>AND(#REF!,"AAAAAH9/v0E=")</f>
        <v>#REF!</v>
      </c>
      <c r="BO76" t="e">
        <f>AND(#REF!,"AAAAAH9/v0I=")</f>
        <v>#REF!</v>
      </c>
      <c r="BP76" t="e">
        <f>AND(#REF!,"AAAAAH9/v0M=")</f>
        <v>#REF!</v>
      </c>
      <c r="BQ76" t="e">
        <f>AND(#REF!,"AAAAAH9/v0Q=")</f>
        <v>#REF!</v>
      </c>
      <c r="BR76" t="e">
        <f>AND(#REF!,"AAAAAH9/v0U=")</f>
        <v>#REF!</v>
      </c>
      <c r="BS76" t="e">
        <f>AND(#REF!,"AAAAAH9/v0Y=")</f>
        <v>#REF!</v>
      </c>
      <c r="BT76" t="e">
        <f>AND(#REF!,"AAAAAH9/v0c=")</f>
        <v>#REF!</v>
      </c>
      <c r="BU76" t="e">
        <f>AND(#REF!,"AAAAAH9/v0g=")</f>
        <v>#REF!</v>
      </c>
      <c r="BV76" t="e">
        <f>AND(#REF!,"AAAAAH9/v0k=")</f>
        <v>#REF!</v>
      </c>
      <c r="BW76" t="e">
        <f>AND(#REF!,"AAAAAH9/v0o=")</f>
        <v>#REF!</v>
      </c>
      <c r="BX76" t="e">
        <f>AND(#REF!,"AAAAAH9/v0s=")</f>
        <v>#REF!</v>
      </c>
      <c r="BY76" t="e">
        <f>AND(#REF!,"AAAAAH9/v0w=")</f>
        <v>#REF!</v>
      </c>
      <c r="BZ76" t="e">
        <f>AND(#REF!,"AAAAAH9/v00=")</f>
        <v>#REF!</v>
      </c>
      <c r="CA76" t="e">
        <f>AND(#REF!,"AAAAAH9/v04=")</f>
        <v>#REF!</v>
      </c>
      <c r="CB76" t="e">
        <f>AND(#REF!,"AAAAAH9/v08=")</f>
        <v>#REF!</v>
      </c>
      <c r="CC76" t="e">
        <f>AND(#REF!,"AAAAAH9/v1A=")</f>
        <v>#REF!</v>
      </c>
      <c r="CD76" t="e">
        <f>AND(#REF!,"AAAAAH9/v1E=")</f>
        <v>#REF!</v>
      </c>
      <c r="CE76" t="e">
        <f>AND(#REF!,"AAAAAH9/v1I=")</f>
        <v>#REF!</v>
      </c>
      <c r="CF76" t="e">
        <f>AND(#REF!,"AAAAAH9/v1M=")</f>
        <v>#REF!</v>
      </c>
      <c r="CG76" t="e">
        <f>AND(#REF!,"AAAAAH9/v1Q=")</f>
        <v>#REF!</v>
      </c>
      <c r="CH76" t="e">
        <f>AND(#REF!,"AAAAAH9/v1U=")</f>
        <v>#REF!</v>
      </c>
      <c r="CI76" t="e">
        <f>AND(#REF!,"AAAAAH9/v1Y=")</f>
        <v>#REF!</v>
      </c>
      <c r="CJ76" t="e">
        <f>AND(#REF!,"AAAAAH9/v1c=")</f>
        <v>#REF!</v>
      </c>
      <c r="CK76" t="e">
        <f>AND(#REF!,"AAAAAH9/v1g=")</f>
        <v>#REF!</v>
      </c>
      <c r="CL76" t="e">
        <f>AND(#REF!,"AAAAAH9/v1k=")</f>
        <v>#REF!</v>
      </c>
      <c r="CM76" t="e">
        <f>AND(#REF!,"AAAAAH9/v1o=")</f>
        <v>#REF!</v>
      </c>
      <c r="CN76" t="e">
        <f>AND(#REF!,"AAAAAH9/v1s=")</f>
        <v>#REF!</v>
      </c>
      <c r="CO76" t="e">
        <f>AND(#REF!,"AAAAAH9/v1w=")</f>
        <v>#REF!</v>
      </c>
      <c r="CP76" t="e">
        <f>AND(#REF!,"AAAAAH9/v10=")</f>
        <v>#REF!</v>
      </c>
      <c r="CQ76" t="e">
        <f>AND(#REF!,"AAAAAH9/v14=")</f>
        <v>#REF!</v>
      </c>
      <c r="CR76" t="e">
        <f>AND(#REF!,"AAAAAH9/v18=")</f>
        <v>#REF!</v>
      </c>
      <c r="CS76" t="e">
        <f>AND(#REF!,"AAAAAH9/v2A=")</f>
        <v>#REF!</v>
      </c>
      <c r="CT76" t="e">
        <f>AND(#REF!,"AAAAAH9/v2E=")</f>
        <v>#REF!</v>
      </c>
      <c r="CU76" t="e">
        <f>AND(#REF!,"AAAAAH9/v2I=")</f>
        <v>#REF!</v>
      </c>
      <c r="CV76" t="e">
        <f>AND(#REF!,"AAAAAH9/v2M=")</f>
        <v>#REF!</v>
      </c>
      <c r="CW76" t="e">
        <f>AND(#REF!,"AAAAAH9/v2Q=")</f>
        <v>#REF!</v>
      </c>
      <c r="CX76" t="e">
        <f>AND(#REF!,"AAAAAH9/v2U=")</f>
        <v>#REF!</v>
      </c>
      <c r="CY76" t="e">
        <f>AND(#REF!,"AAAAAH9/v2Y=")</f>
        <v>#REF!</v>
      </c>
      <c r="CZ76" t="e">
        <f>AND(#REF!,"AAAAAH9/v2c=")</f>
        <v>#REF!</v>
      </c>
      <c r="DA76" t="e">
        <f>AND(#REF!,"AAAAAH9/v2g=")</f>
        <v>#REF!</v>
      </c>
      <c r="DB76" t="e">
        <f>AND(#REF!,"AAAAAH9/v2k=")</f>
        <v>#REF!</v>
      </c>
      <c r="DC76" t="e">
        <f>AND(#REF!,"AAAAAH9/v2o=")</f>
        <v>#REF!</v>
      </c>
      <c r="DD76" t="e">
        <f>AND(#REF!,"AAAAAH9/v2s=")</f>
        <v>#REF!</v>
      </c>
      <c r="DE76" t="e">
        <f>AND(#REF!,"AAAAAH9/v2w=")</f>
        <v>#REF!</v>
      </c>
      <c r="DF76" t="e">
        <f>AND(#REF!,"AAAAAH9/v20=")</f>
        <v>#REF!</v>
      </c>
      <c r="DG76" t="e">
        <f>AND(#REF!,"AAAAAH9/v24=")</f>
        <v>#REF!</v>
      </c>
      <c r="DH76" t="e">
        <f>AND(#REF!,"AAAAAH9/v28=")</f>
        <v>#REF!</v>
      </c>
      <c r="DI76" t="e">
        <f>AND(#REF!,"AAAAAH9/v3A=")</f>
        <v>#REF!</v>
      </c>
      <c r="DJ76" t="e">
        <f>AND(#REF!,"AAAAAH9/v3E=")</f>
        <v>#REF!</v>
      </c>
      <c r="DK76" t="e">
        <f>AND(#REF!,"AAAAAH9/v3I=")</f>
        <v>#REF!</v>
      </c>
      <c r="DL76" t="e">
        <f>AND(#REF!,"AAAAAH9/v3M=")</f>
        <v>#REF!</v>
      </c>
      <c r="DM76" t="e">
        <f>AND(#REF!,"AAAAAH9/v3Q=")</f>
        <v>#REF!</v>
      </c>
      <c r="DN76" t="e">
        <f>AND(#REF!,"AAAAAH9/v3U=")</f>
        <v>#REF!</v>
      </c>
      <c r="DO76" t="e">
        <f>AND(#REF!,"AAAAAH9/v3Y=")</f>
        <v>#REF!</v>
      </c>
      <c r="DP76" t="e">
        <f>AND(#REF!,"AAAAAH9/v3c=")</f>
        <v>#REF!</v>
      </c>
      <c r="DQ76" t="e">
        <f>AND(#REF!,"AAAAAH9/v3g=")</f>
        <v>#REF!</v>
      </c>
      <c r="DR76" t="e">
        <f>AND(#REF!,"AAAAAH9/v3k=")</f>
        <v>#REF!</v>
      </c>
      <c r="DS76" t="e">
        <f>AND(#REF!,"AAAAAH9/v3o=")</f>
        <v>#REF!</v>
      </c>
      <c r="DT76" t="e">
        <f>AND(#REF!,"AAAAAH9/v3s=")</f>
        <v>#REF!</v>
      </c>
      <c r="DU76" t="e">
        <f>AND(#REF!,"AAAAAH9/v3w=")</f>
        <v>#REF!</v>
      </c>
      <c r="DV76" t="e">
        <f>AND(#REF!,"AAAAAH9/v30=")</f>
        <v>#REF!</v>
      </c>
      <c r="DW76" t="e">
        <f>AND(#REF!,"AAAAAH9/v34=")</f>
        <v>#REF!</v>
      </c>
      <c r="DX76" t="e">
        <f>AND(#REF!,"AAAAAH9/v38=")</f>
        <v>#REF!</v>
      </c>
      <c r="DY76" t="e">
        <f>AND(#REF!,"AAAAAH9/v4A=")</f>
        <v>#REF!</v>
      </c>
      <c r="DZ76" t="e">
        <f>AND(#REF!,"AAAAAH9/v4E=")</f>
        <v>#REF!</v>
      </c>
      <c r="EA76" t="e">
        <f>AND(#REF!,"AAAAAH9/v4I=")</f>
        <v>#REF!</v>
      </c>
      <c r="EB76" t="e">
        <f>AND(#REF!,"AAAAAH9/v4M=")</f>
        <v>#REF!</v>
      </c>
      <c r="EC76" t="e">
        <f>AND(#REF!,"AAAAAH9/v4Q=")</f>
        <v>#REF!</v>
      </c>
      <c r="ED76" t="e">
        <f>AND(#REF!,"AAAAAH9/v4U=")</f>
        <v>#REF!</v>
      </c>
      <c r="EE76" t="e">
        <f>AND(#REF!,"AAAAAH9/v4Y=")</f>
        <v>#REF!</v>
      </c>
      <c r="EF76" t="e">
        <f>AND(#REF!,"AAAAAH9/v4c=")</f>
        <v>#REF!</v>
      </c>
      <c r="EG76" t="e">
        <f>AND(#REF!,"AAAAAH9/v4g=")</f>
        <v>#REF!</v>
      </c>
      <c r="EH76" t="e">
        <f>AND(#REF!,"AAAAAH9/v4k=")</f>
        <v>#REF!</v>
      </c>
      <c r="EI76" t="e">
        <f>AND(#REF!,"AAAAAH9/v4o=")</f>
        <v>#REF!</v>
      </c>
      <c r="EJ76" t="e">
        <f>AND(#REF!,"AAAAAH9/v4s=")</f>
        <v>#REF!</v>
      </c>
      <c r="EK76" t="e">
        <f>AND(#REF!,"AAAAAH9/v4w=")</f>
        <v>#REF!</v>
      </c>
      <c r="EL76" t="e">
        <f>AND(#REF!,"AAAAAH9/v40=")</f>
        <v>#REF!</v>
      </c>
      <c r="EM76" t="e">
        <f>AND(#REF!,"AAAAAH9/v44=")</f>
        <v>#REF!</v>
      </c>
      <c r="EN76" t="e">
        <f>AND(#REF!,"AAAAAH9/v48=")</f>
        <v>#REF!</v>
      </c>
      <c r="EO76" t="e">
        <f>AND(#REF!,"AAAAAH9/v5A=")</f>
        <v>#REF!</v>
      </c>
      <c r="EP76" t="e">
        <f>AND(#REF!,"AAAAAH9/v5E=")</f>
        <v>#REF!</v>
      </c>
      <c r="EQ76" t="e">
        <f>AND(#REF!,"AAAAAH9/v5I=")</f>
        <v>#REF!</v>
      </c>
      <c r="ER76" t="e">
        <f>AND(#REF!,"AAAAAH9/v5M=")</f>
        <v>#REF!</v>
      </c>
      <c r="ES76" t="e">
        <f>AND(#REF!,"AAAAAH9/v5Q=")</f>
        <v>#REF!</v>
      </c>
      <c r="ET76" t="e">
        <f>AND(#REF!,"AAAAAH9/v5U=")</f>
        <v>#REF!</v>
      </c>
      <c r="EU76" t="e">
        <f>AND(#REF!,"AAAAAH9/v5Y=")</f>
        <v>#REF!</v>
      </c>
      <c r="EV76" t="e">
        <f>AND(#REF!,"AAAAAH9/v5c=")</f>
        <v>#REF!</v>
      </c>
      <c r="EW76" t="e">
        <f>AND(#REF!,"AAAAAH9/v5g=")</f>
        <v>#REF!</v>
      </c>
      <c r="EX76" t="e">
        <f>AND(#REF!,"AAAAAH9/v5k=")</f>
        <v>#REF!</v>
      </c>
      <c r="EY76" t="e">
        <f>AND(#REF!,"AAAAAH9/v5o=")</f>
        <v>#REF!</v>
      </c>
      <c r="EZ76" t="e">
        <f>AND(#REF!,"AAAAAH9/v5s=")</f>
        <v>#REF!</v>
      </c>
      <c r="FA76" t="e">
        <f>AND(#REF!,"AAAAAH9/v5w=")</f>
        <v>#REF!</v>
      </c>
      <c r="FB76" t="e">
        <f>AND(#REF!,"AAAAAH9/v50=")</f>
        <v>#REF!</v>
      </c>
      <c r="FC76" t="e">
        <f>AND(#REF!,"AAAAAH9/v54=")</f>
        <v>#REF!</v>
      </c>
      <c r="FD76" t="e">
        <f>AND(#REF!,"AAAAAH9/v58=")</f>
        <v>#REF!</v>
      </c>
      <c r="FE76" t="e">
        <f>AND(#REF!,"AAAAAH9/v6A=")</f>
        <v>#REF!</v>
      </c>
      <c r="FF76" t="e">
        <f>AND(#REF!,"AAAAAH9/v6E=")</f>
        <v>#REF!</v>
      </c>
      <c r="FG76" t="e">
        <f>AND(#REF!,"AAAAAH9/v6I=")</f>
        <v>#REF!</v>
      </c>
      <c r="FH76" t="e">
        <f>AND(#REF!,"AAAAAH9/v6M=")</f>
        <v>#REF!</v>
      </c>
      <c r="FI76" t="e">
        <f>AND(#REF!,"AAAAAH9/v6Q=")</f>
        <v>#REF!</v>
      </c>
      <c r="FJ76" t="e">
        <f>AND(#REF!,"AAAAAH9/v6U=")</f>
        <v>#REF!</v>
      </c>
      <c r="FK76" t="e">
        <f>AND(#REF!,"AAAAAH9/v6Y=")</f>
        <v>#REF!</v>
      </c>
      <c r="FL76" t="e">
        <f>AND(#REF!,"AAAAAH9/v6c=")</f>
        <v>#REF!</v>
      </c>
      <c r="FM76" t="e">
        <f>AND(#REF!,"AAAAAH9/v6g=")</f>
        <v>#REF!</v>
      </c>
      <c r="FN76" t="e">
        <f>AND(#REF!,"AAAAAH9/v6k=")</f>
        <v>#REF!</v>
      </c>
      <c r="FO76" t="e">
        <f>AND(#REF!,"AAAAAH9/v6o=")</f>
        <v>#REF!</v>
      </c>
      <c r="FP76" t="e">
        <f>AND(#REF!,"AAAAAH9/v6s=")</f>
        <v>#REF!</v>
      </c>
      <c r="FQ76" t="e">
        <f>AND(#REF!,"AAAAAH9/v6w=")</f>
        <v>#REF!</v>
      </c>
      <c r="FR76" t="e">
        <f>AND(#REF!,"AAAAAH9/v60=")</f>
        <v>#REF!</v>
      </c>
      <c r="FS76" t="e">
        <f>AND(#REF!,"AAAAAH9/v64=")</f>
        <v>#REF!</v>
      </c>
      <c r="FT76" t="e">
        <f>AND(#REF!,"AAAAAH9/v68=")</f>
        <v>#REF!</v>
      </c>
      <c r="FU76" t="e">
        <f>AND(#REF!,"AAAAAH9/v7A=")</f>
        <v>#REF!</v>
      </c>
      <c r="FV76" t="e">
        <f>AND(#REF!,"AAAAAH9/v7E=")</f>
        <v>#REF!</v>
      </c>
      <c r="FW76" t="e">
        <f>AND(#REF!,"AAAAAH9/v7I=")</f>
        <v>#REF!</v>
      </c>
      <c r="FX76" t="e">
        <f>AND(#REF!,"AAAAAH9/v7M=")</f>
        <v>#REF!</v>
      </c>
      <c r="FY76" t="e">
        <f>AND(#REF!,"AAAAAH9/v7Q=")</f>
        <v>#REF!</v>
      </c>
      <c r="FZ76" t="e">
        <f>AND(#REF!,"AAAAAH9/v7U=")</f>
        <v>#REF!</v>
      </c>
      <c r="GA76" t="e">
        <f>AND(#REF!,"AAAAAH9/v7Y=")</f>
        <v>#REF!</v>
      </c>
      <c r="GB76" t="e">
        <f>AND(#REF!,"AAAAAH9/v7c=")</f>
        <v>#REF!</v>
      </c>
      <c r="GC76" t="e">
        <f>IF(#REF!,"AAAAAH9/v7g=",0)</f>
        <v>#REF!</v>
      </c>
      <c r="GD76" t="e">
        <f>AND(#REF!,"AAAAAH9/v7k=")</f>
        <v>#REF!</v>
      </c>
      <c r="GE76" t="e">
        <f>AND(#REF!,"AAAAAH9/v7o=")</f>
        <v>#REF!</v>
      </c>
      <c r="GF76" t="e">
        <f>AND(#REF!,"AAAAAH9/v7s=")</f>
        <v>#REF!</v>
      </c>
      <c r="GG76" t="e">
        <f>AND(#REF!,"AAAAAH9/v7w=")</f>
        <v>#REF!</v>
      </c>
      <c r="GH76" t="e">
        <f>AND(#REF!,"AAAAAH9/v70=")</f>
        <v>#REF!</v>
      </c>
      <c r="GI76" t="e">
        <f>AND(#REF!,"AAAAAH9/v74=")</f>
        <v>#REF!</v>
      </c>
      <c r="GJ76" t="e">
        <f>AND(#REF!,"AAAAAH9/v78=")</f>
        <v>#REF!</v>
      </c>
      <c r="GK76" t="e">
        <f>AND(#REF!,"AAAAAH9/v8A=")</f>
        <v>#REF!</v>
      </c>
      <c r="GL76" t="e">
        <f>AND(#REF!,"AAAAAH9/v8E=")</f>
        <v>#REF!</v>
      </c>
      <c r="GM76" t="e">
        <f>AND(#REF!,"AAAAAH9/v8I=")</f>
        <v>#REF!</v>
      </c>
      <c r="GN76" t="e">
        <f>AND(#REF!,"AAAAAH9/v8M=")</f>
        <v>#REF!</v>
      </c>
      <c r="GO76" t="e">
        <f>AND(#REF!,"AAAAAH9/v8Q=")</f>
        <v>#REF!</v>
      </c>
      <c r="GP76" t="e">
        <f>AND(#REF!,"AAAAAH9/v8U=")</f>
        <v>#REF!</v>
      </c>
      <c r="GQ76" t="e">
        <f>AND(#REF!,"AAAAAH9/v8Y=")</f>
        <v>#REF!</v>
      </c>
      <c r="GR76" t="e">
        <f>AND(#REF!,"AAAAAH9/v8c=")</f>
        <v>#REF!</v>
      </c>
      <c r="GS76" t="e">
        <f>AND(#REF!,"AAAAAH9/v8g=")</f>
        <v>#REF!</v>
      </c>
      <c r="GT76" t="e">
        <f>AND(#REF!,"AAAAAH9/v8k=")</f>
        <v>#REF!</v>
      </c>
      <c r="GU76" t="e">
        <f>AND(#REF!,"AAAAAH9/v8o=")</f>
        <v>#REF!</v>
      </c>
      <c r="GV76" t="e">
        <f>AND(#REF!,"AAAAAH9/v8s=")</f>
        <v>#REF!</v>
      </c>
      <c r="GW76" t="e">
        <f>AND(#REF!,"AAAAAH9/v8w=")</f>
        <v>#REF!</v>
      </c>
      <c r="GX76" t="e">
        <f>AND(#REF!,"AAAAAH9/v80=")</f>
        <v>#REF!</v>
      </c>
      <c r="GY76" t="e">
        <f>AND(#REF!,"AAAAAH9/v84=")</f>
        <v>#REF!</v>
      </c>
      <c r="GZ76" t="e">
        <f>AND(#REF!,"AAAAAH9/v88=")</f>
        <v>#REF!</v>
      </c>
      <c r="HA76" t="e">
        <f>AND(#REF!,"AAAAAH9/v9A=")</f>
        <v>#REF!</v>
      </c>
      <c r="HB76" t="e">
        <f>AND(#REF!,"AAAAAH9/v9E=")</f>
        <v>#REF!</v>
      </c>
      <c r="HC76" t="e">
        <f>AND(#REF!,"AAAAAH9/v9I=")</f>
        <v>#REF!</v>
      </c>
      <c r="HD76" t="e">
        <f>AND(#REF!,"AAAAAH9/v9M=")</f>
        <v>#REF!</v>
      </c>
      <c r="HE76" t="e">
        <f>AND(#REF!,"AAAAAH9/v9Q=")</f>
        <v>#REF!</v>
      </c>
      <c r="HF76" t="e">
        <f>AND(#REF!,"AAAAAH9/v9U=")</f>
        <v>#REF!</v>
      </c>
      <c r="HG76" t="e">
        <f>AND(#REF!,"AAAAAH9/v9Y=")</f>
        <v>#REF!</v>
      </c>
      <c r="HH76" t="e">
        <f>AND(#REF!,"AAAAAH9/v9c=")</f>
        <v>#REF!</v>
      </c>
      <c r="HI76" t="e">
        <f>AND(#REF!,"AAAAAH9/v9g=")</f>
        <v>#REF!</v>
      </c>
      <c r="HJ76" t="e">
        <f>AND(#REF!,"AAAAAH9/v9k=")</f>
        <v>#REF!</v>
      </c>
      <c r="HK76" t="e">
        <f>AND(#REF!,"AAAAAH9/v9o=")</f>
        <v>#REF!</v>
      </c>
      <c r="HL76" t="e">
        <f>AND(#REF!,"AAAAAH9/v9s=")</f>
        <v>#REF!</v>
      </c>
      <c r="HM76" t="e">
        <f>AND(#REF!,"AAAAAH9/v9w=")</f>
        <v>#REF!</v>
      </c>
      <c r="HN76" t="e">
        <f>AND(#REF!,"AAAAAH9/v90=")</f>
        <v>#REF!</v>
      </c>
      <c r="HO76" t="e">
        <f>AND(#REF!,"AAAAAH9/v94=")</f>
        <v>#REF!</v>
      </c>
      <c r="HP76" t="e">
        <f>AND(#REF!,"AAAAAH9/v98=")</f>
        <v>#REF!</v>
      </c>
      <c r="HQ76" t="e">
        <f>AND(#REF!,"AAAAAH9/v+A=")</f>
        <v>#REF!</v>
      </c>
      <c r="HR76" t="e">
        <f>AND(#REF!,"AAAAAH9/v+E=")</f>
        <v>#REF!</v>
      </c>
      <c r="HS76" t="e">
        <f>AND(#REF!,"AAAAAH9/v+I=")</f>
        <v>#REF!</v>
      </c>
      <c r="HT76" t="e">
        <f>AND(#REF!,"AAAAAH9/v+M=")</f>
        <v>#REF!</v>
      </c>
      <c r="HU76" t="e">
        <f>AND(#REF!,"AAAAAH9/v+Q=")</f>
        <v>#REF!</v>
      </c>
      <c r="HV76" t="e">
        <f>AND(#REF!,"AAAAAH9/v+U=")</f>
        <v>#REF!</v>
      </c>
      <c r="HW76" t="e">
        <f>AND(#REF!,"AAAAAH9/v+Y=")</f>
        <v>#REF!</v>
      </c>
      <c r="HX76" t="e">
        <f>AND(#REF!,"AAAAAH9/v+c=")</f>
        <v>#REF!</v>
      </c>
      <c r="HY76" t="e">
        <f>AND(#REF!,"AAAAAH9/v+g=")</f>
        <v>#REF!</v>
      </c>
      <c r="HZ76" t="e">
        <f>AND(#REF!,"AAAAAH9/v+k=")</f>
        <v>#REF!</v>
      </c>
      <c r="IA76" t="e">
        <f>AND(#REF!,"AAAAAH9/v+o=")</f>
        <v>#REF!</v>
      </c>
      <c r="IB76" t="e">
        <f>AND(#REF!,"AAAAAH9/v+s=")</f>
        <v>#REF!</v>
      </c>
      <c r="IC76" t="e">
        <f>AND(#REF!,"AAAAAH9/v+w=")</f>
        <v>#REF!</v>
      </c>
      <c r="ID76" t="e">
        <f>AND(#REF!,"AAAAAH9/v+0=")</f>
        <v>#REF!</v>
      </c>
      <c r="IE76" t="e">
        <f>AND(#REF!,"AAAAAH9/v+4=")</f>
        <v>#REF!</v>
      </c>
      <c r="IF76" t="e">
        <f>AND(#REF!,"AAAAAH9/v+8=")</f>
        <v>#REF!</v>
      </c>
      <c r="IG76" t="e">
        <f>AND(#REF!,"AAAAAH9/v/A=")</f>
        <v>#REF!</v>
      </c>
      <c r="IH76" t="e">
        <f>AND(#REF!,"AAAAAH9/v/E=")</f>
        <v>#REF!</v>
      </c>
      <c r="II76" t="e">
        <f>AND(#REF!,"AAAAAH9/v/I=")</f>
        <v>#REF!</v>
      </c>
      <c r="IJ76" t="e">
        <f>AND(#REF!,"AAAAAH9/v/M=")</f>
        <v>#REF!</v>
      </c>
      <c r="IK76" t="e">
        <f>AND(#REF!,"AAAAAH9/v/Q=")</f>
        <v>#REF!</v>
      </c>
      <c r="IL76" t="e">
        <f>AND(#REF!,"AAAAAH9/v/U=")</f>
        <v>#REF!</v>
      </c>
      <c r="IM76" t="e">
        <f>AND(#REF!,"AAAAAH9/v/Y=")</f>
        <v>#REF!</v>
      </c>
      <c r="IN76" t="e">
        <f>AND(#REF!,"AAAAAH9/v/c=")</f>
        <v>#REF!</v>
      </c>
      <c r="IO76" t="e">
        <f>AND(#REF!,"AAAAAH9/v/g=")</f>
        <v>#REF!</v>
      </c>
      <c r="IP76" t="e">
        <f>AND(#REF!,"AAAAAH9/v/k=")</f>
        <v>#REF!</v>
      </c>
      <c r="IQ76" t="e">
        <f>AND(#REF!,"AAAAAH9/v/o=")</f>
        <v>#REF!</v>
      </c>
      <c r="IR76" t="e">
        <f>AND(#REF!,"AAAAAH9/v/s=")</f>
        <v>#REF!</v>
      </c>
      <c r="IS76" t="e">
        <f>AND(#REF!,"AAAAAH9/v/w=")</f>
        <v>#REF!</v>
      </c>
      <c r="IT76" t="e">
        <f>AND(#REF!,"AAAAAH9/v/0=")</f>
        <v>#REF!</v>
      </c>
      <c r="IU76" t="e">
        <f>AND(#REF!,"AAAAAH9/v/4=")</f>
        <v>#REF!</v>
      </c>
      <c r="IV76" t="e">
        <f>AND(#REF!,"AAAAAH9/v/8=")</f>
        <v>#REF!</v>
      </c>
    </row>
    <row r="77" spans="1:256" x14ac:dyDescent="0.2">
      <c r="A77" t="e">
        <f>AND(#REF!,"AAAAAG4fDwA=")</f>
        <v>#REF!</v>
      </c>
      <c r="B77" t="e">
        <f>AND(#REF!,"AAAAAG4fDwE=")</f>
        <v>#REF!</v>
      </c>
      <c r="C77" t="e">
        <f>AND(#REF!,"AAAAAG4fDwI=")</f>
        <v>#REF!</v>
      </c>
      <c r="D77" t="e">
        <f>AND(#REF!,"AAAAAG4fDwM=")</f>
        <v>#REF!</v>
      </c>
      <c r="E77" t="e">
        <f>AND(#REF!,"AAAAAG4fDwQ=")</f>
        <v>#REF!</v>
      </c>
      <c r="F77" t="e">
        <f>AND(#REF!,"AAAAAG4fDwU=")</f>
        <v>#REF!</v>
      </c>
      <c r="G77" t="e">
        <f>AND(#REF!,"AAAAAG4fDwY=")</f>
        <v>#REF!</v>
      </c>
      <c r="H77" t="e">
        <f>AND(#REF!,"AAAAAG4fDwc=")</f>
        <v>#REF!</v>
      </c>
      <c r="I77" t="e">
        <f>AND(#REF!,"AAAAAG4fDwg=")</f>
        <v>#REF!</v>
      </c>
      <c r="J77" t="e">
        <f>AND(#REF!,"AAAAAG4fDwk=")</f>
        <v>#REF!</v>
      </c>
      <c r="K77" t="e">
        <f>AND(#REF!,"AAAAAG4fDwo=")</f>
        <v>#REF!</v>
      </c>
      <c r="L77" t="e">
        <f>AND(#REF!,"AAAAAG4fDws=")</f>
        <v>#REF!</v>
      </c>
      <c r="M77" t="e">
        <f>AND(#REF!,"AAAAAG4fDww=")</f>
        <v>#REF!</v>
      </c>
      <c r="N77" t="e">
        <f>AND(#REF!,"AAAAAG4fDw0=")</f>
        <v>#REF!</v>
      </c>
      <c r="O77" t="e">
        <f>AND(#REF!,"AAAAAG4fDw4=")</f>
        <v>#REF!</v>
      </c>
      <c r="P77" t="e">
        <f>AND(#REF!,"AAAAAG4fDw8=")</f>
        <v>#REF!</v>
      </c>
      <c r="Q77" t="e">
        <f>AND(#REF!,"AAAAAG4fDxA=")</f>
        <v>#REF!</v>
      </c>
      <c r="R77" t="e">
        <f>AND(#REF!,"AAAAAG4fDxE=")</f>
        <v>#REF!</v>
      </c>
      <c r="S77" t="e">
        <f>AND(#REF!,"AAAAAG4fDxI=")</f>
        <v>#REF!</v>
      </c>
      <c r="T77" t="e">
        <f>AND(#REF!,"AAAAAG4fDxM=")</f>
        <v>#REF!</v>
      </c>
      <c r="U77" t="e">
        <f>AND(#REF!,"AAAAAG4fDxQ=")</f>
        <v>#REF!</v>
      </c>
      <c r="V77" t="e">
        <f>AND(#REF!,"AAAAAG4fDxU=")</f>
        <v>#REF!</v>
      </c>
      <c r="W77" t="e">
        <f>AND(#REF!,"AAAAAG4fDxY=")</f>
        <v>#REF!</v>
      </c>
      <c r="X77" t="e">
        <f>AND(#REF!,"AAAAAG4fDxc=")</f>
        <v>#REF!</v>
      </c>
      <c r="Y77" t="e">
        <f>AND(#REF!,"AAAAAG4fDxg=")</f>
        <v>#REF!</v>
      </c>
      <c r="Z77" t="e">
        <f>AND(#REF!,"AAAAAG4fDxk=")</f>
        <v>#REF!</v>
      </c>
      <c r="AA77" t="e">
        <f>AND(#REF!,"AAAAAG4fDxo=")</f>
        <v>#REF!</v>
      </c>
      <c r="AB77" t="e">
        <f>AND(#REF!,"AAAAAG4fDxs=")</f>
        <v>#REF!</v>
      </c>
      <c r="AC77" t="e">
        <f>AND(#REF!,"AAAAAG4fDxw=")</f>
        <v>#REF!</v>
      </c>
      <c r="AD77" t="e">
        <f>AND(#REF!,"AAAAAG4fDx0=")</f>
        <v>#REF!</v>
      </c>
      <c r="AE77" t="e">
        <f>AND(#REF!,"AAAAAG4fDx4=")</f>
        <v>#REF!</v>
      </c>
      <c r="AF77" t="e">
        <f>AND(#REF!,"AAAAAG4fDx8=")</f>
        <v>#REF!</v>
      </c>
      <c r="AG77" t="e">
        <f>AND(#REF!,"AAAAAG4fDyA=")</f>
        <v>#REF!</v>
      </c>
      <c r="AH77" t="e">
        <f>AND(#REF!,"AAAAAG4fDyE=")</f>
        <v>#REF!</v>
      </c>
      <c r="AI77" t="e">
        <f>AND(#REF!,"AAAAAG4fDyI=")</f>
        <v>#REF!</v>
      </c>
      <c r="AJ77" t="e">
        <f>AND(#REF!,"AAAAAG4fDyM=")</f>
        <v>#REF!</v>
      </c>
      <c r="AK77" t="e">
        <f>AND(#REF!,"AAAAAG4fDyQ=")</f>
        <v>#REF!</v>
      </c>
      <c r="AL77" t="e">
        <f>AND(#REF!,"AAAAAG4fDyU=")</f>
        <v>#REF!</v>
      </c>
      <c r="AM77" t="e">
        <f>AND(#REF!,"AAAAAG4fDyY=")</f>
        <v>#REF!</v>
      </c>
      <c r="AN77" t="e">
        <f>AND(#REF!,"AAAAAG4fDyc=")</f>
        <v>#REF!</v>
      </c>
      <c r="AO77" t="e">
        <f>AND(#REF!,"AAAAAG4fDyg=")</f>
        <v>#REF!</v>
      </c>
      <c r="AP77" t="e">
        <f>AND(#REF!,"AAAAAG4fDyk=")</f>
        <v>#REF!</v>
      </c>
      <c r="AQ77" t="e">
        <f>AND(#REF!,"AAAAAG4fDyo=")</f>
        <v>#REF!</v>
      </c>
      <c r="AR77" t="e">
        <f>AND(#REF!,"AAAAAG4fDys=")</f>
        <v>#REF!</v>
      </c>
      <c r="AS77" t="e">
        <f>AND(#REF!,"AAAAAG4fDyw=")</f>
        <v>#REF!</v>
      </c>
      <c r="AT77" t="e">
        <f>AND(#REF!,"AAAAAG4fDy0=")</f>
        <v>#REF!</v>
      </c>
      <c r="AU77" t="e">
        <f>AND(#REF!,"AAAAAG4fDy4=")</f>
        <v>#REF!</v>
      </c>
      <c r="AV77" t="e">
        <f>AND(#REF!,"AAAAAG4fDy8=")</f>
        <v>#REF!</v>
      </c>
      <c r="AW77" t="e">
        <f>AND(#REF!,"AAAAAG4fDzA=")</f>
        <v>#REF!</v>
      </c>
      <c r="AX77" t="e">
        <f>AND(#REF!,"AAAAAG4fDzE=")</f>
        <v>#REF!</v>
      </c>
      <c r="AY77" t="e">
        <f>AND(#REF!,"AAAAAG4fDzI=")</f>
        <v>#REF!</v>
      </c>
      <c r="AZ77" t="e">
        <f>AND(#REF!,"AAAAAG4fDzM=")</f>
        <v>#REF!</v>
      </c>
      <c r="BA77" t="e">
        <f>AND(#REF!,"AAAAAG4fDzQ=")</f>
        <v>#REF!</v>
      </c>
      <c r="BB77" t="e">
        <f>AND(#REF!,"AAAAAG4fDzU=")</f>
        <v>#REF!</v>
      </c>
      <c r="BC77" t="e">
        <f>AND(#REF!,"AAAAAG4fDzY=")</f>
        <v>#REF!</v>
      </c>
      <c r="BD77" t="e">
        <f>AND(#REF!,"AAAAAG4fDzc=")</f>
        <v>#REF!</v>
      </c>
      <c r="BE77" t="e">
        <f>AND(#REF!,"AAAAAG4fDzg=")</f>
        <v>#REF!</v>
      </c>
      <c r="BF77" t="e">
        <f>AND(#REF!,"AAAAAG4fDzk=")</f>
        <v>#REF!</v>
      </c>
      <c r="BG77" t="e">
        <f>AND(#REF!,"AAAAAG4fDzo=")</f>
        <v>#REF!</v>
      </c>
      <c r="BH77" t="e">
        <f>AND(#REF!,"AAAAAG4fDzs=")</f>
        <v>#REF!</v>
      </c>
      <c r="BI77" t="e">
        <f>AND(#REF!,"AAAAAG4fDzw=")</f>
        <v>#REF!</v>
      </c>
      <c r="BJ77" t="e">
        <f>AND(#REF!,"AAAAAG4fDz0=")</f>
        <v>#REF!</v>
      </c>
      <c r="BK77" t="e">
        <f>AND(#REF!,"AAAAAG4fDz4=")</f>
        <v>#REF!</v>
      </c>
      <c r="BL77" t="e">
        <f>AND(#REF!,"AAAAAG4fDz8=")</f>
        <v>#REF!</v>
      </c>
      <c r="BM77" t="e">
        <f>AND(#REF!,"AAAAAG4fD0A=")</f>
        <v>#REF!</v>
      </c>
      <c r="BN77" t="e">
        <f>AND(#REF!,"AAAAAG4fD0E=")</f>
        <v>#REF!</v>
      </c>
      <c r="BO77" t="e">
        <f>AND(#REF!,"AAAAAG4fD0I=")</f>
        <v>#REF!</v>
      </c>
      <c r="BP77" t="e">
        <f>AND(#REF!,"AAAAAG4fD0M=")</f>
        <v>#REF!</v>
      </c>
      <c r="BQ77" t="e">
        <f>AND(#REF!,"AAAAAG4fD0Q=")</f>
        <v>#REF!</v>
      </c>
      <c r="BR77" t="e">
        <f>AND(#REF!,"AAAAAG4fD0U=")</f>
        <v>#REF!</v>
      </c>
      <c r="BS77" t="e">
        <f>AND(#REF!,"AAAAAG4fD0Y=")</f>
        <v>#REF!</v>
      </c>
      <c r="BT77" t="e">
        <f>AND(#REF!,"AAAAAG4fD0c=")</f>
        <v>#REF!</v>
      </c>
      <c r="BU77" t="e">
        <f>AND(#REF!,"AAAAAG4fD0g=")</f>
        <v>#REF!</v>
      </c>
      <c r="BV77" t="e">
        <f>AND(#REF!,"AAAAAG4fD0k=")</f>
        <v>#REF!</v>
      </c>
      <c r="BW77" t="e">
        <f>AND(#REF!,"AAAAAG4fD0o=")</f>
        <v>#REF!</v>
      </c>
      <c r="BX77" t="e">
        <f>AND(#REF!,"AAAAAG4fD0s=")</f>
        <v>#REF!</v>
      </c>
      <c r="BY77" t="e">
        <f>AND(#REF!,"AAAAAG4fD0w=")</f>
        <v>#REF!</v>
      </c>
      <c r="BZ77" t="e">
        <f>AND(#REF!,"AAAAAG4fD00=")</f>
        <v>#REF!</v>
      </c>
      <c r="CA77" t="e">
        <f>AND(#REF!,"AAAAAG4fD04=")</f>
        <v>#REF!</v>
      </c>
      <c r="CB77" t="e">
        <f>AND(#REF!,"AAAAAG4fD08=")</f>
        <v>#REF!</v>
      </c>
      <c r="CC77" t="e">
        <f>AND(#REF!,"AAAAAG4fD1A=")</f>
        <v>#REF!</v>
      </c>
      <c r="CD77" t="e">
        <f>AND(#REF!,"AAAAAG4fD1E=")</f>
        <v>#REF!</v>
      </c>
      <c r="CE77" t="e">
        <f>AND(#REF!,"AAAAAG4fD1I=")</f>
        <v>#REF!</v>
      </c>
      <c r="CF77" t="e">
        <f>AND(#REF!,"AAAAAG4fD1M=")</f>
        <v>#REF!</v>
      </c>
      <c r="CG77" t="e">
        <f>AND(#REF!,"AAAAAG4fD1Q=")</f>
        <v>#REF!</v>
      </c>
      <c r="CH77" t="e">
        <f>AND(#REF!,"AAAAAG4fD1U=")</f>
        <v>#REF!</v>
      </c>
      <c r="CI77" t="e">
        <f>AND(#REF!,"AAAAAG4fD1Y=")</f>
        <v>#REF!</v>
      </c>
      <c r="CJ77" t="e">
        <f>AND(#REF!,"AAAAAG4fD1c=")</f>
        <v>#REF!</v>
      </c>
      <c r="CK77" t="e">
        <f>AND(#REF!,"AAAAAG4fD1g=")</f>
        <v>#REF!</v>
      </c>
      <c r="CL77" t="e">
        <f>AND(#REF!,"AAAAAG4fD1k=")</f>
        <v>#REF!</v>
      </c>
      <c r="CM77" t="e">
        <f>AND(#REF!,"AAAAAG4fD1o=")</f>
        <v>#REF!</v>
      </c>
      <c r="CN77" t="e">
        <f>AND(#REF!,"AAAAAG4fD1s=")</f>
        <v>#REF!</v>
      </c>
      <c r="CO77" t="e">
        <f>AND(#REF!,"AAAAAG4fD1w=")</f>
        <v>#REF!</v>
      </c>
      <c r="CP77" t="e">
        <f>AND(#REF!,"AAAAAG4fD10=")</f>
        <v>#REF!</v>
      </c>
      <c r="CQ77" t="e">
        <f>AND(#REF!,"AAAAAG4fD14=")</f>
        <v>#REF!</v>
      </c>
      <c r="CR77" t="e">
        <f>AND(#REF!,"AAAAAG4fD18=")</f>
        <v>#REF!</v>
      </c>
      <c r="CS77" t="e">
        <f>AND(#REF!,"AAAAAG4fD2A=")</f>
        <v>#REF!</v>
      </c>
      <c r="CT77" t="e">
        <f>AND(#REF!,"AAAAAG4fD2E=")</f>
        <v>#REF!</v>
      </c>
      <c r="CU77" t="e">
        <f>AND(#REF!,"AAAAAG4fD2I=")</f>
        <v>#REF!</v>
      </c>
      <c r="CV77" t="e">
        <f>AND(#REF!,"AAAAAG4fD2M=")</f>
        <v>#REF!</v>
      </c>
      <c r="CW77" t="e">
        <f>AND(#REF!,"AAAAAG4fD2Q=")</f>
        <v>#REF!</v>
      </c>
      <c r="CX77" t="e">
        <f>AND(#REF!,"AAAAAG4fD2U=")</f>
        <v>#REF!</v>
      </c>
      <c r="CY77" t="e">
        <f>AND(#REF!,"AAAAAG4fD2Y=")</f>
        <v>#REF!</v>
      </c>
      <c r="CZ77" t="e">
        <f>AND(#REF!,"AAAAAG4fD2c=")</f>
        <v>#REF!</v>
      </c>
      <c r="DA77" t="e">
        <f>AND(#REF!,"AAAAAG4fD2g=")</f>
        <v>#REF!</v>
      </c>
      <c r="DB77" t="e">
        <f>AND(#REF!,"AAAAAG4fD2k=")</f>
        <v>#REF!</v>
      </c>
      <c r="DC77" t="e">
        <f>AND(#REF!,"AAAAAG4fD2o=")</f>
        <v>#REF!</v>
      </c>
      <c r="DD77" t="e">
        <f>AND(#REF!,"AAAAAG4fD2s=")</f>
        <v>#REF!</v>
      </c>
      <c r="DE77" t="e">
        <f>AND(#REF!,"AAAAAG4fD2w=")</f>
        <v>#REF!</v>
      </c>
      <c r="DF77" t="e">
        <f>IF(#REF!,"AAAAAG4fD20=",0)</f>
        <v>#REF!</v>
      </c>
      <c r="DG77" t="e">
        <f>AND(#REF!,"AAAAAG4fD24=")</f>
        <v>#REF!</v>
      </c>
      <c r="DH77" t="e">
        <f>AND(#REF!,"AAAAAG4fD28=")</f>
        <v>#REF!</v>
      </c>
      <c r="DI77" t="e">
        <f>AND(#REF!,"AAAAAG4fD3A=")</f>
        <v>#REF!</v>
      </c>
      <c r="DJ77" t="e">
        <f>AND(#REF!,"AAAAAG4fD3E=")</f>
        <v>#REF!</v>
      </c>
      <c r="DK77" t="e">
        <f>AND(#REF!,"AAAAAG4fD3I=")</f>
        <v>#REF!</v>
      </c>
      <c r="DL77" t="e">
        <f>AND(#REF!,"AAAAAG4fD3M=")</f>
        <v>#REF!</v>
      </c>
      <c r="DM77" t="e">
        <f>AND(#REF!,"AAAAAG4fD3Q=")</f>
        <v>#REF!</v>
      </c>
      <c r="DN77" t="e">
        <f>AND(#REF!,"AAAAAG4fD3U=")</f>
        <v>#REF!</v>
      </c>
      <c r="DO77" t="e">
        <f>AND(#REF!,"AAAAAG4fD3Y=")</f>
        <v>#REF!</v>
      </c>
      <c r="DP77" t="e">
        <f>AND(#REF!,"AAAAAG4fD3c=")</f>
        <v>#REF!</v>
      </c>
      <c r="DQ77" t="e">
        <f>AND(#REF!,"AAAAAG4fD3g=")</f>
        <v>#REF!</v>
      </c>
      <c r="DR77" t="e">
        <f>AND(#REF!,"AAAAAG4fD3k=")</f>
        <v>#REF!</v>
      </c>
      <c r="DS77" t="e">
        <f>AND(#REF!,"AAAAAG4fD3o=")</f>
        <v>#REF!</v>
      </c>
      <c r="DT77" t="e">
        <f>AND(#REF!,"AAAAAG4fD3s=")</f>
        <v>#REF!</v>
      </c>
      <c r="DU77" t="e">
        <f>AND(#REF!,"AAAAAG4fD3w=")</f>
        <v>#REF!</v>
      </c>
      <c r="DV77" t="e">
        <f>AND(#REF!,"AAAAAG4fD30=")</f>
        <v>#REF!</v>
      </c>
      <c r="DW77" t="e">
        <f>AND(#REF!,"AAAAAG4fD34=")</f>
        <v>#REF!</v>
      </c>
      <c r="DX77" t="e">
        <f>AND(#REF!,"AAAAAG4fD38=")</f>
        <v>#REF!</v>
      </c>
      <c r="DY77" t="e">
        <f>AND(#REF!,"AAAAAG4fD4A=")</f>
        <v>#REF!</v>
      </c>
      <c r="DZ77" t="e">
        <f>AND(#REF!,"AAAAAG4fD4E=")</f>
        <v>#REF!</v>
      </c>
      <c r="EA77" t="e">
        <f>AND(#REF!,"AAAAAG4fD4I=")</f>
        <v>#REF!</v>
      </c>
      <c r="EB77" t="e">
        <f>AND(#REF!,"AAAAAG4fD4M=")</f>
        <v>#REF!</v>
      </c>
      <c r="EC77" t="e">
        <f>AND(#REF!,"AAAAAG4fD4Q=")</f>
        <v>#REF!</v>
      </c>
      <c r="ED77" t="e">
        <f>AND(#REF!,"AAAAAG4fD4U=")</f>
        <v>#REF!</v>
      </c>
      <c r="EE77" t="e">
        <f>AND(#REF!,"AAAAAG4fD4Y=")</f>
        <v>#REF!</v>
      </c>
      <c r="EF77" t="e">
        <f>AND(#REF!,"AAAAAG4fD4c=")</f>
        <v>#REF!</v>
      </c>
      <c r="EG77" t="e">
        <f>AND(#REF!,"AAAAAG4fD4g=")</f>
        <v>#REF!</v>
      </c>
      <c r="EH77" t="e">
        <f>AND(#REF!,"AAAAAG4fD4k=")</f>
        <v>#REF!</v>
      </c>
      <c r="EI77" t="e">
        <f>AND(#REF!,"AAAAAG4fD4o=")</f>
        <v>#REF!</v>
      </c>
      <c r="EJ77" t="e">
        <f>AND(#REF!,"AAAAAG4fD4s=")</f>
        <v>#REF!</v>
      </c>
      <c r="EK77" t="e">
        <f>AND(#REF!,"AAAAAG4fD4w=")</f>
        <v>#REF!</v>
      </c>
      <c r="EL77" t="e">
        <f>AND(#REF!,"AAAAAG4fD40=")</f>
        <v>#REF!</v>
      </c>
      <c r="EM77" t="e">
        <f>AND(#REF!,"AAAAAG4fD44=")</f>
        <v>#REF!</v>
      </c>
      <c r="EN77" t="e">
        <f>AND(#REF!,"AAAAAG4fD48=")</f>
        <v>#REF!</v>
      </c>
      <c r="EO77" t="e">
        <f>AND(#REF!,"AAAAAG4fD5A=")</f>
        <v>#REF!</v>
      </c>
      <c r="EP77" t="e">
        <f>AND(#REF!,"AAAAAG4fD5E=")</f>
        <v>#REF!</v>
      </c>
      <c r="EQ77" t="e">
        <f>AND(#REF!,"AAAAAG4fD5I=")</f>
        <v>#REF!</v>
      </c>
      <c r="ER77" t="e">
        <f>AND(#REF!,"AAAAAG4fD5M=")</f>
        <v>#REF!</v>
      </c>
      <c r="ES77" t="e">
        <f>AND(#REF!,"AAAAAG4fD5Q=")</f>
        <v>#REF!</v>
      </c>
      <c r="ET77" t="e">
        <f>AND(#REF!,"AAAAAG4fD5U=")</f>
        <v>#REF!</v>
      </c>
      <c r="EU77" t="e">
        <f>AND(#REF!,"AAAAAG4fD5Y=")</f>
        <v>#REF!</v>
      </c>
      <c r="EV77" t="e">
        <f>AND(#REF!,"AAAAAG4fD5c=")</f>
        <v>#REF!</v>
      </c>
      <c r="EW77" t="e">
        <f>AND(#REF!,"AAAAAG4fD5g=")</f>
        <v>#REF!</v>
      </c>
      <c r="EX77" t="e">
        <f>AND(#REF!,"AAAAAG4fD5k=")</f>
        <v>#REF!</v>
      </c>
      <c r="EY77" t="e">
        <f>AND(#REF!,"AAAAAG4fD5o=")</f>
        <v>#REF!</v>
      </c>
      <c r="EZ77" t="e">
        <f>AND(#REF!,"AAAAAG4fD5s=")</f>
        <v>#REF!</v>
      </c>
      <c r="FA77" t="e">
        <f>AND(#REF!,"AAAAAG4fD5w=")</f>
        <v>#REF!</v>
      </c>
      <c r="FB77" t="e">
        <f>AND(#REF!,"AAAAAG4fD50=")</f>
        <v>#REF!</v>
      </c>
      <c r="FC77" t="e">
        <f>AND(#REF!,"AAAAAG4fD54=")</f>
        <v>#REF!</v>
      </c>
      <c r="FD77" t="e">
        <f>AND(#REF!,"AAAAAG4fD58=")</f>
        <v>#REF!</v>
      </c>
      <c r="FE77" t="e">
        <f>AND(#REF!,"AAAAAG4fD6A=")</f>
        <v>#REF!</v>
      </c>
      <c r="FF77" t="e">
        <f>AND(#REF!,"AAAAAG4fD6E=")</f>
        <v>#REF!</v>
      </c>
      <c r="FG77" t="e">
        <f>AND(#REF!,"AAAAAG4fD6I=")</f>
        <v>#REF!</v>
      </c>
      <c r="FH77" t="e">
        <f>AND(#REF!,"AAAAAG4fD6M=")</f>
        <v>#REF!</v>
      </c>
      <c r="FI77" t="e">
        <f>AND(#REF!,"AAAAAG4fD6Q=")</f>
        <v>#REF!</v>
      </c>
      <c r="FJ77" t="e">
        <f>AND(#REF!,"AAAAAG4fD6U=")</f>
        <v>#REF!</v>
      </c>
      <c r="FK77" t="e">
        <f>AND(#REF!,"AAAAAG4fD6Y=")</f>
        <v>#REF!</v>
      </c>
      <c r="FL77" t="e">
        <f>AND(#REF!,"AAAAAG4fD6c=")</f>
        <v>#REF!</v>
      </c>
      <c r="FM77" t="e">
        <f>AND(#REF!,"AAAAAG4fD6g=")</f>
        <v>#REF!</v>
      </c>
      <c r="FN77" t="e">
        <f>AND(#REF!,"AAAAAG4fD6k=")</f>
        <v>#REF!</v>
      </c>
      <c r="FO77" t="e">
        <f>AND(#REF!,"AAAAAG4fD6o=")</f>
        <v>#REF!</v>
      </c>
      <c r="FP77" t="e">
        <f>AND(#REF!,"AAAAAG4fD6s=")</f>
        <v>#REF!</v>
      </c>
      <c r="FQ77" t="e">
        <f>AND(#REF!,"AAAAAG4fD6w=")</f>
        <v>#REF!</v>
      </c>
      <c r="FR77" t="e">
        <f>AND(#REF!,"AAAAAG4fD60=")</f>
        <v>#REF!</v>
      </c>
      <c r="FS77" t="e">
        <f>AND(#REF!,"AAAAAG4fD64=")</f>
        <v>#REF!</v>
      </c>
      <c r="FT77" t="e">
        <f>AND(#REF!,"AAAAAG4fD68=")</f>
        <v>#REF!</v>
      </c>
      <c r="FU77" t="e">
        <f>AND(#REF!,"AAAAAG4fD7A=")</f>
        <v>#REF!</v>
      </c>
      <c r="FV77" t="e">
        <f>AND(#REF!,"AAAAAG4fD7E=")</f>
        <v>#REF!</v>
      </c>
      <c r="FW77" t="e">
        <f>AND(#REF!,"AAAAAG4fD7I=")</f>
        <v>#REF!</v>
      </c>
      <c r="FX77" t="e">
        <f>AND(#REF!,"AAAAAG4fD7M=")</f>
        <v>#REF!</v>
      </c>
      <c r="FY77" t="e">
        <f>AND(#REF!,"AAAAAG4fD7Q=")</f>
        <v>#REF!</v>
      </c>
      <c r="FZ77" t="e">
        <f>AND(#REF!,"AAAAAG4fD7U=")</f>
        <v>#REF!</v>
      </c>
      <c r="GA77" t="e">
        <f>AND(#REF!,"AAAAAG4fD7Y=")</f>
        <v>#REF!</v>
      </c>
      <c r="GB77" t="e">
        <f>AND(#REF!,"AAAAAG4fD7c=")</f>
        <v>#REF!</v>
      </c>
      <c r="GC77" t="e">
        <f>AND(#REF!,"AAAAAG4fD7g=")</f>
        <v>#REF!</v>
      </c>
      <c r="GD77" t="e">
        <f>AND(#REF!,"AAAAAG4fD7k=")</f>
        <v>#REF!</v>
      </c>
      <c r="GE77" t="e">
        <f>AND(#REF!,"AAAAAG4fD7o=")</f>
        <v>#REF!</v>
      </c>
      <c r="GF77" t="e">
        <f>AND(#REF!,"AAAAAG4fD7s=")</f>
        <v>#REF!</v>
      </c>
      <c r="GG77" t="e">
        <f>AND(#REF!,"AAAAAG4fD7w=")</f>
        <v>#REF!</v>
      </c>
      <c r="GH77" t="e">
        <f>AND(#REF!,"AAAAAG4fD70=")</f>
        <v>#REF!</v>
      </c>
      <c r="GI77" t="e">
        <f>AND(#REF!,"AAAAAG4fD74=")</f>
        <v>#REF!</v>
      </c>
      <c r="GJ77" t="e">
        <f>AND(#REF!,"AAAAAG4fD78=")</f>
        <v>#REF!</v>
      </c>
      <c r="GK77" t="e">
        <f>AND(#REF!,"AAAAAG4fD8A=")</f>
        <v>#REF!</v>
      </c>
      <c r="GL77" t="e">
        <f>AND(#REF!,"AAAAAG4fD8E=")</f>
        <v>#REF!</v>
      </c>
      <c r="GM77" t="e">
        <f>AND(#REF!,"AAAAAG4fD8I=")</f>
        <v>#REF!</v>
      </c>
      <c r="GN77" t="e">
        <f>AND(#REF!,"AAAAAG4fD8M=")</f>
        <v>#REF!</v>
      </c>
      <c r="GO77" t="e">
        <f>AND(#REF!,"AAAAAG4fD8Q=")</f>
        <v>#REF!</v>
      </c>
      <c r="GP77" t="e">
        <f>AND(#REF!,"AAAAAG4fD8U=")</f>
        <v>#REF!</v>
      </c>
      <c r="GQ77" t="e">
        <f>AND(#REF!,"AAAAAG4fD8Y=")</f>
        <v>#REF!</v>
      </c>
      <c r="GR77" t="e">
        <f>AND(#REF!,"AAAAAG4fD8c=")</f>
        <v>#REF!</v>
      </c>
      <c r="GS77" t="e">
        <f>AND(#REF!,"AAAAAG4fD8g=")</f>
        <v>#REF!</v>
      </c>
      <c r="GT77" t="e">
        <f>AND(#REF!,"AAAAAG4fD8k=")</f>
        <v>#REF!</v>
      </c>
      <c r="GU77" t="e">
        <f>AND(#REF!,"AAAAAG4fD8o=")</f>
        <v>#REF!</v>
      </c>
      <c r="GV77" t="e">
        <f>AND(#REF!,"AAAAAG4fD8s=")</f>
        <v>#REF!</v>
      </c>
      <c r="GW77" t="e">
        <f>AND(#REF!,"AAAAAG4fD8w=")</f>
        <v>#REF!</v>
      </c>
      <c r="GX77" t="e">
        <f>AND(#REF!,"AAAAAG4fD80=")</f>
        <v>#REF!</v>
      </c>
      <c r="GY77" t="e">
        <f>AND(#REF!,"AAAAAG4fD84=")</f>
        <v>#REF!</v>
      </c>
      <c r="GZ77" t="e">
        <f>AND(#REF!,"AAAAAG4fD88=")</f>
        <v>#REF!</v>
      </c>
      <c r="HA77" t="e">
        <f>AND(#REF!,"AAAAAG4fD9A=")</f>
        <v>#REF!</v>
      </c>
      <c r="HB77" t="e">
        <f>AND(#REF!,"AAAAAG4fD9E=")</f>
        <v>#REF!</v>
      </c>
      <c r="HC77" t="e">
        <f>AND(#REF!,"AAAAAG4fD9I=")</f>
        <v>#REF!</v>
      </c>
      <c r="HD77" t="e">
        <f>AND(#REF!,"AAAAAG4fD9M=")</f>
        <v>#REF!</v>
      </c>
      <c r="HE77" t="e">
        <f>AND(#REF!,"AAAAAG4fD9Q=")</f>
        <v>#REF!</v>
      </c>
      <c r="HF77" t="e">
        <f>AND(#REF!,"AAAAAG4fD9U=")</f>
        <v>#REF!</v>
      </c>
      <c r="HG77" t="e">
        <f>AND(#REF!,"AAAAAG4fD9Y=")</f>
        <v>#REF!</v>
      </c>
      <c r="HH77" t="e">
        <f>AND(#REF!,"AAAAAG4fD9c=")</f>
        <v>#REF!</v>
      </c>
      <c r="HI77" t="e">
        <f>AND(#REF!,"AAAAAG4fD9g=")</f>
        <v>#REF!</v>
      </c>
      <c r="HJ77" t="e">
        <f>AND(#REF!,"AAAAAG4fD9k=")</f>
        <v>#REF!</v>
      </c>
      <c r="HK77" t="e">
        <f>AND(#REF!,"AAAAAG4fD9o=")</f>
        <v>#REF!</v>
      </c>
      <c r="HL77" t="e">
        <f>AND(#REF!,"AAAAAG4fD9s=")</f>
        <v>#REF!</v>
      </c>
      <c r="HM77" t="e">
        <f>AND(#REF!,"AAAAAG4fD9w=")</f>
        <v>#REF!</v>
      </c>
      <c r="HN77" t="e">
        <f>AND(#REF!,"AAAAAG4fD90=")</f>
        <v>#REF!</v>
      </c>
      <c r="HO77" t="e">
        <f>AND(#REF!,"AAAAAG4fD94=")</f>
        <v>#REF!</v>
      </c>
      <c r="HP77" t="e">
        <f>AND(#REF!,"AAAAAG4fD98=")</f>
        <v>#REF!</v>
      </c>
      <c r="HQ77" t="e">
        <f>AND(#REF!,"AAAAAG4fD+A=")</f>
        <v>#REF!</v>
      </c>
      <c r="HR77" t="e">
        <f>AND(#REF!,"AAAAAG4fD+E=")</f>
        <v>#REF!</v>
      </c>
      <c r="HS77" t="e">
        <f>AND(#REF!,"AAAAAG4fD+I=")</f>
        <v>#REF!</v>
      </c>
      <c r="HT77" t="e">
        <f>AND(#REF!,"AAAAAG4fD+M=")</f>
        <v>#REF!</v>
      </c>
      <c r="HU77" t="e">
        <f>AND(#REF!,"AAAAAG4fD+Q=")</f>
        <v>#REF!</v>
      </c>
      <c r="HV77" t="e">
        <f>AND(#REF!,"AAAAAG4fD+U=")</f>
        <v>#REF!</v>
      </c>
      <c r="HW77" t="e">
        <f>AND(#REF!,"AAAAAG4fD+Y=")</f>
        <v>#REF!</v>
      </c>
      <c r="HX77" t="e">
        <f>AND(#REF!,"AAAAAG4fD+c=")</f>
        <v>#REF!</v>
      </c>
      <c r="HY77" t="e">
        <f>AND(#REF!,"AAAAAG4fD+g=")</f>
        <v>#REF!</v>
      </c>
      <c r="HZ77" t="e">
        <f>AND(#REF!,"AAAAAG4fD+k=")</f>
        <v>#REF!</v>
      </c>
      <c r="IA77" t="e">
        <f>AND(#REF!,"AAAAAG4fD+o=")</f>
        <v>#REF!</v>
      </c>
      <c r="IB77" t="e">
        <f>AND(#REF!,"AAAAAG4fD+s=")</f>
        <v>#REF!</v>
      </c>
      <c r="IC77" t="e">
        <f>AND(#REF!,"AAAAAG4fD+w=")</f>
        <v>#REF!</v>
      </c>
      <c r="ID77" t="e">
        <f>AND(#REF!,"AAAAAG4fD+0=")</f>
        <v>#REF!</v>
      </c>
      <c r="IE77" t="e">
        <f>AND(#REF!,"AAAAAG4fD+4=")</f>
        <v>#REF!</v>
      </c>
      <c r="IF77" t="e">
        <f>AND(#REF!,"AAAAAG4fD+8=")</f>
        <v>#REF!</v>
      </c>
      <c r="IG77" t="e">
        <f>AND(#REF!,"AAAAAG4fD/A=")</f>
        <v>#REF!</v>
      </c>
      <c r="IH77" t="e">
        <f>AND(#REF!,"AAAAAG4fD/E=")</f>
        <v>#REF!</v>
      </c>
      <c r="II77" t="e">
        <f>AND(#REF!,"AAAAAG4fD/I=")</f>
        <v>#REF!</v>
      </c>
      <c r="IJ77" t="e">
        <f>AND(#REF!,"AAAAAG4fD/M=")</f>
        <v>#REF!</v>
      </c>
      <c r="IK77" t="e">
        <f>AND(#REF!,"AAAAAG4fD/Q=")</f>
        <v>#REF!</v>
      </c>
      <c r="IL77" t="e">
        <f>AND(#REF!,"AAAAAG4fD/U=")</f>
        <v>#REF!</v>
      </c>
      <c r="IM77" t="e">
        <f>AND(#REF!,"AAAAAG4fD/Y=")</f>
        <v>#REF!</v>
      </c>
      <c r="IN77" t="e">
        <f>AND(#REF!,"AAAAAG4fD/c=")</f>
        <v>#REF!</v>
      </c>
      <c r="IO77" t="e">
        <f>AND(#REF!,"AAAAAG4fD/g=")</f>
        <v>#REF!</v>
      </c>
      <c r="IP77" t="e">
        <f>AND(#REF!,"AAAAAG4fD/k=")</f>
        <v>#REF!</v>
      </c>
      <c r="IQ77" t="e">
        <f>AND(#REF!,"AAAAAG4fD/o=")</f>
        <v>#REF!</v>
      </c>
      <c r="IR77" t="e">
        <f>AND(#REF!,"AAAAAG4fD/s=")</f>
        <v>#REF!</v>
      </c>
      <c r="IS77" t="e">
        <f>AND(#REF!,"AAAAAG4fD/w=")</f>
        <v>#REF!</v>
      </c>
      <c r="IT77" t="e">
        <f>AND(#REF!,"AAAAAG4fD/0=")</f>
        <v>#REF!</v>
      </c>
      <c r="IU77" t="e">
        <f>AND(#REF!,"AAAAAG4fD/4=")</f>
        <v>#REF!</v>
      </c>
      <c r="IV77" t="e">
        <f>AND(#REF!,"AAAAAG4fD/8=")</f>
        <v>#REF!</v>
      </c>
    </row>
    <row r="78" spans="1:256" x14ac:dyDescent="0.2">
      <c r="A78" t="e">
        <f>AND(#REF!,"AAAAADza7wA=")</f>
        <v>#REF!</v>
      </c>
      <c r="B78" t="e">
        <f>AND(#REF!,"AAAAADza7wE=")</f>
        <v>#REF!</v>
      </c>
      <c r="C78" t="e">
        <f>AND(#REF!,"AAAAADza7wI=")</f>
        <v>#REF!</v>
      </c>
      <c r="D78" t="e">
        <f>AND(#REF!,"AAAAADza7wM=")</f>
        <v>#REF!</v>
      </c>
      <c r="E78" t="e">
        <f>AND(#REF!,"AAAAADza7wQ=")</f>
        <v>#REF!</v>
      </c>
      <c r="F78" t="e">
        <f>AND(#REF!,"AAAAADza7wU=")</f>
        <v>#REF!</v>
      </c>
      <c r="G78" t="e">
        <f>AND(#REF!,"AAAAADza7wY=")</f>
        <v>#REF!</v>
      </c>
      <c r="H78" t="e">
        <f>AND(#REF!,"AAAAADza7wc=")</f>
        <v>#REF!</v>
      </c>
      <c r="I78" t="e">
        <f>AND(#REF!,"AAAAADza7wg=")</f>
        <v>#REF!</v>
      </c>
      <c r="J78" t="e">
        <f>AND(#REF!,"AAAAADza7wk=")</f>
        <v>#REF!</v>
      </c>
      <c r="K78" t="e">
        <f>AND(#REF!,"AAAAADza7wo=")</f>
        <v>#REF!</v>
      </c>
      <c r="L78" t="e">
        <f>AND(#REF!,"AAAAADza7ws=")</f>
        <v>#REF!</v>
      </c>
      <c r="M78" t="e">
        <f>AND(#REF!,"AAAAADza7ww=")</f>
        <v>#REF!</v>
      </c>
      <c r="N78" t="e">
        <f>AND(#REF!,"AAAAADza7w0=")</f>
        <v>#REF!</v>
      </c>
      <c r="O78" t="e">
        <f>AND(#REF!,"AAAAADza7w4=")</f>
        <v>#REF!</v>
      </c>
      <c r="P78" t="e">
        <f>AND(#REF!,"AAAAADza7w8=")</f>
        <v>#REF!</v>
      </c>
      <c r="Q78" t="e">
        <f>AND(#REF!,"AAAAADza7xA=")</f>
        <v>#REF!</v>
      </c>
      <c r="R78" t="e">
        <f>AND(#REF!,"AAAAADza7xE=")</f>
        <v>#REF!</v>
      </c>
      <c r="S78" t="e">
        <f>AND(#REF!,"AAAAADza7xI=")</f>
        <v>#REF!</v>
      </c>
      <c r="T78" t="e">
        <f>AND(#REF!,"AAAAADza7xM=")</f>
        <v>#REF!</v>
      </c>
      <c r="U78" t="e">
        <f>AND(#REF!,"AAAAADza7xQ=")</f>
        <v>#REF!</v>
      </c>
      <c r="V78" t="e">
        <f>AND(#REF!,"AAAAADza7xU=")</f>
        <v>#REF!</v>
      </c>
      <c r="W78" t="e">
        <f>AND(#REF!,"AAAAADza7xY=")</f>
        <v>#REF!</v>
      </c>
      <c r="X78" t="e">
        <f>AND(#REF!,"AAAAADza7xc=")</f>
        <v>#REF!</v>
      </c>
      <c r="Y78" t="e">
        <f>AND(#REF!,"AAAAADza7xg=")</f>
        <v>#REF!</v>
      </c>
      <c r="Z78" t="e">
        <f>AND(#REF!,"AAAAADza7xk=")</f>
        <v>#REF!</v>
      </c>
      <c r="AA78" t="e">
        <f>AND(#REF!,"AAAAADza7xo=")</f>
        <v>#REF!</v>
      </c>
      <c r="AB78" t="e">
        <f>AND(#REF!,"AAAAADza7xs=")</f>
        <v>#REF!</v>
      </c>
      <c r="AC78" t="e">
        <f>AND(#REF!,"AAAAADza7xw=")</f>
        <v>#REF!</v>
      </c>
      <c r="AD78" t="e">
        <f>AND(#REF!,"AAAAADza7x0=")</f>
        <v>#REF!</v>
      </c>
      <c r="AE78" t="e">
        <f>AND(#REF!,"AAAAADza7x4=")</f>
        <v>#REF!</v>
      </c>
      <c r="AF78" t="e">
        <f>AND(#REF!,"AAAAADza7x8=")</f>
        <v>#REF!</v>
      </c>
      <c r="AG78" t="e">
        <f>AND(#REF!,"AAAAADza7yA=")</f>
        <v>#REF!</v>
      </c>
      <c r="AH78" t="e">
        <f>AND(#REF!,"AAAAADza7yE=")</f>
        <v>#REF!</v>
      </c>
      <c r="AI78" t="e">
        <f>IF(#REF!,"AAAAADza7yI=",0)</f>
        <v>#REF!</v>
      </c>
      <c r="AJ78" t="e">
        <f>AND(#REF!,"AAAAADza7yM=")</f>
        <v>#REF!</v>
      </c>
      <c r="AK78" t="e">
        <f>AND(#REF!,"AAAAADza7yQ=")</f>
        <v>#REF!</v>
      </c>
      <c r="AL78" t="e">
        <f>AND(#REF!,"AAAAADza7yU=")</f>
        <v>#REF!</v>
      </c>
      <c r="AM78" t="e">
        <f>AND(#REF!,"AAAAADza7yY=")</f>
        <v>#REF!</v>
      </c>
      <c r="AN78" t="e">
        <f>AND(#REF!,"AAAAADza7yc=")</f>
        <v>#REF!</v>
      </c>
      <c r="AO78" t="e">
        <f>AND(#REF!,"AAAAADza7yg=")</f>
        <v>#REF!</v>
      </c>
      <c r="AP78" t="e">
        <f>AND(#REF!,"AAAAADza7yk=")</f>
        <v>#REF!</v>
      </c>
      <c r="AQ78" t="e">
        <f>AND(#REF!,"AAAAADza7yo=")</f>
        <v>#REF!</v>
      </c>
      <c r="AR78" t="e">
        <f>AND(#REF!,"AAAAADza7ys=")</f>
        <v>#REF!</v>
      </c>
      <c r="AS78" t="e">
        <f>AND(#REF!,"AAAAADza7yw=")</f>
        <v>#REF!</v>
      </c>
      <c r="AT78" t="e">
        <f>AND(#REF!,"AAAAADza7y0=")</f>
        <v>#REF!</v>
      </c>
      <c r="AU78" t="e">
        <f>AND(#REF!,"AAAAADza7y4=")</f>
        <v>#REF!</v>
      </c>
      <c r="AV78" t="e">
        <f>AND(#REF!,"AAAAADza7y8=")</f>
        <v>#REF!</v>
      </c>
      <c r="AW78" t="e">
        <f>AND(#REF!,"AAAAADza7zA=")</f>
        <v>#REF!</v>
      </c>
      <c r="AX78" t="e">
        <f>AND(#REF!,"AAAAADza7zE=")</f>
        <v>#REF!</v>
      </c>
      <c r="AY78" t="e">
        <f>AND(#REF!,"AAAAADza7zI=")</f>
        <v>#REF!</v>
      </c>
      <c r="AZ78" t="e">
        <f>AND(#REF!,"AAAAADza7zM=")</f>
        <v>#REF!</v>
      </c>
      <c r="BA78" t="e">
        <f>AND(#REF!,"AAAAADza7zQ=")</f>
        <v>#REF!</v>
      </c>
      <c r="BB78" t="e">
        <f>AND(#REF!,"AAAAADza7zU=")</f>
        <v>#REF!</v>
      </c>
      <c r="BC78" t="e">
        <f>AND(#REF!,"AAAAADza7zY=")</f>
        <v>#REF!</v>
      </c>
      <c r="BD78" t="e">
        <f>AND(#REF!,"AAAAADza7zc=")</f>
        <v>#REF!</v>
      </c>
      <c r="BE78" t="e">
        <f>AND(#REF!,"AAAAADza7zg=")</f>
        <v>#REF!</v>
      </c>
      <c r="BF78" t="e">
        <f>AND(#REF!,"AAAAADza7zk=")</f>
        <v>#REF!</v>
      </c>
      <c r="BG78" t="e">
        <f>AND(#REF!,"AAAAADza7zo=")</f>
        <v>#REF!</v>
      </c>
      <c r="BH78" t="e">
        <f>AND(#REF!,"AAAAADza7zs=")</f>
        <v>#REF!</v>
      </c>
      <c r="BI78" t="e">
        <f>AND(#REF!,"AAAAADza7zw=")</f>
        <v>#REF!</v>
      </c>
      <c r="BJ78" t="e">
        <f>AND(#REF!,"AAAAADza7z0=")</f>
        <v>#REF!</v>
      </c>
      <c r="BK78" t="e">
        <f>AND(#REF!,"AAAAADza7z4=")</f>
        <v>#REF!</v>
      </c>
      <c r="BL78" t="e">
        <f>AND(#REF!,"AAAAADza7z8=")</f>
        <v>#REF!</v>
      </c>
      <c r="BM78" t="e">
        <f>AND(#REF!,"AAAAADza70A=")</f>
        <v>#REF!</v>
      </c>
      <c r="BN78" t="e">
        <f>AND(#REF!,"AAAAADza70E=")</f>
        <v>#REF!</v>
      </c>
      <c r="BO78" t="e">
        <f>AND(#REF!,"AAAAADza70I=")</f>
        <v>#REF!</v>
      </c>
      <c r="BP78" t="e">
        <f>AND(#REF!,"AAAAADza70M=")</f>
        <v>#REF!</v>
      </c>
      <c r="BQ78" t="e">
        <f>AND(#REF!,"AAAAADza70Q=")</f>
        <v>#REF!</v>
      </c>
      <c r="BR78" t="e">
        <f>AND(#REF!,"AAAAADza70U=")</f>
        <v>#REF!</v>
      </c>
      <c r="BS78" t="e">
        <f>AND(#REF!,"AAAAADza70Y=")</f>
        <v>#REF!</v>
      </c>
      <c r="BT78" t="e">
        <f>AND(#REF!,"AAAAADza70c=")</f>
        <v>#REF!</v>
      </c>
      <c r="BU78" t="e">
        <f>AND(#REF!,"AAAAADza70g=")</f>
        <v>#REF!</v>
      </c>
      <c r="BV78" t="e">
        <f>AND(#REF!,"AAAAADza70k=")</f>
        <v>#REF!</v>
      </c>
      <c r="BW78" t="e">
        <f>AND(#REF!,"AAAAADza70o=")</f>
        <v>#REF!</v>
      </c>
      <c r="BX78" t="e">
        <f>AND(#REF!,"AAAAADza70s=")</f>
        <v>#REF!</v>
      </c>
      <c r="BY78" t="e">
        <f>AND(#REF!,"AAAAADza70w=")</f>
        <v>#REF!</v>
      </c>
      <c r="BZ78" t="e">
        <f>AND(#REF!,"AAAAADza700=")</f>
        <v>#REF!</v>
      </c>
      <c r="CA78" t="e">
        <f>AND(#REF!,"AAAAADza704=")</f>
        <v>#REF!</v>
      </c>
      <c r="CB78" t="e">
        <f>AND(#REF!,"AAAAADza708=")</f>
        <v>#REF!</v>
      </c>
      <c r="CC78" t="e">
        <f>AND(#REF!,"AAAAADza71A=")</f>
        <v>#REF!</v>
      </c>
      <c r="CD78" t="e">
        <f>AND(#REF!,"AAAAADza71E=")</f>
        <v>#REF!</v>
      </c>
      <c r="CE78" t="e">
        <f>AND(#REF!,"AAAAADza71I=")</f>
        <v>#REF!</v>
      </c>
      <c r="CF78" t="e">
        <f>AND(#REF!,"AAAAADza71M=")</f>
        <v>#REF!</v>
      </c>
      <c r="CG78" t="e">
        <f>AND(#REF!,"AAAAADza71Q=")</f>
        <v>#REF!</v>
      </c>
      <c r="CH78" t="e">
        <f>AND(#REF!,"AAAAADza71U=")</f>
        <v>#REF!</v>
      </c>
      <c r="CI78" t="e">
        <f>AND(#REF!,"AAAAADza71Y=")</f>
        <v>#REF!</v>
      </c>
      <c r="CJ78" t="e">
        <f>AND(#REF!,"AAAAADza71c=")</f>
        <v>#REF!</v>
      </c>
      <c r="CK78" t="e">
        <f>AND(#REF!,"AAAAADza71g=")</f>
        <v>#REF!</v>
      </c>
      <c r="CL78" t="e">
        <f>AND(#REF!,"AAAAADza71k=")</f>
        <v>#REF!</v>
      </c>
      <c r="CM78" t="e">
        <f>AND(#REF!,"AAAAADza71o=")</f>
        <v>#REF!</v>
      </c>
      <c r="CN78" t="e">
        <f>AND(#REF!,"AAAAADza71s=")</f>
        <v>#REF!</v>
      </c>
      <c r="CO78" t="e">
        <f>AND(#REF!,"AAAAADza71w=")</f>
        <v>#REF!</v>
      </c>
      <c r="CP78" t="e">
        <f>AND(#REF!,"AAAAADza710=")</f>
        <v>#REF!</v>
      </c>
      <c r="CQ78" t="e">
        <f>AND(#REF!,"AAAAADza714=")</f>
        <v>#REF!</v>
      </c>
      <c r="CR78" t="e">
        <f>AND(#REF!,"AAAAADza718=")</f>
        <v>#REF!</v>
      </c>
      <c r="CS78" t="e">
        <f>AND(#REF!,"AAAAADza72A=")</f>
        <v>#REF!</v>
      </c>
      <c r="CT78" t="e">
        <f>AND(#REF!,"AAAAADza72E=")</f>
        <v>#REF!</v>
      </c>
      <c r="CU78" t="e">
        <f>AND(#REF!,"AAAAADza72I=")</f>
        <v>#REF!</v>
      </c>
      <c r="CV78" t="e">
        <f>AND(#REF!,"AAAAADza72M=")</f>
        <v>#REF!</v>
      </c>
      <c r="CW78" t="e">
        <f>AND(#REF!,"AAAAADza72Q=")</f>
        <v>#REF!</v>
      </c>
      <c r="CX78" t="e">
        <f>AND(#REF!,"AAAAADza72U=")</f>
        <v>#REF!</v>
      </c>
      <c r="CY78" t="e">
        <f>AND(#REF!,"AAAAADza72Y=")</f>
        <v>#REF!</v>
      </c>
      <c r="CZ78" t="e">
        <f>AND(#REF!,"AAAAADza72c=")</f>
        <v>#REF!</v>
      </c>
      <c r="DA78" t="e">
        <f>AND(#REF!,"AAAAADza72g=")</f>
        <v>#REF!</v>
      </c>
      <c r="DB78" t="e">
        <f>AND(#REF!,"AAAAADza72k=")</f>
        <v>#REF!</v>
      </c>
      <c r="DC78" t="e">
        <f>AND(#REF!,"AAAAADza72o=")</f>
        <v>#REF!</v>
      </c>
      <c r="DD78" t="e">
        <f>AND(#REF!,"AAAAADza72s=")</f>
        <v>#REF!</v>
      </c>
      <c r="DE78" t="e">
        <f>AND(#REF!,"AAAAADza72w=")</f>
        <v>#REF!</v>
      </c>
      <c r="DF78" t="e">
        <f>AND(#REF!,"AAAAADza720=")</f>
        <v>#REF!</v>
      </c>
      <c r="DG78" t="e">
        <f>AND(#REF!,"AAAAADza724=")</f>
        <v>#REF!</v>
      </c>
      <c r="DH78" t="e">
        <f>AND(#REF!,"AAAAADza728=")</f>
        <v>#REF!</v>
      </c>
      <c r="DI78" t="e">
        <f>AND(#REF!,"AAAAADza73A=")</f>
        <v>#REF!</v>
      </c>
      <c r="DJ78" t="e">
        <f>AND(#REF!,"AAAAADza73E=")</f>
        <v>#REF!</v>
      </c>
      <c r="DK78" t="e">
        <f>AND(#REF!,"AAAAADza73I=")</f>
        <v>#REF!</v>
      </c>
      <c r="DL78" t="e">
        <f>AND(#REF!,"AAAAADza73M=")</f>
        <v>#REF!</v>
      </c>
      <c r="DM78" t="e">
        <f>AND(#REF!,"AAAAADza73Q=")</f>
        <v>#REF!</v>
      </c>
      <c r="DN78" t="e">
        <f>AND(#REF!,"AAAAADza73U=")</f>
        <v>#REF!</v>
      </c>
      <c r="DO78" t="e">
        <f>AND(#REF!,"AAAAADza73Y=")</f>
        <v>#REF!</v>
      </c>
      <c r="DP78" t="e">
        <f>AND(#REF!,"AAAAADza73c=")</f>
        <v>#REF!</v>
      </c>
      <c r="DQ78" t="e">
        <f>AND(#REF!,"AAAAADza73g=")</f>
        <v>#REF!</v>
      </c>
      <c r="DR78" t="e">
        <f>AND(#REF!,"AAAAADza73k=")</f>
        <v>#REF!</v>
      </c>
      <c r="DS78" t="e">
        <f>AND(#REF!,"AAAAADza73o=")</f>
        <v>#REF!</v>
      </c>
      <c r="DT78" t="e">
        <f>AND(#REF!,"AAAAADza73s=")</f>
        <v>#REF!</v>
      </c>
      <c r="DU78" t="e">
        <f>AND(#REF!,"AAAAADza73w=")</f>
        <v>#REF!</v>
      </c>
      <c r="DV78" t="e">
        <f>AND(#REF!,"AAAAADza730=")</f>
        <v>#REF!</v>
      </c>
      <c r="DW78" t="e">
        <f>AND(#REF!,"AAAAADza734=")</f>
        <v>#REF!</v>
      </c>
      <c r="DX78" t="e">
        <f>AND(#REF!,"AAAAADza738=")</f>
        <v>#REF!</v>
      </c>
      <c r="DY78" t="e">
        <f>AND(#REF!,"AAAAADza74A=")</f>
        <v>#REF!</v>
      </c>
      <c r="DZ78" t="e">
        <f>AND(#REF!,"AAAAADza74E=")</f>
        <v>#REF!</v>
      </c>
      <c r="EA78" t="e">
        <f>AND(#REF!,"AAAAADza74I=")</f>
        <v>#REF!</v>
      </c>
      <c r="EB78" t="e">
        <f>AND(#REF!,"AAAAADza74M=")</f>
        <v>#REF!</v>
      </c>
      <c r="EC78" t="e">
        <f>AND(#REF!,"AAAAADza74Q=")</f>
        <v>#REF!</v>
      </c>
      <c r="ED78" t="e">
        <f>AND(#REF!,"AAAAADza74U=")</f>
        <v>#REF!</v>
      </c>
      <c r="EE78" t="e">
        <f>AND(#REF!,"AAAAADza74Y=")</f>
        <v>#REF!</v>
      </c>
      <c r="EF78" t="e">
        <f>AND(#REF!,"AAAAADza74c=")</f>
        <v>#REF!</v>
      </c>
      <c r="EG78" t="e">
        <f>AND(#REF!,"AAAAADza74g=")</f>
        <v>#REF!</v>
      </c>
      <c r="EH78" t="e">
        <f>AND(#REF!,"AAAAADza74k=")</f>
        <v>#REF!</v>
      </c>
      <c r="EI78" t="e">
        <f>AND(#REF!,"AAAAADza74o=")</f>
        <v>#REF!</v>
      </c>
      <c r="EJ78" t="e">
        <f>AND(#REF!,"AAAAADza74s=")</f>
        <v>#REF!</v>
      </c>
      <c r="EK78" t="e">
        <f>AND(#REF!,"AAAAADza74w=")</f>
        <v>#REF!</v>
      </c>
      <c r="EL78" t="e">
        <f>AND(#REF!,"AAAAADza740=")</f>
        <v>#REF!</v>
      </c>
      <c r="EM78" t="e">
        <f>AND(#REF!,"AAAAADza744=")</f>
        <v>#REF!</v>
      </c>
      <c r="EN78" t="e">
        <f>AND(#REF!,"AAAAADza748=")</f>
        <v>#REF!</v>
      </c>
      <c r="EO78" t="e">
        <f>AND(#REF!,"AAAAADza75A=")</f>
        <v>#REF!</v>
      </c>
      <c r="EP78" t="e">
        <f>AND(#REF!,"AAAAADza75E=")</f>
        <v>#REF!</v>
      </c>
      <c r="EQ78" t="e">
        <f>AND(#REF!,"AAAAADza75I=")</f>
        <v>#REF!</v>
      </c>
      <c r="ER78" t="e">
        <f>AND(#REF!,"AAAAADza75M=")</f>
        <v>#REF!</v>
      </c>
      <c r="ES78" t="e">
        <f>AND(#REF!,"AAAAADza75Q=")</f>
        <v>#REF!</v>
      </c>
      <c r="ET78" t="e">
        <f>AND(#REF!,"AAAAADza75U=")</f>
        <v>#REF!</v>
      </c>
      <c r="EU78" t="e">
        <f>AND(#REF!,"AAAAADza75Y=")</f>
        <v>#REF!</v>
      </c>
      <c r="EV78" t="e">
        <f>AND(#REF!,"AAAAADza75c=")</f>
        <v>#REF!</v>
      </c>
      <c r="EW78" t="e">
        <f>AND(#REF!,"AAAAADza75g=")</f>
        <v>#REF!</v>
      </c>
      <c r="EX78" t="e">
        <f>AND(#REF!,"AAAAADza75k=")</f>
        <v>#REF!</v>
      </c>
      <c r="EY78" t="e">
        <f>AND(#REF!,"AAAAADza75o=")</f>
        <v>#REF!</v>
      </c>
      <c r="EZ78" t="e">
        <f>AND(#REF!,"AAAAADza75s=")</f>
        <v>#REF!</v>
      </c>
      <c r="FA78" t="e">
        <f>AND(#REF!,"AAAAADza75w=")</f>
        <v>#REF!</v>
      </c>
      <c r="FB78" t="e">
        <f>AND(#REF!,"AAAAADza750=")</f>
        <v>#REF!</v>
      </c>
      <c r="FC78" t="e">
        <f>AND(#REF!,"AAAAADza754=")</f>
        <v>#REF!</v>
      </c>
      <c r="FD78" t="e">
        <f>AND(#REF!,"AAAAADza758=")</f>
        <v>#REF!</v>
      </c>
      <c r="FE78" t="e">
        <f>AND(#REF!,"AAAAADza76A=")</f>
        <v>#REF!</v>
      </c>
      <c r="FF78" t="e">
        <f>AND(#REF!,"AAAAADza76E=")</f>
        <v>#REF!</v>
      </c>
      <c r="FG78" t="e">
        <f>AND(#REF!,"AAAAADza76I=")</f>
        <v>#REF!</v>
      </c>
      <c r="FH78" t="e">
        <f>AND(#REF!,"AAAAADza76M=")</f>
        <v>#REF!</v>
      </c>
      <c r="FI78" t="e">
        <f>AND(#REF!,"AAAAADza76Q=")</f>
        <v>#REF!</v>
      </c>
      <c r="FJ78" t="e">
        <f>AND(#REF!,"AAAAADza76U=")</f>
        <v>#REF!</v>
      </c>
      <c r="FK78" t="e">
        <f>AND(#REF!,"AAAAADza76Y=")</f>
        <v>#REF!</v>
      </c>
      <c r="FL78" t="e">
        <f>AND(#REF!,"AAAAADza76c=")</f>
        <v>#REF!</v>
      </c>
      <c r="FM78" t="e">
        <f>AND(#REF!,"AAAAADza76g=")</f>
        <v>#REF!</v>
      </c>
      <c r="FN78" t="e">
        <f>AND(#REF!,"AAAAADza76k=")</f>
        <v>#REF!</v>
      </c>
      <c r="FO78" t="e">
        <f>AND(#REF!,"AAAAADza76o=")</f>
        <v>#REF!</v>
      </c>
      <c r="FP78" t="e">
        <f>AND(#REF!,"AAAAADza76s=")</f>
        <v>#REF!</v>
      </c>
      <c r="FQ78" t="e">
        <f>AND(#REF!,"AAAAADza76w=")</f>
        <v>#REF!</v>
      </c>
      <c r="FR78" t="e">
        <f>AND(#REF!,"AAAAADza760=")</f>
        <v>#REF!</v>
      </c>
      <c r="FS78" t="e">
        <f>AND(#REF!,"AAAAADza764=")</f>
        <v>#REF!</v>
      </c>
      <c r="FT78" t="e">
        <f>AND(#REF!,"AAAAADza768=")</f>
        <v>#REF!</v>
      </c>
      <c r="FU78" t="e">
        <f>AND(#REF!,"AAAAADza77A=")</f>
        <v>#REF!</v>
      </c>
      <c r="FV78" t="e">
        <f>AND(#REF!,"AAAAADza77E=")</f>
        <v>#REF!</v>
      </c>
      <c r="FW78" t="e">
        <f>AND(#REF!,"AAAAADza77I=")</f>
        <v>#REF!</v>
      </c>
      <c r="FX78" t="e">
        <f>AND(#REF!,"AAAAADza77M=")</f>
        <v>#REF!</v>
      </c>
      <c r="FY78" t="e">
        <f>AND(#REF!,"AAAAADza77Q=")</f>
        <v>#REF!</v>
      </c>
      <c r="FZ78" t="e">
        <f>AND(#REF!,"AAAAADza77U=")</f>
        <v>#REF!</v>
      </c>
      <c r="GA78" t="e">
        <f>AND(#REF!,"AAAAADza77Y=")</f>
        <v>#REF!</v>
      </c>
      <c r="GB78" t="e">
        <f>AND(#REF!,"AAAAADza77c=")</f>
        <v>#REF!</v>
      </c>
      <c r="GC78" t="e">
        <f>AND(#REF!,"AAAAADza77g=")</f>
        <v>#REF!</v>
      </c>
      <c r="GD78" t="e">
        <f>AND(#REF!,"AAAAADza77k=")</f>
        <v>#REF!</v>
      </c>
      <c r="GE78" t="e">
        <f>AND(#REF!,"AAAAADza77o=")</f>
        <v>#REF!</v>
      </c>
      <c r="GF78" t="e">
        <f>AND(#REF!,"AAAAADza77s=")</f>
        <v>#REF!</v>
      </c>
      <c r="GG78" t="e">
        <f>AND(#REF!,"AAAAADza77w=")</f>
        <v>#REF!</v>
      </c>
      <c r="GH78" t="e">
        <f>AND(#REF!,"AAAAADza770=")</f>
        <v>#REF!</v>
      </c>
      <c r="GI78" t="e">
        <f>AND(#REF!,"AAAAADza774=")</f>
        <v>#REF!</v>
      </c>
      <c r="GJ78" t="e">
        <f>AND(#REF!,"AAAAADza778=")</f>
        <v>#REF!</v>
      </c>
      <c r="GK78" t="e">
        <f>AND(#REF!,"AAAAADza78A=")</f>
        <v>#REF!</v>
      </c>
      <c r="GL78" t="e">
        <f>AND(#REF!,"AAAAADza78E=")</f>
        <v>#REF!</v>
      </c>
      <c r="GM78" t="e">
        <f>AND(#REF!,"AAAAADza78I=")</f>
        <v>#REF!</v>
      </c>
      <c r="GN78" t="e">
        <f>AND(#REF!,"AAAAADza78M=")</f>
        <v>#REF!</v>
      </c>
      <c r="GO78" t="e">
        <f>AND(#REF!,"AAAAADza78Q=")</f>
        <v>#REF!</v>
      </c>
      <c r="GP78" t="e">
        <f>AND(#REF!,"AAAAADza78U=")</f>
        <v>#REF!</v>
      </c>
      <c r="GQ78" t="e">
        <f>AND(#REF!,"AAAAADza78Y=")</f>
        <v>#REF!</v>
      </c>
      <c r="GR78" t="e">
        <f>AND(#REF!,"AAAAADza78c=")</f>
        <v>#REF!</v>
      </c>
      <c r="GS78" t="e">
        <f>AND(#REF!,"AAAAADza78g=")</f>
        <v>#REF!</v>
      </c>
      <c r="GT78" t="e">
        <f>AND(#REF!,"AAAAADza78k=")</f>
        <v>#REF!</v>
      </c>
      <c r="GU78" t="e">
        <f>AND(#REF!,"AAAAADza78o=")</f>
        <v>#REF!</v>
      </c>
      <c r="GV78" t="e">
        <f>AND(#REF!,"AAAAADza78s=")</f>
        <v>#REF!</v>
      </c>
      <c r="GW78" t="e">
        <f>AND(#REF!,"AAAAADza78w=")</f>
        <v>#REF!</v>
      </c>
      <c r="GX78" t="e">
        <f>AND(#REF!,"AAAAADza780=")</f>
        <v>#REF!</v>
      </c>
      <c r="GY78" t="e">
        <f>AND(#REF!,"AAAAADza784=")</f>
        <v>#REF!</v>
      </c>
      <c r="GZ78" t="e">
        <f>AND(#REF!,"AAAAADza788=")</f>
        <v>#REF!</v>
      </c>
      <c r="HA78" t="e">
        <f>AND(#REF!,"AAAAADza79A=")</f>
        <v>#REF!</v>
      </c>
      <c r="HB78" t="e">
        <f>AND(#REF!,"AAAAADza79E=")</f>
        <v>#REF!</v>
      </c>
      <c r="HC78" t="e">
        <f>AND(#REF!,"AAAAADza79I=")</f>
        <v>#REF!</v>
      </c>
      <c r="HD78" t="e">
        <f>AND(#REF!,"AAAAADza79M=")</f>
        <v>#REF!</v>
      </c>
      <c r="HE78" t="e">
        <f>AND(#REF!,"AAAAADza79Q=")</f>
        <v>#REF!</v>
      </c>
      <c r="HF78" t="e">
        <f>AND(#REF!,"AAAAADza79U=")</f>
        <v>#REF!</v>
      </c>
      <c r="HG78" t="e">
        <f>AND(#REF!,"AAAAADza79Y=")</f>
        <v>#REF!</v>
      </c>
      <c r="HH78" t="e">
        <f>IF(#REF!,"AAAAADza79c=",0)</f>
        <v>#REF!</v>
      </c>
      <c r="HI78" t="e">
        <f>AND(#REF!,"AAAAADza79g=")</f>
        <v>#REF!</v>
      </c>
      <c r="HJ78" t="e">
        <f>AND(#REF!,"AAAAADza79k=")</f>
        <v>#REF!</v>
      </c>
      <c r="HK78" t="e">
        <f>AND(#REF!,"AAAAADza79o=")</f>
        <v>#REF!</v>
      </c>
      <c r="HL78" t="e">
        <f>AND(#REF!,"AAAAADza79s=")</f>
        <v>#REF!</v>
      </c>
      <c r="HM78" t="e">
        <f>AND(#REF!,"AAAAADza79w=")</f>
        <v>#REF!</v>
      </c>
      <c r="HN78" t="e">
        <f>AND(#REF!,"AAAAADza790=")</f>
        <v>#REF!</v>
      </c>
      <c r="HO78" t="e">
        <f>AND(#REF!,"AAAAADza794=")</f>
        <v>#REF!</v>
      </c>
      <c r="HP78" t="e">
        <f>AND(#REF!,"AAAAADza798=")</f>
        <v>#REF!</v>
      </c>
      <c r="HQ78" t="e">
        <f>AND(#REF!,"AAAAADza7+A=")</f>
        <v>#REF!</v>
      </c>
      <c r="HR78" t="e">
        <f>AND(#REF!,"AAAAADza7+E=")</f>
        <v>#REF!</v>
      </c>
      <c r="HS78" t="e">
        <f>AND(#REF!,"AAAAADza7+I=")</f>
        <v>#REF!</v>
      </c>
      <c r="HT78" t="e">
        <f>AND(#REF!,"AAAAADza7+M=")</f>
        <v>#REF!</v>
      </c>
      <c r="HU78" t="e">
        <f>AND(#REF!,"AAAAADza7+Q=")</f>
        <v>#REF!</v>
      </c>
      <c r="HV78" t="e">
        <f>AND(#REF!,"AAAAADza7+U=")</f>
        <v>#REF!</v>
      </c>
      <c r="HW78" t="e">
        <f>AND(#REF!,"AAAAADza7+Y=")</f>
        <v>#REF!</v>
      </c>
      <c r="HX78" t="e">
        <f>AND(#REF!,"AAAAADza7+c=")</f>
        <v>#REF!</v>
      </c>
      <c r="HY78" t="e">
        <f>AND(#REF!,"AAAAADza7+g=")</f>
        <v>#REF!</v>
      </c>
      <c r="HZ78" t="e">
        <f>AND(#REF!,"AAAAADza7+k=")</f>
        <v>#REF!</v>
      </c>
      <c r="IA78" t="e">
        <f>AND(#REF!,"AAAAADza7+o=")</f>
        <v>#REF!</v>
      </c>
      <c r="IB78" t="e">
        <f>AND(#REF!,"AAAAADza7+s=")</f>
        <v>#REF!</v>
      </c>
      <c r="IC78" t="e">
        <f>AND(#REF!,"AAAAADza7+w=")</f>
        <v>#REF!</v>
      </c>
      <c r="ID78" t="e">
        <f>AND(#REF!,"AAAAADza7+0=")</f>
        <v>#REF!</v>
      </c>
      <c r="IE78" t="e">
        <f>AND(#REF!,"AAAAADza7+4=")</f>
        <v>#REF!</v>
      </c>
      <c r="IF78" t="e">
        <f>AND(#REF!,"AAAAADza7+8=")</f>
        <v>#REF!</v>
      </c>
      <c r="IG78" t="e">
        <f>AND(#REF!,"AAAAADza7/A=")</f>
        <v>#REF!</v>
      </c>
      <c r="IH78" t="e">
        <f>AND(#REF!,"AAAAADza7/E=")</f>
        <v>#REF!</v>
      </c>
      <c r="II78" t="e">
        <f>AND(#REF!,"AAAAADza7/I=")</f>
        <v>#REF!</v>
      </c>
      <c r="IJ78" t="e">
        <f>AND(#REF!,"AAAAADza7/M=")</f>
        <v>#REF!</v>
      </c>
      <c r="IK78" t="e">
        <f>AND(#REF!,"AAAAADza7/Q=")</f>
        <v>#REF!</v>
      </c>
      <c r="IL78" t="e">
        <f>AND(#REF!,"AAAAADza7/U=")</f>
        <v>#REF!</v>
      </c>
      <c r="IM78" t="e">
        <f>AND(#REF!,"AAAAADza7/Y=")</f>
        <v>#REF!</v>
      </c>
      <c r="IN78" t="e">
        <f>AND(#REF!,"AAAAADza7/c=")</f>
        <v>#REF!</v>
      </c>
      <c r="IO78" t="e">
        <f>AND(#REF!,"AAAAADza7/g=")</f>
        <v>#REF!</v>
      </c>
      <c r="IP78" t="e">
        <f>AND(#REF!,"AAAAADza7/k=")</f>
        <v>#REF!</v>
      </c>
      <c r="IQ78" t="e">
        <f>AND(#REF!,"AAAAADza7/o=")</f>
        <v>#REF!</v>
      </c>
      <c r="IR78" t="e">
        <f>AND(#REF!,"AAAAADza7/s=")</f>
        <v>#REF!</v>
      </c>
      <c r="IS78" t="e">
        <f>AND(#REF!,"AAAAADza7/w=")</f>
        <v>#REF!</v>
      </c>
      <c r="IT78" t="e">
        <f>AND(#REF!,"AAAAADza7/0=")</f>
        <v>#REF!</v>
      </c>
      <c r="IU78" t="e">
        <f>AND(#REF!,"AAAAADza7/4=")</f>
        <v>#REF!</v>
      </c>
      <c r="IV78" t="e">
        <f>AND(#REF!,"AAAAADza7/8=")</f>
        <v>#REF!</v>
      </c>
    </row>
    <row r="79" spans="1:256" x14ac:dyDescent="0.2">
      <c r="A79" t="e">
        <f>AND(#REF!,"AAAAAHr93QA=")</f>
        <v>#REF!</v>
      </c>
      <c r="B79" t="e">
        <f>AND(#REF!,"AAAAAHr93QE=")</f>
        <v>#REF!</v>
      </c>
      <c r="C79" t="e">
        <f>AND(#REF!,"AAAAAHr93QI=")</f>
        <v>#REF!</v>
      </c>
      <c r="D79" t="e">
        <f>AND(#REF!,"AAAAAHr93QM=")</f>
        <v>#REF!</v>
      </c>
      <c r="E79" t="e">
        <f>AND(#REF!,"AAAAAHr93QQ=")</f>
        <v>#REF!</v>
      </c>
      <c r="F79" t="e">
        <f>AND(#REF!,"AAAAAHr93QU=")</f>
        <v>#REF!</v>
      </c>
      <c r="G79" t="e">
        <f>AND(#REF!,"AAAAAHr93QY=")</f>
        <v>#REF!</v>
      </c>
      <c r="H79" t="e">
        <f>AND(#REF!,"AAAAAHr93Qc=")</f>
        <v>#REF!</v>
      </c>
      <c r="I79" t="e">
        <f>AND(#REF!,"AAAAAHr93Qg=")</f>
        <v>#REF!</v>
      </c>
      <c r="J79" t="e">
        <f>AND(#REF!,"AAAAAHr93Qk=")</f>
        <v>#REF!</v>
      </c>
      <c r="K79" t="e">
        <f>AND(#REF!,"AAAAAHr93Qo=")</f>
        <v>#REF!</v>
      </c>
      <c r="L79" t="e">
        <f>AND(#REF!,"AAAAAHr93Qs=")</f>
        <v>#REF!</v>
      </c>
      <c r="M79" t="e">
        <f>AND(#REF!,"AAAAAHr93Qw=")</f>
        <v>#REF!</v>
      </c>
      <c r="N79" t="e">
        <f>AND(#REF!,"AAAAAHr93Q0=")</f>
        <v>#REF!</v>
      </c>
      <c r="O79" t="e">
        <f>AND(#REF!,"AAAAAHr93Q4=")</f>
        <v>#REF!</v>
      </c>
      <c r="P79" t="e">
        <f>AND(#REF!,"AAAAAHr93Q8=")</f>
        <v>#REF!</v>
      </c>
      <c r="Q79" t="e">
        <f>AND(#REF!,"AAAAAHr93RA=")</f>
        <v>#REF!</v>
      </c>
      <c r="R79" t="e">
        <f>AND(#REF!,"AAAAAHr93RE=")</f>
        <v>#REF!</v>
      </c>
      <c r="S79" t="e">
        <f>AND(#REF!,"AAAAAHr93RI=")</f>
        <v>#REF!</v>
      </c>
      <c r="T79" t="e">
        <f>AND(#REF!,"AAAAAHr93RM=")</f>
        <v>#REF!</v>
      </c>
      <c r="U79" t="e">
        <f>AND(#REF!,"AAAAAHr93RQ=")</f>
        <v>#REF!</v>
      </c>
      <c r="V79" t="e">
        <f>AND(#REF!,"AAAAAHr93RU=")</f>
        <v>#REF!</v>
      </c>
      <c r="W79" t="e">
        <f>AND(#REF!,"AAAAAHr93RY=")</f>
        <v>#REF!</v>
      </c>
      <c r="X79" t="e">
        <f>AND(#REF!,"AAAAAHr93Rc=")</f>
        <v>#REF!</v>
      </c>
      <c r="Y79" t="e">
        <f>AND(#REF!,"AAAAAHr93Rg=")</f>
        <v>#REF!</v>
      </c>
      <c r="Z79" t="e">
        <f>AND(#REF!,"AAAAAHr93Rk=")</f>
        <v>#REF!</v>
      </c>
      <c r="AA79" t="e">
        <f>AND(#REF!,"AAAAAHr93Ro=")</f>
        <v>#REF!</v>
      </c>
      <c r="AB79" t="e">
        <f>AND(#REF!,"AAAAAHr93Rs=")</f>
        <v>#REF!</v>
      </c>
      <c r="AC79" t="e">
        <f>AND(#REF!,"AAAAAHr93Rw=")</f>
        <v>#REF!</v>
      </c>
      <c r="AD79" t="e">
        <f>AND(#REF!,"AAAAAHr93R0=")</f>
        <v>#REF!</v>
      </c>
      <c r="AE79" t="e">
        <f>AND(#REF!,"AAAAAHr93R4=")</f>
        <v>#REF!</v>
      </c>
      <c r="AF79" t="e">
        <f>AND(#REF!,"AAAAAHr93R8=")</f>
        <v>#REF!</v>
      </c>
      <c r="AG79" t="e">
        <f>AND(#REF!,"AAAAAHr93SA=")</f>
        <v>#REF!</v>
      </c>
      <c r="AH79" t="e">
        <f>AND(#REF!,"AAAAAHr93SE=")</f>
        <v>#REF!</v>
      </c>
      <c r="AI79" t="e">
        <f>AND(#REF!,"AAAAAHr93SI=")</f>
        <v>#REF!</v>
      </c>
      <c r="AJ79" t="e">
        <f>AND(#REF!,"AAAAAHr93SM=")</f>
        <v>#REF!</v>
      </c>
      <c r="AK79" t="e">
        <f>AND(#REF!,"AAAAAHr93SQ=")</f>
        <v>#REF!</v>
      </c>
      <c r="AL79" t="e">
        <f>AND(#REF!,"AAAAAHr93SU=")</f>
        <v>#REF!</v>
      </c>
      <c r="AM79" t="e">
        <f>AND(#REF!,"AAAAAHr93SY=")</f>
        <v>#REF!</v>
      </c>
      <c r="AN79" t="e">
        <f>AND(#REF!,"AAAAAHr93Sc=")</f>
        <v>#REF!</v>
      </c>
      <c r="AO79" t="e">
        <f>AND(#REF!,"AAAAAHr93Sg=")</f>
        <v>#REF!</v>
      </c>
      <c r="AP79" t="e">
        <f>AND(#REF!,"AAAAAHr93Sk=")</f>
        <v>#REF!</v>
      </c>
      <c r="AQ79" t="e">
        <f>AND(#REF!,"AAAAAHr93So=")</f>
        <v>#REF!</v>
      </c>
      <c r="AR79" t="e">
        <f>AND(#REF!,"AAAAAHr93Ss=")</f>
        <v>#REF!</v>
      </c>
      <c r="AS79" t="e">
        <f>AND(#REF!,"AAAAAHr93Sw=")</f>
        <v>#REF!</v>
      </c>
      <c r="AT79" t="e">
        <f>AND(#REF!,"AAAAAHr93S0=")</f>
        <v>#REF!</v>
      </c>
      <c r="AU79" t="e">
        <f>AND(#REF!,"AAAAAHr93S4=")</f>
        <v>#REF!</v>
      </c>
      <c r="AV79" t="e">
        <f>AND(#REF!,"AAAAAHr93S8=")</f>
        <v>#REF!</v>
      </c>
      <c r="AW79" t="e">
        <f>AND(#REF!,"AAAAAHr93TA=")</f>
        <v>#REF!</v>
      </c>
      <c r="AX79" t="e">
        <f>AND(#REF!,"AAAAAHr93TE=")</f>
        <v>#REF!</v>
      </c>
      <c r="AY79" t="e">
        <f>AND(#REF!,"AAAAAHr93TI=")</f>
        <v>#REF!</v>
      </c>
      <c r="AZ79" t="e">
        <f>AND(#REF!,"AAAAAHr93TM=")</f>
        <v>#REF!</v>
      </c>
      <c r="BA79" t="e">
        <f>AND(#REF!,"AAAAAHr93TQ=")</f>
        <v>#REF!</v>
      </c>
      <c r="BB79" t="e">
        <f>AND(#REF!,"AAAAAHr93TU=")</f>
        <v>#REF!</v>
      </c>
      <c r="BC79" t="e">
        <f>AND(#REF!,"AAAAAHr93TY=")</f>
        <v>#REF!</v>
      </c>
      <c r="BD79" t="e">
        <f>AND(#REF!,"AAAAAHr93Tc=")</f>
        <v>#REF!</v>
      </c>
      <c r="BE79" t="e">
        <f>AND(#REF!,"AAAAAHr93Tg=")</f>
        <v>#REF!</v>
      </c>
      <c r="BF79" t="e">
        <f>AND(#REF!,"AAAAAHr93Tk=")</f>
        <v>#REF!</v>
      </c>
      <c r="BG79" t="e">
        <f>AND(#REF!,"AAAAAHr93To=")</f>
        <v>#REF!</v>
      </c>
      <c r="BH79" t="e">
        <f>AND(#REF!,"AAAAAHr93Ts=")</f>
        <v>#REF!</v>
      </c>
      <c r="BI79" t="e">
        <f>AND(#REF!,"AAAAAHr93Tw=")</f>
        <v>#REF!</v>
      </c>
      <c r="BJ79" t="e">
        <f>AND(#REF!,"AAAAAHr93T0=")</f>
        <v>#REF!</v>
      </c>
      <c r="BK79" t="e">
        <f>AND(#REF!,"AAAAAHr93T4=")</f>
        <v>#REF!</v>
      </c>
      <c r="BL79" t="e">
        <f>AND(#REF!,"AAAAAHr93T8=")</f>
        <v>#REF!</v>
      </c>
      <c r="BM79" t="e">
        <f>AND(#REF!,"AAAAAHr93UA=")</f>
        <v>#REF!</v>
      </c>
      <c r="BN79" t="e">
        <f>AND(#REF!,"AAAAAHr93UE=")</f>
        <v>#REF!</v>
      </c>
      <c r="BO79" t="e">
        <f>AND(#REF!,"AAAAAHr93UI=")</f>
        <v>#REF!</v>
      </c>
      <c r="BP79" t="e">
        <f>AND(#REF!,"AAAAAHr93UM=")</f>
        <v>#REF!</v>
      </c>
      <c r="BQ79" t="e">
        <f>AND(#REF!,"AAAAAHr93UQ=")</f>
        <v>#REF!</v>
      </c>
      <c r="BR79" t="e">
        <f>AND(#REF!,"AAAAAHr93UU=")</f>
        <v>#REF!</v>
      </c>
      <c r="BS79" t="e">
        <f>AND(#REF!,"AAAAAHr93UY=")</f>
        <v>#REF!</v>
      </c>
      <c r="BT79" t="e">
        <f>AND(#REF!,"AAAAAHr93Uc=")</f>
        <v>#REF!</v>
      </c>
      <c r="BU79" t="e">
        <f>AND(#REF!,"AAAAAHr93Ug=")</f>
        <v>#REF!</v>
      </c>
      <c r="BV79" t="e">
        <f>AND(#REF!,"AAAAAHr93Uk=")</f>
        <v>#REF!</v>
      </c>
      <c r="BW79" t="e">
        <f>AND(#REF!,"AAAAAHr93Uo=")</f>
        <v>#REF!</v>
      </c>
      <c r="BX79" t="e">
        <f>AND(#REF!,"AAAAAHr93Us=")</f>
        <v>#REF!</v>
      </c>
      <c r="BY79" t="e">
        <f>AND(#REF!,"AAAAAHr93Uw=")</f>
        <v>#REF!</v>
      </c>
      <c r="BZ79" t="e">
        <f>AND(#REF!,"AAAAAHr93U0=")</f>
        <v>#REF!</v>
      </c>
      <c r="CA79" t="e">
        <f>AND(#REF!,"AAAAAHr93U4=")</f>
        <v>#REF!</v>
      </c>
      <c r="CB79" t="e">
        <f>AND(#REF!,"AAAAAHr93U8=")</f>
        <v>#REF!</v>
      </c>
      <c r="CC79" t="e">
        <f>AND(#REF!,"AAAAAHr93VA=")</f>
        <v>#REF!</v>
      </c>
      <c r="CD79" t="e">
        <f>AND(#REF!,"AAAAAHr93VE=")</f>
        <v>#REF!</v>
      </c>
      <c r="CE79" t="e">
        <f>AND(#REF!,"AAAAAHr93VI=")</f>
        <v>#REF!</v>
      </c>
      <c r="CF79" t="e">
        <f>AND(#REF!,"AAAAAHr93VM=")</f>
        <v>#REF!</v>
      </c>
      <c r="CG79" t="e">
        <f>AND(#REF!,"AAAAAHr93VQ=")</f>
        <v>#REF!</v>
      </c>
      <c r="CH79" t="e">
        <f>AND(#REF!,"AAAAAHr93VU=")</f>
        <v>#REF!</v>
      </c>
      <c r="CI79" t="e">
        <f>AND(#REF!,"AAAAAHr93VY=")</f>
        <v>#REF!</v>
      </c>
      <c r="CJ79" t="e">
        <f>AND(#REF!,"AAAAAHr93Vc=")</f>
        <v>#REF!</v>
      </c>
      <c r="CK79" t="e">
        <f>AND(#REF!,"AAAAAHr93Vg=")</f>
        <v>#REF!</v>
      </c>
      <c r="CL79" t="e">
        <f>AND(#REF!,"AAAAAHr93Vk=")</f>
        <v>#REF!</v>
      </c>
      <c r="CM79" t="e">
        <f>AND(#REF!,"AAAAAHr93Vo=")</f>
        <v>#REF!</v>
      </c>
      <c r="CN79" t="e">
        <f>AND(#REF!,"AAAAAHr93Vs=")</f>
        <v>#REF!</v>
      </c>
      <c r="CO79" t="e">
        <f>AND(#REF!,"AAAAAHr93Vw=")</f>
        <v>#REF!</v>
      </c>
      <c r="CP79" t="e">
        <f>AND(#REF!,"AAAAAHr93V0=")</f>
        <v>#REF!</v>
      </c>
      <c r="CQ79" t="e">
        <f>AND(#REF!,"AAAAAHr93V4=")</f>
        <v>#REF!</v>
      </c>
      <c r="CR79" t="e">
        <f>AND(#REF!,"AAAAAHr93V8=")</f>
        <v>#REF!</v>
      </c>
      <c r="CS79" t="e">
        <f>AND(#REF!,"AAAAAHr93WA=")</f>
        <v>#REF!</v>
      </c>
      <c r="CT79" t="e">
        <f>AND(#REF!,"AAAAAHr93WE=")</f>
        <v>#REF!</v>
      </c>
      <c r="CU79" t="e">
        <f>AND(#REF!,"AAAAAHr93WI=")</f>
        <v>#REF!</v>
      </c>
      <c r="CV79" t="e">
        <f>AND(#REF!,"AAAAAHr93WM=")</f>
        <v>#REF!</v>
      </c>
      <c r="CW79" t="e">
        <f>AND(#REF!,"AAAAAHr93WQ=")</f>
        <v>#REF!</v>
      </c>
      <c r="CX79" t="e">
        <f>AND(#REF!,"AAAAAHr93WU=")</f>
        <v>#REF!</v>
      </c>
      <c r="CY79" t="e">
        <f>AND(#REF!,"AAAAAHr93WY=")</f>
        <v>#REF!</v>
      </c>
      <c r="CZ79" t="e">
        <f>AND(#REF!,"AAAAAHr93Wc=")</f>
        <v>#REF!</v>
      </c>
      <c r="DA79" t="e">
        <f>AND(#REF!,"AAAAAHr93Wg=")</f>
        <v>#REF!</v>
      </c>
      <c r="DB79" t="e">
        <f>AND(#REF!,"AAAAAHr93Wk=")</f>
        <v>#REF!</v>
      </c>
      <c r="DC79" t="e">
        <f>AND(#REF!,"AAAAAHr93Wo=")</f>
        <v>#REF!</v>
      </c>
      <c r="DD79" t="e">
        <f>AND(#REF!,"AAAAAHr93Ws=")</f>
        <v>#REF!</v>
      </c>
      <c r="DE79" t="e">
        <f>AND(#REF!,"AAAAAHr93Ww=")</f>
        <v>#REF!</v>
      </c>
      <c r="DF79" t="e">
        <f>AND(#REF!,"AAAAAHr93W0=")</f>
        <v>#REF!</v>
      </c>
      <c r="DG79" t="e">
        <f>AND(#REF!,"AAAAAHr93W4=")</f>
        <v>#REF!</v>
      </c>
      <c r="DH79" t="e">
        <f>AND(#REF!,"AAAAAHr93W8=")</f>
        <v>#REF!</v>
      </c>
      <c r="DI79" t="e">
        <f>AND(#REF!,"AAAAAHr93XA=")</f>
        <v>#REF!</v>
      </c>
      <c r="DJ79" t="e">
        <f>AND(#REF!,"AAAAAHr93XE=")</f>
        <v>#REF!</v>
      </c>
      <c r="DK79" t="e">
        <f>AND(#REF!,"AAAAAHr93XI=")</f>
        <v>#REF!</v>
      </c>
      <c r="DL79" t="e">
        <f>AND(#REF!,"AAAAAHr93XM=")</f>
        <v>#REF!</v>
      </c>
      <c r="DM79" t="e">
        <f>AND(#REF!,"AAAAAHr93XQ=")</f>
        <v>#REF!</v>
      </c>
      <c r="DN79" t="e">
        <f>AND(#REF!,"AAAAAHr93XU=")</f>
        <v>#REF!</v>
      </c>
      <c r="DO79" t="e">
        <f>AND(#REF!,"AAAAAHr93XY=")</f>
        <v>#REF!</v>
      </c>
      <c r="DP79" t="e">
        <f>AND(#REF!,"AAAAAHr93Xc=")</f>
        <v>#REF!</v>
      </c>
      <c r="DQ79" t="e">
        <f>AND(#REF!,"AAAAAHr93Xg=")</f>
        <v>#REF!</v>
      </c>
      <c r="DR79" t="e">
        <f>AND(#REF!,"AAAAAHr93Xk=")</f>
        <v>#REF!</v>
      </c>
      <c r="DS79" t="e">
        <f>AND(#REF!,"AAAAAHr93Xo=")</f>
        <v>#REF!</v>
      </c>
      <c r="DT79" t="e">
        <f>AND(#REF!,"AAAAAHr93Xs=")</f>
        <v>#REF!</v>
      </c>
      <c r="DU79" t="e">
        <f>AND(#REF!,"AAAAAHr93Xw=")</f>
        <v>#REF!</v>
      </c>
      <c r="DV79" t="e">
        <f>AND(#REF!,"AAAAAHr93X0=")</f>
        <v>#REF!</v>
      </c>
      <c r="DW79" t="e">
        <f>AND(#REF!,"AAAAAHr93X4=")</f>
        <v>#REF!</v>
      </c>
      <c r="DX79" t="e">
        <f>AND(#REF!,"AAAAAHr93X8=")</f>
        <v>#REF!</v>
      </c>
      <c r="DY79" t="e">
        <f>AND(#REF!,"AAAAAHr93YA=")</f>
        <v>#REF!</v>
      </c>
      <c r="DZ79" t="e">
        <f>AND(#REF!,"AAAAAHr93YE=")</f>
        <v>#REF!</v>
      </c>
      <c r="EA79" t="e">
        <f>AND(#REF!,"AAAAAHr93YI=")</f>
        <v>#REF!</v>
      </c>
      <c r="EB79" t="e">
        <f>AND(#REF!,"AAAAAHr93YM=")</f>
        <v>#REF!</v>
      </c>
      <c r="EC79" t="e">
        <f>AND(#REF!,"AAAAAHr93YQ=")</f>
        <v>#REF!</v>
      </c>
      <c r="ED79" t="e">
        <f>AND(#REF!,"AAAAAHr93YU=")</f>
        <v>#REF!</v>
      </c>
      <c r="EE79" t="e">
        <f>AND(#REF!,"AAAAAHr93YY=")</f>
        <v>#REF!</v>
      </c>
      <c r="EF79" t="e">
        <f>AND(#REF!,"AAAAAHr93Yc=")</f>
        <v>#REF!</v>
      </c>
      <c r="EG79" t="e">
        <f>AND(#REF!,"AAAAAHr93Yg=")</f>
        <v>#REF!</v>
      </c>
      <c r="EH79" t="e">
        <f>AND(#REF!,"AAAAAHr93Yk=")</f>
        <v>#REF!</v>
      </c>
      <c r="EI79" t="e">
        <f>AND(#REF!,"AAAAAHr93Yo=")</f>
        <v>#REF!</v>
      </c>
      <c r="EJ79" t="e">
        <f>AND(#REF!,"AAAAAHr93Ys=")</f>
        <v>#REF!</v>
      </c>
      <c r="EK79" t="e">
        <f>IF(#REF!,"AAAAAHr93Yw=",0)</f>
        <v>#REF!</v>
      </c>
      <c r="EL79" t="e">
        <f>AND(#REF!,"AAAAAHr93Y0=")</f>
        <v>#REF!</v>
      </c>
      <c r="EM79" t="e">
        <f>AND(#REF!,"AAAAAHr93Y4=")</f>
        <v>#REF!</v>
      </c>
      <c r="EN79" t="e">
        <f>AND(#REF!,"AAAAAHr93Y8=")</f>
        <v>#REF!</v>
      </c>
      <c r="EO79" t="e">
        <f>AND(#REF!,"AAAAAHr93ZA=")</f>
        <v>#REF!</v>
      </c>
      <c r="EP79" t="e">
        <f>AND(#REF!,"AAAAAHr93ZE=")</f>
        <v>#REF!</v>
      </c>
      <c r="EQ79" t="e">
        <f>AND(#REF!,"AAAAAHr93ZI=")</f>
        <v>#REF!</v>
      </c>
      <c r="ER79" t="e">
        <f>AND(#REF!,"AAAAAHr93ZM=")</f>
        <v>#REF!</v>
      </c>
      <c r="ES79" t="e">
        <f>AND(#REF!,"AAAAAHr93ZQ=")</f>
        <v>#REF!</v>
      </c>
      <c r="ET79" t="e">
        <f>AND(#REF!,"AAAAAHr93ZU=")</f>
        <v>#REF!</v>
      </c>
      <c r="EU79" t="e">
        <f>AND(#REF!,"AAAAAHr93ZY=")</f>
        <v>#REF!</v>
      </c>
      <c r="EV79" t="e">
        <f>AND(#REF!,"AAAAAHr93Zc=")</f>
        <v>#REF!</v>
      </c>
      <c r="EW79" t="e">
        <f>AND(#REF!,"AAAAAHr93Zg=")</f>
        <v>#REF!</v>
      </c>
      <c r="EX79" t="e">
        <f>AND(#REF!,"AAAAAHr93Zk=")</f>
        <v>#REF!</v>
      </c>
      <c r="EY79" t="e">
        <f>AND(#REF!,"AAAAAHr93Zo=")</f>
        <v>#REF!</v>
      </c>
      <c r="EZ79" t="e">
        <f>AND(#REF!,"AAAAAHr93Zs=")</f>
        <v>#REF!</v>
      </c>
      <c r="FA79" t="e">
        <f>AND(#REF!,"AAAAAHr93Zw=")</f>
        <v>#REF!</v>
      </c>
      <c r="FB79" t="e">
        <f>AND(#REF!,"AAAAAHr93Z0=")</f>
        <v>#REF!</v>
      </c>
      <c r="FC79" t="e">
        <f>AND(#REF!,"AAAAAHr93Z4=")</f>
        <v>#REF!</v>
      </c>
      <c r="FD79" t="e">
        <f>AND(#REF!,"AAAAAHr93Z8=")</f>
        <v>#REF!</v>
      </c>
      <c r="FE79" t="e">
        <f>AND(#REF!,"AAAAAHr93aA=")</f>
        <v>#REF!</v>
      </c>
      <c r="FF79" t="e">
        <f>AND(#REF!,"AAAAAHr93aE=")</f>
        <v>#REF!</v>
      </c>
      <c r="FG79" t="e">
        <f>AND(#REF!,"AAAAAHr93aI=")</f>
        <v>#REF!</v>
      </c>
      <c r="FH79" t="e">
        <f>AND(#REF!,"AAAAAHr93aM=")</f>
        <v>#REF!</v>
      </c>
      <c r="FI79" t="e">
        <f>AND(#REF!,"AAAAAHr93aQ=")</f>
        <v>#REF!</v>
      </c>
      <c r="FJ79" t="e">
        <f>AND(#REF!,"AAAAAHr93aU=")</f>
        <v>#REF!</v>
      </c>
      <c r="FK79" t="e">
        <f>AND(#REF!,"AAAAAHr93aY=")</f>
        <v>#REF!</v>
      </c>
      <c r="FL79" t="e">
        <f>AND(#REF!,"AAAAAHr93ac=")</f>
        <v>#REF!</v>
      </c>
      <c r="FM79" t="e">
        <f>AND(#REF!,"AAAAAHr93ag=")</f>
        <v>#REF!</v>
      </c>
      <c r="FN79" t="e">
        <f>AND(#REF!,"AAAAAHr93ak=")</f>
        <v>#REF!</v>
      </c>
      <c r="FO79" t="e">
        <f>AND(#REF!,"AAAAAHr93ao=")</f>
        <v>#REF!</v>
      </c>
      <c r="FP79" t="e">
        <f>AND(#REF!,"AAAAAHr93as=")</f>
        <v>#REF!</v>
      </c>
      <c r="FQ79" t="e">
        <f>AND(#REF!,"AAAAAHr93aw=")</f>
        <v>#REF!</v>
      </c>
      <c r="FR79" t="e">
        <f>AND(#REF!,"AAAAAHr93a0=")</f>
        <v>#REF!</v>
      </c>
      <c r="FS79" t="e">
        <f>AND(#REF!,"AAAAAHr93a4=")</f>
        <v>#REF!</v>
      </c>
      <c r="FT79" t="e">
        <f>AND(#REF!,"AAAAAHr93a8=")</f>
        <v>#REF!</v>
      </c>
      <c r="FU79" t="e">
        <f>AND(#REF!,"AAAAAHr93bA=")</f>
        <v>#REF!</v>
      </c>
      <c r="FV79" t="e">
        <f>AND(#REF!,"AAAAAHr93bE=")</f>
        <v>#REF!</v>
      </c>
      <c r="FW79" t="e">
        <f>AND(#REF!,"AAAAAHr93bI=")</f>
        <v>#REF!</v>
      </c>
      <c r="FX79" t="e">
        <f>AND(#REF!,"AAAAAHr93bM=")</f>
        <v>#REF!</v>
      </c>
      <c r="FY79" t="e">
        <f>AND(#REF!,"AAAAAHr93bQ=")</f>
        <v>#REF!</v>
      </c>
      <c r="FZ79" t="e">
        <f>AND(#REF!,"AAAAAHr93bU=")</f>
        <v>#REF!</v>
      </c>
      <c r="GA79" t="e">
        <f>AND(#REF!,"AAAAAHr93bY=")</f>
        <v>#REF!</v>
      </c>
      <c r="GB79" t="e">
        <f>AND(#REF!,"AAAAAHr93bc=")</f>
        <v>#REF!</v>
      </c>
      <c r="GC79" t="e">
        <f>AND(#REF!,"AAAAAHr93bg=")</f>
        <v>#REF!</v>
      </c>
      <c r="GD79" t="e">
        <f>AND(#REF!,"AAAAAHr93bk=")</f>
        <v>#REF!</v>
      </c>
      <c r="GE79" t="e">
        <f>AND(#REF!,"AAAAAHr93bo=")</f>
        <v>#REF!</v>
      </c>
      <c r="GF79" t="e">
        <f>AND(#REF!,"AAAAAHr93bs=")</f>
        <v>#REF!</v>
      </c>
      <c r="GG79" t="e">
        <f>AND(#REF!,"AAAAAHr93bw=")</f>
        <v>#REF!</v>
      </c>
      <c r="GH79" t="e">
        <f>AND(#REF!,"AAAAAHr93b0=")</f>
        <v>#REF!</v>
      </c>
      <c r="GI79" t="e">
        <f>AND(#REF!,"AAAAAHr93b4=")</f>
        <v>#REF!</v>
      </c>
      <c r="GJ79" t="e">
        <f>AND(#REF!,"AAAAAHr93b8=")</f>
        <v>#REF!</v>
      </c>
      <c r="GK79" t="e">
        <f>AND(#REF!,"AAAAAHr93cA=")</f>
        <v>#REF!</v>
      </c>
      <c r="GL79" t="e">
        <f>AND(#REF!,"AAAAAHr93cE=")</f>
        <v>#REF!</v>
      </c>
      <c r="GM79" t="e">
        <f>AND(#REF!,"AAAAAHr93cI=")</f>
        <v>#REF!</v>
      </c>
      <c r="GN79" t="e">
        <f>AND(#REF!,"AAAAAHr93cM=")</f>
        <v>#REF!</v>
      </c>
      <c r="GO79" t="e">
        <f>AND(#REF!,"AAAAAHr93cQ=")</f>
        <v>#REF!</v>
      </c>
      <c r="GP79" t="e">
        <f>AND(#REF!,"AAAAAHr93cU=")</f>
        <v>#REF!</v>
      </c>
      <c r="GQ79" t="e">
        <f>AND(#REF!,"AAAAAHr93cY=")</f>
        <v>#REF!</v>
      </c>
      <c r="GR79" t="e">
        <f>AND(#REF!,"AAAAAHr93cc=")</f>
        <v>#REF!</v>
      </c>
      <c r="GS79" t="e">
        <f>AND(#REF!,"AAAAAHr93cg=")</f>
        <v>#REF!</v>
      </c>
      <c r="GT79" t="e">
        <f>AND(#REF!,"AAAAAHr93ck=")</f>
        <v>#REF!</v>
      </c>
      <c r="GU79" t="e">
        <f>AND(#REF!,"AAAAAHr93co=")</f>
        <v>#REF!</v>
      </c>
      <c r="GV79" t="e">
        <f>AND(#REF!,"AAAAAHr93cs=")</f>
        <v>#REF!</v>
      </c>
      <c r="GW79" t="e">
        <f>AND(#REF!,"AAAAAHr93cw=")</f>
        <v>#REF!</v>
      </c>
      <c r="GX79" t="e">
        <f>AND(#REF!,"AAAAAHr93c0=")</f>
        <v>#REF!</v>
      </c>
      <c r="GY79" t="e">
        <f>AND(#REF!,"AAAAAHr93c4=")</f>
        <v>#REF!</v>
      </c>
      <c r="GZ79" t="e">
        <f>AND(#REF!,"AAAAAHr93c8=")</f>
        <v>#REF!</v>
      </c>
      <c r="HA79" t="e">
        <f>AND(#REF!,"AAAAAHr93dA=")</f>
        <v>#REF!</v>
      </c>
      <c r="HB79" t="e">
        <f>AND(#REF!,"AAAAAHr93dE=")</f>
        <v>#REF!</v>
      </c>
      <c r="HC79" t="e">
        <f>AND(#REF!,"AAAAAHr93dI=")</f>
        <v>#REF!</v>
      </c>
      <c r="HD79" t="e">
        <f>AND(#REF!,"AAAAAHr93dM=")</f>
        <v>#REF!</v>
      </c>
      <c r="HE79" t="e">
        <f>AND(#REF!,"AAAAAHr93dQ=")</f>
        <v>#REF!</v>
      </c>
      <c r="HF79" t="e">
        <f>AND(#REF!,"AAAAAHr93dU=")</f>
        <v>#REF!</v>
      </c>
      <c r="HG79" t="e">
        <f>AND(#REF!,"AAAAAHr93dY=")</f>
        <v>#REF!</v>
      </c>
      <c r="HH79" t="e">
        <f>AND(#REF!,"AAAAAHr93dc=")</f>
        <v>#REF!</v>
      </c>
      <c r="HI79" t="e">
        <f>AND(#REF!,"AAAAAHr93dg=")</f>
        <v>#REF!</v>
      </c>
      <c r="HJ79" t="e">
        <f>AND(#REF!,"AAAAAHr93dk=")</f>
        <v>#REF!</v>
      </c>
      <c r="HK79" t="e">
        <f>AND(#REF!,"AAAAAHr93do=")</f>
        <v>#REF!</v>
      </c>
      <c r="HL79" t="e">
        <f>AND(#REF!,"AAAAAHr93ds=")</f>
        <v>#REF!</v>
      </c>
      <c r="HM79" t="e">
        <f>AND(#REF!,"AAAAAHr93dw=")</f>
        <v>#REF!</v>
      </c>
      <c r="HN79" t="e">
        <f>AND(#REF!,"AAAAAHr93d0=")</f>
        <v>#REF!</v>
      </c>
      <c r="HO79" t="e">
        <f>AND(#REF!,"AAAAAHr93d4=")</f>
        <v>#REF!</v>
      </c>
      <c r="HP79" t="e">
        <f>AND(#REF!,"AAAAAHr93d8=")</f>
        <v>#REF!</v>
      </c>
      <c r="HQ79" t="e">
        <f>AND(#REF!,"AAAAAHr93eA=")</f>
        <v>#REF!</v>
      </c>
      <c r="HR79" t="e">
        <f>AND(#REF!,"AAAAAHr93eE=")</f>
        <v>#REF!</v>
      </c>
      <c r="HS79" t="e">
        <f>AND(#REF!,"AAAAAHr93eI=")</f>
        <v>#REF!</v>
      </c>
      <c r="HT79" t="e">
        <f>AND(#REF!,"AAAAAHr93eM=")</f>
        <v>#REF!</v>
      </c>
      <c r="HU79" t="e">
        <f>AND(#REF!,"AAAAAHr93eQ=")</f>
        <v>#REF!</v>
      </c>
      <c r="HV79" t="e">
        <f>AND(#REF!,"AAAAAHr93eU=")</f>
        <v>#REF!</v>
      </c>
      <c r="HW79" t="e">
        <f>AND(#REF!,"AAAAAHr93eY=")</f>
        <v>#REF!</v>
      </c>
      <c r="HX79" t="e">
        <f>AND(#REF!,"AAAAAHr93ec=")</f>
        <v>#REF!</v>
      </c>
      <c r="HY79" t="e">
        <f>AND(#REF!,"AAAAAHr93eg=")</f>
        <v>#REF!</v>
      </c>
      <c r="HZ79" t="e">
        <f>AND(#REF!,"AAAAAHr93ek=")</f>
        <v>#REF!</v>
      </c>
      <c r="IA79" t="e">
        <f>AND(#REF!,"AAAAAHr93eo=")</f>
        <v>#REF!</v>
      </c>
      <c r="IB79" t="e">
        <f>AND(#REF!,"AAAAAHr93es=")</f>
        <v>#REF!</v>
      </c>
      <c r="IC79" t="e">
        <f>AND(#REF!,"AAAAAHr93ew=")</f>
        <v>#REF!</v>
      </c>
      <c r="ID79" t="e">
        <f>AND(#REF!,"AAAAAHr93e0=")</f>
        <v>#REF!</v>
      </c>
      <c r="IE79" t="e">
        <f>AND(#REF!,"AAAAAHr93e4=")</f>
        <v>#REF!</v>
      </c>
      <c r="IF79" t="e">
        <f>AND(#REF!,"AAAAAHr93e8=")</f>
        <v>#REF!</v>
      </c>
      <c r="IG79" t="e">
        <f>AND(#REF!,"AAAAAHr93fA=")</f>
        <v>#REF!</v>
      </c>
      <c r="IH79" t="e">
        <f>AND(#REF!,"AAAAAHr93fE=")</f>
        <v>#REF!</v>
      </c>
      <c r="II79" t="e">
        <f>AND(#REF!,"AAAAAHr93fI=")</f>
        <v>#REF!</v>
      </c>
      <c r="IJ79" t="e">
        <f>AND(#REF!,"AAAAAHr93fM=")</f>
        <v>#REF!</v>
      </c>
      <c r="IK79" t="e">
        <f>AND(#REF!,"AAAAAHr93fQ=")</f>
        <v>#REF!</v>
      </c>
      <c r="IL79" t="e">
        <f>AND(#REF!,"AAAAAHr93fU=")</f>
        <v>#REF!</v>
      </c>
      <c r="IM79" t="e">
        <f>AND(#REF!,"AAAAAHr93fY=")</f>
        <v>#REF!</v>
      </c>
      <c r="IN79" t="e">
        <f>AND(#REF!,"AAAAAHr93fc=")</f>
        <v>#REF!</v>
      </c>
      <c r="IO79" t="e">
        <f>AND(#REF!,"AAAAAHr93fg=")</f>
        <v>#REF!</v>
      </c>
      <c r="IP79" t="e">
        <f>AND(#REF!,"AAAAAHr93fk=")</f>
        <v>#REF!</v>
      </c>
      <c r="IQ79" t="e">
        <f>AND(#REF!,"AAAAAHr93fo=")</f>
        <v>#REF!</v>
      </c>
      <c r="IR79" t="e">
        <f>AND(#REF!,"AAAAAHr93fs=")</f>
        <v>#REF!</v>
      </c>
      <c r="IS79" t="e">
        <f>AND(#REF!,"AAAAAHr93fw=")</f>
        <v>#REF!</v>
      </c>
      <c r="IT79" t="e">
        <f>AND(#REF!,"AAAAAHr93f0=")</f>
        <v>#REF!</v>
      </c>
      <c r="IU79" t="e">
        <f>AND(#REF!,"AAAAAHr93f4=")</f>
        <v>#REF!</v>
      </c>
      <c r="IV79" t="e">
        <f>AND(#REF!,"AAAAAHr93f8=")</f>
        <v>#REF!</v>
      </c>
    </row>
    <row r="80" spans="1:256" x14ac:dyDescent="0.2">
      <c r="A80" t="e">
        <f>AND(#REF!,"AAAAAC7L9wA=")</f>
        <v>#REF!</v>
      </c>
      <c r="B80" t="e">
        <f>AND(#REF!,"AAAAAC7L9wE=")</f>
        <v>#REF!</v>
      </c>
      <c r="C80" t="e">
        <f>AND(#REF!,"AAAAAC7L9wI=")</f>
        <v>#REF!</v>
      </c>
      <c r="D80" t="e">
        <f>AND(#REF!,"AAAAAC7L9wM=")</f>
        <v>#REF!</v>
      </c>
      <c r="E80" t="e">
        <f>AND(#REF!,"AAAAAC7L9wQ=")</f>
        <v>#REF!</v>
      </c>
      <c r="F80" t="e">
        <f>AND(#REF!,"AAAAAC7L9wU=")</f>
        <v>#REF!</v>
      </c>
      <c r="G80" t="e">
        <f>AND(#REF!,"AAAAAC7L9wY=")</f>
        <v>#REF!</v>
      </c>
      <c r="H80" t="e">
        <f>AND(#REF!,"AAAAAC7L9wc=")</f>
        <v>#REF!</v>
      </c>
      <c r="I80" t="e">
        <f>AND(#REF!,"AAAAAC7L9wg=")</f>
        <v>#REF!</v>
      </c>
      <c r="J80" t="e">
        <f>AND(#REF!,"AAAAAC7L9wk=")</f>
        <v>#REF!</v>
      </c>
      <c r="K80" t="e">
        <f>AND(#REF!,"AAAAAC7L9wo=")</f>
        <v>#REF!</v>
      </c>
      <c r="L80" t="e">
        <f>AND(#REF!,"AAAAAC7L9ws=")</f>
        <v>#REF!</v>
      </c>
      <c r="M80" t="e">
        <f>AND(#REF!,"AAAAAC7L9ww=")</f>
        <v>#REF!</v>
      </c>
      <c r="N80" t="e">
        <f>AND(#REF!,"AAAAAC7L9w0=")</f>
        <v>#REF!</v>
      </c>
      <c r="O80" t="e">
        <f>AND(#REF!,"AAAAAC7L9w4=")</f>
        <v>#REF!</v>
      </c>
      <c r="P80" t="e">
        <f>AND(#REF!,"AAAAAC7L9w8=")</f>
        <v>#REF!</v>
      </c>
      <c r="Q80" t="e">
        <f>AND(#REF!,"AAAAAC7L9xA=")</f>
        <v>#REF!</v>
      </c>
      <c r="R80" t="e">
        <f>AND(#REF!,"AAAAAC7L9xE=")</f>
        <v>#REF!</v>
      </c>
      <c r="S80" t="e">
        <f>AND(#REF!,"AAAAAC7L9xI=")</f>
        <v>#REF!</v>
      </c>
      <c r="T80" t="e">
        <f>AND(#REF!,"AAAAAC7L9xM=")</f>
        <v>#REF!</v>
      </c>
      <c r="U80" t="e">
        <f>AND(#REF!,"AAAAAC7L9xQ=")</f>
        <v>#REF!</v>
      </c>
      <c r="V80" t="e">
        <f>AND(#REF!,"AAAAAC7L9xU=")</f>
        <v>#REF!</v>
      </c>
      <c r="W80" t="e">
        <f>AND(#REF!,"AAAAAC7L9xY=")</f>
        <v>#REF!</v>
      </c>
      <c r="X80" t="e">
        <f>AND(#REF!,"AAAAAC7L9xc=")</f>
        <v>#REF!</v>
      </c>
      <c r="Y80" t="e">
        <f>AND(#REF!,"AAAAAC7L9xg=")</f>
        <v>#REF!</v>
      </c>
      <c r="Z80" t="e">
        <f>AND(#REF!,"AAAAAC7L9xk=")</f>
        <v>#REF!</v>
      </c>
      <c r="AA80" t="e">
        <f>AND(#REF!,"AAAAAC7L9xo=")</f>
        <v>#REF!</v>
      </c>
      <c r="AB80" t="e">
        <f>AND(#REF!,"AAAAAC7L9xs=")</f>
        <v>#REF!</v>
      </c>
      <c r="AC80" t="e">
        <f>AND(#REF!,"AAAAAC7L9xw=")</f>
        <v>#REF!</v>
      </c>
      <c r="AD80" t="e">
        <f>AND(#REF!,"AAAAAC7L9x0=")</f>
        <v>#REF!</v>
      </c>
      <c r="AE80" t="e">
        <f>AND(#REF!,"AAAAAC7L9x4=")</f>
        <v>#REF!</v>
      </c>
      <c r="AF80" t="e">
        <f>AND(#REF!,"AAAAAC7L9x8=")</f>
        <v>#REF!</v>
      </c>
      <c r="AG80" t="e">
        <f>AND(#REF!,"AAAAAC7L9yA=")</f>
        <v>#REF!</v>
      </c>
      <c r="AH80" t="e">
        <f>AND(#REF!,"AAAAAC7L9yE=")</f>
        <v>#REF!</v>
      </c>
      <c r="AI80" t="e">
        <f>AND(#REF!,"AAAAAC7L9yI=")</f>
        <v>#REF!</v>
      </c>
      <c r="AJ80" t="e">
        <f>AND(#REF!,"AAAAAC7L9yM=")</f>
        <v>#REF!</v>
      </c>
      <c r="AK80" t="e">
        <f>AND(#REF!,"AAAAAC7L9yQ=")</f>
        <v>#REF!</v>
      </c>
      <c r="AL80" t="e">
        <f>AND(#REF!,"AAAAAC7L9yU=")</f>
        <v>#REF!</v>
      </c>
      <c r="AM80" t="e">
        <f>AND(#REF!,"AAAAAC7L9yY=")</f>
        <v>#REF!</v>
      </c>
      <c r="AN80" t="e">
        <f>AND(#REF!,"AAAAAC7L9yc=")</f>
        <v>#REF!</v>
      </c>
      <c r="AO80" t="e">
        <f>AND(#REF!,"AAAAAC7L9yg=")</f>
        <v>#REF!</v>
      </c>
      <c r="AP80" t="e">
        <f>AND(#REF!,"AAAAAC7L9yk=")</f>
        <v>#REF!</v>
      </c>
      <c r="AQ80" t="e">
        <f>AND(#REF!,"AAAAAC7L9yo=")</f>
        <v>#REF!</v>
      </c>
      <c r="AR80" t="e">
        <f>AND(#REF!,"AAAAAC7L9ys=")</f>
        <v>#REF!</v>
      </c>
      <c r="AS80" t="e">
        <f>AND(#REF!,"AAAAAC7L9yw=")</f>
        <v>#REF!</v>
      </c>
      <c r="AT80" t="e">
        <f>AND(#REF!,"AAAAAC7L9y0=")</f>
        <v>#REF!</v>
      </c>
      <c r="AU80" t="e">
        <f>AND(#REF!,"AAAAAC7L9y4=")</f>
        <v>#REF!</v>
      </c>
      <c r="AV80" t="e">
        <f>AND(#REF!,"AAAAAC7L9y8=")</f>
        <v>#REF!</v>
      </c>
      <c r="AW80" t="e">
        <f>AND(#REF!,"AAAAAC7L9zA=")</f>
        <v>#REF!</v>
      </c>
      <c r="AX80" t="e">
        <f>AND(#REF!,"AAAAAC7L9zE=")</f>
        <v>#REF!</v>
      </c>
      <c r="AY80" t="e">
        <f>AND(#REF!,"AAAAAC7L9zI=")</f>
        <v>#REF!</v>
      </c>
      <c r="AZ80" t="e">
        <f>AND(#REF!,"AAAAAC7L9zM=")</f>
        <v>#REF!</v>
      </c>
      <c r="BA80" t="e">
        <f>AND(#REF!,"AAAAAC7L9zQ=")</f>
        <v>#REF!</v>
      </c>
      <c r="BB80" t="e">
        <f>AND(#REF!,"AAAAAC7L9zU=")</f>
        <v>#REF!</v>
      </c>
      <c r="BC80" t="e">
        <f>AND(#REF!,"AAAAAC7L9zY=")</f>
        <v>#REF!</v>
      </c>
      <c r="BD80" t="e">
        <f>AND(#REF!,"AAAAAC7L9zc=")</f>
        <v>#REF!</v>
      </c>
      <c r="BE80" t="e">
        <f>AND(#REF!,"AAAAAC7L9zg=")</f>
        <v>#REF!</v>
      </c>
      <c r="BF80" t="e">
        <f>AND(#REF!,"AAAAAC7L9zk=")</f>
        <v>#REF!</v>
      </c>
      <c r="BG80" t="e">
        <f>AND(#REF!,"AAAAAC7L9zo=")</f>
        <v>#REF!</v>
      </c>
      <c r="BH80" t="e">
        <f>AND(#REF!,"AAAAAC7L9zs=")</f>
        <v>#REF!</v>
      </c>
      <c r="BI80" t="e">
        <f>AND(#REF!,"AAAAAC7L9zw=")</f>
        <v>#REF!</v>
      </c>
      <c r="BJ80" t="e">
        <f>AND(#REF!,"AAAAAC7L9z0=")</f>
        <v>#REF!</v>
      </c>
      <c r="BK80" t="e">
        <f>AND(#REF!,"AAAAAC7L9z4=")</f>
        <v>#REF!</v>
      </c>
      <c r="BL80" t="e">
        <f>AND(#REF!,"AAAAAC7L9z8=")</f>
        <v>#REF!</v>
      </c>
      <c r="BM80" t="e">
        <f>AND(#REF!,"AAAAAC7L90A=")</f>
        <v>#REF!</v>
      </c>
      <c r="BN80" t="e">
        <f>IF(#REF!,"AAAAAC7L90E=",0)</f>
        <v>#REF!</v>
      </c>
      <c r="BO80" t="e">
        <f>AND(#REF!,"AAAAAC7L90I=")</f>
        <v>#REF!</v>
      </c>
      <c r="BP80" t="e">
        <f>AND(#REF!,"AAAAAC7L90M=")</f>
        <v>#REF!</v>
      </c>
      <c r="BQ80" t="e">
        <f>AND(#REF!,"AAAAAC7L90Q=")</f>
        <v>#REF!</v>
      </c>
      <c r="BR80" t="e">
        <f>AND(#REF!,"AAAAAC7L90U=")</f>
        <v>#REF!</v>
      </c>
      <c r="BS80" t="e">
        <f>AND(#REF!,"AAAAAC7L90Y=")</f>
        <v>#REF!</v>
      </c>
      <c r="BT80" t="e">
        <f>AND(#REF!,"AAAAAC7L90c=")</f>
        <v>#REF!</v>
      </c>
      <c r="BU80" t="e">
        <f>AND(#REF!,"AAAAAC7L90g=")</f>
        <v>#REF!</v>
      </c>
      <c r="BV80" t="e">
        <f>AND(#REF!,"AAAAAC7L90k=")</f>
        <v>#REF!</v>
      </c>
      <c r="BW80" t="e">
        <f>AND(#REF!,"AAAAAC7L90o=")</f>
        <v>#REF!</v>
      </c>
      <c r="BX80" t="e">
        <f>AND(#REF!,"AAAAAC7L90s=")</f>
        <v>#REF!</v>
      </c>
      <c r="BY80" t="e">
        <f>AND(#REF!,"AAAAAC7L90w=")</f>
        <v>#REF!</v>
      </c>
      <c r="BZ80" t="e">
        <f>AND(#REF!,"AAAAAC7L900=")</f>
        <v>#REF!</v>
      </c>
      <c r="CA80" t="e">
        <f>AND(#REF!,"AAAAAC7L904=")</f>
        <v>#REF!</v>
      </c>
      <c r="CB80" t="e">
        <f>AND(#REF!,"AAAAAC7L908=")</f>
        <v>#REF!</v>
      </c>
      <c r="CC80" t="e">
        <f>AND(#REF!,"AAAAAC7L91A=")</f>
        <v>#REF!</v>
      </c>
      <c r="CD80" t="e">
        <f>AND(#REF!,"AAAAAC7L91E=")</f>
        <v>#REF!</v>
      </c>
      <c r="CE80" t="e">
        <f>AND(#REF!,"AAAAAC7L91I=")</f>
        <v>#REF!</v>
      </c>
      <c r="CF80" t="e">
        <f>AND(#REF!,"AAAAAC7L91M=")</f>
        <v>#REF!</v>
      </c>
      <c r="CG80" t="e">
        <f>AND(#REF!,"AAAAAC7L91Q=")</f>
        <v>#REF!</v>
      </c>
      <c r="CH80" t="e">
        <f>AND(#REF!,"AAAAAC7L91U=")</f>
        <v>#REF!</v>
      </c>
      <c r="CI80" t="e">
        <f>AND(#REF!,"AAAAAC7L91Y=")</f>
        <v>#REF!</v>
      </c>
      <c r="CJ80" t="e">
        <f>AND(#REF!,"AAAAAC7L91c=")</f>
        <v>#REF!</v>
      </c>
      <c r="CK80" t="e">
        <f>AND(#REF!,"AAAAAC7L91g=")</f>
        <v>#REF!</v>
      </c>
      <c r="CL80" t="e">
        <f>AND(#REF!,"AAAAAC7L91k=")</f>
        <v>#REF!</v>
      </c>
      <c r="CM80" t="e">
        <f>AND(#REF!,"AAAAAC7L91o=")</f>
        <v>#REF!</v>
      </c>
      <c r="CN80" t="e">
        <f>AND(#REF!,"AAAAAC7L91s=")</f>
        <v>#REF!</v>
      </c>
      <c r="CO80" t="e">
        <f>AND(#REF!,"AAAAAC7L91w=")</f>
        <v>#REF!</v>
      </c>
      <c r="CP80" t="e">
        <f>AND(#REF!,"AAAAAC7L910=")</f>
        <v>#REF!</v>
      </c>
      <c r="CQ80" t="e">
        <f>AND(#REF!,"AAAAAC7L914=")</f>
        <v>#REF!</v>
      </c>
      <c r="CR80" t="e">
        <f>AND(#REF!,"AAAAAC7L918=")</f>
        <v>#REF!</v>
      </c>
      <c r="CS80" t="e">
        <f>AND(#REF!,"AAAAAC7L92A=")</f>
        <v>#REF!</v>
      </c>
      <c r="CT80" t="e">
        <f>AND(#REF!,"AAAAAC7L92E=")</f>
        <v>#REF!</v>
      </c>
      <c r="CU80" t="e">
        <f>AND(#REF!,"AAAAAC7L92I=")</f>
        <v>#REF!</v>
      </c>
      <c r="CV80" t="e">
        <f>AND(#REF!,"AAAAAC7L92M=")</f>
        <v>#REF!</v>
      </c>
      <c r="CW80" t="e">
        <f>AND(#REF!,"AAAAAC7L92Q=")</f>
        <v>#REF!</v>
      </c>
      <c r="CX80" t="e">
        <f>AND(#REF!,"AAAAAC7L92U=")</f>
        <v>#REF!</v>
      </c>
      <c r="CY80" t="e">
        <f>AND(#REF!,"AAAAAC7L92Y=")</f>
        <v>#REF!</v>
      </c>
      <c r="CZ80" t="e">
        <f>AND(#REF!,"AAAAAC7L92c=")</f>
        <v>#REF!</v>
      </c>
      <c r="DA80" t="e">
        <f>AND(#REF!,"AAAAAC7L92g=")</f>
        <v>#REF!</v>
      </c>
      <c r="DB80" t="e">
        <f>AND(#REF!,"AAAAAC7L92k=")</f>
        <v>#REF!</v>
      </c>
      <c r="DC80" t="e">
        <f>AND(#REF!,"AAAAAC7L92o=")</f>
        <v>#REF!</v>
      </c>
      <c r="DD80" t="e">
        <f>AND(#REF!,"AAAAAC7L92s=")</f>
        <v>#REF!</v>
      </c>
      <c r="DE80" t="e">
        <f>AND(#REF!,"AAAAAC7L92w=")</f>
        <v>#REF!</v>
      </c>
      <c r="DF80" t="e">
        <f>AND(#REF!,"AAAAAC7L920=")</f>
        <v>#REF!</v>
      </c>
      <c r="DG80" t="e">
        <f>AND(#REF!,"AAAAAC7L924=")</f>
        <v>#REF!</v>
      </c>
      <c r="DH80" t="e">
        <f>AND(#REF!,"AAAAAC7L928=")</f>
        <v>#REF!</v>
      </c>
      <c r="DI80" t="e">
        <f>AND(#REF!,"AAAAAC7L93A=")</f>
        <v>#REF!</v>
      </c>
      <c r="DJ80" t="e">
        <f>AND(#REF!,"AAAAAC7L93E=")</f>
        <v>#REF!</v>
      </c>
      <c r="DK80" t="e">
        <f>AND(#REF!,"AAAAAC7L93I=")</f>
        <v>#REF!</v>
      </c>
      <c r="DL80" t="e">
        <f>AND(#REF!,"AAAAAC7L93M=")</f>
        <v>#REF!</v>
      </c>
      <c r="DM80" t="e">
        <f>AND(#REF!,"AAAAAC7L93Q=")</f>
        <v>#REF!</v>
      </c>
      <c r="DN80" t="e">
        <f>AND(#REF!,"AAAAAC7L93U=")</f>
        <v>#REF!</v>
      </c>
      <c r="DO80" t="e">
        <f>AND(#REF!,"AAAAAC7L93Y=")</f>
        <v>#REF!</v>
      </c>
      <c r="DP80" t="e">
        <f>AND(#REF!,"AAAAAC7L93c=")</f>
        <v>#REF!</v>
      </c>
      <c r="DQ80" t="e">
        <f>AND(#REF!,"AAAAAC7L93g=")</f>
        <v>#REF!</v>
      </c>
      <c r="DR80" t="e">
        <f>AND(#REF!,"AAAAAC7L93k=")</f>
        <v>#REF!</v>
      </c>
      <c r="DS80" t="e">
        <f>AND(#REF!,"AAAAAC7L93o=")</f>
        <v>#REF!</v>
      </c>
      <c r="DT80" t="e">
        <f>AND(#REF!,"AAAAAC7L93s=")</f>
        <v>#REF!</v>
      </c>
      <c r="DU80" t="e">
        <f>AND(#REF!,"AAAAAC7L93w=")</f>
        <v>#REF!</v>
      </c>
      <c r="DV80" t="e">
        <f>AND(#REF!,"AAAAAC7L930=")</f>
        <v>#REF!</v>
      </c>
      <c r="DW80" t="e">
        <f>AND(#REF!,"AAAAAC7L934=")</f>
        <v>#REF!</v>
      </c>
      <c r="DX80" t="e">
        <f>AND(#REF!,"AAAAAC7L938=")</f>
        <v>#REF!</v>
      </c>
      <c r="DY80" t="e">
        <f>AND(#REF!,"AAAAAC7L94A=")</f>
        <v>#REF!</v>
      </c>
      <c r="DZ80" t="e">
        <f>AND(#REF!,"AAAAAC7L94E=")</f>
        <v>#REF!</v>
      </c>
      <c r="EA80" t="e">
        <f>AND(#REF!,"AAAAAC7L94I=")</f>
        <v>#REF!</v>
      </c>
      <c r="EB80" t="e">
        <f>AND(#REF!,"AAAAAC7L94M=")</f>
        <v>#REF!</v>
      </c>
      <c r="EC80" t="e">
        <f>AND(#REF!,"AAAAAC7L94Q=")</f>
        <v>#REF!</v>
      </c>
      <c r="ED80" t="e">
        <f>AND(#REF!,"AAAAAC7L94U=")</f>
        <v>#REF!</v>
      </c>
      <c r="EE80" t="e">
        <f>AND(#REF!,"AAAAAC7L94Y=")</f>
        <v>#REF!</v>
      </c>
      <c r="EF80" t="e">
        <f>AND(#REF!,"AAAAAC7L94c=")</f>
        <v>#REF!</v>
      </c>
      <c r="EG80" t="e">
        <f>AND(#REF!,"AAAAAC7L94g=")</f>
        <v>#REF!</v>
      </c>
      <c r="EH80" t="e">
        <f>AND(#REF!,"AAAAAC7L94k=")</f>
        <v>#REF!</v>
      </c>
      <c r="EI80" t="e">
        <f>AND(#REF!,"AAAAAC7L94o=")</f>
        <v>#REF!</v>
      </c>
      <c r="EJ80" t="e">
        <f>AND(#REF!,"AAAAAC7L94s=")</f>
        <v>#REF!</v>
      </c>
      <c r="EK80" t="e">
        <f>AND(#REF!,"AAAAAC7L94w=")</f>
        <v>#REF!</v>
      </c>
      <c r="EL80" t="e">
        <f>AND(#REF!,"AAAAAC7L940=")</f>
        <v>#REF!</v>
      </c>
      <c r="EM80" t="e">
        <f>AND(#REF!,"AAAAAC7L944=")</f>
        <v>#REF!</v>
      </c>
      <c r="EN80" t="e">
        <f>AND(#REF!,"AAAAAC7L948=")</f>
        <v>#REF!</v>
      </c>
      <c r="EO80" t="e">
        <f>AND(#REF!,"AAAAAC7L95A=")</f>
        <v>#REF!</v>
      </c>
      <c r="EP80" t="e">
        <f>AND(#REF!,"AAAAAC7L95E=")</f>
        <v>#REF!</v>
      </c>
      <c r="EQ80" t="e">
        <f>AND(#REF!,"AAAAAC7L95I=")</f>
        <v>#REF!</v>
      </c>
      <c r="ER80" t="e">
        <f>AND(#REF!,"AAAAAC7L95M=")</f>
        <v>#REF!</v>
      </c>
      <c r="ES80" t="e">
        <f>AND(#REF!,"AAAAAC7L95Q=")</f>
        <v>#REF!</v>
      </c>
      <c r="ET80" t="e">
        <f>AND(#REF!,"AAAAAC7L95U=")</f>
        <v>#REF!</v>
      </c>
      <c r="EU80" t="e">
        <f>AND(#REF!,"AAAAAC7L95Y=")</f>
        <v>#REF!</v>
      </c>
      <c r="EV80" t="e">
        <f>AND(#REF!,"AAAAAC7L95c=")</f>
        <v>#REF!</v>
      </c>
      <c r="EW80" t="e">
        <f>AND(#REF!,"AAAAAC7L95g=")</f>
        <v>#REF!</v>
      </c>
      <c r="EX80" t="e">
        <f>AND(#REF!,"AAAAAC7L95k=")</f>
        <v>#REF!</v>
      </c>
      <c r="EY80" t="e">
        <f>AND(#REF!,"AAAAAC7L95o=")</f>
        <v>#REF!</v>
      </c>
      <c r="EZ80" t="e">
        <f>AND(#REF!,"AAAAAC7L95s=")</f>
        <v>#REF!</v>
      </c>
      <c r="FA80" t="e">
        <f>AND(#REF!,"AAAAAC7L95w=")</f>
        <v>#REF!</v>
      </c>
      <c r="FB80" t="e">
        <f>AND(#REF!,"AAAAAC7L950=")</f>
        <v>#REF!</v>
      </c>
      <c r="FC80" t="e">
        <f>AND(#REF!,"AAAAAC7L954=")</f>
        <v>#REF!</v>
      </c>
      <c r="FD80" t="e">
        <f>AND(#REF!,"AAAAAC7L958=")</f>
        <v>#REF!</v>
      </c>
      <c r="FE80" t="e">
        <f>AND(#REF!,"AAAAAC7L96A=")</f>
        <v>#REF!</v>
      </c>
      <c r="FF80" t="e">
        <f>AND(#REF!,"AAAAAC7L96E=")</f>
        <v>#REF!</v>
      </c>
      <c r="FG80" t="e">
        <f>AND(#REF!,"AAAAAC7L96I=")</f>
        <v>#REF!</v>
      </c>
      <c r="FH80" t="e">
        <f>AND(#REF!,"AAAAAC7L96M=")</f>
        <v>#REF!</v>
      </c>
      <c r="FI80" t="e">
        <f>AND(#REF!,"AAAAAC7L96Q=")</f>
        <v>#REF!</v>
      </c>
      <c r="FJ80" t="e">
        <f>AND(#REF!,"AAAAAC7L96U=")</f>
        <v>#REF!</v>
      </c>
      <c r="FK80" t="e">
        <f>AND(#REF!,"AAAAAC7L96Y=")</f>
        <v>#REF!</v>
      </c>
      <c r="FL80" t="e">
        <f>AND(#REF!,"AAAAAC7L96c=")</f>
        <v>#REF!</v>
      </c>
      <c r="FM80" t="e">
        <f>AND(#REF!,"AAAAAC7L96g=")</f>
        <v>#REF!</v>
      </c>
      <c r="FN80" t="e">
        <f>AND(#REF!,"AAAAAC7L96k=")</f>
        <v>#REF!</v>
      </c>
      <c r="FO80" t="e">
        <f>AND(#REF!,"AAAAAC7L96o=")</f>
        <v>#REF!</v>
      </c>
      <c r="FP80" t="e">
        <f>AND(#REF!,"AAAAAC7L96s=")</f>
        <v>#REF!</v>
      </c>
      <c r="FQ80" t="e">
        <f>AND(#REF!,"AAAAAC7L96w=")</f>
        <v>#REF!</v>
      </c>
      <c r="FR80" t="e">
        <f>AND(#REF!,"AAAAAC7L960=")</f>
        <v>#REF!</v>
      </c>
      <c r="FS80" t="e">
        <f>AND(#REF!,"AAAAAC7L964=")</f>
        <v>#REF!</v>
      </c>
      <c r="FT80" t="e">
        <f>AND(#REF!,"AAAAAC7L968=")</f>
        <v>#REF!</v>
      </c>
      <c r="FU80" t="e">
        <f>AND(#REF!,"AAAAAC7L97A=")</f>
        <v>#REF!</v>
      </c>
      <c r="FV80" t="e">
        <f>AND(#REF!,"AAAAAC7L97E=")</f>
        <v>#REF!</v>
      </c>
      <c r="FW80" t="e">
        <f>AND(#REF!,"AAAAAC7L97I=")</f>
        <v>#REF!</v>
      </c>
      <c r="FX80" t="e">
        <f>AND(#REF!,"AAAAAC7L97M=")</f>
        <v>#REF!</v>
      </c>
      <c r="FY80" t="e">
        <f>AND(#REF!,"AAAAAC7L97Q=")</f>
        <v>#REF!</v>
      </c>
      <c r="FZ80" t="e">
        <f>AND(#REF!,"AAAAAC7L97U=")</f>
        <v>#REF!</v>
      </c>
      <c r="GA80" t="e">
        <f>AND(#REF!,"AAAAAC7L97Y=")</f>
        <v>#REF!</v>
      </c>
      <c r="GB80" t="e">
        <f>AND(#REF!,"AAAAAC7L97c=")</f>
        <v>#REF!</v>
      </c>
      <c r="GC80" t="e">
        <f>AND(#REF!,"AAAAAC7L97g=")</f>
        <v>#REF!</v>
      </c>
      <c r="GD80" t="e">
        <f>AND(#REF!,"AAAAAC7L97k=")</f>
        <v>#REF!</v>
      </c>
      <c r="GE80" t="e">
        <f>AND(#REF!,"AAAAAC7L97o=")</f>
        <v>#REF!</v>
      </c>
      <c r="GF80" t="e">
        <f>AND(#REF!,"AAAAAC7L97s=")</f>
        <v>#REF!</v>
      </c>
      <c r="GG80" t="e">
        <f>AND(#REF!,"AAAAAC7L97w=")</f>
        <v>#REF!</v>
      </c>
      <c r="GH80" t="e">
        <f>AND(#REF!,"AAAAAC7L970=")</f>
        <v>#REF!</v>
      </c>
      <c r="GI80" t="e">
        <f>AND(#REF!,"AAAAAC7L974=")</f>
        <v>#REF!</v>
      </c>
      <c r="GJ80" t="e">
        <f>AND(#REF!,"AAAAAC7L978=")</f>
        <v>#REF!</v>
      </c>
      <c r="GK80" t="e">
        <f>AND(#REF!,"AAAAAC7L98A=")</f>
        <v>#REF!</v>
      </c>
      <c r="GL80" t="e">
        <f>AND(#REF!,"AAAAAC7L98E=")</f>
        <v>#REF!</v>
      </c>
      <c r="GM80" t="e">
        <f>AND(#REF!,"AAAAAC7L98I=")</f>
        <v>#REF!</v>
      </c>
      <c r="GN80" t="e">
        <f>AND(#REF!,"AAAAAC7L98M=")</f>
        <v>#REF!</v>
      </c>
      <c r="GO80" t="e">
        <f>AND(#REF!,"AAAAAC7L98Q=")</f>
        <v>#REF!</v>
      </c>
      <c r="GP80" t="e">
        <f>AND(#REF!,"AAAAAC7L98U=")</f>
        <v>#REF!</v>
      </c>
      <c r="GQ80" t="e">
        <f>AND(#REF!,"AAAAAC7L98Y=")</f>
        <v>#REF!</v>
      </c>
      <c r="GR80" t="e">
        <f>AND(#REF!,"AAAAAC7L98c=")</f>
        <v>#REF!</v>
      </c>
      <c r="GS80" t="e">
        <f>AND(#REF!,"AAAAAC7L98g=")</f>
        <v>#REF!</v>
      </c>
      <c r="GT80" t="e">
        <f>AND(#REF!,"AAAAAC7L98k=")</f>
        <v>#REF!</v>
      </c>
      <c r="GU80" t="e">
        <f>AND(#REF!,"AAAAAC7L98o=")</f>
        <v>#REF!</v>
      </c>
      <c r="GV80" t="e">
        <f>AND(#REF!,"AAAAAC7L98s=")</f>
        <v>#REF!</v>
      </c>
      <c r="GW80" t="e">
        <f>AND(#REF!,"AAAAAC7L98w=")</f>
        <v>#REF!</v>
      </c>
      <c r="GX80" t="e">
        <f>AND(#REF!,"AAAAAC7L980=")</f>
        <v>#REF!</v>
      </c>
      <c r="GY80" t="e">
        <f>AND(#REF!,"AAAAAC7L984=")</f>
        <v>#REF!</v>
      </c>
      <c r="GZ80" t="e">
        <f>AND(#REF!,"AAAAAC7L988=")</f>
        <v>#REF!</v>
      </c>
      <c r="HA80" t="e">
        <f>AND(#REF!,"AAAAAC7L99A=")</f>
        <v>#REF!</v>
      </c>
      <c r="HB80" t="e">
        <f>AND(#REF!,"AAAAAC7L99E=")</f>
        <v>#REF!</v>
      </c>
      <c r="HC80" t="e">
        <f>AND(#REF!,"AAAAAC7L99I=")</f>
        <v>#REF!</v>
      </c>
      <c r="HD80" t="e">
        <f>AND(#REF!,"AAAAAC7L99M=")</f>
        <v>#REF!</v>
      </c>
      <c r="HE80" t="e">
        <f>AND(#REF!,"AAAAAC7L99Q=")</f>
        <v>#REF!</v>
      </c>
      <c r="HF80" t="e">
        <f>AND(#REF!,"AAAAAC7L99U=")</f>
        <v>#REF!</v>
      </c>
      <c r="HG80" t="e">
        <f>AND(#REF!,"AAAAAC7L99Y=")</f>
        <v>#REF!</v>
      </c>
      <c r="HH80" t="e">
        <f>AND(#REF!,"AAAAAC7L99c=")</f>
        <v>#REF!</v>
      </c>
      <c r="HI80" t="e">
        <f>AND(#REF!,"AAAAAC7L99g=")</f>
        <v>#REF!</v>
      </c>
      <c r="HJ80" t="e">
        <f>AND(#REF!,"AAAAAC7L99k=")</f>
        <v>#REF!</v>
      </c>
      <c r="HK80" t="e">
        <f>AND(#REF!,"AAAAAC7L99o=")</f>
        <v>#REF!</v>
      </c>
      <c r="HL80" t="e">
        <f>AND(#REF!,"AAAAAC7L99s=")</f>
        <v>#REF!</v>
      </c>
      <c r="HM80" t="e">
        <f>AND(#REF!,"AAAAAC7L99w=")</f>
        <v>#REF!</v>
      </c>
      <c r="HN80" t="e">
        <f>AND(#REF!,"AAAAAC7L990=")</f>
        <v>#REF!</v>
      </c>
      <c r="HO80" t="e">
        <f>AND(#REF!,"AAAAAC7L994=")</f>
        <v>#REF!</v>
      </c>
      <c r="HP80" t="e">
        <f>AND(#REF!,"AAAAAC7L998=")</f>
        <v>#REF!</v>
      </c>
      <c r="HQ80" t="e">
        <f>AND(#REF!,"AAAAAC7L9+A=")</f>
        <v>#REF!</v>
      </c>
      <c r="HR80" t="e">
        <f>AND(#REF!,"AAAAAC7L9+E=")</f>
        <v>#REF!</v>
      </c>
      <c r="HS80" t="e">
        <f>AND(#REF!,"AAAAAC7L9+I=")</f>
        <v>#REF!</v>
      </c>
      <c r="HT80" t="e">
        <f>AND(#REF!,"AAAAAC7L9+M=")</f>
        <v>#REF!</v>
      </c>
      <c r="HU80" t="e">
        <f>AND(#REF!,"AAAAAC7L9+Q=")</f>
        <v>#REF!</v>
      </c>
      <c r="HV80" t="e">
        <f>AND(#REF!,"AAAAAC7L9+U=")</f>
        <v>#REF!</v>
      </c>
      <c r="HW80" t="e">
        <f>AND(#REF!,"AAAAAC7L9+Y=")</f>
        <v>#REF!</v>
      </c>
      <c r="HX80" t="e">
        <f>AND(#REF!,"AAAAAC7L9+c=")</f>
        <v>#REF!</v>
      </c>
      <c r="HY80" t="e">
        <f>AND(#REF!,"AAAAAC7L9+g=")</f>
        <v>#REF!</v>
      </c>
      <c r="HZ80" t="e">
        <f>AND(#REF!,"AAAAAC7L9+k=")</f>
        <v>#REF!</v>
      </c>
      <c r="IA80" t="e">
        <f>AND(#REF!,"AAAAAC7L9+o=")</f>
        <v>#REF!</v>
      </c>
      <c r="IB80" t="e">
        <f>AND(#REF!,"AAAAAC7L9+s=")</f>
        <v>#REF!</v>
      </c>
      <c r="IC80" t="e">
        <f>AND(#REF!,"AAAAAC7L9+w=")</f>
        <v>#REF!</v>
      </c>
      <c r="ID80" t="e">
        <f>AND(#REF!,"AAAAAC7L9+0=")</f>
        <v>#REF!</v>
      </c>
      <c r="IE80" t="e">
        <f>AND(#REF!,"AAAAAC7L9+4=")</f>
        <v>#REF!</v>
      </c>
      <c r="IF80" t="e">
        <f>AND(#REF!,"AAAAAC7L9+8=")</f>
        <v>#REF!</v>
      </c>
      <c r="IG80" t="e">
        <f>AND(#REF!,"AAAAAC7L9/A=")</f>
        <v>#REF!</v>
      </c>
      <c r="IH80" t="e">
        <f>AND(#REF!,"AAAAAC7L9/E=")</f>
        <v>#REF!</v>
      </c>
      <c r="II80" t="e">
        <f>AND(#REF!,"AAAAAC7L9/I=")</f>
        <v>#REF!</v>
      </c>
      <c r="IJ80" t="e">
        <f>AND(#REF!,"AAAAAC7L9/M=")</f>
        <v>#REF!</v>
      </c>
      <c r="IK80" t="e">
        <f>AND(#REF!,"AAAAAC7L9/Q=")</f>
        <v>#REF!</v>
      </c>
      <c r="IL80" t="e">
        <f>AND(#REF!,"AAAAAC7L9/U=")</f>
        <v>#REF!</v>
      </c>
      <c r="IM80" t="e">
        <f>IF(#REF!,"AAAAAC7L9/Y=",0)</f>
        <v>#REF!</v>
      </c>
      <c r="IN80" t="e">
        <f>AND(#REF!,"AAAAAC7L9/c=")</f>
        <v>#REF!</v>
      </c>
      <c r="IO80" t="e">
        <f>AND(#REF!,"AAAAAC7L9/g=")</f>
        <v>#REF!</v>
      </c>
      <c r="IP80" t="e">
        <f>AND(#REF!,"AAAAAC7L9/k=")</f>
        <v>#REF!</v>
      </c>
      <c r="IQ80" t="e">
        <f>AND(#REF!,"AAAAAC7L9/o=")</f>
        <v>#REF!</v>
      </c>
      <c r="IR80" t="e">
        <f>AND(#REF!,"AAAAAC7L9/s=")</f>
        <v>#REF!</v>
      </c>
      <c r="IS80" t="e">
        <f>AND(#REF!,"AAAAAC7L9/w=")</f>
        <v>#REF!</v>
      </c>
      <c r="IT80" t="e">
        <f>AND(#REF!,"AAAAAC7L9/0=")</f>
        <v>#REF!</v>
      </c>
      <c r="IU80" t="e">
        <f>AND(#REF!,"AAAAAC7L9/4=")</f>
        <v>#REF!</v>
      </c>
      <c r="IV80" t="e">
        <f>AND(#REF!,"AAAAAC7L9/8=")</f>
        <v>#REF!</v>
      </c>
    </row>
    <row r="81" spans="1:256" x14ac:dyDescent="0.2">
      <c r="A81" t="e">
        <f>AND(#REF!,"AAAAAHnHfQA=")</f>
        <v>#REF!</v>
      </c>
      <c r="B81" t="e">
        <f>AND(#REF!,"AAAAAHnHfQE=")</f>
        <v>#REF!</v>
      </c>
      <c r="C81" t="e">
        <f>AND(#REF!,"AAAAAHnHfQI=")</f>
        <v>#REF!</v>
      </c>
      <c r="D81" t="e">
        <f>AND(#REF!,"AAAAAHnHfQM=")</f>
        <v>#REF!</v>
      </c>
      <c r="E81" t="e">
        <f>AND(#REF!,"AAAAAHnHfQQ=")</f>
        <v>#REF!</v>
      </c>
      <c r="F81" t="e">
        <f>AND(#REF!,"AAAAAHnHfQU=")</f>
        <v>#REF!</v>
      </c>
      <c r="G81" t="e">
        <f>AND(#REF!,"AAAAAHnHfQY=")</f>
        <v>#REF!</v>
      </c>
      <c r="H81" t="e">
        <f>AND(#REF!,"AAAAAHnHfQc=")</f>
        <v>#REF!</v>
      </c>
      <c r="I81" t="e">
        <f>AND(#REF!,"AAAAAHnHfQg=")</f>
        <v>#REF!</v>
      </c>
      <c r="J81" t="e">
        <f>AND(#REF!,"AAAAAHnHfQk=")</f>
        <v>#REF!</v>
      </c>
      <c r="K81" t="e">
        <f>AND(#REF!,"AAAAAHnHfQo=")</f>
        <v>#REF!</v>
      </c>
      <c r="L81" t="e">
        <f>AND(#REF!,"AAAAAHnHfQs=")</f>
        <v>#REF!</v>
      </c>
      <c r="M81" t="e">
        <f>AND(#REF!,"AAAAAHnHfQw=")</f>
        <v>#REF!</v>
      </c>
      <c r="N81" t="e">
        <f>AND(#REF!,"AAAAAHnHfQ0=")</f>
        <v>#REF!</v>
      </c>
      <c r="O81" t="e">
        <f>AND(#REF!,"AAAAAHnHfQ4=")</f>
        <v>#REF!</v>
      </c>
      <c r="P81" t="e">
        <f>AND(#REF!,"AAAAAHnHfQ8=")</f>
        <v>#REF!</v>
      </c>
      <c r="Q81" t="e">
        <f>AND(#REF!,"AAAAAHnHfRA=")</f>
        <v>#REF!</v>
      </c>
      <c r="R81" t="e">
        <f>AND(#REF!,"AAAAAHnHfRE=")</f>
        <v>#REF!</v>
      </c>
      <c r="S81" t="e">
        <f>AND(#REF!,"AAAAAHnHfRI=")</f>
        <v>#REF!</v>
      </c>
      <c r="T81" t="e">
        <f>AND(#REF!,"AAAAAHnHfRM=")</f>
        <v>#REF!</v>
      </c>
      <c r="U81" t="e">
        <f>AND(#REF!,"AAAAAHnHfRQ=")</f>
        <v>#REF!</v>
      </c>
      <c r="V81" t="e">
        <f>AND(#REF!,"AAAAAHnHfRU=")</f>
        <v>#REF!</v>
      </c>
      <c r="W81" t="e">
        <f>AND(#REF!,"AAAAAHnHfRY=")</f>
        <v>#REF!</v>
      </c>
      <c r="X81" t="e">
        <f>AND(#REF!,"AAAAAHnHfRc=")</f>
        <v>#REF!</v>
      </c>
      <c r="Y81" t="e">
        <f>AND(#REF!,"AAAAAHnHfRg=")</f>
        <v>#REF!</v>
      </c>
      <c r="Z81" t="e">
        <f>AND(#REF!,"AAAAAHnHfRk=")</f>
        <v>#REF!</v>
      </c>
      <c r="AA81" t="e">
        <f>AND(#REF!,"AAAAAHnHfRo=")</f>
        <v>#REF!</v>
      </c>
      <c r="AB81" t="e">
        <f>AND(#REF!,"AAAAAHnHfRs=")</f>
        <v>#REF!</v>
      </c>
      <c r="AC81" t="e">
        <f>AND(#REF!,"AAAAAHnHfRw=")</f>
        <v>#REF!</v>
      </c>
      <c r="AD81" t="e">
        <f>AND(#REF!,"AAAAAHnHfR0=")</f>
        <v>#REF!</v>
      </c>
      <c r="AE81" t="e">
        <f>AND(#REF!,"AAAAAHnHfR4=")</f>
        <v>#REF!</v>
      </c>
      <c r="AF81" t="e">
        <f>AND(#REF!,"AAAAAHnHfR8=")</f>
        <v>#REF!</v>
      </c>
      <c r="AG81" t="e">
        <f>AND(#REF!,"AAAAAHnHfSA=")</f>
        <v>#REF!</v>
      </c>
      <c r="AH81" t="e">
        <f>AND(#REF!,"AAAAAHnHfSE=")</f>
        <v>#REF!</v>
      </c>
      <c r="AI81" t="e">
        <f>AND(#REF!,"AAAAAHnHfSI=")</f>
        <v>#REF!</v>
      </c>
      <c r="AJ81" t="e">
        <f>AND(#REF!,"AAAAAHnHfSM=")</f>
        <v>#REF!</v>
      </c>
      <c r="AK81" t="e">
        <f>AND(#REF!,"AAAAAHnHfSQ=")</f>
        <v>#REF!</v>
      </c>
      <c r="AL81" t="e">
        <f>AND(#REF!,"AAAAAHnHfSU=")</f>
        <v>#REF!</v>
      </c>
      <c r="AM81" t="e">
        <f>AND(#REF!,"AAAAAHnHfSY=")</f>
        <v>#REF!</v>
      </c>
      <c r="AN81" t="e">
        <f>AND(#REF!,"AAAAAHnHfSc=")</f>
        <v>#REF!</v>
      </c>
      <c r="AO81" t="e">
        <f>AND(#REF!,"AAAAAHnHfSg=")</f>
        <v>#REF!</v>
      </c>
      <c r="AP81" t="e">
        <f>AND(#REF!,"AAAAAHnHfSk=")</f>
        <v>#REF!</v>
      </c>
      <c r="AQ81" t="e">
        <f>AND(#REF!,"AAAAAHnHfSo=")</f>
        <v>#REF!</v>
      </c>
      <c r="AR81" t="e">
        <f>AND(#REF!,"AAAAAHnHfSs=")</f>
        <v>#REF!</v>
      </c>
      <c r="AS81" t="e">
        <f>AND(#REF!,"AAAAAHnHfSw=")</f>
        <v>#REF!</v>
      </c>
      <c r="AT81" t="e">
        <f>AND(#REF!,"AAAAAHnHfS0=")</f>
        <v>#REF!</v>
      </c>
      <c r="AU81" t="e">
        <f>AND(#REF!,"AAAAAHnHfS4=")</f>
        <v>#REF!</v>
      </c>
      <c r="AV81" t="e">
        <f>AND(#REF!,"AAAAAHnHfS8=")</f>
        <v>#REF!</v>
      </c>
      <c r="AW81" t="e">
        <f>AND(#REF!,"AAAAAHnHfTA=")</f>
        <v>#REF!</v>
      </c>
      <c r="AX81" t="e">
        <f>AND(#REF!,"AAAAAHnHfTE=")</f>
        <v>#REF!</v>
      </c>
      <c r="AY81" t="e">
        <f>AND(#REF!,"AAAAAHnHfTI=")</f>
        <v>#REF!</v>
      </c>
      <c r="AZ81" t="e">
        <f>AND(#REF!,"AAAAAHnHfTM=")</f>
        <v>#REF!</v>
      </c>
      <c r="BA81" t="e">
        <f>AND(#REF!,"AAAAAHnHfTQ=")</f>
        <v>#REF!</v>
      </c>
      <c r="BB81" t="e">
        <f>AND(#REF!,"AAAAAHnHfTU=")</f>
        <v>#REF!</v>
      </c>
      <c r="BC81" t="e">
        <f>AND(#REF!,"AAAAAHnHfTY=")</f>
        <v>#REF!</v>
      </c>
      <c r="BD81" t="e">
        <f>AND(#REF!,"AAAAAHnHfTc=")</f>
        <v>#REF!</v>
      </c>
      <c r="BE81" t="e">
        <f>AND(#REF!,"AAAAAHnHfTg=")</f>
        <v>#REF!</v>
      </c>
      <c r="BF81" t="e">
        <f>AND(#REF!,"AAAAAHnHfTk=")</f>
        <v>#REF!</v>
      </c>
      <c r="BG81" t="e">
        <f>AND(#REF!,"AAAAAHnHfTo=")</f>
        <v>#REF!</v>
      </c>
      <c r="BH81" t="e">
        <f>AND(#REF!,"AAAAAHnHfTs=")</f>
        <v>#REF!</v>
      </c>
      <c r="BI81" t="e">
        <f>AND(#REF!,"AAAAAHnHfTw=")</f>
        <v>#REF!</v>
      </c>
      <c r="BJ81" t="e">
        <f>AND(#REF!,"AAAAAHnHfT0=")</f>
        <v>#REF!</v>
      </c>
      <c r="BK81" t="e">
        <f>AND(#REF!,"AAAAAHnHfT4=")</f>
        <v>#REF!</v>
      </c>
      <c r="BL81" t="e">
        <f>AND(#REF!,"AAAAAHnHfT8=")</f>
        <v>#REF!</v>
      </c>
      <c r="BM81" t="e">
        <f>AND(#REF!,"AAAAAHnHfUA=")</f>
        <v>#REF!</v>
      </c>
      <c r="BN81" t="e">
        <f>AND(#REF!,"AAAAAHnHfUE=")</f>
        <v>#REF!</v>
      </c>
      <c r="BO81" t="e">
        <f>AND(#REF!,"AAAAAHnHfUI=")</f>
        <v>#REF!</v>
      </c>
      <c r="BP81" t="e">
        <f>AND(#REF!,"AAAAAHnHfUM=")</f>
        <v>#REF!</v>
      </c>
      <c r="BQ81" t="e">
        <f>AND(#REF!,"AAAAAHnHfUQ=")</f>
        <v>#REF!</v>
      </c>
      <c r="BR81" t="e">
        <f>AND(#REF!,"AAAAAHnHfUU=")</f>
        <v>#REF!</v>
      </c>
      <c r="BS81" t="e">
        <f>AND(#REF!,"AAAAAHnHfUY=")</f>
        <v>#REF!</v>
      </c>
      <c r="BT81" t="e">
        <f>AND(#REF!,"AAAAAHnHfUc=")</f>
        <v>#REF!</v>
      </c>
      <c r="BU81" t="e">
        <f>AND(#REF!,"AAAAAHnHfUg=")</f>
        <v>#REF!</v>
      </c>
      <c r="BV81" t="e">
        <f>AND(#REF!,"AAAAAHnHfUk=")</f>
        <v>#REF!</v>
      </c>
      <c r="BW81" t="e">
        <f>AND(#REF!,"AAAAAHnHfUo=")</f>
        <v>#REF!</v>
      </c>
      <c r="BX81" t="e">
        <f>AND(#REF!,"AAAAAHnHfUs=")</f>
        <v>#REF!</v>
      </c>
      <c r="BY81" t="e">
        <f>AND(#REF!,"AAAAAHnHfUw=")</f>
        <v>#REF!</v>
      </c>
      <c r="BZ81" t="e">
        <f>AND(#REF!,"AAAAAHnHfU0=")</f>
        <v>#REF!</v>
      </c>
      <c r="CA81" t="e">
        <f>AND(#REF!,"AAAAAHnHfU4=")</f>
        <v>#REF!</v>
      </c>
      <c r="CB81" t="e">
        <f>AND(#REF!,"AAAAAHnHfU8=")</f>
        <v>#REF!</v>
      </c>
      <c r="CC81" t="e">
        <f>AND(#REF!,"AAAAAHnHfVA=")</f>
        <v>#REF!</v>
      </c>
      <c r="CD81" t="e">
        <f>AND(#REF!,"AAAAAHnHfVE=")</f>
        <v>#REF!</v>
      </c>
      <c r="CE81" t="e">
        <f>AND(#REF!,"AAAAAHnHfVI=")</f>
        <v>#REF!</v>
      </c>
      <c r="CF81" t="e">
        <f>AND(#REF!,"AAAAAHnHfVM=")</f>
        <v>#REF!</v>
      </c>
      <c r="CG81" t="e">
        <f>AND(#REF!,"AAAAAHnHfVQ=")</f>
        <v>#REF!</v>
      </c>
      <c r="CH81" t="e">
        <f>AND(#REF!,"AAAAAHnHfVU=")</f>
        <v>#REF!</v>
      </c>
      <c r="CI81" t="e">
        <f>AND(#REF!,"AAAAAHnHfVY=")</f>
        <v>#REF!</v>
      </c>
      <c r="CJ81" t="e">
        <f>AND(#REF!,"AAAAAHnHfVc=")</f>
        <v>#REF!</v>
      </c>
      <c r="CK81" t="e">
        <f>AND(#REF!,"AAAAAHnHfVg=")</f>
        <v>#REF!</v>
      </c>
      <c r="CL81" t="e">
        <f>AND(#REF!,"AAAAAHnHfVk=")</f>
        <v>#REF!</v>
      </c>
      <c r="CM81" t="e">
        <f>AND(#REF!,"AAAAAHnHfVo=")</f>
        <v>#REF!</v>
      </c>
      <c r="CN81" t="e">
        <f>AND(#REF!,"AAAAAHnHfVs=")</f>
        <v>#REF!</v>
      </c>
      <c r="CO81" t="e">
        <f>AND(#REF!,"AAAAAHnHfVw=")</f>
        <v>#REF!</v>
      </c>
      <c r="CP81" t="e">
        <f>AND(#REF!,"AAAAAHnHfV0=")</f>
        <v>#REF!</v>
      </c>
      <c r="CQ81" t="e">
        <f>AND(#REF!,"AAAAAHnHfV4=")</f>
        <v>#REF!</v>
      </c>
      <c r="CR81" t="e">
        <f>AND(#REF!,"AAAAAHnHfV8=")</f>
        <v>#REF!</v>
      </c>
      <c r="CS81" t="e">
        <f>AND(#REF!,"AAAAAHnHfWA=")</f>
        <v>#REF!</v>
      </c>
      <c r="CT81" t="e">
        <f>AND(#REF!,"AAAAAHnHfWE=")</f>
        <v>#REF!</v>
      </c>
      <c r="CU81" t="e">
        <f>AND(#REF!,"AAAAAHnHfWI=")</f>
        <v>#REF!</v>
      </c>
      <c r="CV81" t="e">
        <f>AND(#REF!,"AAAAAHnHfWM=")</f>
        <v>#REF!</v>
      </c>
      <c r="CW81" t="e">
        <f>AND(#REF!,"AAAAAHnHfWQ=")</f>
        <v>#REF!</v>
      </c>
      <c r="CX81" t="e">
        <f>AND(#REF!,"AAAAAHnHfWU=")</f>
        <v>#REF!</v>
      </c>
      <c r="CY81" t="e">
        <f>AND(#REF!,"AAAAAHnHfWY=")</f>
        <v>#REF!</v>
      </c>
      <c r="CZ81" t="e">
        <f>AND(#REF!,"AAAAAHnHfWc=")</f>
        <v>#REF!</v>
      </c>
      <c r="DA81" t="e">
        <f>AND(#REF!,"AAAAAHnHfWg=")</f>
        <v>#REF!</v>
      </c>
      <c r="DB81" t="e">
        <f>AND(#REF!,"AAAAAHnHfWk=")</f>
        <v>#REF!</v>
      </c>
      <c r="DC81" t="e">
        <f>AND(#REF!,"AAAAAHnHfWo=")</f>
        <v>#REF!</v>
      </c>
      <c r="DD81" t="e">
        <f>AND(#REF!,"AAAAAHnHfWs=")</f>
        <v>#REF!</v>
      </c>
      <c r="DE81" t="e">
        <f>AND(#REF!,"AAAAAHnHfWw=")</f>
        <v>#REF!</v>
      </c>
      <c r="DF81" t="e">
        <f>AND(#REF!,"AAAAAHnHfW0=")</f>
        <v>#REF!</v>
      </c>
      <c r="DG81" t="e">
        <f>AND(#REF!,"AAAAAHnHfW4=")</f>
        <v>#REF!</v>
      </c>
      <c r="DH81" t="e">
        <f>AND(#REF!,"AAAAAHnHfW8=")</f>
        <v>#REF!</v>
      </c>
      <c r="DI81" t="e">
        <f>AND(#REF!,"AAAAAHnHfXA=")</f>
        <v>#REF!</v>
      </c>
      <c r="DJ81" t="e">
        <f>AND(#REF!,"AAAAAHnHfXE=")</f>
        <v>#REF!</v>
      </c>
      <c r="DK81" t="e">
        <f>AND(#REF!,"AAAAAHnHfXI=")</f>
        <v>#REF!</v>
      </c>
      <c r="DL81" t="e">
        <f>AND(#REF!,"AAAAAHnHfXM=")</f>
        <v>#REF!</v>
      </c>
      <c r="DM81" t="e">
        <f>AND(#REF!,"AAAAAHnHfXQ=")</f>
        <v>#REF!</v>
      </c>
      <c r="DN81" t="e">
        <f>AND(#REF!,"AAAAAHnHfXU=")</f>
        <v>#REF!</v>
      </c>
      <c r="DO81" t="e">
        <f>AND(#REF!,"AAAAAHnHfXY=")</f>
        <v>#REF!</v>
      </c>
      <c r="DP81" t="e">
        <f>AND(#REF!,"AAAAAHnHfXc=")</f>
        <v>#REF!</v>
      </c>
      <c r="DQ81" t="e">
        <f>AND(#REF!,"AAAAAHnHfXg=")</f>
        <v>#REF!</v>
      </c>
      <c r="DR81" t="e">
        <f>AND(#REF!,"AAAAAHnHfXk=")</f>
        <v>#REF!</v>
      </c>
      <c r="DS81" t="e">
        <f>AND(#REF!,"AAAAAHnHfXo=")</f>
        <v>#REF!</v>
      </c>
      <c r="DT81" t="e">
        <f>AND(#REF!,"AAAAAHnHfXs=")</f>
        <v>#REF!</v>
      </c>
      <c r="DU81" t="e">
        <f>AND(#REF!,"AAAAAHnHfXw=")</f>
        <v>#REF!</v>
      </c>
      <c r="DV81" t="e">
        <f>AND(#REF!,"AAAAAHnHfX0=")</f>
        <v>#REF!</v>
      </c>
      <c r="DW81" t="e">
        <f>AND(#REF!,"AAAAAHnHfX4=")</f>
        <v>#REF!</v>
      </c>
      <c r="DX81" t="e">
        <f>AND(#REF!,"AAAAAHnHfX8=")</f>
        <v>#REF!</v>
      </c>
      <c r="DY81" t="e">
        <f>AND(#REF!,"AAAAAHnHfYA=")</f>
        <v>#REF!</v>
      </c>
      <c r="DZ81" t="e">
        <f>AND(#REF!,"AAAAAHnHfYE=")</f>
        <v>#REF!</v>
      </c>
      <c r="EA81" t="e">
        <f>AND(#REF!,"AAAAAHnHfYI=")</f>
        <v>#REF!</v>
      </c>
      <c r="EB81" t="e">
        <f>AND(#REF!,"AAAAAHnHfYM=")</f>
        <v>#REF!</v>
      </c>
      <c r="EC81" t="e">
        <f>AND(#REF!,"AAAAAHnHfYQ=")</f>
        <v>#REF!</v>
      </c>
      <c r="ED81" t="e">
        <f>AND(#REF!,"AAAAAHnHfYU=")</f>
        <v>#REF!</v>
      </c>
      <c r="EE81" t="e">
        <f>AND(#REF!,"AAAAAHnHfYY=")</f>
        <v>#REF!</v>
      </c>
      <c r="EF81" t="e">
        <f>AND(#REF!,"AAAAAHnHfYc=")</f>
        <v>#REF!</v>
      </c>
      <c r="EG81" t="e">
        <f>AND(#REF!,"AAAAAHnHfYg=")</f>
        <v>#REF!</v>
      </c>
      <c r="EH81" t="e">
        <f>AND(#REF!,"AAAAAHnHfYk=")</f>
        <v>#REF!</v>
      </c>
      <c r="EI81" t="e">
        <f>AND(#REF!,"AAAAAHnHfYo=")</f>
        <v>#REF!</v>
      </c>
      <c r="EJ81" t="e">
        <f>AND(#REF!,"AAAAAHnHfYs=")</f>
        <v>#REF!</v>
      </c>
      <c r="EK81" t="e">
        <f>AND(#REF!,"AAAAAHnHfYw=")</f>
        <v>#REF!</v>
      </c>
      <c r="EL81" t="e">
        <f>AND(#REF!,"AAAAAHnHfY0=")</f>
        <v>#REF!</v>
      </c>
      <c r="EM81" t="e">
        <f>AND(#REF!,"AAAAAHnHfY4=")</f>
        <v>#REF!</v>
      </c>
      <c r="EN81" t="e">
        <f>AND(#REF!,"AAAAAHnHfY8=")</f>
        <v>#REF!</v>
      </c>
      <c r="EO81" t="e">
        <f>AND(#REF!,"AAAAAHnHfZA=")</f>
        <v>#REF!</v>
      </c>
      <c r="EP81" t="e">
        <f>AND(#REF!,"AAAAAHnHfZE=")</f>
        <v>#REF!</v>
      </c>
      <c r="EQ81" t="e">
        <f>AND(#REF!,"AAAAAHnHfZI=")</f>
        <v>#REF!</v>
      </c>
      <c r="ER81" t="e">
        <f>AND(#REF!,"AAAAAHnHfZM=")</f>
        <v>#REF!</v>
      </c>
      <c r="ES81" t="e">
        <f>AND(#REF!,"AAAAAHnHfZQ=")</f>
        <v>#REF!</v>
      </c>
      <c r="ET81" t="e">
        <f>AND(#REF!,"AAAAAHnHfZU=")</f>
        <v>#REF!</v>
      </c>
      <c r="EU81" t="e">
        <f>AND(#REF!,"AAAAAHnHfZY=")</f>
        <v>#REF!</v>
      </c>
      <c r="EV81" t="e">
        <f>AND(#REF!,"AAAAAHnHfZc=")</f>
        <v>#REF!</v>
      </c>
      <c r="EW81" t="e">
        <f>AND(#REF!,"AAAAAHnHfZg=")</f>
        <v>#REF!</v>
      </c>
      <c r="EX81" t="e">
        <f>AND(#REF!,"AAAAAHnHfZk=")</f>
        <v>#REF!</v>
      </c>
      <c r="EY81" t="e">
        <f>AND(#REF!,"AAAAAHnHfZo=")</f>
        <v>#REF!</v>
      </c>
      <c r="EZ81" t="e">
        <f>AND(#REF!,"AAAAAHnHfZs=")</f>
        <v>#REF!</v>
      </c>
      <c r="FA81" t="e">
        <f>AND(#REF!,"AAAAAHnHfZw=")</f>
        <v>#REF!</v>
      </c>
      <c r="FB81" t="e">
        <f>AND(#REF!,"AAAAAHnHfZ0=")</f>
        <v>#REF!</v>
      </c>
      <c r="FC81" t="e">
        <f>AND(#REF!,"AAAAAHnHfZ4=")</f>
        <v>#REF!</v>
      </c>
      <c r="FD81" t="e">
        <f>AND(#REF!,"AAAAAHnHfZ8=")</f>
        <v>#REF!</v>
      </c>
      <c r="FE81" t="e">
        <f>AND(#REF!,"AAAAAHnHfaA=")</f>
        <v>#REF!</v>
      </c>
      <c r="FF81" t="e">
        <f>AND(#REF!,"AAAAAHnHfaE=")</f>
        <v>#REF!</v>
      </c>
      <c r="FG81" t="e">
        <f>AND(#REF!,"AAAAAHnHfaI=")</f>
        <v>#REF!</v>
      </c>
      <c r="FH81" t="e">
        <f>AND(#REF!,"AAAAAHnHfaM=")</f>
        <v>#REF!</v>
      </c>
      <c r="FI81" t="e">
        <f>AND(#REF!,"AAAAAHnHfaQ=")</f>
        <v>#REF!</v>
      </c>
      <c r="FJ81" t="e">
        <f>AND(#REF!,"AAAAAHnHfaU=")</f>
        <v>#REF!</v>
      </c>
      <c r="FK81" t="e">
        <f>AND(#REF!,"AAAAAHnHfaY=")</f>
        <v>#REF!</v>
      </c>
      <c r="FL81" t="e">
        <f>AND(#REF!,"AAAAAHnHfac=")</f>
        <v>#REF!</v>
      </c>
      <c r="FM81" t="e">
        <f>AND(#REF!,"AAAAAHnHfag=")</f>
        <v>#REF!</v>
      </c>
      <c r="FN81" t="e">
        <f>AND(#REF!,"AAAAAHnHfak=")</f>
        <v>#REF!</v>
      </c>
      <c r="FO81" t="e">
        <f>AND(#REF!,"AAAAAHnHfao=")</f>
        <v>#REF!</v>
      </c>
      <c r="FP81" t="e">
        <f>IF(#REF!,"AAAAAHnHfas=",0)</f>
        <v>#REF!</v>
      </c>
      <c r="FQ81" t="e">
        <f>AND(#REF!,"AAAAAHnHfaw=")</f>
        <v>#REF!</v>
      </c>
      <c r="FR81" t="e">
        <f>AND(#REF!,"AAAAAHnHfa0=")</f>
        <v>#REF!</v>
      </c>
      <c r="FS81" t="e">
        <f>AND(#REF!,"AAAAAHnHfa4=")</f>
        <v>#REF!</v>
      </c>
      <c r="FT81" t="e">
        <f>AND(#REF!,"AAAAAHnHfa8=")</f>
        <v>#REF!</v>
      </c>
      <c r="FU81" t="e">
        <f>AND(#REF!,"AAAAAHnHfbA=")</f>
        <v>#REF!</v>
      </c>
      <c r="FV81" t="e">
        <f>AND(#REF!,"AAAAAHnHfbE=")</f>
        <v>#REF!</v>
      </c>
      <c r="FW81" t="e">
        <f>AND(#REF!,"AAAAAHnHfbI=")</f>
        <v>#REF!</v>
      </c>
      <c r="FX81" t="e">
        <f>AND(#REF!,"AAAAAHnHfbM=")</f>
        <v>#REF!</v>
      </c>
      <c r="FY81" t="e">
        <f>AND(#REF!,"AAAAAHnHfbQ=")</f>
        <v>#REF!</v>
      </c>
      <c r="FZ81" t="e">
        <f>AND(#REF!,"AAAAAHnHfbU=")</f>
        <v>#REF!</v>
      </c>
      <c r="GA81" t="e">
        <f>AND(#REF!,"AAAAAHnHfbY=")</f>
        <v>#REF!</v>
      </c>
      <c r="GB81" t="e">
        <f>AND(#REF!,"AAAAAHnHfbc=")</f>
        <v>#REF!</v>
      </c>
      <c r="GC81" t="e">
        <f>AND(#REF!,"AAAAAHnHfbg=")</f>
        <v>#REF!</v>
      </c>
      <c r="GD81" t="e">
        <f>AND(#REF!,"AAAAAHnHfbk=")</f>
        <v>#REF!</v>
      </c>
      <c r="GE81" t="e">
        <f>AND(#REF!,"AAAAAHnHfbo=")</f>
        <v>#REF!</v>
      </c>
      <c r="GF81" t="e">
        <f>AND(#REF!,"AAAAAHnHfbs=")</f>
        <v>#REF!</v>
      </c>
      <c r="GG81" t="e">
        <f>AND(#REF!,"AAAAAHnHfbw=")</f>
        <v>#REF!</v>
      </c>
      <c r="GH81" t="e">
        <f>AND(#REF!,"AAAAAHnHfb0=")</f>
        <v>#REF!</v>
      </c>
      <c r="GI81" t="e">
        <f>AND(#REF!,"AAAAAHnHfb4=")</f>
        <v>#REF!</v>
      </c>
      <c r="GJ81" t="e">
        <f>AND(#REF!,"AAAAAHnHfb8=")</f>
        <v>#REF!</v>
      </c>
      <c r="GK81" t="e">
        <f>AND(#REF!,"AAAAAHnHfcA=")</f>
        <v>#REF!</v>
      </c>
      <c r="GL81" t="e">
        <f>AND(#REF!,"AAAAAHnHfcE=")</f>
        <v>#REF!</v>
      </c>
      <c r="GM81" t="e">
        <f>AND(#REF!,"AAAAAHnHfcI=")</f>
        <v>#REF!</v>
      </c>
      <c r="GN81" t="e">
        <f>AND(#REF!,"AAAAAHnHfcM=")</f>
        <v>#REF!</v>
      </c>
      <c r="GO81" t="e">
        <f>AND(#REF!,"AAAAAHnHfcQ=")</f>
        <v>#REF!</v>
      </c>
      <c r="GP81" t="e">
        <f>AND(#REF!,"AAAAAHnHfcU=")</f>
        <v>#REF!</v>
      </c>
      <c r="GQ81" t="e">
        <f>AND(#REF!,"AAAAAHnHfcY=")</f>
        <v>#REF!</v>
      </c>
      <c r="GR81" t="e">
        <f>AND(#REF!,"AAAAAHnHfcc=")</f>
        <v>#REF!</v>
      </c>
      <c r="GS81" t="e">
        <f>AND(#REF!,"AAAAAHnHfcg=")</f>
        <v>#REF!</v>
      </c>
      <c r="GT81" t="e">
        <f>AND(#REF!,"AAAAAHnHfck=")</f>
        <v>#REF!</v>
      </c>
      <c r="GU81" t="e">
        <f>AND(#REF!,"AAAAAHnHfco=")</f>
        <v>#REF!</v>
      </c>
      <c r="GV81" t="e">
        <f>AND(#REF!,"AAAAAHnHfcs=")</f>
        <v>#REF!</v>
      </c>
      <c r="GW81" t="e">
        <f>AND(#REF!,"AAAAAHnHfcw=")</f>
        <v>#REF!</v>
      </c>
      <c r="GX81" t="e">
        <f>AND(#REF!,"AAAAAHnHfc0=")</f>
        <v>#REF!</v>
      </c>
      <c r="GY81" t="e">
        <f>AND(#REF!,"AAAAAHnHfc4=")</f>
        <v>#REF!</v>
      </c>
      <c r="GZ81" t="e">
        <f>AND(#REF!,"AAAAAHnHfc8=")</f>
        <v>#REF!</v>
      </c>
      <c r="HA81" t="e">
        <f>AND(#REF!,"AAAAAHnHfdA=")</f>
        <v>#REF!</v>
      </c>
      <c r="HB81" t="e">
        <f>AND(#REF!,"AAAAAHnHfdE=")</f>
        <v>#REF!</v>
      </c>
      <c r="HC81" t="e">
        <f>AND(#REF!,"AAAAAHnHfdI=")</f>
        <v>#REF!</v>
      </c>
      <c r="HD81" t="e">
        <f>AND(#REF!,"AAAAAHnHfdM=")</f>
        <v>#REF!</v>
      </c>
      <c r="HE81" t="e">
        <f>AND(#REF!,"AAAAAHnHfdQ=")</f>
        <v>#REF!</v>
      </c>
      <c r="HF81" t="e">
        <f>AND(#REF!,"AAAAAHnHfdU=")</f>
        <v>#REF!</v>
      </c>
      <c r="HG81" t="e">
        <f>AND(#REF!,"AAAAAHnHfdY=")</f>
        <v>#REF!</v>
      </c>
      <c r="HH81" t="e">
        <f>AND(#REF!,"AAAAAHnHfdc=")</f>
        <v>#REF!</v>
      </c>
      <c r="HI81" t="e">
        <f>AND(#REF!,"AAAAAHnHfdg=")</f>
        <v>#REF!</v>
      </c>
      <c r="HJ81" t="e">
        <f>AND(#REF!,"AAAAAHnHfdk=")</f>
        <v>#REF!</v>
      </c>
      <c r="HK81" t="e">
        <f>AND(#REF!,"AAAAAHnHfdo=")</f>
        <v>#REF!</v>
      </c>
      <c r="HL81" t="e">
        <f>AND(#REF!,"AAAAAHnHfds=")</f>
        <v>#REF!</v>
      </c>
      <c r="HM81" t="e">
        <f>AND(#REF!,"AAAAAHnHfdw=")</f>
        <v>#REF!</v>
      </c>
      <c r="HN81" t="e">
        <f>AND(#REF!,"AAAAAHnHfd0=")</f>
        <v>#REF!</v>
      </c>
      <c r="HO81" t="e">
        <f>AND(#REF!,"AAAAAHnHfd4=")</f>
        <v>#REF!</v>
      </c>
      <c r="HP81" t="e">
        <f>AND(#REF!,"AAAAAHnHfd8=")</f>
        <v>#REF!</v>
      </c>
      <c r="HQ81" t="e">
        <f>AND(#REF!,"AAAAAHnHfeA=")</f>
        <v>#REF!</v>
      </c>
      <c r="HR81" t="e">
        <f>AND(#REF!,"AAAAAHnHfeE=")</f>
        <v>#REF!</v>
      </c>
      <c r="HS81" t="e">
        <f>AND(#REF!,"AAAAAHnHfeI=")</f>
        <v>#REF!</v>
      </c>
      <c r="HT81" t="e">
        <f>AND(#REF!,"AAAAAHnHfeM=")</f>
        <v>#REF!</v>
      </c>
      <c r="HU81" t="e">
        <f>AND(#REF!,"AAAAAHnHfeQ=")</f>
        <v>#REF!</v>
      </c>
      <c r="HV81" t="e">
        <f>AND(#REF!,"AAAAAHnHfeU=")</f>
        <v>#REF!</v>
      </c>
      <c r="HW81" t="e">
        <f>AND(#REF!,"AAAAAHnHfeY=")</f>
        <v>#REF!</v>
      </c>
      <c r="HX81" t="e">
        <f>AND(#REF!,"AAAAAHnHfec=")</f>
        <v>#REF!</v>
      </c>
      <c r="HY81" t="e">
        <f>AND(#REF!,"AAAAAHnHfeg=")</f>
        <v>#REF!</v>
      </c>
      <c r="HZ81" t="e">
        <f>AND(#REF!,"AAAAAHnHfek=")</f>
        <v>#REF!</v>
      </c>
      <c r="IA81" t="e">
        <f>AND(#REF!,"AAAAAHnHfeo=")</f>
        <v>#REF!</v>
      </c>
      <c r="IB81" t="e">
        <f>AND(#REF!,"AAAAAHnHfes=")</f>
        <v>#REF!</v>
      </c>
      <c r="IC81" t="e">
        <f>AND(#REF!,"AAAAAHnHfew=")</f>
        <v>#REF!</v>
      </c>
      <c r="ID81" t="e">
        <f>AND(#REF!,"AAAAAHnHfe0=")</f>
        <v>#REF!</v>
      </c>
      <c r="IE81" t="e">
        <f>AND(#REF!,"AAAAAHnHfe4=")</f>
        <v>#REF!</v>
      </c>
      <c r="IF81" t="e">
        <f>AND(#REF!,"AAAAAHnHfe8=")</f>
        <v>#REF!</v>
      </c>
      <c r="IG81" t="e">
        <f>AND(#REF!,"AAAAAHnHffA=")</f>
        <v>#REF!</v>
      </c>
      <c r="IH81" t="e">
        <f>AND(#REF!,"AAAAAHnHffE=")</f>
        <v>#REF!</v>
      </c>
      <c r="II81" t="e">
        <f>AND(#REF!,"AAAAAHnHffI=")</f>
        <v>#REF!</v>
      </c>
      <c r="IJ81" t="e">
        <f>AND(#REF!,"AAAAAHnHffM=")</f>
        <v>#REF!</v>
      </c>
      <c r="IK81" t="e">
        <f>AND(#REF!,"AAAAAHnHffQ=")</f>
        <v>#REF!</v>
      </c>
      <c r="IL81" t="e">
        <f>AND(#REF!,"AAAAAHnHffU=")</f>
        <v>#REF!</v>
      </c>
      <c r="IM81" t="e">
        <f>AND(#REF!,"AAAAAHnHffY=")</f>
        <v>#REF!</v>
      </c>
      <c r="IN81" t="e">
        <f>AND(#REF!,"AAAAAHnHffc=")</f>
        <v>#REF!</v>
      </c>
      <c r="IO81" t="e">
        <f>AND(#REF!,"AAAAAHnHffg=")</f>
        <v>#REF!</v>
      </c>
      <c r="IP81" t="e">
        <f>AND(#REF!,"AAAAAHnHffk=")</f>
        <v>#REF!</v>
      </c>
      <c r="IQ81" t="e">
        <f>AND(#REF!,"AAAAAHnHffo=")</f>
        <v>#REF!</v>
      </c>
      <c r="IR81" t="e">
        <f>AND(#REF!,"AAAAAHnHffs=")</f>
        <v>#REF!</v>
      </c>
      <c r="IS81" t="e">
        <f>AND(#REF!,"AAAAAHnHffw=")</f>
        <v>#REF!</v>
      </c>
      <c r="IT81" t="e">
        <f>AND(#REF!,"AAAAAHnHff0=")</f>
        <v>#REF!</v>
      </c>
      <c r="IU81" t="e">
        <f>AND(#REF!,"AAAAAHnHff4=")</f>
        <v>#REF!</v>
      </c>
      <c r="IV81" t="e">
        <f>AND(#REF!,"AAAAAHnHff8=")</f>
        <v>#REF!</v>
      </c>
    </row>
    <row r="82" spans="1:256" x14ac:dyDescent="0.2">
      <c r="A82" t="e">
        <f>AND(#REF!,"AAAAAH/L9wA=")</f>
        <v>#REF!</v>
      </c>
      <c r="B82" t="e">
        <f>AND(#REF!,"AAAAAH/L9wE=")</f>
        <v>#REF!</v>
      </c>
      <c r="C82" t="e">
        <f>AND(#REF!,"AAAAAH/L9wI=")</f>
        <v>#REF!</v>
      </c>
      <c r="D82" t="e">
        <f>AND(#REF!,"AAAAAH/L9wM=")</f>
        <v>#REF!</v>
      </c>
      <c r="E82" t="e">
        <f>AND(#REF!,"AAAAAH/L9wQ=")</f>
        <v>#REF!</v>
      </c>
      <c r="F82" t="e">
        <f>AND(#REF!,"AAAAAH/L9wU=")</f>
        <v>#REF!</v>
      </c>
      <c r="G82" t="e">
        <f>AND(#REF!,"AAAAAH/L9wY=")</f>
        <v>#REF!</v>
      </c>
      <c r="H82" t="e">
        <f>AND(#REF!,"AAAAAH/L9wc=")</f>
        <v>#REF!</v>
      </c>
      <c r="I82" t="e">
        <f>AND(#REF!,"AAAAAH/L9wg=")</f>
        <v>#REF!</v>
      </c>
      <c r="J82" t="e">
        <f>AND(#REF!,"AAAAAH/L9wk=")</f>
        <v>#REF!</v>
      </c>
      <c r="K82" t="e">
        <f>AND(#REF!,"AAAAAH/L9wo=")</f>
        <v>#REF!</v>
      </c>
      <c r="L82" t="e">
        <f>AND(#REF!,"AAAAAH/L9ws=")</f>
        <v>#REF!</v>
      </c>
      <c r="M82" t="e">
        <f>AND(#REF!,"AAAAAH/L9ww=")</f>
        <v>#REF!</v>
      </c>
      <c r="N82" t="e">
        <f>AND(#REF!,"AAAAAH/L9w0=")</f>
        <v>#REF!</v>
      </c>
      <c r="O82" t="e">
        <f>AND(#REF!,"AAAAAH/L9w4=")</f>
        <v>#REF!</v>
      </c>
      <c r="P82" t="e">
        <f>AND(#REF!,"AAAAAH/L9w8=")</f>
        <v>#REF!</v>
      </c>
      <c r="Q82" t="e">
        <f>AND(#REF!,"AAAAAH/L9xA=")</f>
        <v>#REF!</v>
      </c>
      <c r="R82" t="e">
        <f>AND(#REF!,"AAAAAH/L9xE=")</f>
        <v>#REF!</v>
      </c>
      <c r="S82" t="e">
        <f>AND(#REF!,"AAAAAH/L9xI=")</f>
        <v>#REF!</v>
      </c>
      <c r="T82" t="e">
        <f>AND(#REF!,"AAAAAH/L9xM=")</f>
        <v>#REF!</v>
      </c>
      <c r="U82" t="e">
        <f>AND(#REF!,"AAAAAH/L9xQ=")</f>
        <v>#REF!</v>
      </c>
      <c r="V82" t="e">
        <f>AND(#REF!,"AAAAAH/L9xU=")</f>
        <v>#REF!</v>
      </c>
      <c r="W82" t="e">
        <f>AND(#REF!,"AAAAAH/L9xY=")</f>
        <v>#REF!</v>
      </c>
      <c r="X82" t="e">
        <f>AND(#REF!,"AAAAAH/L9xc=")</f>
        <v>#REF!</v>
      </c>
      <c r="Y82" t="e">
        <f>AND(#REF!,"AAAAAH/L9xg=")</f>
        <v>#REF!</v>
      </c>
      <c r="Z82" t="e">
        <f>AND(#REF!,"AAAAAH/L9xk=")</f>
        <v>#REF!</v>
      </c>
      <c r="AA82" t="e">
        <f>AND(#REF!,"AAAAAH/L9xo=")</f>
        <v>#REF!</v>
      </c>
      <c r="AB82" t="e">
        <f>AND(#REF!,"AAAAAH/L9xs=")</f>
        <v>#REF!</v>
      </c>
      <c r="AC82" t="e">
        <f>AND(#REF!,"AAAAAH/L9xw=")</f>
        <v>#REF!</v>
      </c>
      <c r="AD82" t="e">
        <f>AND(#REF!,"AAAAAH/L9x0=")</f>
        <v>#REF!</v>
      </c>
      <c r="AE82" t="e">
        <f>AND(#REF!,"AAAAAH/L9x4=")</f>
        <v>#REF!</v>
      </c>
      <c r="AF82" t="e">
        <f>AND(#REF!,"AAAAAH/L9x8=")</f>
        <v>#REF!</v>
      </c>
      <c r="AG82" t="e">
        <f>AND(#REF!,"AAAAAH/L9yA=")</f>
        <v>#REF!</v>
      </c>
      <c r="AH82" t="e">
        <f>AND(#REF!,"AAAAAH/L9yE=")</f>
        <v>#REF!</v>
      </c>
      <c r="AI82" t="e">
        <f>AND(#REF!,"AAAAAH/L9yI=")</f>
        <v>#REF!</v>
      </c>
      <c r="AJ82" t="e">
        <f>AND(#REF!,"AAAAAH/L9yM=")</f>
        <v>#REF!</v>
      </c>
      <c r="AK82" t="e">
        <f>AND(#REF!,"AAAAAH/L9yQ=")</f>
        <v>#REF!</v>
      </c>
      <c r="AL82" t="e">
        <f>AND(#REF!,"AAAAAH/L9yU=")</f>
        <v>#REF!</v>
      </c>
      <c r="AM82" t="e">
        <f>AND(#REF!,"AAAAAH/L9yY=")</f>
        <v>#REF!</v>
      </c>
      <c r="AN82" t="e">
        <f>AND(#REF!,"AAAAAH/L9yc=")</f>
        <v>#REF!</v>
      </c>
      <c r="AO82" t="e">
        <f>AND(#REF!,"AAAAAH/L9yg=")</f>
        <v>#REF!</v>
      </c>
      <c r="AP82" t="e">
        <f>AND(#REF!,"AAAAAH/L9yk=")</f>
        <v>#REF!</v>
      </c>
      <c r="AQ82" t="e">
        <f>AND(#REF!,"AAAAAH/L9yo=")</f>
        <v>#REF!</v>
      </c>
      <c r="AR82" t="e">
        <f>AND(#REF!,"AAAAAH/L9ys=")</f>
        <v>#REF!</v>
      </c>
      <c r="AS82" t="e">
        <f>AND(#REF!,"AAAAAH/L9yw=")</f>
        <v>#REF!</v>
      </c>
      <c r="AT82" t="e">
        <f>AND(#REF!,"AAAAAH/L9y0=")</f>
        <v>#REF!</v>
      </c>
      <c r="AU82" t="e">
        <f>AND(#REF!,"AAAAAH/L9y4=")</f>
        <v>#REF!</v>
      </c>
      <c r="AV82" t="e">
        <f>AND(#REF!,"AAAAAH/L9y8=")</f>
        <v>#REF!</v>
      </c>
      <c r="AW82" t="e">
        <f>AND(#REF!,"AAAAAH/L9zA=")</f>
        <v>#REF!</v>
      </c>
      <c r="AX82" t="e">
        <f>AND(#REF!,"AAAAAH/L9zE=")</f>
        <v>#REF!</v>
      </c>
      <c r="AY82" t="e">
        <f>AND(#REF!,"AAAAAH/L9zI=")</f>
        <v>#REF!</v>
      </c>
      <c r="AZ82" t="e">
        <f>AND(#REF!,"AAAAAH/L9zM=")</f>
        <v>#REF!</v>
      </c>
      <c r="BA82" t="e">
        <f>AND(#REF!,"AAAAAH/L9zQ=")</f>
        <v>#REF!</v>
      </c>
      <c r="BB82" t="e">
        <f>AND(#REF!,"AAAAAH/L9zU=")</f>
        <v>#REF!</v>
      </c>
      <c r="BC82" t="e">
        <f>AND(#REF!,"AAAAAH/L9zY=")</f>
        <v>#REF!</v>
      </c>
      <c r="BD82" t="e">
        <f>AND(#REF!,"AAAAAH/L9zc=")</f>
        <v>#REF!</v>
      </c>
      <c r="BE82" t="e">
        <f>AND(#REF!,"AAAAAH/L9zg=")</f>
        <v>#REF!</v>
      </c>
      <c r="BF82" t="e">
        <f>AND(#REF!,"AAAAAH/L9zk=")</f>
        <v>#REF!</v>
      </c>
      <c r="BG82" t="e">
        <f>AND(#REF!,"AAAAAH/L9zo=")</f>
        <v>#REF!</v>
      </c>
      <c r="BH82" t="e">
        <f>AND(#REF!,"AAAAAH/L9zs=")</f>
        <v>#REF!</v>
      </c>
      <c r="BI82" t="e">
        <f>AND(#REF!,"AAAAAH/L9zw=")</f>
        <v>#REF!</v>
      </c>
      <c r="BJ82" t="e">
        <f>AND(#REF!,"AAAAAH/L9z0=")</f>
        <v>#REF!</v>
      </c>
      <c r="BK82" t="e">
        <f>AND(#REF!,"AAAAAH/L9z4=")</f>
        <v>#REF!</v>
      </c>
      <c r="BL82" t="e">
        <f>AND(#REF!,"AAAAAH/L9z8=")</f>
        <v>#REF!</v>
      </c>
      <c r="BM82" t="e">
        <f>AND(#REF!,"AAAAAH/L90A=")</f>
        <v>#REF!</v>
      </c>
      <c r="BN82" t="e">
        <f>AND(#REF!,"AAAAAH/L90E=")</f>
        <v>#REF!</v>
      </c>
      <c r="BO82" t="e">
        <f>AND(#REF!,"AAAAAH/L90I=")</f>
        <v>#REF!</v>
      </c>
      <c r="BP82" t="e">
        <f>AND(#REF!,"AAAAAH/L90M=")</f>
        <v>#REF!</v>
      </c>
      <c r="BQ82" t="e">
        <f>AND(#REF!,"AAAAAH/L90Q=")</f>
        <v>#REF!</v>
      </c>
      <c r="BR82" t="e">
        <f>AND(#REF!,"AAAAAH/L90U=")</f>
        <v>#REF!</v>
      </c>
      <c r="BS82" t="e">
        <f>AND(#REF!,"AAAAAH/L90Y=")</f>
        <v>#REF!</v>
      </c>
      <c r="BT82" t="e">
        <f>AND(#REF!,"AAAAAH/L90c=")</f>
        <v>#REF!</v>
      </c>
      <c r="BU82" t="e">
        <f>AND(#REF!,"AAAAAH/L90g=")</f>
        <v>#REF!</v>
      </c>
      <c r="BV82" t="e">
        <f>AND(#REF!,"AAAAAH/L90k=")</f>
        <v>#REF!</v>
      </c>
      <c r="BW82" t="e">
        <f>AND(#REF!,"AAAAAH/L90o=")</f>
        <v>#REF!</v>
      </c>
      <c r="BX82" t="e">
        <f>AND(#REF!,"AAAAAH/L90s=")</f>
        <v>#REF!</v>
      </c>
      <c r="BY82" t="e">
        <f>AND(#REF!,"AAAAAH/L90w=")</f>
        <v>#REF!</v>
      </c>
      <c r="BZ82" t="e">
        <f>AND(#REF!,"AAAAAH/L900=")</f>
        <v>#REF!</v>
      </c>
      <c r="CA82" t="e">
        <f>AND(#REF!,"AAAAAH/L904=")</f>
        <v>#REF!</v>
      </c>
      <c r="CB82" t="e">
        <f>AND(#REF!,"AAAAAH/L908=")</f>
        <v>#REF!</v>
      </c>
      <c r="CC82" t="e">
        <f>AND(#REF!,"AAAAAH/L91A=")</f>
        <v>#REF!</v>
      </c>
      <c r="CD82" t="e">
        <f>AND(#REF!,"AAAAAH/L91E=")</f>
        <v>#REF!</v>
      </c>
      <c r="CE82" t="e">
        <f>AND(#REF!,"AAAAAH/L91I=")</f>
        <v>#REF!</v>
      </c>
      <c r="CF82" t="e">
        <f>AND(#REF!,"AAAAAH/L91M=")</f>
        <v>#REF!</v>
      </c>
      <c r="CG82" t="e">
        <f>AND(#REF!,"AAAAAH/L91Q=")</f>
        <v>#REF!</v>
      </c>
      <c r="CH82" t="e">
        <f>AND(#REF!,"AAAAAH/L91U=")</f>
        <v>#REF!</v>
      </c>
      <c r="CI82" t="e">
        <f>AND(#REF!,"AAAAAH/L91Y=")</f>
        <v>#REF!</v>
      </c>
      <c r="CJ82" t="e">
        <f>AND(#REF!,"AAAAAH/L91c=")</f>
        <v>#REF!</v>
      </c>
      <c r="CK82" t="e">
        <f>AND(#REF!,"AAAAAH/L91g=")</f>
        <v>#REF!</v>
      </c>
      <c r="CL82" t="e">
        <f>AND(#REF!,"AAAAAH/L91k=")</f>
        <v>#REF!</v>
      </c>
      <c r="CM82" t="e">
        <f>AND(#REF!,"AAAAAH/L91o=")</f>
        <v>#REF!</v>
      </c>
      <c r="CN82" t="e">
        <f>AND(#REF!,"AAAAAH/L91s=")</f>
        <v>#REF!</v>
      </c>
      <c r="CO82" t="e">
        <f>AND(#REF!,"AAAAAH/L91w=")</f>
        <v>#REF!</v>
      </c>
      <c r="CP82" t="e">
        <f>AND(#REF!,"AAAAAH/L910=")</f>
        <v>#REF!</v>
      </c>
      <c r="CQ82" t="e">
        <f>AND(#REF!,"AAAAAH/L914=")</f>
        <v>#REF!</v>
      </c>
      <c r="CR82" t="e">
        <f>AND(#REF!,"AAAAAH/L918=")</f>
        <v>#REF!</v>
      </c>
      <c r="CS82" t="e">
        <f>IF(#REF!,"AAAAAH/L92A=",0)</f>
        <v>#REF!</v>
      </c>
      <c r="CT82" t="e">
        <f>AND(#REF!,"AAAAAH/L92E=")</f>
        <v>#REF!</v>
      </c>
      <c r="CU82" t="e">
        <f>AND(#REF!,"AAAAAH/L92I=")</f>
        <v>#REF!</v>
      </c>
      <c r="CV82" t="e">
        <f>AND(#REF!,"AAAAAH/L92M=")</f>
        <v>#REF!</v>
      </c>
      <c r="CW82" t="e">
        <f>AND(#REF!,"AAAAAH/L92Q=")</f>
        <v>#REF!</v>
      </c>
      <c r="CX82" t="e">
        <f>AND(#REF!,"AAAAAH/L92U=")</f>
        <v>#REF!</v>
      </c>
      <c r="CY82" t="e">
        <f>AND(#REF!,"AAAAAH/L92Y=")</f>
        <v>#REF!</v>
      </c>
      <c r="CZ82" t="e">
        <f>AND(#REF!,"AAAAAH/L92c=")</f>
        <v>#REF!</v>
      </c>
      <c r="DA82" t="e">
        <f>AND(#REF!,"AAAAAH/L92g=")</f>
        <v>#REF!</v>
      </c>
      <c r="DB82" t="e">
        <f>AND(#REF!,"AAAAAH/L92k=")</f>
        <v>#REF!</v>
      </c>
      <c r="DC82" t="e">
        <f>AND(#REF!,"AAAAAH/L92o=")</f>
        <v>#REF!</v>
      </c>
      <c r="DD82" t="e">
        <f>AND(#REF!,"AAAAAH/L92s=")</f>
        <v>#REF!</v>
      </c>
      <c r="DE82" t="e">
        <f>AND(#REF!,"AAAAAH/L92w=")</f>
        <v>#REF!</v>
      </c>
      <c r="DF82" t="e">
        <f>AND(#REF!,"AAAAAH/L920=")</f>
        <v>#REF!</v>
      </c>
      <c r="DG82" t="e">
        <f>AND(#REF!,"AAAAAH/L924=")</f>
        <v>#REF!</v>
      </c>
      <c r="DH82" t="e">
        <f>AND(#REF!,"AAAAAH/L928=")</f>
        <v>#REF!</v>
      </c>
      <c r="DI82" t="e">
        <f>AND(#REF!,"AAAAAH/L93A=")</f>
        <v>#REF!</v>
      </c>
      <c r="DJ82" t="e">
        <f>AND(#REF!,"AAAAAH/L93E=")</f>
        <v>#REF!</v>
      </c>
      <c r="DK82" t="e">
        <f>AND(#REF!,"AAAAAH/L93I=")</f>
        <v>#REF!</v>
      </c>
      <c r="DL82" t="e">
        <f>AND(#REF!,"AAAAAH/L93M=")</f>
        <v>#REF!</v>
      </c>
      <c r="DM82" t="e">
        <f>AND(#REF!,"AAAAAH/L93Q=")</f>
        <v>#REF!</v>
      </c>
      <c r="DN82" t="e">
        <f>AND(#REF!,"AAAAAH/L93U=")</f>
        <v>#REF!</v>
      </c>
      <c r="DO82" t="e">
        <f>AND(#REF!,"AAAAAH/L93Y=")</f>
        <v>#REF!</v>
      </c>
      <c r="DP82" t="e">
        <f>AND(#REF!,"AAAAAH/L93c=")</f>
        <v>#REF!</v>
      </c>
      <c r="DQ82" t="e">
        <f>AND(#REF!,"AAAAAH/L93g=")</f>
        <v>#REF!</v>
      </c>
      <c r="DR82" t="e">
        <f>AND(#REF!,"AAAAAH/L93k=")</f>
        <v>#REF!</v>
      </c>
      <c r="DS82" t="e">
        <f>AND(#REF!,"AAAAAH/L93o=")</f>
        <v>#REF!</v>
      </c>
      <c r="DT82" t="e">
        <f>AND(#REF!,"AAAAAH/L93s=")</f>
        <v>#REF!</v>
      </c>
      <c r="DU82" t="e">
        <f>AND(#REF!,"AAAAAH/L93w=")</f>
        <v>#REF!</v>
      </c>
      <c r="DV82" t="e">
        <f>AND(#REF!,"AAAAAH/L930=")</f>
        <v>#REF!</v>
      </c>
      <c r="DW82" t="e">
        <f>AND(#REF!,"AAAAAH/L934=")</f>
        <v>#REF!</v>
      </c>
      <c r="DX82" t="e">
        <f>AND(#REF!,"AAAAAH/L938=")</f>
        <v>#REF!</v>
      </c>
      <c r="DY82" t="e">
        <f>AND(#REF!,"AAAAAH/L94A=")</f>
        <v>#REF!</v>
      </c>
      <c r="DZ82" t="e">
        <f>AND(#REF!,"AAAAAH/L94E=")</f>
        <v>#REF!</v>
      </c>
      <c r="EA82" t="e">
        <f>AND(#REF!,"AAAAAH/L94I=")</f>
        <v>#REF!</v>
      </c>
      <c r="EB82" t="e">
        <f>AND(#REF!,"AAAAAH/L94M=")</f>
        <v>#REF!</v>
      </c>
      <c r="EC82" t="e">
        <f>AND(#REF!,"AAAAAH/L94Q=")</f>
        <v>#REF!</v>
      </c>
      <c r="ED82" t="e">
        <f>AND(#REF!,"AAAAAH/L94U=")</f>
        <v>#REF!</v>
      </c>
      <c r="EE82" t="e">
        <f>AND(#REF!,"AAAAAH/L94Y=")</f>
        <v>#REF!</v>
      </c>
      <c r="EF82" t="e">
        <f>AND(#REF!,"AAAAAH/L94c=")</f>
        <v>#REF!</v>
      </c>
      <c r="EG82" t="e">
        <f>AND(#REF!,"AAAAAH/L94g=")</f>
        <v>#REF!</v>
      </c>
      <c r="EH82" t="e">
        <f>AND(#REF!,"AAAAAH/L94k=")</f>
        <v>#REF!</v>
      </c>
      <c r="EI82" t="e">
        <f>AND(#REF!,"AAAAAH/L94o=")</f>
        <v>#REF!</v>
      </c>
      <c r="EJ82" t="e">
        <f>AND(#REF!,"AAAAAH/L94s=")</f>
        <v>#REF!</v>
      </c>
      <c r="EK82" t="e">
        <f>AND(#REF!,"AAAAAH/L94w=")</f>
        <v>#REF!</v>
      </c>
      <c r="EL82" t="e">
        <f>AND(#REF!,"AAAAAH/L940=")</f>
        <v>#REF!</v>
      </c>
      <c r="EM82" t="e">
        <f>AND(#REF!,"AAAAAH/L944=")</f>
        <v>#REF!</v>
      </c>
      <c r="EN82" t="e">
        <f>AND(#REF!,"AAAAAH/L948=")</f>
        <v>#REF!</v>
      </c>
      <c r="EO82" t="e">
        <f>AND(#REF!,"AAAAAH/L95A=")</f>
        <v>#REF!</v>
      </c>
      <c r="EP82" t="e">
        <f>AND(#REF!,"AAAAAH/L95E=")</f>
        <v>#REF!</v>
      </c>
      <c r="EQ82" t="e">
        <f>AND(#REF!,"AAAAAH/L95I=")</f>
        <v>#REF!</v>
      </c>
      <c r="ER82" t="e">
        <f>AND(#REF!,"AAAAAH/L95M=")</f>
        <v>#REF!</v>
      </c>
      <c r="ES82" t="e">
        <f>AND(#REF!,"AAAAAH/L95Q=")</f>
        <v>#REF!</v>
      </c>
      <c r="ET82" t="e">
        <f>AND(#REF!,"AAAAAH/L95U=")</f>
        <v>#REF!</v>
      </c>
      <c r="EU82" t="e">
        <f>AND(#REF!,"AAAAAH/L95Y=")</f>
        <v>#REF!</v>
      </c>
      <c r="EV82" t="e">
        <f>AND(#REF!,"AAAAAH/L95c=")</f>
        <v>#REF!</v>
      </c>
      <c r="EW82" t="e">
        <f>AND(#REF!,"AAAAAH/L95g=")</f>
        <v>#REF!</v>
      </c>
      <c r="EX82" t="e">
        <f>AND(#REF!,"AAAAAH/L95k=")</f>
        <v>#REF!</v>
      </c>
      <c r="EY82" t="e">
        <f>AND(#REF!,"AAAAAH/L95o=")</f>
        <v>#REF!</v>
      </c>
      <c r="EZ82" t="e">
        <f>AND(#REF!,"AAAAAH/L95s=")</f>
        <v>#REF!</v>
      </c>
      <c r="FA82" t="e">
        <f>AND(#REF!,"AAAAAH/L95w=")</f>
        <v>#REF!</v>
      </c>
      <c r="FB82" t="e">
        <f>AND(#REF!,"AAAAAH/L950=")</f>
        <v>#REF!</v>
      </c>
      <c r="FC82" t="e">
        <f>AND(#REF!,"AAAAAH/L954=")</f>
        <v>#REF!</v>
      </c>
      <c r="FD82" t="e">
        <f>AND(#REF!,"AAAAAH/L958=")</f>
        <v>#REF!</v>
      </c>
      <c r="FE82" t="e">
        <f>AND(#REF!,"AAAAAH/L96A=")</f>
        <v>#REF!</v>
      </c>
      <c r="FF82" t="e">
        <f>AND(#REF!,"AAAAAH/L96E=")</f>
        <v>#REF!</v>
      </c>
      <c r="FG82" t="e">
        <f>AND(#REF!,"AAAAAH/L96I=")</f>
        <v>#REF!</v>
      </c>
      <c r="FH82" t="e">
        <f>AND(#REF!,"AAAAAH/L96M=")</f>
        <v>#REF!</v>
      </c>
      <c r="FI82" t="e">
        <f>AND(#REF!,"AAAAAH/L96Q=")</f>
        <v>#REF!</v>
      </c>
      <c r="FJ82" t="e">
        <f>AND(#REF!,"AAAAAH/L96U=")</f>
        <v>#REF!</v>
      </c>
      <c r="FK82" t="e">
        <f>AND(#REF!,"AAAAAH/L96Y=")</f>
        <v>#REF!</v>
      </c>
      <c r="FL82" t="e">
        <f>AND(#REF!,"AAAAAH/L96c=")</f>
        <v>#REF!</v>
      </c>
      <c r="FM82" t="e">
        <f>AND(#REF!,"AAAAAH/L96g=")</f>
        <v>#REF!</v>
      </c>
      <c r="FN82" t="e">
        <f>AND(#REF!,"AAAAAH/L96k=")</f>
        <v>#REF!</v>
      </c>
      <c r="FO82" t="e">
        <f>AND(#REF!,"AAAAAH/L96o=")</f>
        <v>#REF!</v>
      </c>
      <c r="FP82" t="e">
        <f>AND(#REF!,"AAAAAH/L96s=")</f>
        <v>#REF!</v>
      </c>
      <c r="FQ82" t="e">
        <f>AND(#REF!,"AAAAAH/L96w=")</f>
        <v>#REF!</v>
      </c>
      <c r="FR82" t="e">
        <f>AND(#REF!,"AAAAAH/L960=")</f>
        <v>#REF!</v>
      </c>
      <c r="FS82" t="e">
        <f>AND(#REF!,"AAAAAH/L964=")</f>
        <v>#REF!</v>
      </c>
      <c r="FT82" t="e">
        <f>AND(#REF!,"AAAAAH/L968=")</f>
        <v>#REF!</v>
      </c>
      <c r="FU82" t="e">
        <f>AND(#REF!,"AAAAAH/L97A=")</f>
        <v>#REF!</v>
      </c>
      <c r="FV82" t="e">
        <f>AND(#REF!,"AAAAAH/L97E=")</f>
        <v>#REF!</v>
      </c>
      <c r="FW82" t="e">
        <f>AND(#REF!,"AAAAAH/L97I=")</f>
        <v>#REF!</v>
      </c>
      <c r="FX82" t="e">
        <f>AND(#REF!,"AAAAAH/L97M=")</f>
        <v>#REF!</v>
      </c>
      <c r="FY82" t="e">
        <f>AND(#REF!,"AAAAAH/L97Q=")</f>
        <v>#REF!</v>
      </c>
      <c r="FZ82" t="e">
        <f>AND(#REF!,"AAAAAH/L97U=")</f>
        <v>#REF!</v>
      </c>
      <c r="GA82" t="e">
        <f>AND(#REF!,"AAAAAH/L97Y=")</f>
        <v>#REF!</v>
      </c>
      <c r="GB82" t="e">
        <f>AND(#REF!,"AAAAAH/L97c=")</f>
        <v>#REF!</v>
      </c>
      <c r="GC82" t="e">
        <f>AND(#REF!,"AAAAAH/L97g=")</f>
        <v>#REF!</v>
      </c>
      <c r="GD82" t="e">
        <f>AND(#REF!,"AAAAAH/L97k=")</f>
        <v>#REF!</v>
      </c>
      <c r="GE82" t="e">
        <f>AND(#REF!,"AAAAAH/L97o=")</f>
        <v>#REF!</v>
      </c>
      <c r="GF82" t="e">
        <f>AND(#REF!,"AAAAAH/L97s=")</f>
        <v>#REF!</v>
      </c>
      <c r="GG82" t="e">
        <f>AND(#REF!,"AAAAAH/L97w=")</f>
        <v>#REF!</v>
      </c>
      <c r="GH82" t="e">
        <f>AND(#REF!,"AAAAAH/L970=")</f>
        <v>#REF!</v>
      </c>
      <c r="GI82" t="e">
        <f>AND(#REF!,"AAAAAH/L974=")</f>
        <v>#REF!</v>
      </c>
      <c r="GJ82" t="e">
        <f>AND(#REF!,"AAAAAH/L978=")</f>
        <v>#REF!</v>
      </c>
      <c r="GK82" t="e">
        <f>AND(#REF!,"AAAAAH/L98A=")</f>
        <v>#REF!</v>
      </c>
      <c r="GL82" t="e">
        <f>AND(#REF!,"AAAAAH/L98E=")</f>
        <v>#REF!</v>
      </c>
      <c r="GM82" t="e">
        <f>AND(#REF!,"AAAAAH/L98I=")</f>
        <v>#REF!</v>
      </c>
      <c r="GN82" t="e">
        <f>AND(#REF!,"AAAAAH/L98M=")</f>
        <v>#REF!</v>
      </c>
      <c r="GO82" t="e">
        <f>AND(#REF!,"AAAAAH/L98Q=")</f>
        <v>#REF!</v>
      </c>
      <c r="GP82" t="e">
        <f>AND(#REF!,"AAAAAH/L98U=")</f>
        <v>#REF!</v>
      </c>
      <c r="GQ82" t="e">
        <f>AND(#REF!,"AAAAAH/L98Y=")</f>
        <v>#REF!</v>
      </c>
      <c r="GR82" t="e">
        <f>AND(#REF!,"AAAAAH/L98c=")</f>
        <v>#REF!</v>
      </c>
      <c r="GS82" t="e">
        <f>AND(#REF!,"AAAAAH/L98g=")</f>
        <v>#REF!</v>
      </c>
      <c r="GT82" t="e">
        <f>AND(#REF!,"AAAAAH/L98k=")</f>
        <v>#REF!</v>
      </c>
      <c r="GU82" t="e">
        <f>AND(#REF!,"AAAAAH/L98o=")</f>
        <v>#REF!</v>
      </c>
      <c r="GV82" t="e">
        <f>AND(#REF!,"AAAAAH/L98s=")</f>
        <v>#REF!</v>
      </c>
      <c r="GW82" t="e">
        <f>AND(#REF!,"AAAAAH/L98w=")</f>
        <v>#REF!</v>
      </c>
      <c r="GX82" t="e">
        <f>AND(#REF!,"AAAAAH/L980=")</f>
        <v>#REF!</v>
      </c>
      <c r="GY82" t="e">
        <f>AND(#REF!,"AAAAAH/L984=")</f>
        <v>#REF!</v>
      </c>
      <c r="GZ82" t="e">
        <f>AND(#REF!,"AAAAAH/L988=")</f>
        <v>#REF!</v>
      </c>
      <c r="HA82" t="e">
        <f>AND(#REF!,"AAAAAH/L99A=")</f>
        <v>#REF!</v>
      </c>
      <c r="HB82" t="e">
        <f>AND(#REF!,"AAAAAH/L99E=")</f>
        <v>#REF!</v>
      </c>
      <c r="HC82" t="e">
        <f>AND(#REF!,"AAAAAH/L99I=")</f>
        <v>#REF!</v>
      </c>
      <c r="HD82" t="e">
        <f>AND(#REF!,"AAAAAH/L99M=")</f>
        <v>#REF!</v>
      </c>
      <c r="HE82" t="e">
        <f>AND(#REF!,"AAAAAH/L99Q=")</f>
        <v>#REF!</v>
      </c>
      <c r="HF82" t="e">
        <f>AND(#REF!,"AAAAAH/L99U=")</f>
        <v>#REF!</v>
      </c>
      <c r="HG82" t="e">
        <f>AND(#REF!,"AAAAAH/L99Y=")</f>
        <v>#REF!</v>
      </c>
      <c r="HH82" t="e">
        <f>AND(#REF!,"AAAAAH/L99c=")</f>
        <v>#REF!</v>
      </c>
      <c r="HI82" t="e">
        <f>AND(#REF!,"AAAAAH/L99g=")</f>
        <v>#REF!</v>
      </c>
      <c r="HJ82" t="e">
        <f>AND(#REF!,"AAAAAH/L99k=")</f>
        <v>#REF!</v>
      </c>
      <c r="HK82" t="e">
        <f>AND(#REF!,"AAAAAH/L99o=")</f>
        <v>#REF!</v>
      </c>
      <c r="HL82" t="e">
        <f>AND(#REF!,"AAAAAH/L99s=")</f>
        <v>#REF!</v>
      </c>
      <c r="HM82" t="e">
        <f>AND(#REF!,"AAAAAH/L99w=")</f>
        <v>#REF!</v>
      </c>
      <c r="HN82" t="e">
        <f>AND(#REF!,"AAAAAH/L990=")</f>
        <v>#REF!</v>
      </c>
      <c r="HO82" t="e">
        <f>AND(#REF!,"AAAAAH/L994=")</f>
        <v>#REF!</v>
      </c>
      <c r="HP82" t="e">
        <f>AND(#REF!,"AAAAAH/L998=")</f>
        <v>#REF!</v>
      </c>
      <c r="HQ82" t="e">
        <f>AND(#REF!,"AAAAAH/L9+A=")</f>
        <v>#REF!</v>
      </c>
      <c r="HR82" t="e">
        <f>AND(#REF!,"AAAAAH/L9+E=")</f>
        <v>#REF!</v>
      </c>
      <c r="HS82" t="e">
        <f>AND(#REF!,"AAAAAH/L9+I=")</f>
        <v>#REF!</v>
      </c>
      <c r="HT82" t="e">
        <f>AND(#REF!,"AAAAAH/L9+M=")</f>
        <v>#REF!</v>
      </c>
      <c r="HU82" t="e">
        <f>AND(#REF!,"AAAAAH/L9+Q=")</f>
        <v>#REF!</v>
      </c>
      <c r="HV82" t="e">
        <f>AND(#REF!,"AAAAAH/L9+U=")</f>
        <v>#REF!</v>
      </c>
      <c r="HW82" t="e">
        <f>AND(#REF!,"AAAAAH/L9+Y=")</f>
        <v>#REF!</v>
      </c>
      <c r="HX82" t="e">
        <f>AND(#REF!,"AAAAAH/L9+c=")</f>
        <v>#REF!</v>
      </c>
      <c r="HY82" t="e">
        <f>AND(#REF!,"AAAAAH/L9+g=")</f>
        <v>#REF!</v>
      </c>
      <c r="HZ82" t="e">
        <f>AND(#REF!,"AAAAAH/L9+k=")</f>
        <v>#REF!</v>
      </c>
      <c r="IA82" t="e">
        <f>AND(#REF!,"AAAAAH/L9+o=")</f>
        <v>#REF!</v>
      </c>
      <c r="IB82" t="e">
        <f>AND(#REF!,"AAAAAH/L9+s=")</f>
        <v>#REF!</v>
      </c>
      <c r="IC82" t="e">
        <f>AND(#REF!,"AAAAAH/L9+w=")</f>
        <v>#REF!</v>
      </c>
      <c r="ID82" t="e">
        <f>AND(#REF!,"AAAAAH/L9+0=")</f>
        <v>#REF!</v>
      </c>
      <c r="IE82" t="e">
        <f>AND(#REF!,"AAAAAH/L9+4=")</f>
        <v>#REF!</v>
      </c>
      <c r="IF82" t="e">
        <f>AND(#REF!,"AAAAAH/L9+8=")</f>
        <v>#REF!</v>
      </c>
      <c r="IG82" t="e">
        <f>AND(#REF!,"AAAAAH/L9/A=")</f>
        <v>#REF!</v>
      </c>
      <c r="IH82" t="e">
        <f>AND(#REF!,"AAAAAH/L9/E=")</f>
        <v>#REF!</v>
      </c>
      <c r="II82" t="e">
        <f>AND(#REF!,"AAAAAH/L9/I=")</f>
        <v>#REF!</v>
      </c>
      <c r="IJ82" t="e">
        <f>AND(#REF!,"AAAAAH/L9/M=")</f>
        <v>#REF!</v>
      </c>
      <c r="IK82" t="e">
        <f>AND(#REF!,"AAAAAH/L9/Q=")</f>
        <v>#REF!</v>
      </c>
      <c r="IL82" t="e">
        <f>AND(#REF!,"AAAAAH/L9/U=")</f>
        <v>#REF!</v>
      </c>
      <c r="IM82" t="e">
        <f>AND(#REF!,"AAAAAH/L9/Y=")</f>
        <v>#REF!</v>
      </c>
      <c r="IN82" t="e">
        <f>AND(#REF!,"AAAAAH/L9/c=")</f>
        <v>#REF!</v>
      </c>
      <c r="IO82" t="e">
        <f>AND(#REF!,"AAAAAH/L9/g=")</f>
        <v>#REF!</v>
      </c>
      <c r="IP82" t="e">
        <f>AND(#REF!,"AAAAAH/L9/k=")</f>
        <v>#REF!</v>
      </c>
      <c r="IQ82" t="e">
        <f>AND(#REF!,"AAAAAH/L9/o=")</f>
        <v>#REF!</v>
      </c>
      <c r="IR82" t="e">
        <f>AND(#REF!,"AAAAAH/L9/s=")</f>
        <v>#REF!</v>
      </c>
      <c r="IS82" t="e">
        <f>AND(#REF!,"AAAAAH/L9/w=")</f>
        <v>#REF!</v>
      </c>
      <c r="IT82" t="e">
        <f>AND(#REF!,"AAAAAH/L9/0=")</f>
        <v>#REF!</v>
      </c>
      <c r="IU82" t="e">
        <f>AND(#REF!,"AAAAAH/L9/4=")</f>
        <v>#REF!</v>
      </c>
      <c r="IV82" t="e">
        <f>AND(#REF!,"AAAAAH/L9/8=")</f>
        <v>#REF!</v>
      </c>
    </row>
    <row r="83" spans="1:256" x14ac:dyDescent="0.2">
      <c r="A83" t="e">
        <f>AND(#REF!,"AAAAAHeXewA=")</f>
        <v>#REF!</v>
      </c>
      <c r="B83" t="e">
        <f>AND(#REF!,"AAAAAHeXewE=")</f>
        <v>#REF!</v>
      </c>
      <c r="C83" t="e">
        <f>AND(#REF!,"AAAAAHeXewI=")</f>
        <v>#REF!</v>
      </c>
      <c r="D83" t="e">
        <f>AND(#REF!,"AAAAAHeXewM=")</f>
        <v>#REF!</v>
      </c>
      <c r="E83" t="e">
        <f>AND(#REF!,"AAAAAHeXewQ=")</f>
        <v>#REF!</v>
      </c>
      <c r="F83" t="e">
        <f>AND(#REF!,"AAAAAHeXewU=")</f>
        <v>#REF!</v>
      </c>
      <c r="G83" t="e">
        <f>AND(#REF!,"AAAAAHeXewY=")</f>
        <v>#REF!</v>
      </c>
      <c r="H83" t="e">
        <f>AND(#REF!,"AAAAAHeXewc=")</f>
        <v>#REF!</v>
      </c>
      <c r="I83" t="e">
        <f>AND(#REF!,"AAAAAHeXewg=")</f>
        <v>#REF!</v>
      </c>
      <c r="J83" t="e">
        <f>AND(#REF!,"AAAAAHeXewk=")</f>
        <v>#REF!</v>
      </c>
      <c r="K83" t="e">
        <f>AND(#REF!,"AAAAAHeXewo=")</f>
        <v>#REF!</v>
      </c>
      <c r="L83" t="e">
        <f>AND(#REF!,"AAAAAHeXews=")</f>
        <v>#REF!</v>
      </c>
      <c r="M83" t="e">
        <f>AND(#REF!,"AAAAAHeXeww=")</f>
        <v>#REF!</v>
      </c>
      <c r="N83" t="e">
        <f>AND(#REF!,"AAAAAHeXew0=")</f>
        <v>#REF!</v>
      </c>
      <c r="O83" t="e">
        <f>AND(#REF!,"AAAAAHeXew4=")</f>
        <v>#REF!</v>
      </c>
      <c r="P83" t="e">
        <f>AND(#REF!,"AAAAAHeXew8=")</f>
        <v>#REF!</v>
      </c>
      <c r="Q83" t="e">
        <f>AND(#REF!,"AAAAAHeXexA=")</f>
        <v>#REF!</v>
      </c>
      <c r="R83" t="e">
        <f>AND(#REF!,"AAAAAHeXexE=")</f>
        <v>#REF!</v>
      </c>
      <c r="S83" t="e">
        <f>AND(#REF!,"AAAAAHeXexI=")</f>
        <v>#REF!</v>
      </c>
      <c r="T83" t="e">
        <f>AND(#REF!,"AAAAAHeXexM=")</f>
        <v>#REF!</v>
      </c>
      <c r="U83" t="e">
        <f>AND(#REF!,"AAAAAHeXexQ=")</f>
        <v>#REF!</v>
      </c>
      <c r="V83" t="e">
        <f>IF(#REF!,"AAAAAHeXexU=",0)</f>
        <v>#REF!</v>
      </c>
      <c r="W83" t="e">
        <f>AND(#REF!,"AAAAAHeXexY=")</f>
        <v>#REF!</v>
      </c>
      <c r="X83" t="e">
        <f>AND(#REF!,"AAAAAHeXexc=")</f>
        <v>#REF!</v>
      </c>
      <c r="Y83" t="e">
        <f>AND(#REF!,"AAAAAHeXexg=")</f>
        <v>#REF!</v>
      </c>
      <c r="Z83" t="e">
        <f>AND(#REF!,"AAAAAHeXexk=")</f>
        <v>#REF!</v>
      </c>
      <c r="AA83" t="e">
        <f>AND(#REF!,"AAAAAHeXexo=")</f>
        <v>#REF!</v>
      </c>
      <c r="AB83" t="e">
        <f>AND(#REF!,"AAAAAHeXexs=")</f>
        <v>#REF!</v>
      </c>
      <c r="AC83" t="e">
        <f>AND(#REF!,"AAAAAHeXexw=")</f>
        <v>#REF!</v>
      </c>
      <c r="AD83" t="e">
        <f>AND(#REF!,"AAAAAHeXex0=")</f>
        <v>#REF!</v>
      </c>
      <c r="AE83" t="e">
        <f>AND(#REF!,"AAAAAHeXex4=")</f>
        <v>#REF!</v>
      </c>
      <c r="AF83" t="e">
        <f>AND(#REF!,"AAAAAHeXex8=")</f>
        <v>#REF!</v>
      </c>
      <c r="AG83" t="e">
        <f>AND(#REF!,"AAAAAHeXeyA=")</f>
        <v>#REF!</v>
      </c>
      <c r="AH83" t="e">
        <f>AND(#REF!,"AAAAAHeXeyE=")</f>
        <v>#REF!</v>
      </c>
      <c r="AI83" t="e">
        <f>AND(#REF!,"AAAAAHeXeyI=")</f>
        <v>#REF!</v>
      </c>
      <c r="AJ83" t="e">
        <f>AND(#REF!,"AAAAAHeXeyM=")</f>
        <v>#REF!</v>
      </c>
      <c r="AK83" t="e">
        <f>AND(#REF!,"AAAAAHeXeyQ=")</f>
        <v>#REF!</v>
      </c>
      <c r="AL83" t="e">
        <f>AND(#REF!,"AAAAAHeXeyU=")</f>
        <v>#REF!</v>
      </c>
      <c r="AM83" t="e">
        <f>AND(#REF!,"AAAAAHeXeyY=")</f>
        <v>#REF!</v>
      </c>
      <c r="AN83" t="e">
        <f>AND(#REF!,"AAAAAHeXeyc=")</f>
        <v>#REF!</v>
      </c>
      <c r="AO83" t="e">
        <f>AND(#REF!,"AAAAAHeXeyg=")</f>
        <v>#REF!</v>
      </c>
      <c r="AP83" t="e">
        <f>AND(#REF!,"AAAAAHeXeyk=")</f>
        <v>#REF!</v>
      </c>
      <c r="AQ83" t="e">
        <f>AND(#REF!,"AAAAAHeXeyo=")</f>
        <v>#REF!</v>
      </c>
      <c r="AR83" t="e">
        <f>AND(#REF!,"AAAAAHeXeys=")</f>
        <v>#REF!</v>
      </c>
      <c r="AS83" t="e">
        <f>AND(#REF!,"AAAAAHeXeyw=")</f>
        <v>#REF!</v>
      </c>
      <c r="AT83" t="e">
        <f>AND(#REF!,"AAAAAHeXey0=")</f>
        <v>#REF!</v>
      </c>
      <c r="AU83" t="e">
        <f>AND(#REF!,"AAAAAHeXey4=")</f>
        <v>#REF!</v>
      </c>
      <c r="AV83" t="e">
        <f>AND(#REF!,"AAAAAHeXey8=")</f>
        <v>#REF!</v>
      </c>
      <c r="AW83" t="e">
        <f>AND(#REF!,"AAAAAHeXezA=")</f>
        <v>#REF!</v>
      </c>
      <c r="AX83" t="e">
        <f>AND(#REF!,"AAAAAHeXezE=")</f>
        <v>#REF!</v>
      </c>
      <c r="AY83" t="e">
        <f>AND(#REF!,"AAAAAHeXezI=")</f>
        <v>#REF!</v>
      </c>
      <c r="AZ83" t="e">
        <f>AND(#REF!,"AAAAAHeXezM=")</f>
        <v>#REF!</v>
      </c>
      <c r="BA83" t="e">
        <f>AND(#REF!,"AAAAAHeXezQ=")</f>
        <v>#REF!</v>
      </c>
      <c r="BB83" t="e">
        <f>AND(#REF!,"AAAAAHeXezU=")</f>
        <v>#REF!</v>
      </c>
      <c r="BC83" t="e">
        <f>AND(#REF!,"AAAAAHeXezY=")</f>
        <v>#REF!</v>
      </c>
      <c r="BD83" t="e">
        <f>AND(#REF!,"AAAAAHeXezc=")</f>
        <v>#REF!</v>
      </c>
      <c r="BE83" t="e">
        <f>AND(#REF!,"AAAAAHeXezg=")</f>
        <v>#REF!</v>
      </c>
      <c r="BF83" t="e">
        <f>AND(#REF!,"AAAAAHeXezk=")</f>
        <v>#REF!</v>
      </c>
      <c r="BG83" t="e">
        <f>AND(#REF!,"AAAAAHeXezo=")</f>
        <v>#REF!</v>
      </c>
      <c r="BH83" t="e">
        <f>AND(#REF!,"AAAAAHeXezs=")</f>
        <v>#REF!</v>
      </c>
      <c r="BI83" t="e">
        <f>AND(#REF!,"AAAAAHeXezw=")</f>
        <v>#REF!</v>
      </c>
      <c r="BJ83" t="e">
        <f>AND(#REF!,"AAAAAHeXez0=")</f>
        <v>#REF!</v>
      </c>
      <c r="BK83" t="e">
        <f>AND(#REF!,"AAAAAHeXez4=")</f>
        <v>#REF!</v>
      </c>
      <c r="BL83" t="e">
        <f>AND(#REF!,"AAAAAHeXez8=")</f>
        <v>#REF!</v>
      </c>
      <c r="BM83" t="e">
        <f>AND(#REF!,"AAAAAHeXe0A=")</f>
        <v>#REF!</v>
      </c>
      <c r="BN83" t="e">
        <f>AND(#REF!,"AAAAAHeXe0E=")</f>
        <v>#REF!</v>
      </c>
      <c r="BO83" t="e">
        <f>AND(#REF!,"AAAAAHeXe0I=")</f>
        <v>#REF!</v>
      </c>
      <c r="BP83" t="e">
        <f>AND(#REF!,"AAAAAHeXe0M=")</f>
        <v>#REF!</v>
      </c>
      <c r="BQ83" t="e">
        <f>AND(#REF!,"AAAAAHeXe0Q=")</f>
        <v>#REF!</v>
      </c>
      <c r="BR83" t="e">
        <f>AND(#REF!,"AAAAAHeXe0U=")</f>
        <v>#REF!</v>
      </c>
      <c r="BS83" t="e">
        <f>AND(#REF!,"AAAAAHeXe0Y=")</f>
        <v>#REF!</v>
      </c>
      <c r="BT83" t="e">
        <f>AND(#REF!,"AAAAAHeXe0c=")</f>
        <v>#REF!</v>
      </c>
      <c r="BU83" t="e">
        <f>AND(#REF!,"AAAAAHeXe0g=")</f>
        <v>#REF!</v>
      </c>
      <c r="BV83" t="e">
        <f>AND(#REF!,"AAAAAHeXe0k=")</f>
        <v>#REF!</v>
      </c>
      <c r="BW83" t="e">
        <f>AND(#REF!,"AAAAAHeXe0o=")</f>
        <v>#REF!</v>
      </c>
      <c r="BX83" t="e">
        <f>AND(#REF!,"AAAAAHeXe0s=")</f>
        <v>#REF!</v>
      </c>
      <c r="BY83" t="e">
        <f>AND(#REF!,"AAAAAHeXe0w=")</f>
        <v>#REF!</v>
      </c>
      <c r="BZ83" t="e">
        <f>AND(#REF!,"AAAAAHeXe00=")</f>
        <v>#REF!</v>
      </c>
      <c r="CA83" t="e">
        <f>AND(#REF!,"AAAAAHeXe04=")</f>
        <v>#REF!</v>
      </c>
      <c r="CB83" t="e">
        <f>AND(#REF!,"AAAAAHeXe08=")</f>
        <v>#REF!</v>
      </c>
      <c r="CC83" t="e">
        <f>AND(#REF!,"AAAAAHeXe1A=")</f>
        <v>#REF!</v>
      </c>
      <c r="CD83" t="e">
        <f>AND(#REF!,"AAAAAHeXe1E=")</f>
        <v>#REF!</v>
      </c>
      <c r="CE83" t="e">
        <f>AND(#REF!,"AAAAAHeXe1I=")</f>
        <v>#REF!</v>
      </c>
      <c r="CF83" t="e">
        <f>AND(#REF!,"AAAAAHeXe1M=")</f>
        <v>#REF!</v>
      </c>
      <c r="CG83" t="e">
        <f>AND(#REF!,"AAAAAHeXe1Q=")</f>
        <v>#REF!</v>
      </c>
      <c r="CH83" t="e">
        <f>AND(#REF!,"AAAAAHeXe1U=")</f>
        <v>#REF!</v>
      </c>
      <c r="CI83" t="e">
        <f>AND(#REF!,"AAAAAHeXe1Y=")</f>
        <v>#REF!</v>
      </c>
      <c r="CJ83" t="e">
        <f>AND(#REF!,"AAAAAHeXe1c=")</f>
        <v>#REF!</v>
      </c>
      <c r="CK83" t="e">
        <f>AND(#REF!,"AAAAAHeXe1g=")</f>
        <v>#REF!</v>
      </c>
      <c r="CL83" t="e">
        <f>AND(#REF!,"AAAAAHeXe1k=")</f>
        <v>#REF!</v>
      </c>
      <c r="CM83" t="e">
        <f>AND(#REF!,"AAAAAHeXe1o=")</f>
        <v>#REF!</v>
      </c>
      <c r="CN83" t="e">
        <f>AND(#REF!,"AAAAAHeXe1s=")</f>
        <v>#REF!</v>
      </c>
      <c r="CO83" t="e">
        <f>AND(#REF!,"AAAAAHeXe1w=")</f>
        <v>#REF!</v>
      </c>
      <c r="CP83" t="e">
        <f>AND(#REF!,"AAAAAHeXe10=")</f>
        <v>#REF!</v>
      </c>
      <c r="CQ83" t="e">
        <f>AND(#REF!,"AAAAAHeXe14=")</f>
        <v>#REF!</v>
      </c>
      <c r="CR83" t="e">
        <f>AND(#REF!,"AAAAAHeXe18=")</f>
        <v>#REF!</v>
      </c>
      <c r="CS83" t="e">
        <f>AND(#REF!,"AAAAAHeXe2A=")</f>
        <v>#REF!</v>
      </c>
      <c r="CT83" t="e">
        <f>AND(#REF!,"AAAAAHeXe2E=")</f>
        <v>#REF!</v>
      </c>
      <c r="CU83" t="e">
        <f>AND(#REF!,"AAAAAHeXe2I=")</f>
        <v>#REF!</v>
      </c>
      <c r="CV83" t="e">
        <f>AND(#REF!,"AAAAAHeXe2M=")</f>
        <v>#REF!</v>
      </c>
      <c r="CW83" t="e">
        <f>AND(#REF!,"AAAAAHeXe2Q=")</f>
        <v>#REF!</v>
      </c>
      <c r="CX83" t="e">
        <f>AND(#REF!,"AAAAAHeXe2U=")</f>
        <v>#REF!</v>
      </c>
      <c r="CY83" t="e">
        <f>AND(#REF!,"AAAAAHeXe2Y=")</f>
        <v>#REF!</v>
      </c>
      <c r="CZ83" t="e">
        <f>AND(#REF!,"AAAAAHeXe2c=")</f>
        <v>#REF!</v>
      </c>
      <c r="DA83" t="e">
        <f>AND(#REF!,"AAAAAHeXe2g=")</f>
        <v>#REF!</v>
      </c>
      <c r="DB83" t="e">
        <f>AND(#REF!,"AAAAAHeXe2k=")</f>
        <v>#REF!</v>
      </c>
      <c r="DC83" t="e">
        <f>AND(#REF!,"AAAAAHeXe2o=")</f>
        <v>#REF!</v>
      </c>
      <c r="DD83" t="e">
        <f>AND(#REF!,"AAAAAHeXe2s=")</f>
        <v>#REF!</v>
      </c>
      <c r="DE83" t="e">
        <f>AND(#REF!,"AAAAAHeXe2w=")</f>
        <v>#REF!</v>
      </c>
      <c r="DF83" t="e">
        <f>AND(#REF!,"AAAAAHeXe20=")</f>
        <v>#REF!</v>
      </c>
      <c r="DG83" t="e">
        <f>AND(#REF!,"AAAAAHeXe24=")</f>
        <v>#REF!</v>
      </c>
      <c r="DH83" t="e">
        <f>AND(#REF!,"AAAAAHeXe28=")</f>
        <v>#REF!</v>
      </c>
      <c r="DI83" t="e">
        <f>AND(#REF!,"AAAAAHeXe3A=")</f>
        <v>#REF!</v>
      </c>
      <c r="DJ83" t="e">
        <f>AND(#REF!,"AAAAAHeXe3E=")</f>
        <v>#REF!</v>
      </c>
      <c r="DK83" t="e">
        <f>AND(#REF!,"AAAAAHeXe3I=")</f>
        <v>#REF!</v>
      </c>
      <c r="DL83" t="e">
        <f>AND(#REF!,"AAAAAHeXe3M=")</f>
        <v>#REF!</v>
      </c>
      <c r="DM83" t="e">
        <f>AND(#REF!,"AAAAAHeXe3Q=")</f>
        <v>#REF!</v>
      </c>
      <c r="DN83" t="e">
        <f>AND(#REF!,"AAAAAHeXe3U=")</f>
        <v>#REF!</v>
      </c>
      <c r="DO83" t="e">
        <f>AND(#REF!,"AAAAAHeXe3Y=")</f>
        <v>#REF!</v>
      </c>
      <c r="DP83" t="e">
        <f>AND(#REF!,"AAAAAHeXe3c=")</f>
        <v>#REF!</v>
      </c>
      <c r="DQ83" t="e">
        <f>AND(#REF!,"AAAAAHeXe3g=")</f>
        <v>#REF!</v>
      </c>
      <c r="DR83" t="e">
        <f>AND(#REF!,"AAAAAHeXe3k=")</f>
        <v>#REF!</v>
      </c>
      <c r="DS83" t="e">
        <f>AND(#REF!,"AAAAAHeXe3o=")</f>
        <v>#REF!</v>
      </c>
      <c r="DT83" t="e">
        <f>AND(#REF!,"AAAAAHeXe3s=")</f>
        <v>#REF!</v>
      </c>
      <c r="DU83" t="e">
        <f>AND(#REF!,"AAAAAHeXe3w=")</f>
        <v>#REF!</v>
      </c>
      <c r="DV83" t="e">
        <f>AND(#REF!,"AAAAAHeXe30=")</f>
        <v>#REF!</v>
      </c>
      <c r="DW83" t="e">
        <f>AND(#REF!,"AAAAAHeXe34=")</f>
        <v>#REF!</v>
      </c>
      <c r="DX83" t="e">
        <f>AND(#REF!,"AAAAAHeXe38=")</f>
        <v>#REF!</v>
      </c>
      <c r="DY83" t="e">
        <f>AND(#REF!,"AAAAAHeXe4A=")</f>
        <v>#REF!</v>
      </c>
      <c r="DZ83" t="e">
        <f>AND(#REF!,"AAAAAHeXe4E=")</f>
        <v>#REF!</v>
      </c>
      <c r="EA83" t="e">
        <f>AND(#REF!,"AAAAAHeXe4I=")</f>
        <v>#REF!</v>
      </c>
      <c r="EB83" t="e">
        <f>AND(#REF!,"AAAAAHeXe4M=")</f>
        <v>#REF!</v>
      </c>
      <c r="EC83" t="e">
        <f>AND(#REF!,"AAAAAHeXe4Q=")</f>
        <v>#REF!</v>
      </c>
      <c r="ED83" t="e">
        <f>AND(#REF!,"AAAAAHeXe4U=")</f>
        <v>#REF!</v>
      </c>
      <c r="EE83" t="e">
        <f>AND(#REF!,"AAAAAHeXe4Y=")</f>
        <v>#REF!</v>
      </c>
      <c r="EF83" t="e">
        <f>AND(#REF!,"AAAAAHeXe4c=")</f>
        <v>#REF!</v>
      </c>
      <c r="EG83" t="e">
        <f>AND(#REF!,"AAAAAHeXe4g=")</f>
        <v>#REF!</v>
      </c>
      <c r="EH83" t="e">
        <f>AND(#REF!,"AAAAAHeXe4k=")</f>
        <v>#REF!</v>
      </c>
      <c r="EI83" t="e">
        <f>AND(#REF!,"AAAAAHeXe4o=")</f>
        <v>#REF!</v>
      </c>
      <c r="EJ83" t="e">
        <f>AND(#REF!,"AAAAAHeXe4s=")</f>
        <v>#REF!</v>
      </c>
      <c r="EK83" t="e">
        <f>AND(#REF!,"AAAAAHeXe4w=")</f>
        <v>#REF!</v>
      </c>
      <c r="EL83" t="e">
        <f>AND(#REF!,"AAAAAHeXe40=")</f>
        <v>#REF!</v>
      </c>
      <c r="EM83" t="e">
        <f>AND(#REF!,"AAAAAHeXe44=")</f>
        <v>#REF!</v>
      </c>
      <c r="EN83" t="e">
        <f>AND(#REF!,"AAAAAHeXe48=")</f>
        <v>#REF!</v>
      </c>
      <c r="EO83" t="e">
        <f>AND(#REF!,"AAAAAHeXe5A=")</f>
        <v>#REF!</v>
      </c>
      <c r="EP83" t="e">
        <f>AND(#REF!,"AAAAAHeXe5E=")</f>
        <v>#REF!</v>
      </c>
      <c r="EQ83" t="e">
        <f>AND(#REF!,"AAAAAHeXe5I=")</f>
        <v>#REF!</v>
      </c>
      <c r="ER83" t="e">
        <f>AND(#REF!,"AAAAAHeXe5M=")</f>
        <v>#REF!</v>
      </c>
      <c r="ES83" t="e">
        <f>AND(#REF!,"AAAAAHeXe5Q=")</f>
        <v>#REF!</v>
      </c>
      <c r="ET83" t="e">
        <f>AND(#REF!,"AAAAAHeXe5U=")</f>
        <v>#REF!</v>
      </c>
      <c r="EU83" t="e">
        <f>AND(#REF!,"AAAAAHeXe5Y=")</f>
        <v>#REF!</v>
      </c>
      <c r="EV83" t="e">
        <f>AND(#REF!,"AAAAAHeXe5c=")</f>
        <v>#REF!</v>
      </c>
      <c r="EW83" t="e">
        <f>AND(#REF!,"AAAAAHeXe5g=")</f>
        <v>#REF!</v>
      </c>
      <c r="EX83" t="e">
        <f>AND(#REF!,"AAAAAHeXe5k=")</f>
        <v>#REF!</v>
      </c>
      <c r="EY83" t="e">
        <f>AND(#REF!,"AAAAAHeXe5o=")</f>
        <v>#REF!</v>
      </c>
      <c r="EZ83" t="e">
        <f>AND(#REF!,"AAAAAHeXe5s=")</f>
        <v>#REF!</v>
      </c>
      <c r="FA83" t="e">
        <f>AND(#REF!,"AAAAAHeXe5w=")</f>
        <v>#REF!</v>
      </c>
      <c r="FB83" t="e">
        <f>AND(#REF!,"AAAAAHeXe50=")</f>
        <v>#REF!</v>
      </c>
      <c r="FC83" t="e">
        <f>AND(#REF!,"AAAAAHeXe54=")</f>
        <v>#REF!</v>
      </c>
      <c r="FD83" t="e">
        <f>AND(#REF!,"AAAAAHeXe58=")</f>
        <v>#REF!</v>
      </c>
      <c r="FE83" t="e">
        <f>AND(#REF!,"AAAAAHeXe6A=")</f>
        <v>#REF!</v>
      </c>
      <c r="FF83" t="e">
        <f>AND(#REF!,"AAAAAHeXe6E=")</f>
        <v>#REF!</v>
      </c>
      <c r="FG83" t="e">
        <f>AND(#REF!,"AAAAAHeXe6I=")</f>
        <v>#REF!</v>
      </c>
      <c r="FH83" t="e">
        <f>AND(#REF!,"AAAAAHeXe6M=")</f>
        <v>#REF!</v>
      </c>
      <c r="FI83" t="e">
        <f>AND(#REF!,"AAAAAHeXe6Q=")</f>
        <v>#REF!</v>
      </c>
      <c r="FJ83" t="e">
        <f>AND(#REF!,"AAAAAHeXe6U=")</f>
        <v>#REF!</v>
      </c>
      <c r="FK83" t="e">
        <f>AND(#REF!,"AAAAAHeXe6Y=")</f>
        <v>#REF!</v>
      </c>
      <c r="FL83" t="e">
        <f>AND(#REF!,"AAAAAHeXe6c=")</f>
        <v>#REF!</v>
      </c>
      <c r="FM83" t="e">
        <f>AND(#REF!,"AAAAAHeXe6g=")</f>
        <v>#REF!</v>
      </c>
      <c r="FN83" t="e">
        <f>AND(#REF!,"AAAAAHeXe6k=")</f>
        <v>#REF!</v>
      </c>
      <c r="FO83" t="e">
        <f>AND(#REF!,"AAAAAHeXe6o=")</f>
        <v>#REF!</v>
      </c>
      <c r="FP83" t="e">
        <f>AND(#REF!,"AAAAAHeXe6s=")</f>
        <v>#REF!</v>
      </c>
      <c r="FQ83" t="e">
        <f>AND(#REF!,"AAAAAHeXe6w=")</f>
        <v>#REF!</v>
      </c>
      <c r="FR83" t="e">
        <f>AND(#REF!,"AAAAAHeXe60=")</f>
        <v>#REF!</v>
      </c>
      <c r="FS83" t="e">
        <f>AND(#REF!,"AAAAAHeXe64=")</f>
        <v>#REF!</v>
      </c>
      <c r="FT83" t="e">
        <f>AND(#REF!,"AAAAAHeXe68=")</f>
        <v>#REF!</v>
      </c>
      <c r="FU83" t="e">
        <f>AND(#REF!,"AAAAAHeXe7A=")</f>
        <v>#REF!</v>
      </c>
      <c r="FV83" t="e">
        <f>AND(#REF!,"AAAAAHeXe7E=")</f>
        <v>#REF!</v>
      </c>
      <c r="FW83" t="e">
        <f>AND(#REF!,"AAAAAHeXe7I=")</f>
        <v>#REF!</v>
      </c>
      <c r="FX83" t="e">
        <f>AND(#REF!,"AAAAAHeXe7M=")</f>
        <v>#REF!</v>
      </c>
      <c r="FY83" t="e">
        <f>AND(#REF!,"AAAAAHeXe7Q=")</f>
        <v>#REF!</v>
      </c>
      <c r="FZ83" t="e">
        <f>AND(#REF!,"AAAAAHeXe7U=")</f>
        <v>#REF!</v>
      </c>
      <c r="GA83" t="e">
        <f>AND(#REF!,"AAAAAHeXe7Y=")</f>
        <v>#REF!</v>
      </c>
      <c r="GB83" t="e">
        <f>AND(#REF!,"AAAAAHeXe7c=")</f>
        <v>#REF!</v>
      </c>
      <c r="GC83" t="e">
        <f>AND(#REF!,"AAAAAHeXe7g=")</f>
        <v>#REF!</v>
      </c>
      <c r="GD83" t="e">
        <f>AND(#REF!,"AAAAAHeXe7k=")</f>
        <v>#REF!</v>
      </c>
      <c r="GE83" t="e">
        <f>AND(#REF!,"AAAAAHeXe7o=")</f>
        <v>#REF!</v>
      </c>
      <c r="GF83" t="e">
        <f>AND(#REF!,"AAAAAHeXe7s=")</f>
        <v>#REF!</v>
      </c>
      <c r="GG83" t="e">
        <f>AND(#REF!,"AAAAAHeXe7w=")</f>
        <v>#REF!</v>
      </c>
      <c r="GH83" t="e">
        <f>AND(#REF!,"AAAAAHeXe70=")</f>
        <v>#REF!</v>
      </c>
      <c r="GI83" t="e">
        <f>AND(#REF!,"AAAAAHeXe74=")</f>
        <v>#REF!</v>
      </c>
      <c r="GJ83" t="e">
        <f>AND(#REF!,"AAAAAHeXe78=")</f>
        <v>#REF!</v>
      </c>
      <c r="GK83" t="e">
        <f>AND(#REF!,"AAAAAHeXe8A=")</f>
        <v>#REF!</v>
      </c>
      <c r="GL83" t="e">
        <f>AND(#REF!,"AAAAAHeXe8E=")</f>
        <v>#REF!</v>
      </c>
      <c r="GM83" t="e">
        <f>AND(#REF!,"AAAAAHeXe8I=")</f>
        <v>#REF!</v>
      </c>
      <c r="GN83" t="e">
        <f>AND(#REF!,"AAAAAHeXe8M=")</f>
        <v>#REF!</v>
      </c>
      <c r="GO83" t="e">
        <f>AND(#REF!,"AAAAAHeXe8Q=")</f>
        <v>#REF!</v>
      </c>
      <c r="GP83" t="e">
        <f>AND(#REF!,"AAAAAHeXe8U=")</f>
        <v>#REF!</v>
      </c>
      <c r="GQ83" t="e">
        <f>AND(#REF!,"AAAAAHeXe8Y=")</f>
        <v>#REF!</v>
      </c>
      <c r="GR83" t="e">
        <f>AND(#REF!,"AAAAAHeXe8c=")</f>
        <v>#REF!</v>
      </c>
      <c r="GS83" t="e">
        <f>AND(#REF!,"AAAAAHeXe8g=")</f>
        <v>#REF!</v>
      </c>
      <c r="GT83" t="e">
        <f>AND(#REF!,"AAAAAHeXe8k=")</f>
        <v>#REF!</v>
      </c>
      <c r="GU83" t="e">
        <f>IF(#REF!,"AAAAAHeXe8o=",0)</f>
        <v>#REF!</v>
      </c>
      <c r="GV83" t="e">
        <f>AND(#REF!,"AAAAAHeXe8s=")</f>
        <v>#REF!</v>
      </c>
      <c r="GW83" t="e">
        <f>AND(#REF!,"AAAAAHeXe8w=")</f>
        <v>#REF!</v>
      </c>
      <c r="GX83" t="e">
        <f>AND(#REF!,"AAAAAHeXe80=")</f>
        <v>#REF!</v>
      </c>
      <c r="GY83" t="e">
        <f>AND(#REF!,"AAAAAHeXe84=")</f>
        <v>#REF!</v>
      </c>
      <c r="GZ83" t="e">
        <f>AND(#REF!,"AAAAAHeXe88=")</f>
        <v>#REF!</v>
      </c>
      <c r="HA83" t="e">
        <f>AND(#REF!,"AAAAAHeXe9A=")</f>
        <v>#REF!</v>
      </c>
      <c r="HB83" t="e">
        <f>AND(#REF!,"AAAAAHeXe9E=")</f>
        <v>#REF!</v>
      </c>
      <c r="HC83" t="e">
        <f>AND(#REF!,"AAAAAHeXe9I=")</f>
        <v>#REF!</v>
      </c>
      <c r="HD83" t="e">
        <f>AND(#REF!,"AAAAAHeXe9M=")</f>
        <v>#REF!</v>
      </c>
      <c r="HE83" t="e">
        <f>AND(#REF!,"AAAAAHeXe9Q=")</f>
        <v>#REF!</v>
      </c>
      <c r="HF83" t="e">
        <f>AND(#REF!,"AAAAAHeXe9U=")</f>
        <v>#REF!</v>
      </c>
      <c r="HG83" t="e">
        <f>AND(#REF!,"AAAAAHeXe9Y=")</f>
        <v>#REF!</v>
      </c>
      <c r="HH83" t="e">
        <f>AND(#REF!,"AAAAAHeXe9c=")</f>
        <v>#REF!</v>
      </c>
      <c r="HI83" t="e">
        <f>AND(#REF!,"AAAAAHeXe9g=")</f>
        <v>#REF!</v>
      </c>
      <c r="HJ83" t="e">
        <f>AND(#REF!,"AAAAAHeXe9k=")</f>
        <v>#REF!</v>
      </c>
      <c r="HK83" t="e">
        <f>AND(#REF!,"AAAAAHeXe9o=")</f>
        <v>#REF!</v>
      </c>
      <c r="HL83" t="e">
        <f>AND(#REF!,"AAAAAHeXe9s=")</f>
        <v>#REF!</v>
      </c>
      <c r="HM83" t="e">
        <f>AND(#REF!,"AAAAAHeXe9w=")</f>
        <v>#REF!</v>
      </c>
      <c r="HN83" t="e">
        <f>AND(#REF!,"AAAAAHeXe90=")</f>
        <v>#REF!</v>
      </c>
      <c r="HO83" t="e">
        <f>AND(#REF!,"AAAAAHeXe94=")</f>
        <v>#REF!</v>
      </c>
      <c r="HP83" t="e">
        <f>AND(#REF!,"AAAAAHeXe98=")</f>
        <v>#REF!</v>
      </c>
      <c r="HQ83" t="e">
        <f>AND(#REF!,"AAAAAHeXe+A=")</f>
        <v>#REF!</v>
      </c>
      <c r="HR83" t="e">
        <f>AND(#REF!,"AAAAAHeXe+E=")</f>
        <v>#REF!</v>
      </c>
      <c r="HS83" t="e">
        <f>AND(#REF!,"AAAAAHeXe+I=")</f>
        <v>#REF!</v>
      </c>
      <c r="HT83" t="e">
        <f>AND(#REF!,"AAAAAHeXe+M=")</f>
        <v>#REF!</v>
      </c>
      <c r="HU83" t="e">
        <f>AND(#REF!,"AAAAAHeXe+Q=")</f>
        <v>#REF!</v>
      </c>
      <c r="HV83" t="e">
        <f>AND(#REF!,"AAAAAHeXe+U=")</f>
        <v>#REF!</v>
      </c>
      <c r="HW83" t="e">
        <f>AND(#REF!,"AAAAAHeXe+Y=")</f>
        <v>#REF!</v>
      </c>
      <c r="HX83" t="e">
        <f>AND(#REF!,"AAAAAHeXe+c=")</f>
        <v>#REF!</v>
      </c>
      <c r="HY83" t="e">
        <f>AND(#REF!,"AAAAAHeXe+g=")</f>
        <v>#REF!</v>
      </c>
      <c r="HZ83" t="e">
        <f>AND(#REF!,"AAAAAHeXe+k=")</f>
        <v>#REF!</v>
      </c>
      <c r="IA83" t="e">
        <f>AND(#REF!,"AAAAAHeXe+o=")</f>
        <v>#REF!</v>
      </c>
      <c r="IB83" t="e">
        <f>AND(#REF!,"AAAAAHeXe+s=")</f>
        <v>#REF!</v>
      </c>
      <c r="IC83" t="e">
        <f>AND(#REF!,"AAAAAHeXe+w=")</f>
        <v>#REF!</v>
      </c>
      <c r="ID83" t="e">
        <f>AND(#REF!,"AAAAAHeXe+0=")</f>
        <v>#REF!</v>
      </c>
      <c r="IE83" t="e">
        <f>AND(#REF!,"AAAAAHeXe+4=")</f>
        <v>#REF!</v>
      </c>
      <c r="IF83" t="e">
        <f>AND(#REF!,"AAAAAHeXe+8=")</f>
        <v>#REF!</v>
      </c>
      <c r="IG83" t="e">
        <f>AND(#REF!,"AAAAAHeXe/A=")</f>
        <v>#REF!</v>
      </c>
      <c r="IH83" t="e">
        <f>AND(#REF!,"AAAAAHeXe/E=")</f>
        <v>#REF!</v>
      </c>
      <c r="II83" t="e">
        <f>AND(#REF!,"AAAAAHeXe/I=")</f>
        <v>#REF!</v>
      </c>
      <c r="IJ83" t="e">
        <f>AND(#REF!,"AAAAAHeXe/M=")</f>
        <v>#REF!</v>
      </c>
      <c r="IK83" t="e">
        <f>AND(#REF!,"AAAAAHeXe/Q=")</f>
        <v>#REF!</v>
      </c>
      <c r="IL83" t="e">
        <f>AND(#REF!,"AAAAAHeXe/U=")</f>
        <v>#REF!</v>
      </c>
      <c r="IM83" t="e">
        <f>AND(#REF!,"AAAAAHeXe/Y=")</f>
        <v>#REF!</v>
      </c>
      <c r="IN83" t="e">
        <f>AND(#REF!,"AAAAAHeXe/c=")</f>
        <v>#REF!</v>
      </c>
      <c r="IO83" t="e">
        <f>AND(#REF!,"AAAAAHeXe/g=")</f>
        <v>#REF!</v>
      </c>
      <c r="IP83" t="e">
        <f>AND(#REF!,"AAAAAHeXe/k=")</f>
        <v>#REF!</v>
      </c>
      <c r="IQ83" t="e">
        <f>AND(#REF!,"AAAAAHeXe/o=")</f>
        <v>#REF!</v>
      </c>
      <c r="IR83" t="e">
        <f>AND(#REF!,"AAAAAHeXe/s=")</f>
        <v>#REF!</v>
      </c>
      <c r="IS83" t="e">
        <f>AND(#REF!,"AAAAAHeXe/w=")</f>
        <v>#REF!</v>
      </c>
      <c r="IT83" t="e">
        <f>AND(#REF!,"AAAAAHeXe/0=")</f>
        <v>#REF!</v>
      </c>
      <c r="IU83" t="e">
        <f>AND(#REF!,"AAAAAHeXe/4=")</f>
        <v>#REF!</v>
      </c>
      <c r="IV83" t="e">
        <f>AND(#REF!,"AAAAAHeXe/8=")</f>
        <v>#REF!</v>
      </c>
    </row>
    <row r="84" spans="1:256" x14ac:dyDescent="0.2">
      <c r="A84" t="e">
        <f>AND(#REF!,"AAAAAG23+gA=")</f>
        <v>#REF!</v>
      </c>
      <c r="B84" t="e">
        <f>AND(#REF!,"AAAAAG23+gE=")</f>
        <v>#REF!</v>
      </c>
      <c r="C84" t="e">
        <f>AND(#REF!,"AAAAAG23+gI=")</f>
        <v>#REF!</v>
      </c>
      <c r="D84" t="e">
        <f>AND(#REF!,"AAAAAG23+gM=")</f>
        <v>#REF!</v>
      </c>
      <c r="E84" t="e">
        <f>AND(#REF!,"AAAAAG23+gQ=")</f>
        <v>#REF!</v>
      </c>
      <c r="F84" t="e">
        <f>AND(#REF!,"AAAAAG23+gU=")</f>
        <v>#REF!</v>
      </c>
      <c r="G84" t="e">
        <f>AND(#REF!,"AAAAAG23+gY=")</f>
        <v>#REF!</v>
      </c>
      <c r="H84" t="e">
        <f>AND(#REF!,"AAAAAG23+gc=")</f>
        <v>#REF!</v>
      </c>
      <c r="I84" t="e">
        <f>AND(#REF!,"AAAAAG23+gg=")</f>
        <v>#REF!</v>
      </c>
      <c r="J84" t="e">
        <f>AND(#REF!,"AAAAAG23+gk=")</f>
        <v>#REF!</v>
      </c>
      <c r="K84" t="e">
        <f>AND(#REF!,"AAAAAG23+go=")</f>
        <v>#REF!</v>
      </c>
      <c r="L84" t="e">
        <f>AND(#REF!,"AAAAAG23+gs=")</f>
        <v>#REF!</v>
      </c>
      <c r="M84" t="e">
        <f>AND(#REF!,"AAAAAG23+gw=")</f>
        <v>#REF!</v>
      </c>
      <c r="N84" t="e">
        <f>AND(#REF!,"AAAAAG23+g0=")</f>
        <v>#REF!</v>
      </c>
      <c r="O84" t="e">
        <f>AND(#REF!,"AAAAAG23+g4=")</f>
        <v>#REF!</v>
      </c>
      <c r="P84" t="e">
        <f>AND(#REF!,"AAAAAG23+g8=")</f>
        <v>#REF!</v>
      </c>
      <c r="Q84" t="e">
        <f>AND(#REF!,"AAAAAG23+hA=")</f>
        <v>#REF!</v>
      </c>
      <c r="R84" t="e">
        <f>AND(#REF!,"AAAAAG23+hE=")</f>
        <v>#REF!</v>
      </c>
      <c r="S84" t="e">
        <f>AND(#REF!,"AAAAAG23+hI=")</f>
        <v>#REF!</v>
      </c>
      <c r="T84" t="e">
        <f>AND(#REF!,"AAAAAG23+hM=")</f>
        <v>#REF!</v>
      </c>
      <c r="U84" t="e">
        <f>AND(#REF!,"AAAAAG23+hQ=")</f>
        <v>#REF!</v>
      </c>
      <c r="V84" t="e">
        <f>AND(#REF!,"AAAAAG23+hU=")</f>
        <v>#REF!</v>
      </c>
      <c r="W84" t="e">
        <f>AND(#REF!,"AAAAAG23+hY=")</f>
        <v>#REF!</v>
      </c>
      <c r="X84" t="e">
        <f>AND(#REF!,"AAAAAG23+hc=")</f>
        <v>#REF!</v>
      </c>
      <c r="Y84" t="e">
        <f>AND(#REF!,"AAAAAG23+hg=")</f>
        <v>#REF!</v>
      </c>
      <c r="Z84" t="e">
        <f>AND(#REF!,"AAAAAG23+hk=")</f>
        <v>#REF!</v>
      </c>
      <c r="AA84" t="e">
        <f>AND(#REF!,"AAAAAG23+ho=")</f>
        <v>#REF!</v>
      </c>
      <c r="AB84" t="e">
        <f>AND(#REF!,"AAAAAG23+hs=")</f>
        <v>#REF!</v>
      </c>
      <c r="AC84" t="e">
        <f>AND(#REF!,"AAAAAG23+hw=")</f>
        <v>#REF!</v>
      </c>
      <c r="AD84" t="e">
        <f>AND(#REF!,"AAAAAG23+h0=")</f>
        <v>#REF!</v>
      </c>
      <c r="AE84" t="e">
        <f>AND(#REF!,"AAAAAG23+h4=")</f>
        <v>#REF!</v>
      </c>
      <c r="AF84" t="e">
        <f>AND(#REF!,"AAAAAG23+h8=")</f>
        <v>#REF!</v>
      </c>
      <c r="AG84" t="e">
        <f>AND(#REF!,"AAAAAG23+iA=")</f>
        <v>#REF!</v>
      </c>
      <c r="AH84" t="e">
        <f>AND(#REF!,"AAAAAG23+iE=")</f>
        <v>#REF!</v>
      </c>
      <c r="AI84" t="e">
        <f>AND(#REF!,"AAAAAG23+iI=")</f>
        <v>#REF!</v>
      </c>
      <c r="AJ84" t="e">
        <f>AND(#REF!,"AAAAAG23+iM=")</f>
        <v>#REF!</v>
      </c>
      <c r="AK84" t="e">
        <f>AND(#REF!,"AAAAAG23+iQ=")</f>
        <v>#REF!</v>
      </c>
      <c r="AL84" t="e">
        <f>AND(#REF!,"AAAAAG23+iU=")</f>
        <v>#REF!</v>
      </c>
      <c r="AM84" t="e">
        <f>AND(#REF!,"AAAAAG23+iY=")</f>
        <v>#REF!</v>
      </c>
      <c r="AN84" t="e">
        <f>AND(#REF!,"AAAAAG23+ic=")</f>
        <v>#REF!</v>
      </c>
      <c r="AO84" t="e">
        <f>AND(#REF!,"AAAAAG23+ig=")</f>
        <v>#REF!</v>
      </c>
      <c r="AP84" t="e">
        <f>AND(#REF!,"AAAAAG23+ik=")</f>
        <v>#REF!</v>
      </c>
      <c r="AQ84" t="e">
        <f>AND(#REF!,"AAAAAG23+io=")</f>
        <v>#REF!</v>
      </c>
      <c r="AR84" t="e">
        <f>AND(#REF!,"AAAAAG23+is=")</f>
        <v>#REF!</v>
      </c>
      <c r="AS84" t="e">
        <f>AND(#REF!,"AAAAAG23+iw=")</f>
        <v>#REF!</v>
      </c>
      <c r="AT84" t="e">
        <f>AND(#REF!,"AAAAAG23+i0=")</f>
        <v>#REF!</v>
      </c>
      <c r="AU84" t="e">
        <f>AND(#REF!,"AAAAAG23+i4=")</f>
        <v>#REF!</v>
      </c>
      <c r="AV84" t="e">
        <f>AND(#REF!,"AAAAAG23+i8=")</f>
        <v>#REF!</v>
      </c>
      <c r="AW84" t="e">
        <f>AND(#REF!,"AAAAAG23+jA=")</f>
        <v>#REF!</v>
      </c>
      <c r="AX84" t="e">
        <f>AND(#REF!,"AAAAAG23+jE=")</f>
        <v>#REF!</v>
      </c>
      <c r="AY84" t="e">
        <f>AND(#REF!,"AAAAAG23+jI=")</f>
        <v>#REF!</v>
      </c>
      <c r="AZ84" t="e">
        <f>AND(#REF!,"AAAAAG23+jM=")</f>
        <v>#REF!</v>
      </c>
      <c r="BA84" t="e">
        <f>AND(#REF!,"AAAAAG23+jQ=")</f>
        <v>#REF!</v>
      </c>
      <c r="BB84" t="e">
        <f>AND(#REF!,"AAAAAG23+jU=")</f>
        <v>#REF!</v>
      </c>
      <c r="BC84" t="e">
        <f>AND(#REF!,"AAAAAG23+jY=")</f>
        <v>#REF!</v>
      </c>
      <c r="BD84" t="e">
        <f>AND(#REF!,"AAAAAG23+jc=")</f>
        <v>#REF!</v>
      </c>
      <c r="BE84" t="e">
        <f>AND(#REF!,"AAAAAG23+jg=")</f>
        <v>#REF!</v>
      </c>
      <c r="BF84" t="e">
        <f>AND(#REF!,"AAAAAG23+jk=")</f>
        <v>#REF!</v>
      </c>
      <c r="BG84" t="e">
        <f>AND(#REF!,"AAAAAG23+jo=")</f>
        <v>#REF!</v>
      </c>
      <c r="BH84" t="e">
        <f>AND(#REF!,"AAAAAG23+js=")</f>
        <v>#REF!</v>
      </c>
      <c r="BI84" t="e">
        <f>AND(#REF!,"AAAAAG23+jw=")</f>
        <v>#REF!</v>
      </c>
      <c r="BJ84" t="e">
        <f>AND(#REF!,"AAAAAG23+j0=")</f>
        <v>#REF!</v>
      </c>
      <c r="BK84" t="e">
        <f>AND(#REF!,"AAAAAG23+j4=")</f>
        <v>#REF!</v>
      </c>
      <c r="BL84" t="e">
        <f>AND(#REF!,"AAAAAG23+j8=")</f>
        <v>#REF!</v>
      </c>
      <c r="BM84" t="e">
        <f>AND(#REF!,"AAAAAG23+kA=")</f>
        <v>#REF!</v>
      </c>
      <c r="BN84" t="e">
        <f>AND(#REF!,"AAAAAG23+kE=")</f>
        <v>#REF!</v>
      </c>
      <c r="BO84" t="e">
        <f>AND(#REF!,"AAAAAG23+kI=")</f>
        <v>#REF!</v>
      </c>
      <c r="BP84" t="e">
        <f>AND(#REF!,"AAAAAG23+kM=")</f>
        <v>#REF!</v>
      </c>
      <c r="BQ84" t="e">
        <f>AND(#REF!,"AAAAAG23+kQ=")</f>
        <v>#REF!</v>
      </c>
      <c r="BR84" t="e">
        <f>AND(#REF!,"AAAAAG23+kU=")</f>
        <v>#REF!</v>
      </c>
      <c r="BS84" t="e">
        <f>AND(#REF!,"AAAAAG23+kY=")</f>
        <v>#REF!</v>
      </c>
      <c r="BT84" t="e">
        <f>AND(#REF!,"AAAAAG23+kc=")</f>
        <v>#REF!</v>
      </c>
      <c r="BU84" t="e">
        <f>AND(#REF!,"AAAAAG23+kg=")</f>
        <v>#REF!</v>
      </c>
      <c r="BV84" t="e">
        <f>AND(#REF!,"AAAAAG23+kk=")</f>
        <v>#REF!</v>
      </c>
      <c r="BW84" t="e">
        <f>AND(#REF!,"AAAAAG23+ko=")</f>
        <v>#REF!</v>
      </c>
      <c r="BX84" t="e">
        <f>AND(#REF!,"AAAAAG23+ks=")</f>
        <v>#REF!</v>
      </c>
      <c r="BY84" t="e">
        <f>AND(#REF!,"AAAAAG23+kw=")</f>
        <v>#REF!</v>
      </c>
      <c r="BZ84" t="e">
        <f>AND(#REF!,"AAAAAG23+k0=")</f>
        <v>#REF!</v>
      </c>
      <c r="CA84" t="e">
        <f>AND(#REF!,"AAAAAG23+k4=")</f>
        <v>#REF!</v>
      </c>
      <c r="CB84" t="e">
        <f>AND(#REF!,"AAAAAG23+k8=")</f>
        <v>#REF!</v>
      </c>
      <c r="CC84" t="e">
        <f>AND(#REF!,"AAAAAG23+lA=")</f>
        <v>#REF!</v>
      </c>
      <c r="CD84" t="e">
        <f>AND(#REF!,"AAAAAG23+lE=")</f>
        <v>#REF!</v>
      </c>
      <c r="CE84" t="e">
        <f>AND(#REF!,"AAAAAG23+lI=")</f>
        <v>#REF!</v>
      </c>
      <c r="CF84" t="e">
        <f>AND(#REF!,"AAAAAG23+lM=")</f>
        <v>#REF!</v>
      </c>
      <c r="CG84" t="e">
        <f>AND(#REF!,"AAAAAG23+lQ=")</f>
        <v>#REF!</v>
      </c>
      <c r="CH84" t="e">
        <f>AND(#REF!,"AAAAAG23+lU=")</f>
        <v>#REF!</v>
      </c>
      <c r="CI84" t="e">
        <f>AND(#REF!,"AAAAAG23+lY=")</f>
        <v>#REF!</v>
      </c>
      <c r="CJ84" t="e">
        <f>AND(#REF!,"AAAAAG23+lc=")</f>
        <v>#REF!</v>
      </c>
      <c r="CK84" t="e">
        <f>AND(#REF!,"AAAAAG23+lg=")</f>
        <v>#REF!</v>
      </c>
      <c r="CL84" t="e">
        <f>AND(#REF!,"AAAAAG23+lk=")</f>
        <v>#REF!</v>
      </c>
      <c r="CM84" t="e">
        <f>AND(#REF!,"AAAAAG23+lo=")</f>
        <v>#REF!</v>
      </c>
      <c r="CN84" t="e">
        <f>AND(#REF!,"AAAAAG23+ls=")</f>
        <v>#REF!</v>
      </c>
      <c r="CO84" t="e">
        <f>AND(#REF!,"AAAAAG23+lw=")</f>
        <v>#REF!</v>
      </c>
      <c r="CP84" t="e">
        <f>AND(#REF!,"AAAAAG23+l0=")</f>
        <v>#REF!</v>
      </c>
      <c r="CQ84" t="e">
        <f>AND(#REF!,"AAAAAG23+l4=")</f>
        <v>#REF!</v>
      </c>
      <c r="CR84" t="e">
        <f>AND(#REF!,"AAAAAG23+l8=")</f>
        <v>#REF!</v>
      </c>
      <c r="CS84" t="e">
        <f>AND(#REF!,"AAAAAG23+mA=")</f>
        <v>#REF!</v>
      </c>
      <c r="CT84" t="e">
        <f>AND(#REF!,"AAAAAG23+mE=")</f>
        <v>#REF!</v>
      </c>
      <c r="CU84" t="e">
        <f>AND(#REF!,"AAAAAG23+mI=")</f>
        <v>#REF!</v>
      </c>
      <c r="CV84" t="e">
        <f>AND(#REF!,"AAAAAG23+mM=")</f>
        <v>#REF!</v>
      </c>
      <c r="CW84" t="e">
        <f>AND(#REF!,"AAAAAG23+mQ=")</f>
        <v>#REF!</v>
      </c>
      <c r="CX84" t="e">
        <f>AND(#REF!,"AAAAAG23+mU=")</f>
        <v>#REF!</v>
      </c>
      <c r="CY84" t="e">
        <f>AND(#REF!,"AAAAAG23+mY=")</f>
        <v>#REF!</v>
      </c>
      <c r="CZ84" t="e">
        <f>AND(#REF!,"AAAAAG23+mc=")</f>
        <v>#REF!</v>
      </c>
      <c r="DA84" t="e">
        <f>AND(#REF!,"AAAAAG23+mg=")</f>
        <v>#REF!</v>
      </c>
      <c r="DB84" t="e">
        <f>AND(#REF!,"AAAAAG23+mk=")</f>
        <v>#REF!</v>
      </c>
      <c r="DC84" t="e">
        <f>AND(#REF!,"AAAAAG23+mo=")</f>
        <v>#REF!</v>
      </c>
      <c r="DD84" t="e">
        <f>AND(#REF!,"AAAAAG23+ms=")</f>
        <v>#REF!</v>
      </c>
      <c r="DE84" t="e">
        <f>AND(#REF!,"AAAAAG23+mw=")</f>
        <v>#REF!</v>
      </c>
      <c r="DF84" t="e">
        <f>AND(#REF!,"AAAAAG23+m0=")</f>
        <v>#REF!</v>
      </c>
      <c r="DG84" t="e">
        <f>AND(#REF!,"AAAAAG23+m4=")</f>
        <v>#REF!</v>
      </c>
      <c r="DH84" t="e">
        <f>AND(#REF!,"AAAAAG23+m8=")</f>
        <v>#REF!</v>
      </c>
      <c r="DI84" t="e">
        <f>AND(#REF!,"AAAAAG23+nA=")</f>
        <v>#REF!</v>
      </c>
      <c r="DJ84" t="e">
        <f>AND(#REF!,"AAAAAG23+nE=")</f>
        <v>#REF!</v>
      </c>
      <c r="DK84" t="e">
        <f>AND(#REF!,"AAAAAG23+nI=")</f>
        <v>#REF!</v>
      </c>
      <c r="DL84" t="e">
        <f>AND(#REF!,"AAAAAG23+nM=")</f>
        <v>#REF!</v>
      </c>
      <c r="DM84" t="e">
        <f>AND(#REF!,"AAAAAG23+nQ=")</f>
        <v>#REF!</v>
      </c>
      <c r="DN84" t="e">
        <f>AND(#REF!,"AAAAAG23+nU=")</f>
        <v>#REF!</v>
      </c>
      <c r="DO84" t="e">
        <f>AND(#REF!,"AAAAAG23+nY=")</f>
        <v>#REF!</v>
      </c>
      <c r="DP84" t="e">
        <f>AND(#REF!,"AAAAAG23+nc=")</f>
        <v>#REF!</v>
      </c>
      <c r="DQ84" t="e">
        <f>AND(#REF!,"AAAAAG23+ng=")</f>
        <v>#REF!</v>
      </c>
      <c r="DR84" t="e">
        <f>AND(#REF!,"AAAAAG23+nk=")</f>
        <v>#REF!</v>
      </c>
      <c r="DS84" t="e">
        <f>AND(#REF!,"AAAAAG23+no=")</f>
        <v>#REF!</v>
      </c>
      <c r="DT84" t="e">
        <f>AND(#REF!,"AAAAAG23+ns=")</f>
        <v>#REF!</v>
      </c>
      <c r="DU84" t="e">
        <f>AND(#REF!,"AAAAAG23+nw=")</f>
        <v>#REF!</v>
      </c>
      <c r="DV84" t="e">
        <f>AND(#REF!,"AAAAAG23+n0=")</f>
        <v>#REF!</v>
      </c>
      <c r="DW84" t="e">
        <f>AND(#REF!,"AAAAAG23+n4=")</f>
        <v>#REF!</v>
      </c>
      <c r="DX84" t="e">
        <f>IF(#REF!,"AAAAAG23+n8=",0)</f>
        <v>#REF!</v>
      </c>
      <c r="DY84" t="e">
        <f>AND(#REF!,"AAAAAG23+oA=")</f>
        <v>#REF!</v>
      </c>
      <c r="DZ84" t="e">
        <f>AND(#REF!,"AAAAAG23+oE=")</f>
        <v>#REF!</v>
      </c>
      <c r="EA84" t="e">
        <f>AND(#REF!,"AAAAAG23+oI=")</f>
        <v>#REF!</v>
      </c>
      <c r="EB84" t="e">
        <f>AND(#REF!,"AAAAAG23+oM=")</f>
        <v>#REF!</v>
      </c>
      <c r="EC84" t="e">
        <f>AND(#REF!,"AAAAAG23+oQ=")</f>
        <v>#REF!</v>
      </c>
      <c r="ED84" t="e">
        <f>AND(#REF!,"AAAAAG23+oU=")</f>
        <v>#REF!</v>
      </c>
      <c r="EE84" t="e">
        <f>AND(#REF!,"AAAAAG23+oY=")</f>
        <v>#REF!</v>
      </c>
      <c r="EF84" t="e">
        <f>AND(#REF!,"AAAAAG23+oc=")</f>
        <v>#REF!</v>
      </c>
      <c r="EG84" t="e">
        <f>AND(#REF!,"AAAAAG23+og=")</f>
        <v>#REF!</v>
      </c>
      <c r="EH84" t="e">
        <f>AND(#REF!,"AAAAAG23+ok=")</f>
        <v>#REF!</v>
      </c>
      <c r="EI84" t="e">
        <f>AND(#REF!,"AAAAAG23+oo=")</f>
        <v>#REF!</v>
      </c>
      <c r="EJ84" t="e">
        <f>AND(#REF!,"AAAAAG23+os=")</f>
        <v>#REF!</v>
      </c>
      <c r="EK84" t="e">
        <f>AND(#REF!,"AAAAAG23+ow=")</f>
        <v>#REF!</v>
      </c>
      <c r="EL84" t="e">
        <f>AND(#REF!,"AAAAAG23+o0=")</f>
        <v>#REF!</v>
      </c>
      <c r="EM84" t="e">
        <f>AND(#REF!,"AAAAAG23+o4=")</f>
        <v>#REF!</v>
      </c>
      <c r="EN84" t="e">
        <f>AND(#REF!,"AAAAAG23+o8=")</f>
        <v>#REF!</v>
      </c>
      <c r="EO84" t="e">
        <f>AND(#REF!,"AAAAAG23+pA=")</f>
        <v>#REF!</v>
      </c>
      <c r="EP84" t="e">
        <f>AND(#REF!,"AAAAAG23+pE=")</f>
        <v>#REF!</v>
      </c>
      <c r="EQ84" t="e">
        <f>AND(#REF!,"AAAAAG23+pI=")</f>
        <v>#REF!</v>
      </c>
      <c r="ER84" t="e">
        <f>AND(#REF!,"AAAAAG23+pM=")</f>
        <v>#REF!</v>
      </c>
      <c r="ES84" t="e">
        <f>AND(#REF!,"AAAAAG23+pQ=")</f>
        <v>#REF!</v>
      </c>
      <c r="ET84" t="e">
        <f>AND(#REF!,"AAAAAG23+pU=")</f>
        <v>#REF!</v>
      </c>
      <c r="EU84" t="e">
        <f>AND(#REF!,"AAAAAG23+pY=")</f>
        <v>#REF!</v>
      </c>
      <c r="EV84" t="e">
        <f>AND(#REF!,"AAAAAG23+pc=")</f>
        <v>#REF!</v>
      </c>
      <c r="EW84" t="e">
        <f>AND(#REF!,"AAAAAG23+pg=")</f>
        <v>#REF!</v>
      </c>
      <c r="EX84" t="e">
        <f>AND(#REF!,"AAAAAG23+pk=")</f>
        <v>#REF!</v>
      </c>
      <c r="EY84" t="e">
        <f>AND(#REF!,"AAAAAG23+po=")</f>
        <v>#REF!</v>
      </c>
      <c r="EZ84" t="e">
        <f>AND(#REF!,"AAAAAG23+ps=")</f>
        <v>#REF!</v>
      </c>
      <c r="FA84" t="e">
        <f>AND(#REF!,"AAAAAG23+pw=")</f>
        <v>#REF!</v>
      </c>
      <c r="FB84" t="e">
        <f>AND(#REF!,"AAAAAG23+p0=")</f>
        <v>#REF!</v>
      </c>
      <c r="FC84" t="e">
        <f>AND(#REF!,"AAAAAG23+p4=")</f>
        <v>#REF!</v>
      </c>
      <c r="FD84" t="e">
        <f>AND(#REF!,"AAAAAG23+p8=")</f>
        <v>#REF!</v>
      </c>
      <c r="FE84" t="e">
        <f>AND(#REF!,"AAAAAG23+qA=")</f>
        <v>#REF!</v>
      </c>
      <c r="FF84" t="e">
        <f>AND(#REF!,"AAAAAG23+qE=")</f>
        <v>#REF!</v>
      </c>
      <c r="FG84" t="e">
        <f>AND(#REF!,"AAAAAG23+qI=")</f>
        <v>#REF!</v>
      </c>
      <c r="FH84" t="e">
        <f>AND(#REF!,"AAAAAG23+qM=")</f>
        <v>#REF!</v>
      </c>
      <c r="FI84" t="e">
        <f>AND(#REF!,"AAAAAG23+qQ=")</f>
        <v>#REF!</v>
      </c>
      <c r="FJ84" t="e">
        <f>AND(#REF!,"AAAAAG23+qU=")</f>
        <v>#REF!</v>
      </c>
      <c r="FK84" t="e">
        <f>AND(#REF!,"AAAAAG23+qY=")</f>
        <v>#REF!</v>
      </c>
      <c r="FL84" t="e">
        <f>AND(#REF!,"AAAAAG23+qc=")</f>
        <v>#REF!</v>
      </c>
      <c r="FM84" t="e">
        <f>AND(#REF!,"AAAAAG23+qg=")</f>
        <v>#REF!</v>
      </c>
      <c r="FN84" t="e">
        <f>AND(#REF!,"AAAAAG23+qk=")</f>
        <v>#REF!</v>
      </c>
      <c r="FO84" t="e">
        <f>AND(#REF!,"AAAAAG23+qo=")</f>
        <v>#REF!</v>
      </c>
      <c r="FP84" t="e">
        <f>AND(#REF!,"AAAAAG23+qs=")</f>
        <v>#REF!</v>
      </c>
      <c r="FQ84" t="e">
        <f>AND(#REF!,"AAAAAG23+qw=")</f>
        <v>#REF!</v>
      </c>
      <c r="FR84" t="e">
        <f>AND(#REF!,"AAAAAG23+q0=")</f>
        <v>#REF!</v>
      </c>
      <c r="FS84" t="e">
        <f>AND(#REF!,"AAAAAG23+q4=")</f>
        <v>#REF!</v>
      </c>
      <c r="FT84" t="e">
        <f>AND(#REF!,"AAAAAG23+q8=")</f>
        <v>#REF!</v>
      </c>
      <c r="FU84" t="e">
        <f>AND(#REF!,"AAAAAG23+rA=")</f>
        <v>#REF!</v>
      </c>
      <c r="FV84" t="e">
        <f>AND(#REF!,"AAAAAG23+rE=")</f>
        <v>#REF!</v>
      </c>
      <c r="FW84" t="e">
        <f>AND(#REF!,"AAAAAG23+rI=")</f>
        <v>#REF!</v>
      </c>
      <c r="FX84" t="e">
        <f>AND(#REF!,"AAAAAG23+rM=")</f>
        <v>#REF!</v>
      </c>
      <c r="FY84" t="e">
        <f>AND(#REF!,"AAAAAG23+rQ=")</f>
        <v>#REF!</v>
      </c>
      <c r="FZ84" t="e">
        <f>AND(#REF!,"AAAAAG23+rU=")</f>
        <v>#REF!</v>
      </c>
      <c r="GA84" t="e">
        <f>AND(#REF!,"AAAAAG23+rY=")</f>
        <v>#REF!</v>
      </c>
      <c r="GB84" t="e">
        <f>AND(#REF!,"AAAAAG23+rc=")</f>
        <v>#REF!</v>
      </c>
      <c r="GC84" t="e">
        <f>AND(#REF!,"AAAAAG23+rg=")</f>
        <v>#REF!</v>
      </c>
      <c r="GD84" t="e">
        <f>AND(#REF!,"AAAAAG23+rk=")</f>
        <v>#REF!</v>
      </c>
      <c r="GE84" t="e">
        <f>AND(#REF!,"AAAAAG23+ro=")</f>
        <v>#REF!</v>
      </c>
      <c r="GF84" t="e">
        <f>AND(#REF!,"AAAAAG23+rs=")</f>
        <v>#REF!</v>
      </c>
      <c r="GG84" t="e">
        <f>AND(#REF!,"AAAAAG23+rw=")</f>
        <v>#REF!</v>
      </c>
      <c r="GH84" t="e">
        <f>AND(#REF!,"AAAAAG23+r0=")</f>
        <v>#REF!</v>
      </c>
      <c r="GI84" t="e">
        <f>AND(#REF!,"AAAAAG23+r4=")</f>
        <v>#REF!</v>
      </c>
      <c r="GJ84" t="e">
        <f>AND(#REF!,"AAAAAG23+r8=")</f>
        <v>#REF!</v>
      </c>
      <c r="GK84" t="e">
        <f>AND(#REF!,"AAAAAG23+sA=")</f>
        <v>#REF!</v>
      </c>
      <c r="GL84" t="e">
        <f>AND(#REF!,"AAAAAG23+sE=")</f>
        <v>#REF!</v>
      </c>
      <c r="GM84" t="e">
        <f>AND(#REF!,"AAAAAG23+sI=")</f>
        <v>#REF!</v>
      </c>
      <c r="GN84" t="e">
        <f>AND(#REF!,"AAAAAG23+sM=")</f>
        <v>#REF!</v>
      </c>
      <c r="GO84" t="e">
        <f>AND(#REF!,"AAAAAG23+sQ=")</f>
        <v>#REF!</v>
      </c>
      <c r="GP84" t="e">
        <f>AND(#REF!,"AAAAAG23+sU=")</f>
        <v>#REF!</v>
      </c>
      <c r="GQ84" t="e">
        <f>AND(#REF!,"AAAAAG23+sY=")</f>
        <v>#REF!</v>
      </c>
      <c r="GR84" t="e">
        <f>AND(#REF!,"AAAAAG23+sc=")</f>
        <v>#REF!</v>
      </c>
      <c r="GS84" t="e">
        <f>AND(#REF!,"AAAAAG23+sg=")</f>
        <v>#REF!</v>
      </c>
      <c r="GT84" t="e">
        <f>AND(#REF!,"AAAAAG23+sk=")</f>
        <v>#REF!</v>
      </c>
      <c r="GU84" t="e">
        <f>AND(#REF!,"AAAAAG23+so=")</f>
        <v>#REF!</v>
      </c>
      <c r="GV84" t="e">
        <f>AND(#REF!,"AAAAAG23+ss=")</f>
        <v>#REF!</v>
      </c>
      <c r="GW84" t="e">
        <f>AND(#REF!,"AAAAAG23+sw=")</f>
        <v>#REF!</v>
      </c>
      <c r="GX84" t="e">
        <f>AND(#REF!,"AAAAAG23+s0=")</f>
        <v>#REF!</v>
      </c>
      <c r="GY84" t="e">
        <f>AND(#REF!,"AAAAAG23+s4=")</f>
        <v>#REF!</v>
      </c>
      <c r="GZ84" t="e">
        <f>AND(#REF!,"AAAAAG23+s8=")</f>
        <v>#REF!</v>
      </c>
      <c r="HA84" t="e">
        <f>AND(#REF!,"AAAAAG23+tA=")</f>
        <v>#REF!</v>
      </c>
      <c r="HB84" t="e">
        <f>AND(#REF!,"AAAAAG23+tE=")</f>
        <v>#REF!</v>
      </c>
      <c r="HC84" t="e">
        <f>AND(#REF!,"AAAAAG23+tI=")</f>
        <v>#REF!</v>
      </c>
      <c r="HD84" t="e">
        <f>AND(#REF!,"AAAAAG23+tM=")</f>
        <v>#REF!</v>
      </c>
      <c r="HE84" t="e">
        <f>AND(#REF!,"AAAAAG23+tQ=")</f>
        <v>#REF!</v>
      </c>
      <c r="HF84" t="e">
        <f>AND(#REF!,"AAAAAG23+tU=")</f>
        <v>#REF!</v>
      </c>
      <c r="HG84" t="e">
        <f>AND(#REF!,"AAAAAG23+tY=")</f>
        <v>#REF!</v>
      </c>
      <c r="HH84" t="e">
        <f>AND(#REF!,"AAAAAG23+tc=")</f>
        <v>#REF!</v>
      </c>
      <c r="HI84" t="e">
        <f>AND(#REF!,"AAAAAG23+tg=")</f>
        <v>#REF!</v>
      </c>
      <c r="HJ84" t="e">
        <f>AND(#REF!,"AAAAAG23+tk=")</f>
        <v>#REF!</v>
      </c>
      <c r="HK84" t="e">
        <f>AND(#REF!,"AAAAAG23+to=")</f>
        <v>#REF!</v>
      </c>
      <c r="HL84" t="e">
        <f>AND(#REF!,"AAAAAG23+ts=")</f>
        <v>#REF!</v>
      </c>
      <c r="HM84" t="e">
        <f>AND(#REF!,"AAAAAG23+tw=")</f>
        <v>#REF!</v>
      </c>
      <c r="HN84" t="e">
        <f>AND(#REF!,"AAAAAG23+t0=")</f>
        <v>#REF!</v>
      </c>
      <c r="HO84" t="e">
        <f>AND(#REF!,"AAAAAG23+t4=")</f>
        <v>#REF!</v>
      </c>
      <c r="HP84" t="e">
        <f>AND(#REF!,"AAAAAG23+t8=")</f>
        <v>#REF!</v>
      </c>
      <c r="HQ84" t="e">
        <f>AND(#REF!,"AAAAAG23+uA=")</f>
        <v>#REF!</v>
      </c>
      <c r="HR84" t="e">
        <f>AND(#REF!,"AAAAAG23+uE=")</f>
        <v>#REF!</v>
      </c>
      <c r="HS84" t="e">
        <f>AND(#REF!,"AAAAAG23+uI=")</f>
        <v>#REF!</v>
      </c>
      <c r="HT84" t="e">
        <f>AND(#REF!,"AAAAAG23+uM=")</f>
        <v>#REF!</v>
      </c>
      <c r="HU84" t="e">
        <f>AND(#REF!,"AAAAAG23+uQ=")</f>
        <v>#REF!</v>
      </c>
      <c r="HV84" t="e">
        <f>AND(#REF!,"AAAAAG23+uU=")</f>
        <v>#REF!</v>
      </c>
      <c r="HW84" t="e">
        <f>AND(#REF!,"AAAAAG23+uY=")</f>
        <v>#REF!</v>
      </c>
      <c r="HX84" t="e">
        <f>AND(#REF!,"AAAAAG23+uc=")</f>
        <v>#REF!</v>
      </c>
      <c r="HY84" t="e">
        <f>AND(#REF!,"AAAAAG23+ug=")</f>
        <v>#REF!</v>
      </c>
      <c r="HZ84" t="e">
        <f>AND(#REF!,"AAAAAG23+uk=")</f>
        <v>#REF!</v>
      </c>
      <c r="IA84" t="e">
        <f>AND(#REF!,"AAAAAG23+uo=")</f>
        <v>#REF!</v>
      </c>
      <c r="IB84" t="e">
        <f>AND(#REF!,"AAAAAG23+us=")</f>
        <v>#REF!</v>
      </c>
      <c r="IC84" t="e">
        <f>AND(#REF!,"AAAAAG23+uw=")</f>
        <v>#REF!</v>
      </c>
      <c r="ID84" t="e">
        <f>AND(#REF!,"AAAAAG23+u0=")</f>
        <v>#REF!</v>
      </c>
      <c r="IE84" t="e">
        <f>AND(#REF!,"AAAAAG23+u4=")</f>
        <v>#REF!</v>
      </c>
      <c r="IF84" t="e">
        <f>AND(#REF!,"AAAAAG23+u8=")</f>
        <v>#REF!</v>
      </c>
      <c r="IG84" t="e">
        <f>AND(#REF!,"AAAAAG23+vA=")</f>
        <v>#REF!</v>
      </c>
      <c r="IH84" t="e">
        <f>AND(#REF!,"AAAAAG23+vE=")</f>
        <v>#REF!</v>
      </c>
      <c r="II84" t="e">
        <f>AND(#REF!,"AAAAAG23+vI=")</f>
        <v>#REF!</v>
      </c>
      <c r="IJ84" t="e">
        <f>AND(#REF!,"AAAAAG23+vM=")</f>
        <v>#REF!</v>
      </c>
      <c r="IK84" t="e">
        <f>AND(#REF!,"AAAAAG23+vQ=")</f>
        <v>#REF!</v>
      </c>
      <c r="IL84" t="e">
        <f>AND(#REF!,"AAAAAG23+vU=")</f>
        <v>#REF!</v>
      </c>
      <c r="IM84" t="e">
        <f>AND(#REF!,"AAAAAG23+vY=")</f>
        <v>#REF!</v>
      </c>
      <c r="IN84" t="e">
        <f>AND(#REF!,"AAAAAG23+vc=")</f>
        <v>#REF!</v>
      </c>
      <c r="IO84" t="e">
        <f>AND(#REF!,"AAAAAG23+vg=")</f>
        <v>#REF!</v>
      </c>
      <c r="IP84" t="e">
        <f>AND(#REF!,"AAAAAG23+vk=")</f>
        <v>#REF!</v>
      </c>
      <c r="IQ84" t="e">
        <f>AND(#REF!,"AAAAAG23+vo=")</f>
        <v>#REF!</v>
      </c>
      <c r="IR84" t="e">
        <f>AND(#REF!,"AAAAAG23+vs=")</f>
        <v>#REF!</v>
      </c>
      <c r="IS84" t="e">
        <f>AND(#REF!,"AAAAAG23+vw=")</f>
        <v>#REF!</v>
      </c>
      <c r="IT84" t="e">
        <f>AND(#REF!,"AAAAAG23+v0=")</f>
        <v>#REF!</v>
      </c>
      <c r="IU84" t="e">
        <f>AND(#REF!,"AAAAAG23+v4=")</f>
        <v>#REF!</v>
      </c>
      <c r="IV84" t="e">
        <f>AND(#REF!,"AAAAAG23+v8=")</f>
        <v>#REF!</v>
      </c>
    </row>
    <row r="85" spans="1:256" x14ac:dyDescent="0.2">
      <c r="A85" t="e">
        <f>AND(#REF!,"AAAAAH/3egA=")</f>
        <v>#REF!</v>
      </c>
      <c r="B85" t="e">
        <f>AND(#REF!,"AAAAAH/3egE=")</f>
        <v>#REF!</v>
      </c>
      <c r="C85" t="e">
        <f>AND(#REF!,"AAAAAH/3egI=")</f>
        <v>#REF!</v>
      </c>
      <c r="D85" t="e">
        <f>AND(#REF!,"AAAAAH/3egM=")</f>
        <v>#REF!</v>
      </c>
      <c r="E85" t="e">
        <f>AND(#REF!,"AAAAAH/3egQ=")</f>
        <v>#REF!</v>
      </c>
      <c r="F85" t="e">
        <f>AND(#REF!,"AAAAAH/3egU=")</f>
        <v>#REF!</v>
      </c>
      <c r="G85" t="e">
        <f>AND(#REF!,"AAAAAH/3egY=")</f>
        <v>#REF!</v>
      </c>
      <c r="H85" t="e">
        <f>AND(#REF!,"AAAAAH/3egc=")</f>
        <v>#REF!</v>
      </c>
      <c r="I85" t="e">
        <f>AND(#REF!,"AAAAAH/3egg=")</f>
        <v>#REF!</v>
      </c>
      <c r="J85" t="e">
        <f>AND(#REF!,"AAAAAH/3egk=")</f>
        <v>#REF!</v>
      </c>
      <c r="K85" t="e">
        <f>AND(#REF!,"AAAAAH/3ego=")</f>
        <v>#REF!</v>
      </c>
      <c r="L85" t="e">
        <f>AND(#REF!,"AAAAAH/3egs=")</f>
        <v>#REF!</v>
      </c>
      <c r="M85" t="e">
        <f>AND(#REF!,"AAAAAH/3egw=")</f>
        <v>#REF!</v>
      </c>
      <c r="N85" t="e">
        <f>AND(#REF!,"AAAAAH/3eg0=")</f>
        <v>#REF!</v>
      </c>
      <c r="O85" t="e">
        <f>AND(#REF!,"AAAAAH/3eg4=")</f>
        <v>#REF!</v>
      </c>
      <c r="P85" t="e">
        <f>AND(#REF!,"AAAAAH/3eg8=")</f>
        <v>#REF!</v>
      </c>
      <c r="Q85" t="e">
        <f>AND(#REF!,"AAAAAH/3ehA=")</f>
        <v>#REF!</v>
      </c>
      <c r="R85" t="e">
        <f>AND(#REF!,"AAAAAH/3ehE=")</f>
        <v>#REF!</v>
      </c>
      <c r="S85" t="e">
        <f>AND(#REF!,"AAAAAH/3ehI=")</f>
        <v>#REF!</v>
      </c>
      <c r="T85" t="e">
        <f>AND(#REF!,"AAAAAH/3ehM=")</f>
        <v>#REF!</v>
      </c>
      <c r="U85" t="e">
        <f>AND(#REF!,"AAAAAH/3ehQ=")</f>
        <v>#REF!</v>
      </c>
      <c r="V85" t="e">
        <f>AND(#REF!,"AAAAAH/3ehU=")</f>
        <v>#REF!</v>
      </c>
      <c r="W85" t="e">
        <f>AND(#REF!,"AAAAAH/3ehY=")</f>
        <v>#REF!</v>
      </c>
      <c r="X85" t="e">
        <f>AND(#REF!,"AAAAAH/3ehc=")</f>
        <v>#REF!</v>
      </c>
      <c r="Y85" t="e">
        <f>AND(#REF!,"AAAAAH/3ehg=")</f>
        <v>#REF!</v>
      </c>
      <c r="Z85" t="e">
        <f>AND(#REF!,"AAAAAH/3ehk=")</f>
        <v>#REF!</v>
      </c>
      <c r="AA85" t="e">
        <f>AND(#REF!,"AAAAAH/3eho=")</f>
        <v>#REF!</v>
      </c>
      <c r="AB85" t="e">
        <f>AND(#REF!,"AAAAAH/3ehs=")</f>
        <v>#REF!</v>
      </c>
      <c r="AC85" t="e">
        <f>AND(#REF!,"AAAAAH/3ehw=")</f>
        <v>#REF!</v>
      </c>
      <c r="AD85" t="e">
        <f>AND(#REF!,"AAAAAH/3eh0=")</f>
        <v>#REF!</v>
      </c>
      <c r="AE85" t="e">
        <f>AND(#REF!,"AAAAAH/3eh4=")</f>
        <v>#REF!</v>
      </c>
      <c r="AF85" t="e">
        <f>AND(#REF!,"AAAAAH/3eh8=")</f>
        <v>#REF!</v>
      </c>
      <c r="AG85" t="e">
        <f>AND(#REF!,"AAAAAH/3eiA=")</f>
        <v>#REF!</v>
      </c>
      <c r="AH85" t="e">
        <f>AND(#REF!,"AAAAAH/3eiE=")</f>
        <v>#REF!</v>
      </c>
      <c r="AI85" t="e">
        <f>AND(#REF!,"AAAAAH/3eiI=")</f>
        <v>#REF!</v>
      </c>
      <c r="AJ85" t="e">
        <f>AND(#REF!,"AAAAAH/3eiM=")</f>
        <v>#REF!</v>
      </c>
      <c r="AK85" t="e">
        <f>AND(#REF!,"AAAAAH/3eiQ=")</f>
        <v>#REF!</v>
      </c>
      <c r="AL85" t="e">
        <f>AND(#REF!,"AAAAAH/3eiU=")</f>
        <v>#REF!</v>
      </c>
      <c r="AM85" t="e">
        <f>AND(#REF!,"AAAAAH/3eiY=")</f>
        <v>#REF!</v>
      </c>
      <c r="AN85" t="e">
        <f>AND(#REF!,"AAAAAH/3eic=")</f>
        <v>#REF!</v>
      </c>
      <c r="AO85" t="e">
        <f>AND(#REF!,"AAAAAH/3eig=")</f>
        <v>#REF!</v>
      </c>
      <c r="AP85" t="e">
        <f>AND(#REF!,"AAAAAH/3eik=")</f>
        <v>#REF!</v>
      </c>
      <c r="AQ85" t="e">
        <f>AND(#REF!,"AAAAAH/3eio=")</f>
        <v>#REF!</v>
      </c>
      <c r="AR85" t="e">
        <f>AND(#REF!,"AAAAAH/3eis=")</f>
        <v>#REF!</v>
      </c>
      <c r="AS85" t="e">
        <f>AND(#REF!,"AAAAAH/3eiw=")</f>
        <v>#REF!</v>
      </c>
      <c r="AT85" t="e">
        <f>AND(#REF!,"AAAAAH/3ei0=")</f>
        <v>#REF!</v>
      </c>
      <c r="AU85" t="e">
        <f>AND(#REF!,"AAAAAH/3ei4=")</f>
        <v>#REF!</v>
      </c>
      <c r="AV85" t="e">
        <f>AND(#REF!,"AAAAAH/3ei8=")</f>
        <v>#REF!</v>
      </c>
      <c r="AW85" t="e">
        <f>AND(#REF!,"AAAAAH/3ejA=")</f>
        <v>#REF!</v>
      </c>
      <c r="AX85" t="e">
        <f>AND(#REF!,"AAAAAH/3ejE=")</f>
        <v>#REF!</v>
      </c>
      <c r="AY85" t="e">
        <f>AND(#REF!,"AAAAAH/3ejI=")</f>
        <v>#REF!</v>
      </c>
      <c r="AZ85" t="e">
        <f>AND(#REF!,"AAAAAH/3ejM=")</f>
        <v>#REF!</v>
      </c>
      <c r="BA85" t="e">
        <f>IF(#REF!,"AAAAAH/3ejQ=",0)</f>
        <v>#REF!</v>
      </c>
      <c r="BB85" t="e">
        <f>AND(#REF!,"AAAAAH/3ejU=")</f>
        <v>#REF!</v>
      </c>
      <c r="BC85" t="e">
        <f>AND(#REF!,"AAAAAH/3ejY=")</f>
        <v>#REF!</v>
      </c>
      <c r="BD85" t="e">
        <f>AND(#REF!,"AAAAAH/3ejc=")</f>
        <v>#REF!</v>
      </c>
      <c r="BE85" t="e">
        <f>AND(#REF!,"AAAAAH/3ejg=")</f>
        <v>#REF!</v>
      </c>
      <c r="BF85" t="e">
        <f>AND(#REF!,"AAAAAH/3ejk=")</f>
        <v>#REF!</v>
      </c>
      <c r="BG85" t="e">
        <f>AND(#REF!,"AAAAAH/3ejo=")</f>
        <v>#REF!</v>
      </c>
      <c r="BH85" t="e">
        <f>AND(#REF!,"AAAAAH/3ejs=")</f>
        <v>#REF!</v>
      </c>
      <c r="BI85" t="e">
        <f>AND(#REF!,"AAAAAH/3ejw=")</f>
        <v>#REF!</v>
      </c>
      <c r="BJ85" t="e">
        <f>AND(#REF!,"AAAAAH/3ej0=")</f>
        <v>#REF!</v>
      </c>
      <c r="BK85" t="e">
        <f>AND(#REF!,"AAAAAH/3ej4=")</f>
        <v>#REF!</v>
      </c>
      <c r="BL85" t="e">
        <f>AND(#REF!,"AAAAAH/3ej8=")</f>
        <v>#REF!</v>
      </c>
      <c r="BM85" t="e">
        <f>AND(#REF!,"AAAAAH/3ekA=")</f>
        <v>#REF!</v>
      </c>
      <c r="BN85" t="e">
        <f>AND(#REF!,"AAAAAH/3ekE=")</f>
        <v>#REF!</v>
      </c>
      <c r="BO85" t="e">
        <f>AND(#REF!,"AAAAAH/3ekI=")</f>
        <v>#REF!</v>
      </c>
      <c r="BP85" t="e">
        <f>AND(#REF!,"AAAAAH/3ekM=")</f>
        <v>#REF!</v>
      </c>
      <c r="BQ85" t="e">
        <f>AND(#REF!,"AAAAAH/3ekQ=")</f>
        <v>#REF!</v>
      </c>
      <c r="BR85" t="e">
        <f>AND(#REF!,"AAAAAH/3ekU=")</f>
        <v>#REF!</v>
      </c>
      <c r="BS85" t="e">
        <f>AND(#REF!,"AAAAAH/3ekY=")</f>
        <v>#REF!</v>
      </c>
      <c r="BT85" t="e">
        <f>AND(#REF!,"AAAAAH/3ekc=")</f>
        <v>#REF!</v>
      </c>
      <c r="BU85" t="e">
        <f>AND(#REF!,"AAAAAH/3ekg=")</f>
        <v>#REF!</v>
      </c>
      <c r="BV85" t="e">
        <f>AND(#REF!,"AAAAAH/3ekk=")</f>
        <v>#REF!</v>
      </c>
      <c r="BW85" t="e">
        <f>AND(#REF!,"AAAAAH/3eko=")</f>
        <v>#REF!</v>
      </c>
      <c r="BX85" t="e">
        <f>AND(#REF!,"AAAAAH/3eks=")</f>
        <v>#REF!</v>
      </c>
      <c r="BY85" t="e">
        <f>AND(#REF!,"AAAAAH/3ekw=")</f>
        <v>#REF!</v>
      </c>
      <c r="BZ85" t="e">
        <f>AND(#REF!,"AAAAAH/3ek0=")</f>
        <v>#REF!</v>
      </c>
      <c r="CA85" t="e">
        <f>AND(#REF!,"AAAAAH/3ek4=")</f>
        <v>#REF!</v>
      </c>
      <c r="CB85" t="e">
        <f>AND(#REF!,"AAAAAH/3ek8=")</f>
        <v>#REF!</v>
      </c>
      <c r="CC85" t="e">
        <f>AND(#REF!,"AAAAAH/3elA=")</f>
        <v>#REF!</v>
      </c>
      <c r="CD85" t="e">
        <f>AND(#REF!,"AAAAAH/3elE=")</f>
        <v>#REF!</v>
      </c>
      <c r="CE85" t="e">
        <f>AND(#REF!,"AAAAAH/3elI=")</f>
        <v>#REF!</v>
      </c>
      <c r="CF85" t="e">
        <f>AND(#REF!,"AAAAAH/3elM=")</f>
        <v>#REF!</v>
      </c>
      <c r="CG85" t="e">
        <f>AND(#REF!,"AAAAAH/3elQ=")</f>
        <v>#REF!</v>
      </c>
      <c r="CH85" t="e">
        <f>AND(#REF!,"AAAAAH/3elU=")</f>
        <v>#REF!</v>
      </c>
      <c r="CI85" t="e">
        <f>AND(#REF!,"AAAAAH/3elY=")</f>
        <v>#REF!</v>
      </c>
      <c r="CJ85" t="e">
        <f>AND(#REF!,"AAAAAH/3elc=")</f>
        <v>#REF!</v>
      </c>
      <c r="CK85" t="e">
        <f>AND(#REF!,"AAAAAH/3elg=")</f>
        <v>#REF!</v>
      </c>
      <c r="CL85" t="e">
        <f>AND(#REF!,"AAAAAH/3elk=")</f>
        <v>#REF!</v>
      </c>
      <c r="CM85" t="e">
        <f>AND(#REF!,"AAAAAH/3elo=")</f>
        <v>#REF!</v>
      </c>
      <c r="CN85" t="e">
        <f>AND(#REF!,"AAAAAH/3els=")</f>
        <v>#REF!</v>
      </c>
      <c r="CO85" t="e">
        <f>AND(#REF!,"AAAAAH/3elw=")</f>
        <v>#REF!</v>
      </c>
      <c r="CP85" t="e">
        <f>AND(#REF!,"AAAAAH/3el0=")</f>
        <v>#REF!</v>
      </c>
      <c r="CQ85" t="e">
        <f>AND(#REF!,"AAAAAH/3el4=")</f>
        <v>#REF!</v>
      </c>
      <c r="CR85" t="e">
        <f>AND(#REF!,"AAAAAH/3el8=")</f>
        <v>#REF!</v>
      </c>
      <c r="CS85" t="e">
        <f>AND(#REF!,"AAAAAH/3emA=")</f>
        <v>#REF!</v>
      </c>
      <c r="CT85" t="e">
        <f>AND(#REF!,"AAAAAH/3emE=")</f>
        <v>#REF!</v>
      </c>
      <c r="CU85" t="e">
        <f>AND(#REF!,"AAAAAH/3emI=")</f>
        <v>#REF!</v>
      </c>
      <c r="CV85" t="e">
        <f>AND(#REF!,"AAAAAH/3emM=")</f>
        <v>#REF!</v>
      </c>
      <c r="CW85" t="e">
        <f>AND(#REF!,"AAAAAH/3emQ=")</f>
        <v>#REF!</v>
      </c>
      <c r="CX85" t="e">
        <f>AND(#REF!,"AAAAAH/3emU=")</f>
        <v>#REF!</v>
      </c>
      <c r="CY85" t="e">
        <f>AND(#REF!,"AAAAAH/3emY=")</f>
        <v>#REF!</v>
      </c>
      <c r="CZ85" t="e">
        <f>AND(#REF!,"AAAAAH/3emc=")</f>
        <v>#REF!</v>
      </c>
      <c r="DA85" t="e">
        <f>AND(#REF!,"AAAAAH/3emg=")</f>
        <v>#REF!</v>
      </c>
      <c r="DB85" t="e">
        <f>AND(#REF!,"AAAAAH/3emk=")</f>
        <v>#REF!</v>
      </c>
      <c r="DC85" t="e">
        <f>AND(#REF!,"AAAAAH/3emo=")</f>
        <v>#REF!</v>
      </c>
      <c r="DD85" t="e">
        <f>AND(#REF!,"AAAAAH/3ems=")</f>
        <v>#REF!</v>
      </c>
      <c r="DE85" t="e">
        <f>AND(#REF!,"AAAAAH/3emw=")</f>
        <v>#REF!</v>
      </c>
      <c r="DF85" t="e">
        <f>AND(#REF!,"AAAAAH/3em0=")</f>
        <v>#REF!</v>
      </c>
      <c r="DG85" t="e">
        <f>AND(#REF!,"AAAAAH/3em4=")</f>
        <v>#REF!</v>
      </c>
      <c r="DH85" t="e">
        <f>AND(#REF!,"AAAAAH/3em8=")</f>
        <v>#REF!</v>
      </c>
      <c r="DI85" t="e">
        <f>AND(#REF!,"AAAAAH/3enA=")</f>
        <v>#REF!</v>
      </c>
      <c r="DJ85" t="e">
        <f>AND(#REF!,"AAAAAH/3enE=")</f>
        <v>#REF!</v>
      </c>
      <c r="DK85" t="e">
        <f>AND(#REF!,"AAAAAH/3enI=")</f>
        <v>#REF!</v>
      </c>
      <c r="DL85" t="e">
        <f>AND(#REF!,"AAAAAH/3enM=")</f>
        <v>#REF!</v>
      </c>
      <c r="DM85" t="e">
        <f>AND(#REF!,"AAAAAH/3enQ=")</f>
        <v>#REF!</v>
      </c>
      <c r="DN85" t="e">
        <f>AND(#REF!,"AAAAAH/3enU=")</f>
        <v>#REF!</v>
      </c>
      <c r="DO85" t="e">
        <f>AND(#REF!,"AAAAAH/3enY=")</f>
        <v>#REF!</v>
      </c>
      <c r="DP85" t="e">
        <f>AND(#REF!,"AAAAAH/3enc=")</f>
        <v>#REF!</v>
      </c>
      <c r="DQ85" t="e">
        <f>AND(#REF!,"AAAAAH/3eng=")</f>
        <v>#REF!</v>
      </c>
      <c r="DR85" t="e">
        <f>AND(#REF!,"AAAAAH/3enk=")</f>
        <v>#REF!</v>
      </c>
      <c r="DS85" t="e">
        <f>AND(#REF!,"AAAAAH/3eno=")</f>
        <v>#REF!</v>
      </c>
      <c r="DT85" t="e">
        <f>AND(#REF!,"AAAAAH/3ens=")</f>
        <v>#REF!</v>
      </c>
      <c r="DU85" t="e">
        <f>AND(#REF!,"AAAAAH/3enw=")</f>
        <v>#REF!</v>
      </c>
      <c r="DV85" t="e">
        <f>AND(#REF!,"AAAAAH/3en0=")</f>
        <v>#REF!</v>
      </c>
      <c r="DW85" t="e">
        <f>AND(#REF!,"AAAAAH/3en4=")</f>
        <v>#REF!</v>
      </c>
      <c r="DX85" t="e">
        <f>AND(#REF!,"AAAAAH/3en8=")</f>
        <v>#REF!</v>
      </c>
      <c r="DY85" t="e">
        <f>AND(#REF!,"AAAAAH/3eoA=")</f>
        <v>#REF!</v>
      </c>
      <c r="DZ85" t="e">
        <f>AND(#REF!,"AAAAAH/3eoE=")</f>
        <v>#REF!</v>
      </c>
      <c r="EA85" t="e">
        <f>AND(#REF!,"AAAAAH/3eoI=")</f>
        <v>#REF!</v>
      </c>
      <c r="EB85" t="e">
        <f>AND(#REF!,"AAAAAH/3eoM=")</f>
        <v>#REF!</v>
      </c>
      <c r="EC85" t="e">
        <f>AND(#REF!,"AAAAAH/3eoQ=")</f>
        <v>#REF!</v>
      </c>
      <c r="ED85" t="e">
        <f>AND(#REF!,"AAAAAH/3eoU=")</f>
        <v>#REF!</v>
      </c>
      <c r="EE85" t="e">
        <f>AND(#REF!,"AAAAAH/3eoY=")</f>
        <v>#REF!</v>
      </c>
      <c r="EF85" t="e">
        <f>AND(#REF!,"AAAAAH/3eoc=")</f>
        <v>#REF!</v>
      </c>
      <c r="EG85" t="e">
        <f>AND(#REF!,"AAAAAH/3eog=")</f>
        <v>#REF!</v>
      </c>
      <c r="EH85" t="e">
        <f>AND(#REF!,"AAAAAH/3eok=")</f>
        <v>#REF!</v>
      </c>
      <c r="EI85" t="e">
        <f>AND(#REF!,"AAAAAH/3eoo=")</f>
        <v>#REF!</v>
      </c>
      <c r="EJ85" t="e">
        <f>AND(#REF!,"AAAAAH/3eos=")</f>
        <v>#REF!</v>
      </c>
      <c r="EK85" t="e">
        <f>AND(#REF!,"AAAAAH/3eow=")</f>
        <v>#REF!</v>
      </c>
      <c r="EL85" t="e">
        <f>AND(#REF!,"AAAAAH/3eo0=")</f>
        <v>#REF!</v>
      </c>
      <c r="EM85" t="e">
        <f>AND(#REF!,"AAAAAH/3eo4=")</f>
        <v>#REF!</v>
      </c>
      <c r="EN85" t="e">
        <f>AND(#REF!,"AAAAAH/3eo8=")</f>
        <v>#REF!</v>
      </c>
      <c r="EO85" t="e">
        <f>AND(#REF!,"AAAAAH/3epA=")</f>
        <v>#REF!</v>
      </c>
      <c r="EP85" t="e">
        <f>AND(#REF!,"AAAAAH/3epE=")</f>
        <v>#REF!</v>
      </c>
      <c r="EQ85" t="e">
        <f>AND(#REF!,"AAAAAH/3epI=")</f>
        <v>#REF!</v>
      </c>
      <c r="ER85" t="e">
        <f>AND(#REF!,"AAAAAH/3epM=")</f>
        <v>#REF!</v>
      </c>
      <c r="ES85" t="e">
        <f>AND(#REF!,"AAAAAH/3epQ=")</f>
        <v>#REF!</v>
      </c>
      <c r="ET85" t="e">
        <f>AND(#REF!,"AAAAAH/3epU=")</f>
        <v>#REF!</v>
      </c>
      <c r="EU85" t="e">
        <f>AND(#REF!,"AAAAAH/3epY=")</f>
        <v>#REF!</v>
      </c>
      <c r="EV85" t="e">
        <f>AND(#REF!,"AAAAAH/3epc=")</f>
        <v>#REF!</v>
      </c>
      <c r="EW85" t="e">
        <f>AND(#REF!,"AAAAAH/3epg=")</f>
        <v>#REF!</v>
      </c>
      <c r="EX85" t="e">
        <f>AND(#REF!,"AAAAAH/3epk=")</f>
        <v>#REF!</v>
      </c>
      <c r="EY85" t="e">
        <f>AND(#REF!,"AAAAAH/3epo=")</f>
        <v>#REF!</v>
      </c>
      <c r="EZ85" t="e">
        <f>AND(#REF!,"AAAAAH/3eps=")</f>
        <v>#REF!</v>
      </c>
      <c r="FA85" t="e">
        <f>AND(#REF!,"AAAAAH/3epw=")</f>
        <v>#REF!</v>
      </c>
      <c r="FB85" t="e">
        <f>AND(#REF!,"AAAAAH/3ep0=")</f>
        <v>#REF!</v>
      </c>
      <c r="FC85" t="e">
        <f>AND(#REF!,"AAAAAH/3ep4=")</f>
        <v>#REF!</v>
      </c>
      <c r="FD85" t="e">
        <f>AND(#REF!,"AAAAAH/3ep8=")</f>
        <v>#REF!</v>
      </c>
      <c r="FE85" t="e">
        <f>AND(#REF!,"AAAAAH/3eqA=")</f>
        <v>#REF!</v>
      </c>
      <c r="FF85" t="e">
        <f>AND(#REF!,"AAAAAH/3eqE=")</f>
        <v>#REF!</v>
      </c>
      <c r="FG85" t="e">
        <f>AND(#REF!,"AAAAAH/3eqI=")</f>
        <v>#REF!</v>
      </c>
      <c r="FH85" t="e">
        <f>AND(#REF!,"AAAAAH/3eqM=")</f>
        <v>#REF!</v>
      </c>
      <c r="FI85" t="e">
        <f>AND(#REF!,"AAAAAH/3eqQ=")</f>
        <v>#REF!</v>
      </c>
      <c r="FJ85" t="e">
        <f>AND(#REF!,"AAAAAH/3eqU=")</f>
        <v>#REF!</v>
      </c>
      <c r="FK85" t="e">
        <f>AND(#REF!,"AAAAAH/3eqY=")</f>
        <v>#REF!</v>
      </c>
      <c r="FL85" t="e">
        <f>AND(#REF!,"AAAAAH/3eqc=")</f>
        <v>#REF!</v>
      </c>
      <c r="FM85" t="e">
        <f>AND(#REF!,"AAAAAH/3eqg=")</f>
        <v>#REF!</v>
      </c>
      <c r="FN85" t="e">
        <f>AND(#REF!,"AAAAAH/3eqk=")</f>
        <v>#REF!</v>
      </c>
      <c r="FO85" t="e">
        <f>AND(#REF!,"AAAAAH/3eqo=")</f>
        <v>#REF!</v>
      </c>
      <c r="FP85" t="e">
        <f>AND(#REF!,"AAAAAH/3eqs=")</f>
        <v>#REF!</v>
      </c>
      <c r="FQ85" t="e">
        <f>AND(#REF!,"AAAAAH/3eqw=")</f>
        <v>#REF!</v>
      </c>
      <c r="FR85" t="e">
        <f>AND(#REF!,"AAAAAH/3eq0=")</f>
        <v>#REF!</v>
      </c>
      <c r="FS85" t="e">
        <f>AND(#REF!,"AAAAAH/3eq4=")</f>
        <v>#REF!</v>
      </c>
      <c r="FT85" t="e">
        <f>AND(#REF!,"AAAAAH/3eq8=")</f>
        <v>#REF!</v>
      </c>
      <c r="FU85" t="e">
        <f>AND(#REF!,"AAAAAH/3erA=")</f>
        <v>#REF!</v>
      </c>
      <c r="FV85" t="e">
        <f>AND(#REF!,"AAAAAH/3erE=")</f>
        <v>#REF!</v>
      </c>
      <c r="FW85" t="e">
        <f>AND(#REF!,"AAAAAH/3erI=")</f>
        <v>#REF!</v>
      </c>
      <c r="FX85" t="e">
        <f>AND(#REF!,"AAAAAH/3erM=")</f>
        <v>#REF!</v>
      </c>
      <c r="FY85" t="e">
        <f>AND(#REF!,"AAAAAH/3erQ=")</f>
        <v>#REF!</v>
      </c>
      <c r="FZ85" t="e">
        <f>AND(#REF!,"AAAAAH/3erU=")</f>
        <v>#REF!</v>
      </c>
      <c r="GA85" t="e">
        <f>AND(#REF!,"AAAAAH/3erY=")</f>
        <v>#REF!</v>
      </c>
      <c r="GB85" t="e">
        <f>AND(#REF!,"AAAAAH/3erc=")</f>
        <v>#REF!</v>
      </c>
      <c r="GC85" t="e">
        <f>AND(#REF!,"AAAAAH/3erg=")</f>
        <v>#REF!</v>
      </c>
      <c r="GD85" t="e">
        <f>AND(#REF!,"AAAAAH/3erk=")</f>
        <v>#REF!</v>
      </c>
      <c r="GE85" t="e">
        <f>AND(#REF!,"AAAAAH/3ero=")</f>
        <v>#REF!</v>
      </c>
      <c r="GF85" t="e">
        <f>AND(#REF!,"AAAAAH/3ers=")</f>
        <v>#REF!</v>
      </c>
      <c r="GG85" t="e">
        <f>AND(#REF!,"AAAAAH/3erw=")</f>
        <v>#REF!</v>
      </c>
      <c r="GH85" t="e">
        <f>AND(#REF!,"AAAAAH/3er0=")</f>
        <v>#REF!</v>
      </c>
      <c r="GI85" t="e">
        <f>AND(#REF!,"AAAAAH/3er4=")</f>
        <v>#REF!</v>
      </c>
      <c r="GJ85" t="e">
        <f>AND(#REF!,"AAAAAH/3er8=")</f>
        <v>#REF!</v>
      </c>
      <c r="GK85" t="e">
        <f>AND(#REF!,"AAAAAH/3esA=")</f>
        <v>#REF!</v>
      </c>
      <c r="GL85" t="e">
        <f>AND(#REF!,"AAAAAH/3esE=")</f>
        <v>#REF!</v>
      </c>
      <c r="GM85" t="e">
        <f>AND(#REF!,"AAAAAH/3esI=")</f>
        <v>#REF!</v>
      </c>
      <c r="GN85" t="e">
        <f>AND(#REF!,"AAAAAH/3esM=")</f>
        <v>#REF!</v>
      </c>
      <c r="GO85" t="e">
        <f>AND(#REF!,"AAAAAH/3esQ=")</f>
        <v>#REF!</v>
      </c>
      <c r="GP85" t="e">
        <f>AND(#REF!,"AAAAAH/3esU=")</f>
        <v>#REF!</v>
      </c>
      <c r="GQ85" t="e">
        <f>AND(#REF!,"AAAAAH/3esY=")</f>
        <v>#REF!</v>
      </c>
      <c r="GR85" t="e">
        <f>AND(#REF!,"AAAAAH/3esc=")</f>
        <v>#REF!</v>
      </c>
      <c r="GS85" t="e">
        <f>AND(#REF!,"AAAAAH/3esg=")</f>
        <v>#REF!</v>
      </c>
      <c r="GT85" t="e">
        <f>AND(#REF!,"AAAAAH/3esk=")</f>
        <v>#REF!</v>
      </c>
      <c r="GU85" t="e">
        <f>AND(#REF!,"AAAAAH/3eso=")</f>
        <v>#REF!</v>
      </c>
      <c r="GV85" t="e">
        <f>AND(#REF!,"AAAAAH/3ess=")</f>
        <v>#REF!</v>
      </c>
      <c r="GW85" t="e">
        <f>AND(#REF!,"AAAAAH/3esw=")</f>
        <v>#REF!</v>
      </c>
      <c r="GX85" t="e">
        <f>AND(#REF!,"AAAAAH/3es0=")</f>
        <v>#REF!</v>
      </c>
      <c r="GY85" t="e">
        <f>AND(#REF!,"AAAAAH/3es4=")</f>
        <v>#REF!</v>
      </c>
      <c r="GZ85" t="e">
        <f>AND(#REF!,"AAAAAH/3es8=")</f>
        <v>#REF!</v>
      </c>
      <c r="HA85" t="e">
        <f>AND(#REF!,"AAAAAH/3etA=")</f>
        <v>#REF!</v>
      </c>
      <c r="HB85" t="e">
        <f>AND(#REF!,"AAAAAH/3etE=")</f>
        <v>#REF!</v>
      </c>
      <c r="HC85" t="e">
        <f>AND(#REF!,"AAAAAH/3etI=")</f>
        <v>#REF!</v>
      </c>
      <c r="HD85" t="e">
        <f>AND(#REF!,"AAAAAH/3etM=")</f>
        <v>#REF!</v>
      </c>
      <c r="HE85" t="e">
        <f>AND(#REF!,"AAAAAH/3etQ=")</f>
        <v>#REF!</v>
      </c>
      <c r="HF85" t="e">
        <f>AND(#REF!,"AAAAAH/3etU=")</f>
        <v>#REF!</v>
      </c>
      <c r="HG85" t="e">
        <f>AND(#REF!,"AAAAAH/3etY=")</f>
        <v>#REF!</v>
      </c>
      <c r="HH85" t="e">
        <f>AND(#REF!,"AAAAAH/3etc=")</f>
        <v>#REF!</v>
      </c>
      <c r="HI85" t="e">
        <f>AND(#REF!,"AAAAAH/3etg=")</f>
        <v>#REF!</v>
      </c>
      <c r="HJ85" t="e">
        <f>AND(#REF!,"AAAAAH/3etk=")</f>
        <v>#REF!</v>
      </c>
      <c r="HK85" t="e">
        <f>AND(#REF!,"AAAAAH/3eto=")</f>
        <v>#REF!</v>
      </c>
      <c r="HL85" t="e">
        <f>AND(#REF!,"AAAAAH/3ets=")</f>
        <v>#REF!</v>
      </c>
      <c r="HM85" t="e">
        <f>AND(#REF!,"AAAAAH/3etw=")</f>
        <v>#REF!</v>
      </c>
      <c r="HN85" t="e">
        <f>AND(#REF!,"AAAAAH/3et0=")</f>
        <v>#REF!</v>
      </c>
      <c r="HO85" t="e">
        <f>AND(#REF!,"AAAAAH/3et4=")</f>
        <v>#REF!</v>
      </c>
      <c r="HP85" t="e">
        <f>AND(#REF!,"AAAAAH/3et8=")</f>
        <v>#REF!</v>
      </c>
      <c r="HQ85" t="e">
        <f>AND(#REF!,"AAAAAH/3euA=")</f>
        <v>#REF!</v>
      </c>
      <c r="HR85" t="e">
        <f>AND(#REF!,"AAAAAH/3euE=")</f>
        <v>#REF!</v>
      </c>
      <c r="HS85" t="e">
        <f>AND(#REF!,"AAAAAH/3euI=")</f>
        <v>#REF!</v>
      </c>
      <c r="HT85" t="e">
        <f>AND(#REF!,"AAAAAH/3euM=")</f>
        <v>#REF!</v>
      </c>
      <c r="HU85" t="e">
        <f>AND(#REF!,"AAAAAH/3euQ=")</f>
        <v>#REF!</v>
      </c>
      <c r="HV85" t="e">
        <f>AND(#REF!,"AAAAAH/3euU=")</f>
        <v>#REF!</v>
      </c>
      <c r="HW85" t="e">
        <f>AND(#REF!,"AAAAAH/3euY=")</f>
        <v>#REF!</v>
      </c>
      <c r="HX85" t="e">
        <f>AND(#REF!,"AAAAAH/3euc=")</f>
        <v>#REF!</v>
      </c>
      <c r="HY85" t="e">
        <f>AND(#REF!,"AAAAAH/3eug=")</f>
        <v>#REF!</v>
      </c>
      <c r="HZ85" t="e">
        <f>IF(#REF!,"AAAAAH/3euk=",0)</f>
        <v>#REF!</v>
      </c>
      <c r="IA85" t="e">
        <f>AND(#REF!,"AAAAAH/3euo=")</f>
        <v>#REF!</v>
      </c>
      <c r="IB85" t="e">
        <f>AND(#REF!,"AAAAAH/3eus=")</f>
        <v>#REF!</v>
      </c>
      <c r="IC85" t="e">
        <f>AND(#REF!,"AAAAAH/3euw=")</f>
        <v>#REF!</v>
      </c>
      <c r="ID85" t="e">
        <f>AND(#REF!,"AAAAAH/3eu0=")</f>
        <v>#REF!</v>
      </c>
      <c r="IE85" t="e">
        <f>AND(#REF!,"AAAAAH/3eu4=")</f>
        <v>#REF!</v>
      </c>
      <c r="IF85" t="e">
        <f>AND(#REF!,"AAAAAH/3eu8=")</f>
        <v>#REF!</v>
      </c>
      <c r="IG85" t="e">
        <f>AND(#REF!,"AAAAAH/3evA=")</f>
        <v>#REF!</v>
      </c>
      <c r="IH85" t="e">
        <f>AND(#REF!,"AAAAAH/3evE=")</f>
        <v>#REF!</v>
      </c>
      <c r="II85" t="e">
        <f>AND(#REF!,"AAAAAH/3evI=")</f>
        <v>#REF!</v>
      </c>
      <c r="IJ85" t="e">
        <f>AND(#REF!,"AAAAAH/3evM=")</f>
        <v>#REF!</v>
      </c>
      <c r="IK85" t="e">
        <f>AND(#REF!,"AAAAAH/3evQ=")</f>
        <v>#REF!</v>
      </c>
      <c r="IL85" t="e">
        <f>AND(#REF!,"AAAAAH/3evU=")</f>
        <v>#REF!</v>
      </c>
      <c r="IM85" t="e">
        <f>AND(#REF!,"AAAAAH/3evY=")</f>
        <v>#REF!</v>
      </c>
      <c r="IN85" t="e">
        <f>AND(#REF!,"AAAAAH/3evc=")</f>
        <v>#REF!</v>
      </c>
      <c r="IO85" t="e">
        <f>AND(#REF!,"AAAAAH/3evg=")</f>
        <v>#REF!</v>
      </c>
      <c r="IP85" t="e">
        <f>AND(#REF!,"AAAAAH/3evk=")</f>
        <v>#REF!</v>
      </c>
      <c r="IQ85" t="e">
        <f>AND(#REF!,"AAAAAH/3evo=")</f>
        <v>#REF!</v>
      </c>
      <c r="IR85" t="e">
        <f>AND(#REF!,"AAAAAH/3evs=")</f>
        <v>#REF!</v>
      </c>
      <c r="IS85" t="e">
        <f>AND(#REF!,"AAAAAH/3evw=")</f>
        <v>#REF!</v>
      </c>
      <c r="IT85" t="e">
        <f>AND(#REF!,"AAAAAH/3ev0=")</f>
        <v>#REF!</v>
      </c>
      <c r="IU85" t="e">
        <f>AND(#REF!,"AAAAAH/3ev4=")</f>
        <v>#REF!</v>
      </c>
      <c r="IV85" t="e">
        <f>AND(#REF!,"AAAAAH/3ev8=")</f>
        <v>#REF!</v>
      </c>
    </row>
    <row r="86" spans="1:256" x14ac:dyDescent="0.2">
      <c r="A86" t="e">
        <f>AND(#REF!,"AAAAAG7/OQA=")</f>
        <v>#REF!</v>
      </c>
      <c r="B86" t="e">
        <f>AND(#REF!,"AAAAAG7/OQE=")</f>
        <v>#REF!</v>
      </c>
      <c r="C86" t="e">
        <f>AND(#REF!,"AAAAAG7/OQI=")</f>
        <v>#REF!</v>
      </c>
      <c r="D86" t="e">
        <f>AND(#REF!,"AAAAAG7/OQM=")</f>
        <v>#REF!</v>
      </c>
      <c r="E86" t="e">
        <f>AND(#REF!,"AAAAAG7/OQQ=")</f>
        <v>#REF!</v>
      </c>
      <c r="F86" t="e">
        <f>AND(#REF!,"AAAAAG7/OQU=")</f>
        <v>#REF!</v>
      </c>
      <c r="G86" t="e">
        <f>AND(#REF!,"AAAAAG7/OQY=")</f>
        <v>#REF!</v>
      </c>
      <c r="H86" t="e">
        <f>AND(#REF!,"AAAAAG7/OQc=")</f>
        <v>#REF!</v>
      </c>
      <c r="I86" t="e">
        <f>AND(#REF!,"AAAAAG7/OQg=")</f>
        <v>#REF!</v>
      </c>
      <c r="J86" t="e">
        <f>AND(#REF!,"AAAAAG7/OQk=")</f>
        <v>#REF!</v>
      </c>
      <c r="K86" t="e">
        <f>AND(#REF!,"AAAAAG7/OQo=")</f>
        <v>#REF!</v>
      </c>
      <c r="L86" t="e">
        <f>AND(#REF!,"AAAAAG7/OQs=")</f>
        <v>#REF!</v>
      </c>
      <c r="M86" t="e">
        <f>AND(#REF!,"AAAAAG7/OQw=")</f>
        <v>#REF!</v>
      </c>
      <c r="N86" t="e">
        <f>AND(#REF!,"AAAAAG7/OQ0=")</f>
        <v>#REF!</v>
      </c>
      <c r="O86" t="e">
        <f>AND(#REF!,"AAAAAG7/OQ4=")</f>
        <v>#REF!</v>
      </c>
      <c r="P86" t="e">
        <f>AND(#REF!,"AAAAAG7/OQ8=")</f>
        <v>#REF!</v>
      </c>
      <c r="Q86" t="e">
        <f>AND(#REF!,"AAAAAG7/ORA=")</f>
        <v>#REF!</v>
      </c>
      <c r="R86" t="e">
        <f>AND(#REF!,"AAAAAG7/ORE=")</f>
        <v>#REF!</v>
      </c>
      <c r="S86" t="e">
        <f>AND(#REF!,"AAAAAG7/ORI=")</f>
        <v>#REF!</v>
      </c>
      <c r="T86" t="e">
        <f>AND(#REF!,"AAAAAG7/ORM=")</f>
        <v>#REF!</v>
      </c>
      <c r="U86" t="e">
        <f>AND(#REF!,"AAAAAG7/ORQ=")</f>
        <v>#REF!</v>
      </c>
      <c r="V86" t="e">
        <f>AND(#REF!,"AAAAAG7/ORU=")</f>
        <v>#REF!</v>
      </c>
      <c r="W86" t="e">
        <f>AND(#REF!,"AAAAAG7/ORY=")</f>
        <v>#REF!</v>
      </c>
      <c r="X86" t="e">
        <f>AND(#REF!,"AAAAAG7/ORc=")</f>
        <v>#REF!</v>
      </c>
      <c r="Y86" t="e">
        <f>AND(#REF!,"AAAAAG7/ORg=")</f>
        <v>#REF!</v>
      </c>
      <c r="Z86" t="e">
        <f>AND(#REF!,"AAAAAG7/ORk=")</f>
        <v>#REF!</v>
      </c>
      <c r="AA86" t="e">
        <f>AND(#REF!,"AAAAAG7/ORo=")</f>
        <v>#REF!</v>
      </c>
      <c r="AB86" t="e">
        <f>AND(#REF!,"AAAAAG7/ORs=")</f>
        <v>#REF!</v>
      </c>
      <c r="AC86" t="e">
        <f>AND(#REF!,"AAAAAG7/ORw=")</f>
        <v>#REF!</v>
      </c>
      <c r="AD86" t="e">
        <f>AND(#REF!,"AAAAAG7/OR0=")</f>
        <v>#REF!</v>
      </c>
      <c r="AE86" t="e">
        <f>AND(#REF!,"AAAAAG7/OR4=")</f>
        <v>#REF!</v>
      </c>
      <c r="AF86" t="e">
        <f>AND(#REF!,"AAAAAG7/OR8=")</f>
        <v>#REF!</v>
      </c>
      <c r="AG86" t="e">
        <f>AND(#REF!,"AAAAAG7/OSA=")</f>
        <v>#REF!</v>
      </c>
      <c r="AH86" t="e">
        <f>AND(#REF!,"AAAAAG7/OSE=")</f>
        <v>#REF!</v>
      </c>
      <c r="AI86" t="e">
        <f>AND(#REF!,"AAAAAG7/OSI=")</f>
        <v>#REF!</v>
      </c>
      <c r="AJ86" t="e">
        <f>AND(#REF!,"AAAAAG7/OSM=")</f>
        <v>#REF!</v>
      </c>
      <c r="AK86" t="e">
        <f>AND(#REF!,"AAAAAG7/OSQ=")</f>
        <v>#REF!</v>
      </c>
      <c r="AL86" t="e">
        <f>AND(#REF!,"AAAAAG7/OSU=")</f>
        <v>#REF!</v>
      </c>
      <c r="AM86" t="e">
        <f>AND(#REF!,"AAAAAG7/OSY=")</f>
        <v>#REF!</v>
      </c>
      <c r="AN86" t="e">
        <f>AND(#REF!,"AAAAAG7/OSc=")</f>
        <v>#REF!</v>
      </c>
      <c r="AO86" t="e">
        <f>AND(#REF!,"AAAAAG7/OSg=")</f>
        <v>#REF!</v>
      </c>
      <c r="AP86" t="e">
        <f>AND(#REF!,"AAAAAG7/OSk=")</f>
        <v>#REF!</v>
      </c>
      <c r="AQ86" t="e">
        <f>AND(#REF!,"AAAAAG7/OSo=")</f>
        <v>#REF!</v>
      </c>
      <c r="AR86" t="e">
        <f>AND(#REF!,"AAAAAG7/OSs=")</f>
        <v>#REF!</v>
      </c>
      <c r="AS86" t="e">
        <f>AND(#REF!,"AAAAAG7/OSw=")</f>
        <v>#REF!</v>
      </c>
      <c r="AT86" t="e">
        <f>AND(#REF!,"AAAAAG7/OS0=")</f>
        <v>#REF!</v>
      </c>
      <c r="AU86" t="e">
        <f>AND(#REF!,"AAAAAG7/OS4=")</f>
        <v>#REF!</v>
      </c>
      <c r="AV86" t="e">
        <f>AND(#REF!,"AAAAAG7/OS8=")</f>
        <v>#REF!</v>
      </c>
      <c r="AW86" t="e">
        <f>AND(#REF!,"AAAAAG7/OTA=")</f>
        <v>#REF!</v>
      </c>
      <c r="AX86" t="e">
        <f>AND(#REF!,"AAAAAG7/OTE=")</f>
        <v>#REF!</v>
      </c>
      <c r="AY86" t="e">
        <f>AND(#REF!,"AAAAAG7/OTI=")</f>
        <v>#REF!</v>
      </c>
      <c r="AZ86" t="e">
        <f>AND(#REF!,"AAAAAG7/OTM=")</f>
        <v>#REF!</v>
      </c>
      <c r="BA86" t="e">
        <f>AND(#REF!,"AAAAAG7/OTQ=")</f>
        <v>#REF!</v>
      </c>
      <c r="BB86" t="e">
        <f>AND(#REF!,"AAAAAG7/OTU=")</f>
        <v>#REF!</v>
      </c>
      <c r="BC86" t="e">
        <f>AND(#REF!,"AAAAAG7/OTY=")</f>
        <v>#REF!</v>
      </c>
      <c r="BD86" t="e">
        <f>AND(#REF!,"AAAAAG7/OTc=")</f>
        <v>#REF!</v>
      </c>
      <c r="BE86" t="e">
        <f>AND(#REF!,"AAAAAG7/OTg=")</f>
        <v>#REF!</v>
      </c>
      <c r="BF86" t="e">
        <f>AND(#REF!,"AAAAAG7/OTk=")</f>
        <v>#REF!</v>
      </c>
      <c r="BG86" t="e">
        <f>AND(#REF!,"AAAAAG7/OTo=")</f>
        <v>#REF!</v>
      </c>
      <c r="BH86" t="e">
        <f>AND(#REF!,"AAAAAG7/OTs=")</f>
        <v>#REF!</v>
      </c>
      <c r="BI86" t="e">
        <f>AND(#REF!,"AAAAAG7/OTw=")</f>
        <v>#REF!</v>
      </c>
      <c r="BJ86" t="e">
        <f>AND(#REF!,"AAAAAG7/OT0=")</f>
        <v>#REF!</v>
      </c>
      <c r="BK86" t="e">
        <f>AND(#REF!,"AAAAAG7/OT4=")</f>
        <v>#REF!</v>
      </c>
      <c r="BL86" t="e">
        <f>AND(#REF!,"AAAAAG7/OT8=")</f>
        <v>#REF!</v>
      </c>
      <c r="BM86" t="e">
        <f>AND(#REF!,"AAAAAG7/OUA=")</f>
        <v>#REF!</v>
      </c>
      <c r="BN86" t="e">
        <f>AND(#REF!,"AAAAAG7/OUE=")</f>
        <v>#REF!</v>
      </c>
      <c r="BO86" t="e">
        <f>AND(#REF!,"AAAAAG7/OUI=")</f>
        <v>#REF!</v>
      </c>
      <c r="BP86" t="e">
        <f>AND(#REF!,"AAAAAG7/OUM=")</f>
        <v>#REF!</v>
      </c>
      <c r="BQ86" t="e">
        <f>AND(#REF!,"AAAAAG7/OUQ=")</f>
        <v>#REF!</v>
      </c>
      <c r="BR86" t="e">
        <f>AND(#REF!,"AAAAAG7/OUU=")</f>
        <v>#REF!</v>
      </c>
      <c r="BS86" t="e">
        <f>AND(#REF!,"AAAAAG7/OUY=")</f>
        <v>#REF!</v>
      </c>
      <c r="BT86" t="e">
        <f>AND(#REF!,"AAAAAG7/OUc=")</f>
        <v>#REF!</v>
      </c>
      <c r="BU86" t="e">
        <f>AND(#REF!,"AAAAAG7/OUg=")</f>
        <v>#REF!</v>
      </c>
      <c r="BV86" t="e">
        <f>AND(#REF!,"AAAAAG7/OUk=")</f>
        <v>#REF!</v>
      </c>
      <c r="BW86" t="e">
        <f>AND(#REF!,"AAAAAG7/OUo=")</f>
        <v>#REF!</v>
      </c>
      <c r="BX86" t="e">
        <f>AND(#REF!,"AAAAAG7/OUs=")</f>
        <v>#REF!</v>
      </c>
      <c r="BY86" t="e">
        <f>AND(#REF!,"AAAAAG7/OUw=")</f>
        <v>#REF!</v>
      </c>
      <c r="BZ86" t="e">
        <f>AND(#REF!,"AAAAAG7/OU0=")</f>
        <v>#REF!</v>
      </c>
      <c r="CA86" t="e">
        <f>AND(#REF!,"AAAAAG7/OU4=")</f>
        <v>#REF!</v>
      </c>
      <c r="CB86" t="e">
        <f>AND(#REF!,"AAAAAG7/OU8=")</f>
        <v>#REF!</v>
      </c>
      <c r="CC86" t="e">
        <f>AND(#REF!,"AAAAAG7/OVA=")</f>
        <v>#REF!</v>
      </c>
      <c r="CD86" t="e">
        <f>AND(#REF!,"AAAAAG7/OVE=")</f>
        <v>#REF!</v>
      </c>
      <c r="CE86" t="e">
        <f>AND(#REF!,"AAAAAG7/OVI=")</f>
        <v>#REF!</v>
      </c>
      <c r="CF86" t="e">
        <f>AND(#REF!,"AAAAAG7/OVM=")</f>
        <v>#REF!</v>
      </c>
      <c r="CG86" t="e">
        <f>AND(#REF!,"AAAAAG7/OVQ=")</f>
        <v>#REF!</v>
      </c>
      <c r="CH86" t="e">
        <f>AND(#REF!,"AAAAAG7/OVU=")</f>
        <v>#REF!</v>
      </c>
      <c r="CI86" t="e">
        <f>AND(#REF!,"AAAAAG7/OVY=")</f>
        <v>#REF!</v>
      </c>
      <c r="CJ86" t="e">
        <f>AND(#REF!,"AAAAAG7/OVc=")</f>
        <v>#REF!</v>
      </c>
      <c r="CK86" t="e">
        <f>AND(#REF!,"AAAAAG7/OVg=")</f>
        <v>#REF!</v>
      </c>
      <c r="CL86" t="e">
        <f>AND(#REF!,"AAAAAG7/OVk=")</f>
        <v>#REF!</v>
      </c>
      <c r="CM86" t="e">
        <f>AND(#REF!,"AAAAAG7/OVo=")</f>
        <v>#REF!</v>
      </c>
      <c r="CN86" t="e">
        <f>AND(#REF!,"AAAAAG7/OVs=")</f>
        <v>#REF!</v>
      </c>
      <c r="CO86" t="e">
        <f>AND(#REF!,"AAAAAG7/OVw=")</f>
        <v>#REF!</v>
      </c>
      <c r="CP86" t="e">
        <f>AND(#REF!,"AAAAAG7/OV0=")</f>
        <v>#REF!</v>
      </c>
      <c r="CQ86" t="e">
        <f>AND(#REF!,"AAAAAG7/OV4=")</f>
        <v>#REF!</v>
      </c>
      <c r="CR86" t="e">
        <f>AND(#REF!,"AAAAAG7/OV8=")</f>
        <v>#REF!</v>
      </c>
      <c r="CS86" t="e">
        <f>AND(#REF!,"AAAAAG7/OWA=")</f>
        <v>#REF!</v>
      </c>
      <c r="CT86" t="e">
        <f>AND(#REF!,"AAAAAG7/OWE=")</f>
        <v>#REF!</v>
      </c>
      <c r="CU86" t="e">
        <f>AND(#REF!,"AAAAAG7/OWI=")</f>
        <v>#REF!</v>
      </c>
      <c r="CV86" t="e">
        <f>AND(#REF!,"AAAAAG7/OWM=")</f>
        <v>#REF!</v>
      </c>
      <c r="CW86" t="e">
        <f>AND(#REF!,"AAAAAG7/OWQ=")</f>
        <v>#REF!</v>
      </c>
      <c r="CX86" t="e">
        <f>AND(#REF!,"AAAAAG7/OWU=")</f>
        <v>#REF!</v>
      </c>
      <c r="CY86" t="e">
        <f>AND(#REF!,"AAAAAG7/OWY=")</f>
        <v>#REF!</v>
      </c>
      <c r="CZ86" t="e">
        <f>AND(#REF!,"AAAAAG7/OWc=")</f>
        <v>#REF!</v>
      </c>
      <c r="DA86" t="e">
        <f>AND(#REF!,"AAAAAG7/OWg=")</f>
        <v>#REF!</v>
      </c>
      <c r="DB86" t="e">
        <f>AND(#REF!,"AAAAAG7/OWk=")</f>
        <v>#REF!</v>
      </c>
      <c r="DC86" t="e">
        <f>AND(#REF!,"AAAAAG7/OWo=")</f>
        <v>#REF!</v>
      </c>
      <c r="DD86" t="e">
        <f>AND(#REF!,"AAAAAG7/OWs=")</f>
        <v>#REF!</v>
      </c>
      <c r="DE86" t="e">
        <f>AND(#REF!,"AAAAAG7/OWw=")</f>
        <v>#REF!</v>
      </c>
      <c r="DF86" t="e">
        <f>AND(#REF!,"AAAAAG7/OW0=")</f>
        <v>#REF!</v>
      </c>
      <c r="DG86" t="e">
        <f>AND(#REF!,"AAAAAG7/OW4=")</f>
        <v>#REF!</v>
      </c>
      <c r="DH86" t="e">
        <f>AND(#REF!,"AAAAAG7/OW8=")</f>
        <v>#REF!</v>
      </c>
      <c r="DI86" t="e">
        <f>AND(#REF!,"AAAAAG7/OXA=")</f>
        <v>#REF!</v>
      </c>
      <c r="DJ86" t="e">
        <f>AND(#REF!,"AAAAAG7/OXE=")</f>
        <v>#REF!</v>
      </c>
      <c r="DK86" t="e">
        <f>AND(#REF!,"AAAAAG7/OXI=")</f>
        <v>#REF!</v>
      </c>
      <c r="DL86" t="e">
        <f>AND(#REF!,"AAAAAG7/OXM=")</f>
        <v>#REF!</v>
      </c>
      <c r="DM86" t="e">
        <f>AND(#REF!,"AAAAAG7/OXQ=")</f>
        <v>#REF!</v>
      </c>
      <c r="DN86" t="e">
        <f>AND(#REF!,"AAAAAG7/OXU=")</f>
        <v>#REF!</v>
      </c>
      <c r="DO86" t="e">
        <f>AND(#REF!,"AAAAAG7/OXY=")</f>
        <v>#REF!</v>
      </c>
      <c r="DP86" t="e">
        <f>AND(#REF!,"AAAAAG7/OXc=")</f>
        <v>#REF!</v>
      </c>
      <c r="DQ86" t="e">
        <f>AND(#REF!,"AAAAAG7/OXg=")</f>
        <v>#REF!</v>
      </c>
      <c r="DR86" t="e">
        <f>AND(#REF!,"AAAAAG7/OXk=")</f>
        <v>#REF!</v>
      </c>
      <c r="DS86" t="e">
        <f>AND(#REF!,"AAAAAG7/OXo=")</f>
        <v>#REF!</v>
      </c>
      <c r="DT86" t="e">
        <f>AND(#REF!,"AAAAAG7/OXs=")</f>
        <v>#REF!</v>
      </c>
      <c r="DU86" t="e">
        <f>AND(#REF!,"AAAAAG7/OXw=")</f>
        <v>#REF!</v>
      </c>
      <c r="DV86" t="e">
        <f>AND(#REF!,"AAAAAG7/OX0=")</f>
        <v>#REF!</v>
      </c>
      <c r="DW86" t="e">
        <f>AND(#REF!,"AAAAAG7/OX4=")</f>
        <v>#REF!</v>
      </c>
      <c r="DX86" t="e">
        <f>AND(#REF!,"AAAAAG7/OX8=")</f>
        <v>#REF!</v>
      </c>
      <c r="DY86" t="e">
        <f>AND(#REF!,"AAAAAG7/OYA=")</f>
        <v>#REF!</v>
      </c>
      <c r="DZ86" t="e">
        <f>AND(#REF!,"AAAAAG7/OYE=")</f>
        <v>#REF!</v>
      </c>
      <c r="EA86" t="e">
        <f>AND(#REF!,"AAAAAG7/OYI=")</f>
        <v>#REF!</v>
      </c>
      <c r="EB86" t="e">
        <f>AND(#REF!,"AAAAAG7/OYM=")</f>
        <v>#REF!</v>
      </c>
      <c r="EC86" t="e">
        <f>AND(#REF!,"AAAAAG7/OYQ=")</f>
        <v>#REF!</v>
      </c>
      <c r="ED86" t="e">
        <f>AND(#REF!,"AAAAAG7/OYU=")</f>
        <v>#REF!</v>
      </c>
      <c r="EE86" t="e">
        <f>AND(#REF!,"AAAAAG7/OYY=")</f>
        <v>#REF!</v>
      </c>
      <c r="EF86" t="e">
        <f>AND(#REF!,"AAAAAG7/OYc=")</f>
        <v>#REF!</v>
      </c>
      <c r="EG86" t="e">
        <f>AND(#REF!,"AAAAAG7/OYg=")</f>
        <v>#REF!</v>
      </c>
      <c r="EH86" t="e">
        <f>AND(#REF!,"AAAAAG7/OYk=")</f>
        <v>#REF!</v>
      </c>
      <c r="EI86" t="e">
        <f>AND(#REF!,"AAAAAG7/OYo=")</f>
        <v>#REF!</v>
      </c>
      <c r="EJ86" t="e">
        <f>AND(#REF!,"AAAAAG7/OYs=")</f>
        <v>#REF!</v>
      </c>
      <c r="EK86" t="e">
        <f>AND(#REF!,"AAAAAG7/OYw=")</f>
        <v>#REF!</v>
      </c>
      <c r="EL86" t="e">
        <f>AND(#REF!,"AAAAAG7/OY0=")</f>
        <v>#REF!</v>
      </c>
      <c r="EM86" t="e">
        <f>AND(#REF!,"AAAAAG7/OY4=")</f>
        <v>#REF!</v>
      </c>
      <c r="EN86" t="e">
        <f>AND(#REF!,"AAAAAG7/OY8=")</f>
        <v>#REF!</v>
      </c>
      <c r="EO86" t="e">
        <f>AND(#REF!,"AAAAAG7/OZA=")</f>
        <v>#REF!</v>
      </c>
      <c r="EP86" t="e">
        <f>AND(#REF!,"AAAAAG7/OZE=")</f>
        <v>#REF!</v>
      </c>
      <c r="EQ86" t="e">
        <f>AND(#REF!,"AAAAAG7/OZI=")</f>
        <v>#REF!</v>
      </c>
      <c r="ER86" t="e">
        <f>AND(#REF!,"AAAAAG7/OZM=")</f>
        <v>#REF!</v>
      </c>
      <c r="ES86" t="e">
        <f>AND(#REF!,"AAAAAG7/OZQ=")</f>
        <v>#REF!</v>
      </c>
      <c r="ET86" t="e">
        <f>AND(#REF!,"AAAAAG7/OZU=")</f>
        <v>#REF!</v>
      </c>
      <c r="EU86" t="e">
        <f>AND(#REF!,"AAAAAG7/OZY=")</f>
        <v>#REF!</v>
      </c>
      <c r="EV86" t="e">
        <f>AND(#REF!,"AAAAAG7/OZc=")</f>
        <v>#REF!</v>
      </c>
      <c r="EW86" t="e">
        <f>AND(#REF!,"AAAAAG7/OZg=")</f>
        <v>#REF!</v>
      </c>
      <c r="EX86" t="e">
        <f>AND(#REF!,"AAAAAG7/OZk=")</f>
        <v>#REF!</v>
      </c>
      <c r="EY86" t="e">
        <f>AND(#REF!,"AAAAAG7/OZo=")</f>
        <v>#REF!</v>
      </c>
      <c r="EZ86" t="e">
        <f>AND(#REF!,"AAAAAG7/OZs=")</f>
        <v>#REF!</v>
      </c>
      <c r="FA86" t="e">
        <f>AND(#REF!,"AAAAAG7/OZw=")</f>
        <v>#REF!</v>
      </c>
      <c r="FB86" t="e">
        <f>AND(#REF!,"AAAAAG7/OZ0=")</f>
        <v>#REF!</v>
      </c>
      <c r="FC86" t="e">
        <f>IF(#REF!,"AAAAAG7/OZ4=",0)</f>
        <v>#REF!</v>
      </c>
      <c r="FD86" t="e">
        <f>AND(#REF!,"AAAAAG7/OZ8=")</f>
        <v>#REF!</v>
      </c>
      <c r="FE86" t="e">
        <f>AND(#REF!,"AAAAAG7/OaA=")</f>
        <v>#REF!</v>
      </c>
      <c r="FF86" t="e">
        <f>AND(#REF!,"AAAAAG7/OaE=")</f>
        <v>#REF!</v>
      </c>
      <c r="FG86" t="e">
        <f>AND(#REF!,"AAAAAG7/OaI=")</f>
        <v>#REF!</v>
      </c>
      <c r="FH86" t="e">
        <f>AND(#REF!,"AAAAAG7/OaM=")</f>
        <v>#REF!</v>
      </c>
      <c r="FI86" t="e">
        <f>AND(#REF!,"AAAAAG7/OaQ=")</f>
        <v>#REF!</v>
      </c>
      <c r="FJ86" t="e">
        <f>AND(#REF!,"AAAAAG7/OaU=")</f>
        <v>#REF!</v>
      </c>
      <c r="FK86" t="e">
        <f>AND(#REF!,"AAAAAG7/OaY=")</f>
        <v>#REF!</v>
      </c>
      <c r="FL86" t="e">
        <f>AND(#REF!,"AAAAAG7/Oac=")</f>
        <v>#REF!</v>
      </c>
      <c r="FM86" t="e">
        <f>AND(#REF!,"AAAAAG7/Oag=")</f>
        <v>#REF!</v>
      </c>
      <c r="FN86" t="e">
        <f>AND(#REF!,"AAAAAG7/Oak=")</f>
        <v>#REF!</v>
      </c>
      <c r="FO86" t="e">
        <f>AND(#REF!,"AAAAAG7/Oao=")</f>
        <v>#REF!</v>
      </c>
      <c r="FP86" t="e">
        <f>AND(#REF!,"AAAAAG7/Oas=")</f>
        <v>#REF!</v>
      </c>
      <c r="FQ86" t="e">
        <f>AND(#REF!,"AAAAAG7/Oaw=")</f>
        <v>#REF!</v>
      </c>
      <c r="FR86" t="e">
        <f>AND(#REF!,"AAAAAG7/Oa0=")</f>
        <v>#REF!</v>
      </c>
      <c r="FS86" t="e">
        <f>AND(#REF!,"AAAAAG7/Oa4=")</f>
        <v>#REF!</v>
      </c>
      <c r="FT86" t="e">
        <f>AND(#REF!,"AAAAAG7/Oa8=")</f>
        <v>#REF!</v>
      </c>
      <c r="FU86" t="e">
        <f>AND(#REF!,"AAAAAG7/ObA=")</f>
        <v>#REF!</v>
      </c>
      <c r="FV86" t="e">
        <f>AND(#REF!,"AAAAAG7/ObE=")</f>
        <v>#REF!</v>
      </c>
      <c r="FW86" t="e">
        <f>AND(#REF!,"AAAAAG7/ObI=")</f>
        <v>#REF!</v>
      </c>
      <c r="FX86" t="e">
        <f>AND(#REF!,"AAAAAG7/ObM=")</f>
        <v>#REF!</v>
      </c>
      <c r="FY86" t="e">
        <f>AND(#REF!,"AAAAAG7/ObQ=")</f>
        <v>#REF!</v>
      </c>
      <c r="FZ86" t="e">
        <f>AND(#REF!,"AAAAAG7/ObU=")</f>
        <v>#REF!</v>
      </c>
      <c r="GA86" t="e">
        <f>AND(#REF!,"AAAAAG7/ObY=")</f>
        <v>#REF!</v>
      </c>
      <c r="GB86" t="e">
        <f>AND(#REF!,"AAAAAG7/Obc=")</f>
        <v>#REF!</v>
      </c>
      <c r="GC86" t="e">
        <f>AND(#REF!,"AAAAAG7/Obg=")</f>
        <v>#REF!</v>
      </c>
      <c r="GD86" t="e">
        <f>AND(#REF!,"AAAAAG7/Obk=")</f>
        <v>#REF!</v>
      </c>
      <c r="GE86" t="e">
        <f>AND(#REF!,"AAAAAG7/Obo=")</f>
        <v>#REF!</v>
      </c>
      <c r="GF86" t="e">
        <f>AND(#REF!,"AAAAAG7/Obs=")</f>
        <v>#REF!</v>
      </c>
      <c r="GG86" t="e">
        <f>AND(#REF!,"AAAAAG7/Obw=")</f>
        <v>#REF!</v>
      </c>
      <c r="GH86" t="e">
        <f>AND(#REF!,"AAAAAG7/Ob0=")</f>
        <v>#REF!</v>
      </c>
      <c r="GI86" t="e">
        <f>AND(#REF!,"AAAAAG7/Ob4=")</f>
        <v>#REF!</v>
      </c>
      <c r="GJ86" t="e">
        <f>AND(#REF!,"AAAAAG7/Ob8=")</f>
        <v>#REF!</v>
      </c>
      <c r="GK86" t="e">
        <f>AND(#REF!,"AAAAAG7/OcA=")</f>
        <v>#REF!</v>
      </c>
      <c r="GL86" t="e">
        <f>AND(#REF!,"AAAAAG7/OcE=")</f>
        <v>#REF!</v>
      </c>
      <c r="GM86" t="e">
        <f>AND(#REF!,"AAAAAG7/OcI=")</f>
        <v>#REF!</v>
      </c>
      <c r="GN86" t="e">
        <f>AND(#REF!,"AAAAAG7/OcM=")</f>
        <v>#REF!</v>
      </c>
      <c r="GO86" t="e">
        <f>AND(#REF!,"AAAAAG7/OcQ=")</f>
        <v>#REF!</v>
      </c>
      <c r="GP86" t="e">
        <f>AND(#REF!,"AAAAAG7/OcU=")</f>
        <v>#REF!</v>
      </c>
      <c r="GQ86" t="e">
        <f>AND(#REF!,"AAAAAG7/OcY=")</f>
        <v>#REF!</v>
      </c>
      <c r="GR86" t="e">
        <f>AND(#REF!,"AAAAAG7/Occ=")</f>
        <v>#REF!</v>
      </c>
      <c r="GS86" t="e">
        <f>AND(#REF!,"AAAAAG7/Ocg=")</f>
        <v>#REF!</v>
      </c>
      <c r="GT86" t="e">
        <f>AND(#REF!,"AAAAAG7/Ock=")</f>
        <v>#REF!</v>
      </c>
      <c r="GU86" t="e">
        <f>AND(#REF!,"AAAAAG7/Oco=")</f>
        <v>#REF!</v>
      </c>
      <c r="GV86" t="e">
        <f>AND(#REF!,"AAAAAG7/Ocs=")</f>
        <v>#REF!</v>
      </c>
      <c r="GW86" t="e">
        <f>AND(#REF!,"AAAAAG7/Ocw=")</f>
        <v>#REF!</v>
      </c>
      <c r="GX86" t="e">
        <f>AND(#REF!,"AAAAAG7/Oc0=")</f>
        <v>#REF!</v>
      </c>
      <c r="GY86" t="e">
        <f>AND(#REF!,"AAAAAG7/Oc4=")</f>
        <v>#REF!</v>
      </c>
      <c r="GZ86" t="e">
        <f>AND(#REF!,"AAAAAG7/Oc8=")</f>
        <v>#REF!</v>
      </c>
      <c r="HA86" t="e">
        <f>AND(#REF!,"AAAAAG7/OdA=")</f>
        <v>#REF!</v>
      </c>
      <c r="HB86" t="e">
        <f>AND(#REF!,"AAAAAG7/OdE=")</f>
        <v>#REF!</v>
      </c>
      <c r="HC86" t="e">
        <f>AND(#REF!,"AAAAAG7/OdI=")</f>
        <v>#REF!</v>
      </c>
      <c r="HD86" t="e">
        <f>AND(#REF!,"AAAAAG7/OdM=")</f>
        <v>#REF!</v>
      </c>
      <c r="HE86" t="e">
        <f>AND(#REF!,"AAAAAG7/OdQ=")</f>
        <v>#REF!</v>
      </c>
      <c r="HF86" t="e">
        <f>AND(#REF!,"AAAAAG7/OdU=")</f>
        <v>#REF!</v>
      </c>
      <c r="HG86" t="e">
        <f>AND(#REF!,"AAAAAG7/OdY=")</f>
        <v>#REF!</v>
      </c>
      <c r="HH86" t="e">
        <f>AND(#REF!,"AAAAAG7/Odc=")</f>
        <v>#REF!</v>
      </c>
      <c r="HI86" t="e">
        <f>AND(#REF!,"AAAAAG7/Odg=")</f>
        <v>#REF!</v>
      </c>
      <c r="HJ86" t="e">
        <f>AND(#REF!,"AAAAAG7/Odk=")</f>
        <v>#REF!</v>
      </c>
      <c r="HK86" t="e">
        <f>AND(#REF!,"AAAAAG7/Odo=")</f>
        <v>#REF!</v>
      </c>
      <c r="HL86" t="e">
        <f>AND(#REF!,"AAAAAG7/Ods=")</f>
        <v>#REF!</v>
      </c>
      <c r="HM86" t="e">
        <f>AND(#REF!,"AAAAAG7/Odw=")</f>
        <v>#REF!</v>
      </c>
      <c r="HN86" t="e">
        <f>AND(#REF!,"AAAAAG7/Od0=")</f>
        <v>#REF!</v>
      </c>
      <c r="HO86" t="e">
        <f>AND(#REF!,"AAAAAG7/Od4=")</f>
        <v>#REF!</v>
      </c>
      <c r="HP86" t="e">
        <f>AND(#REF!,"AAAAAG7/Od8=")</f>
        <v>#REF!</v>
      </c>
      <c r="HQ86" t="e">
        <f>AND(#REF!,"AAAAAG7/OeA=")</f>
        <v>#REF!</v>
      </c>
      <c r="HR86" t="e">
        <f>AND(#REF!,"AAAAAG7/OeE=")</f>
        <v>#REF!</v>
      </c>
      <c r="HS86" t="e">
        <f>AND(#REF!,"AAAAAG7/OeI=")</f>
        <v>#REF!</v>
      </c>
      <c r="HT86" t="e">
        <f>AND(#REF!,"AAAAAG7/OeM=")</f>
        <v>#REF!</v>
      </c>
      <c r="HU86" t="e">
        <f>AND(#REF!,"AAAAAG7/OeQ=")</f>
        <v>#REF!</v>
      </c>
      <c r="HV86" t="e">
        <f>AND(#REF!,"AAAAAG7/OeU=")</f>
        <v>#REF!</v>
      </c>
      <c r="HW86" t="e">
        <f>AND(#REF!,"AAAAAG7/OeY=")</f>
        <v>#REF!</v>
      </c>
      <c r="HX86" t="e">
        <f>AND(#REF!,"AAAAAG7/Oec=")</f>
        <v>#REF!</v>
      </c>
      <c r="HY86" t="e">
        <f>AND(#REF!,"AAAAAG7/Oeg=")</f>
        <v>#REF!</v>
      </c>
      <c r="HZ86" t="e">
        <f>AND(#REF!,"AAAAAG7/Oek=")</f>
        <v>#REF!</v>
      </c>
      <c r="IA86" t="e">
        <f>AND(#REF!,"AAAAAG7/Oeo=")</f>
        <v>#REF!</v>
      </c>
      <c r="IB86" t="e">
        <f>AND(#REF!,"AAAAAG7/Oes=")</f>
        <v>#REF!</v>
      </c>
      <c r="IC86" t="e">
        <f>AND(#REF!,"AAAAAG7/Oew=")</f>
        <v>#REF!</v>
      </c>
      <c r="ID86" t="e">
        <f>AND(#REF!,"AAAAAG7/Oe0=")</f>
        <v>#REF!</v>
      </c>
      <c r="IE86" t="e">
        <f>AND(#REF!,"AAAAAG7/Oe4=")</f>
        <v>#REF!</v>
      </c>
      <c r="IF86" t="e">
        <f>AND(#REF!,"AAAAAG7/Oe8=")</f>
        <v>#REF!</v>
      </c>
      <c r="IG86" t="e">
        <f>AND(#REF!,"AAAAAG7/OfA=")</f>
        <v>#REF!</v>
      </c>
      <c r="IH86" t="e">
        <f>AND(#REF!,"AAAAAG7/OfE=")</f>
        <v>#REF!</v>
      </c>
      <c r="II86" t="e">
        <f>AND(#REF!,"AAAAAG7/OfI=")</f>
        <v>#REF!</v>
      </c>
      <c r="IJ86" t="e">
        <f>AND(#REF!,"AAAAAG7/OfM=")</f>
        <v>#REF!</v>
      </c>
      <c r="IK86" t="e">
        <f>AND(#REF!,"AAAAAG7/OfQ=")</f>
        <v>#REF!</v>
      </c>
      <c r="IL86" t="e">
        <f>AND(#REF!,"AAAAAG7/OfU=")</f>
        <v>#REF!</v>
      </c>
      <c r="IM86" t="e">
        <f>AND(#REF!,"AAAAAG7/OfY=")</f>
        <v>#REF!</v>
      </c>
      <c r="IN86" t="e">
        <f>AND(#REF!,"AAAAAG7/Ofc=")</f>
        <v>#REF!</v>
      </c>
      <c r="IO86" t="e">
        <f>AND(#REF!,"AAAAAG7/Ofg=")</f>
        <v>#REF!</v>
      </c>
      <c r="IP86" t="e">
        <f>AND(#REF!,"AAAAAG7/Ofk=")</f>
        <v>#REF!</v>
      </c>
      <c r="IQ86" t="e">
        <f>AND(#REF!,"AAAAAG7/Ofo=")</f>
        <v>#REF!</v>
      </c>
      <c r="IR86" t="e">
        <f>AND(#REF!,"AAAAAG7/Ofs=")</f>
        <v>#REF!</v>
      </c>
      <c r="IS86" t="e">
        <f>AND(#REF!,"AAAAAG7/Ofw=")</f>
        <v>#REF!</v>
      </c>
      <c r="IT86" t="e">
        <f>AND(#REF!,"AAAAAG7/Of0=")</f>
        <v>#REF!</v>
      </c>
      <c r="IU86" t="e">
        <f>AND(#REF!,"AAAAAG7/Of4=")</f>
        <v>#REF!</v>
      </c>
      <c r="IV86" t="e">
        <f>AND(#REF!,"AAAAAG7/Of8=")</f>
        <v>#REF!</v>
      </c>
    </row>
    <row r="87" spans="1:256" x14ac:dyDescent="0.2">
      <c r="A87" t="e">
        <f>AND(#REF!,"AAAAAGr/vwA=")</f>
        <v>#REF!</v>
      </c>
      <c r="B87" t="e">
        <f>AND(#REF!,"AAAAAGr/vwE=")</f>
        <v>#REF!</v>
      </c>
      <c r="C87" t="e">
        <f>AND(#REF!,"AAAAAGr/vwI=")</f>
        <v>#REF!</v>
      </c>
      <c r="D87" t="e">
        <f>AND(#REF!,"AAAAAGr/vwM=")</f>
        <v>#REF!</v>
      </c>
      <c r="E87" t="e">
        <f>AND(#REF!,"AAAAAGr/vwQ=")</f>
        <v>#REF!</v>
      </c>
      <c r="F87" t="e">
        <f>AND(#REF!,"AAAAAGr/vwU=")</f>
        <v>#REF!</v>
      </c>
      <c r="G87" t="e">
        <f>AND(#REF!,"AAAAAGr/vwY=")</f>
        <v>#REF!</v>
      </c>
      <c r="H87" t="e">
        <f>AND(#REF!,"AAAAAGr/vwc=")</f>
        <v>#REF!</v>
      </c>
      <c r="I87" t="e">
        <f>AND(#REF!,"AAAAAGr/vwg=")</f>
        <v>#REF!</v>
      </c>
      <c r="J87" t="e">
        <f>AND(#REF!,"AAAAAGr/vwk=")</f>
        <v>#REF!</v>
      </c>
      <c r="K87" t="e">
        <f>AND(#REF!,"AAAAAGr/vwo=")</f>
        <v>#REF!</v>
      </c>
      <c r="L87" t="e">
        <f>AND(#REF!,"AAAAAGr/vws=")</f>
        <v>#REF!</v>
      </c>
      <c r="M87" t="e">
        <f>AND(#REF!,"AAAAAGr/vww=")</f>
        <v>#REF!</v>
      </c>
      <c r="N87" t="e">
        <f>AND(#REF!,"AAAAAGr/vw0=")</f>
        <v>#REF!</v>
      </c>
      <c r="O87" t="e">
        <f>AND(#REF!,"AAAAAGr/vw4=")</f>
        <v>#REF!</v>
      </c>
      <c r="P87" t="e">
        <f>AND(#REF!,"AAAAAGr/vw8=")</f>
        <v>#REF!</v>
      </c>
      <c r="Q87" t="e">
        <f>AND(#REF!,"AAAAAGr/vxA=")</f>
        <v>#REF!</v>
      </c>
      <c r="R87" t="e">
        <f>AND(#REF!,"AAAAAGr/vxE=")</f>
        <v>#REF!</v>
      </c>
      <c r="S87" t="e">
        <f>AND(#REF!,"AAAAAGr/vxI=")</f>
        <v>#REF!</v>
      </c>
      <c r="T87" t="e">
        <f>AND(#REF!,"AAAAAGr/vxM=")</f>
        <v>#REF!</v>
      </c>
      <c r="U87" t="e">
        <f>AND(#REF!,"AAAAAGr/vxQ=")</f>
        <v>#REF!</v>
      </c>
      <c r="V87" t="e">
        <f>AND(#REF!,"AAAAAGr/vxU=")</f>
        <v>#REF!</v>
      </c>
      <c r="W87" t="e">
        <f>AND(#REF!,"AAAAAGr/vxY=")</f>
        <v>#REF!</v>
      </c>
      <c r="X87" t="e">
        <f>AND(#REF!,"AAAAAGr/vxc=")</f>
        <v>#REF!</v>
      </c>
      <c r="Y87" t="e">
        <f>AND(#REF!,"AAAAAGr/vxg=")</f>
        <v>#REF!</v>
      </c>
      <c r="Z87" t="e">
        <f>AND(#REF!,"AAAAAGr/vxk=")</f>
        <v>#REF!</v>
      </c>
      <c r="AA87" t="e">
        <f>AND(#REF!,"AAAAAGr/vxo=")</f>
        <v>#REF!</v>
      </c>
      <c r="AB87" t="e">
        <f>AND(#REF!,"AAAAAGr/vxs=")</f>
        <v>#REF!</v>
      </c>
      <c r="AC87" t="e">
        <f>AND(#REF!,"AAAAAGr/vxw=")</f>
        <v>#REF!</v>
      </c>
      <c r="AD87" t="e">
        <f>AND(#REF!,"AAAAAGr/vx0=")</f>
        <v>#REF!</v>
      </c>
      <c r="AE87" t="e">
        <f>AND(#REF!,"AAAAAGr/vx4=")</f>
        <v>#REF!</v>
      </c>
      <c r="AF87" t="e">
        <f>AND(#REF!,"AAAAAGr/vx8=")</f>
        <v>#REF!</v>
      </c>
      <c r="AG87" t="e">
        <f>AND(#REF!,"AAAAAGr/vyA=")</f>
        <v>#REF!</v>
      </c>
      <c r="AH87" t="e">
        <f>AND(#REF!,"AAAAAGr/vyE=")</f>
        <v>#REF!</v>
      </c>
      <c r="AI87" t="e">
        <f>AND(#REF!,"AAAAAGr/vyI=")</f>
        <v>#REF!</v>
      </c>
      <c r="AJ87" t="e">
        <f>AND(#REF!,"AAAAAGr/vyM=")</f>
        <v>#REF!</v>
      </c>
      <c r="AK87" t="e">
        <f>AND(#REF!,"AAAAAGr/vyQ=")</f>
        <v>#REF!</v>
      </c>
      <c r="AL87" t="e">
        <f>AND(#REF!,"AAAAAGr/vyU=")</f>
        <v>#REF!</v>
      </c>
      <c r="AM87" t="e">
        <f>AND(#REF!,"AAAAAGr/vyY=")</f>
        <v>#REF!</v>
      </c>
      <c r="AN87" t="e">
        <f>AND(#REF!,"AAAAAGr/vyc=")</f>
        <v>#REF!</v>
      </c>
      <c r="AO87" t="e">
        <f>AND(#REF!,"AAAAAGr/vyg=")</f>
        <v>#REF!</v>
      </c>
      <c r="AP87" t="e">
        <f>AND(#REF!,"AAAAAGr/vyk=")</f>
        <v>#REF!</v>
      </c>
      <c r="AQ87" t="e">
        <f>AND(#REF!,"AAAAAGr/vyo=")</f>
        <v>#REF!</v>
      </c>
      <c r="AR87" t="e">
        <f>AND(#REF!,"AAAAAGr/vys=")</f>
        <v>#REF!</v>
      </c>
      <c r="AS87" t="e">
        <f>AND(#REF!,"AAAAAGr/vyw=")</f>
        <v>#REF!</v>
      </c>
      <c r="AT87" t="e">
        <f>AND(#REF!,"AAAAAGr/vy0=")</f>
        <v>#REF!</v>
      </c>
      <c r="AU87" t="e">
        <f>AND(#REF!,"AAAAAGr/vy4=")</f>
        <v>#REF!</v>
      </c>
      <c r="AV87" t="e">
        <f>AND(#REF!,"AAAAAGr/vy8=")</f>
        <v>#REF!</v>
      </c>
      <c r="AW87" t="e">
        <f>AND(#REF!,"AAAAAGr/vzA=")</f>
        <v>#REF!</v>
      </c>
      <c r="AX87" t="e">
        <f>AND(#REF!,"AAAAAGr/vzE=")</f>
        <v>#REF!</v>
      </c>
      <c r="AY87" t="e">
        <f>AND(#REF!,"AAAAAGr/vzI=")</f>
        <v>#REF!</v>
      </c>
      <c r="AZ87" t="e">
        <f>AND(#REF!,"AAAAAGr/vzM=")</f>
        <v>#REF!</v>
      </c>
      <c r="BA87" t="e">
        <f>AND(#REF!,"AAAAAGr/vzQ=")</f>
        <v>#REF!</v>
      </c>
      <c r="BB87" t="e">
        <f>AND(#REF!,"AAAAAGr/vzU=")</f>
        <v>#REF!</v>
      </c>
      <c r="BC87" t="e">
        <f>AND(#REF!,"AAAAAGr/vzY=")</f>
        <v>#REF!</v>
      </c>
      <c r="BD87" t="e">
        <f>AND(#REF!,"AAAAAGr/vzc=")</f>
        <v>#REF!</v>
      </c>
      <c r="BE87" t="e">
        <f>AND(#REF!,"AAAAAGr/vzg=")</f>
        <v>#REF!</v>
      </c>
      <c r="BF87" t="e">
        <f>AND(#REF!,"AAAAAGr/vzk=")</f>
        <v>#REF!</v>
      </c>
      <c r="BG87" t="e">
        <f>AND(#REF!,"AAAAAGr/vzo=")</f>
        <v>#REF!</v>
      </c>
      <c r="BH87" t="e">
        <f>AND(#REF!,"AAAAAGr/vzs=")</f>
        <v>#REF!</v>
      </c>
      <c r="BI87" t="e">
        <f>AND(#REF!,"AAAAAGr/vzw=")</f>
        <v>#REF!</v>
      </c>
      <c r="BJ87" t="e">
        <f>AND(#REF!,"AAAAAGr/vz0=")</f>
        <v>#REF!</v>
      </c>
      <c r="BK87" t="e">
        <f>AND(#REF!,"AAAAAGr/vz4=")</f>
        <v>#REF!</v>
      </c>
      <c r="BL87" t="e">
        <f>AND(#REF!,"AAAAAGr/vz8=")</f>
        <v>#REF!</v>
      </c>
      <c r="BM87" t="e">
        <f>AND(#REF!,"AAAAAGr/v0A=")</f>
        <v>#REF!</v>
      </c>
      <c r="BN87" t="e">
        <f>AND(#REF!,"AAAAAGr/v0E=")</f>
        <v>#REF!</v>
      </c>
      <c r="BO87" t="e">
        <f>AND(#REF!,"AAAAAGr/v0I=")</f>
        <v>#REF!</v>
      </c>
      <c r="BP87" t="e">
        <f>AND(#REF!,"AAAAAGr/v0M=")</f>
        <v>#REF!</v>
      </c>
      <c r="BQ87" t="e">
        <f>AND(#REF!,"AAAAAGr/v0Q=")</f>
        <v>#REF!</v>
      </c>
      <c r="BR87" t="e">
        <f>AND(#REF!,"AAAAAGr/v0U=")</f>
        <v>#REF!</v>
      </c>
      <c r="BS87" t="e">
        <f>AND(#REF!,"AAAAAGr/v0Y=")</f>
        <v>#REF!</v>
      </c>
      <c r="BT87" t="e">
        <f>AND(#REF!,"AAAAAGr/v0c=")</f>
        <v>#REF!</v>
      </c>
      <c r="BU87" t="e">
        <f>AND(#REF!,"AAAAAGr/v0g=")</f>
        <v>#REF!</v>
      </c>
      <c r="BV87" t="e">
        <f>AND(#REF!,"AAAAAGr/v0k=")</f>
        <v>#REF!</v>
      </c>
      <c r="BW87" t="e">
        <f>AND(#REF!,"AAAAAGr/v0o=")</f>
        <v>#REF!</v>
      </c>
      <c r="BX87" t="e">
        <f>AND(#REF!,"AAAAAGr/v0s=")</f>
        <v>#REF!</v>
      </c>
      <c r="BY87" t="e">
        <f>AND(#REF!,"AAAAAGr/v0w=")</f>
        <v>#REF!</v>
      </c>
      <c r="BZ87" t="e">
        <f>AND(#REF!,"AAAAAGr/v00=")</f>
        <v>#REF!</v>
      </c>
      <c r="CA87" t="e">
        <f>AND(#REF!,"AAAAAGr/v04=")</f>
        <v>#REF!</v>
      </c>
      <c r="CB87" t="e">
        <f>AND(#REF!,"AAAAAGr/v08=")</f>
        <v>#REF!</v>
      </c>
      <c r="CC87" t="e">
        <f>AND(#REF!,"AAAAAGr/v1A=")</f>
        <v>#REF!</v>
      </c>
      <c r="CD87" t="e">
        <f>AND(#REF!,"AAAAAGr/v1E=")</f>
        <v>#REF!</v>
      </c>
      <c r="CE87" t="e">
        <f>AND(#REF!,"AAAAAGr/v1I=")</f>
        <v>#REF!</v>
      </c>
      <c r="CF87" t="e">
        <f>IF(#REF!,"AAAAAGr/v1M=",0)</f>
        <v>#REF!</v>
      </c>
      <c r="CG87" t="e">
        <f>AND(#REF!,"AAAAAGr/v1Q=")</f>
        <v>#REF!</v>
      </c>
      <c r="CH87" t="e">
        <f>AND(#REF!,"AAAAAGr/v1U=")</f>
        <v>#REF!</v>
      </c>
      <c r="CI87" t="e">
        <f>AND(#REF!,"AAAAAGr/v1Y=")</f>
        <v>#REF!</v>
      </c>
      <c r="CJ87" t="e">
        <f>AND(#REF!,"AAAAAGr/v1c=")</f>
        <v>#REF!</v>
      </c>
      <c r="CK87" t="e">
        <f>AND(#REF!,"AAAAAGr/v1g=")</f>
        <v>#REF!</v>
      </c>
      <c r="CL87" t="e">
        <f>AND(#REF!,"AAAAAGr/v1k=")</f>
        <v>#REF!</v>
      </c>
      <c r="CM87" t="e">
        <f>AND(#REF!,"AAAAAGr/v1o=")</f>
        <v>#REF!</v>
      </c>
      <c r="CN87" t="e">
        <f>AND(#REF!,"AAAAAGr/v1s=")</f>
        <v>#REF!</v>
      </c>
      <c r="CO87" t="e">
        <f>AND(#REF!,"AAAAAGr/v1w=")</f>
        <v>#REF!</v>
      </c>
      <c r="CP87" t="e">
        <f>AND(#REF!,"AAAAAGr/v10=")</f>
        <v>#REF!</v>
      </c>
      <c r="CQ87" t="e">
        <f>AND(#REF!,"AAAAAGr/v14=")</f>
        <v>#REF!</v>
      </c>
      <c r="CR87" t="e">
        <f>AND(#REF!,"AAAAAGr/v18=")</f>
        <v>#REF!</v>
      </c>
      <c r="CS87" t="e">
        <f>AND(#REF!,"AAAAAGr/v2A=")</f>
        <v>#REF!</v>
      </c>
      <c r="CT87" t="e">
        <f>AND(#REF!,"AAAAAGr/v2E=")</f>
        <v>#REF!</v>
      </c>
      <c r="CU87" t="e">
        <f>AND(#REF!,"AAAAAGr/v2I=")</f>
        <v>#REF!</v>
      </c>
      <c r="CV87" t="e">
        <f>AND(#REF!,"AAAAAGr/v2M=")</f>
        <v>#REF!</v>
      </c>
      <c r="CW87" t="e">
        <f>AND(#REF!,"AAAAAGr/v2Q=")</f>
        <v>#REF!</v>
      </c>
      <c r="CX87" t="e">
        <f>AND(#REF!,"AAAAAGr/v2U=")</f>
        <v>#REF!</v>
      </c>
      <c r="CY87" t="e">
        <f>AND(#REF!,"AAAAAGr/v2Y=")</f>
        <v>#REF!</v>
      </c>
      <c r="CZ87" t="e">
        <f>AND(#REF!,"AAAAAGr/v2c=")</f>
        <v>#REF!</v>
      </c>
      <c r="DA87" t="e">
        <f>AND(#REF!,"AAAAAGr/v2g=")</f>
        <v>#REF!</v>
      </c>
      <c r="DB87" t="e">
        <f>AND(#REF!,"AAAAAGr/v2k=")</f>
        <v>#REF!</v>
      </c>
      <c r="DC87" t="e">
        <f>AND(#REF!,"AAAAAGr/v2o=")</f>
        <v>#REF!</v>
      </c>
      <c r="DD87" t="e">
        <f>AND(#REF!,"AAAAAGr/v2s=")</f>
        <v>#REF!</v>
      </c>
      <c r="DE87" t="e">
        <f>AND(#REF!,"AAAAAGr/v2w=")</f>
        <v>#REF!</v>
      </c>
      <c r="DF87" t="e">
        <f>AND(#REF!,"AAAAAGr/v20=")</f>
        <v>#REF!</v>
      </c>
      <c r="DG87" t="e">
        <f>AND(#REF!,"AAAAAGr/v24=")</f>
        <v>#REF!</v>
      </c>
      <c r="DH87" t="e">
        <f>AND(#REF!,"AAAAAGr/v28=")</f>
        <v>#REF!</v>
      </c>
      <c r="DI87" t="e">
        <f>AND(#REF!,"AAAAAGr/v3A=")</f>
        <v>#REF!</v>
      </c>
      <c r="DJ87" t="e">
        <f>AND(#REF!,"AAAAAGr/v3E=")</f>
        <v>#REF!</v>
      </c>
      <c r="DK87" t="e">
        <f>AND(#REF!,"AAAAAGr/v3I=")</f>
        <v>#REF!</v>
      </c>
      <c r="DL87" t="e">
        <f>AND(#REF!,"AAAAAGr/v3M=")</f>
        <v>#REF!</v>
      </c>
      <c r="DM87" t="e">
        <f>AND(#REF!,"AAAAAGr/v3Q=")</f>
        <v>#REF!</v>
      </c>
      <c r="DN87" t="e">
        <f>AND(#REF!,"AAAAAGr/v3U=")</f>
        <v>#REF!</v>
      </c>
      <c r="DO87" t="e">
        <f>AND(#REF!,"AAAAAGr/v3Y=")</f>
        <v>#REF!</v>
      </c>
      <c r="DP87" t="e">
        <f>AND(#REF!,"AAAAAGr/v3c=")</f>
        <v>#REF!</v>
      </c>
      <c r="DQ87" t="e">
        <f>AND(#REF!,"AAAAAGr/v3g=")</f>
        <v>#REF!</v>
      </c>
      <c r="DR87" t="e">
        <f>AND(#REF!,"AAAAAGr/v3k=")</f>
        <v>#REF!</v>
      </c>
      <c r="DS87" t="e">
        <f>AND(#REF!,"AAAAAGr/v3o=")</f>
        <v>#REF!</v>
      </c>
      <c r="DT87" t="e">
        <f>AND(#REF!,"AAAAAGr/v3s=")</f>
        <v>#REF!</v>
      </c>
      <c r="DU87" t="e">
        <f>AND(#REF!,"AAAAAGr/v3w=")</f>
        <v>#REF!</v>
      </c>
      <c r="DV87" t="e">
        <f>AND(#REF!,"AAAAAGr/v30=")</f>
        <v>#REF!</v>
      </c>
      <c r="DW87" t="e">
        <f>AND(#REF!,"AAAAAGr/v34=")</f>
        <v>#REF!</v>
      </c>
      <c r="DX87" t="e">
        <f>AND(#REF!,"AAAAAGr/v38=")</f>
        <v>#REF!</v>
      </c>
      <c r="DY87" t="e">
        <f>AND(#REF!,"AAAAAGr/v4A=")</f>
        <v>#REF!</v>
      </c>
      <c r="DZ87" t="e">
        <f>AND(#REF!,"AAAAAGr/v4E=")</f>
        <v>#REF!</v>
      </c>
      <c r="EA87" t="e">
        <f>AND(#REF!,"AAAAAGr/v4I=")</f>
        <v>#REF!</v>
      </c>
      <c r="EB87" t="e">
        <f>AND(#REF!,"AAAAAGr/v4M=")</f>
        <v>#REF!</v>
      </c>
      <c r="EC87" t="e">
        <f>AND(#REF!,"AAAAAGr/v4Q=")</f>
        <v>#REF!</v>
      </c>
      <c r="ED87" t="e">
        <f>AND(#REF!,"AAAAAGr/v4U=")</f>
        <v>#REF!</v>
      </c>
      <c r="EE87" t="e">
        <f>AND(#REF!,"AAAAAGr/v4Y=")</f>
        <v>#REF!</v>
      </c>
      <c r="EF87" t="e">
        <f>AND(#REF!,"AAAAAGr/v4c=")</f>
        <v>#REF!</v>
      </c>
      <c r="EG87" t="e">
        <f>AND(#REF!,"AAAAAGr/v4g=")</f>
        <v>#REF!</v>
      </c>
      <c r="EH87" t="e">
        <f>AND(#REF!,"AAAAAGr/v4k=")</f>
        <v>#REF!</v>
      </c>
      <c r="EI87" t="e">
        <f>AND(#REF!,"AAAAAGr/v4o=")</f>
        <v>#REF!</v>
      </c>
      <c r="EJ87" t="e">
        <f>AND(#REF!,"AAAAAGr/v4s=")</f>
        <v>#REF!</v>
      </c>
      <c r="EK87" t="e">
        <f>AND(#REF!,"AAAAAGr/v4w=")</f>
        <v>#REF!</v>
      </c>
      <c r="EL87" t="e">
        <f>AND(#REF!,"AAAAAGr/v40=")</f>
        <v>#REF!</v>
      </c>
      <c r="EM87" t="e">
        <f>AND(#REF!,"AAAAAGr/v44=")</f>
        <v>#REF!</v>
      </c>
      <c r="EN87" t="e">
        <f>AND(#REF!,"AAAAAGr/v48=")</f>
        <v>#REF!</v>
      </c>
      <c r="EO87" t="e">
        <f>AND(#REF!,"AAAAAGr/v5A=")</f>
        <v>#REF!</v>
      </c>
      <c r="EP87" t="e">
        <f>AND(#REF!,"AAAAAGr/v5E=")</f>
        <v>#REF!</v>
      </c>
      <c r="EQ87" t="e">
        <f>AND(#REF!,"AAAAAGr/v5I=")</f>
        <v>#REF!</v>
      </c>
      <c r="ER87" t="e">
        <f>AND(#REF!,"AAAAAGr/v5M=")</f>
        <v>#REF!</v>
      </c>
      <c r="ES87" t="e">
        <f>AND(#REF!,"AAAAAGr/v5Q=")</f>
        <v>#REF!</v>
      </c>
      <c r="ET87" t="e">
        <f>AND(#REF!,"AAAAAGr/v5U=")</f>
        <v>#REF!</v>
      </c>
      <c r="EU87" t="e">
        <f>AND(#REF!,"AAAAAGr/v5Y=")</f>
        <v>#REF!</v>
      </c>
      <c r="EV87" t="e">
        <f>AND(#REF!,"AAAAAGr/v5c=")</f>
        <v>#REF!</v>
      </c>
      <c r="EW87" t="e">
        <f>AND(#REF!,"AAAAAGr/v5g=")</f>
        <v>#REF!</v>
      </c>
      <c r="EX87" t="e">
        <f>AND(#REF!,"AAAAAGr/v5k=")</f>
        <v>#REF!</v>
      </c>
      <c r="EY87" t="e">
        <f>AND(#REF!,"AAAAAGr/v5o=")</f>
        <v>#REF!</v>
      </c>
      <c r="EZ87" t="e">
        <f>AND(#REF!,"AAAAAGr/v5s=")</f>
        <v>#REF!</v>
      </c>
      <c r="FA87" t="e">
        <f>AND(#REF!,"AAAAAGr/v5w=")</f>
        <v>#REF!</v>
      </c>
      <c r="FB87" t="e">
        <f>AND(#REF!,"AAAAAGr/v50=")</f>
        <v>#REF!</v>
      </c>
      <c r="FC87" t="e">
        <f>AND(#REF!,"AAAAAGr/v54=")</f>
        <v>#REF!</v>
      </c>
      <c r="FD87" t="e">
        <f>AND(#REF!,"AAAAAGr/v58=")</f>
        <v>#REF!</v>
      </c>
      <c r="FE87" t="e">
        <f>AND(#REF!,"AAAAAGr/v6A=")</f>
        <v>#REF!</v>
      </c>
      <c r="FF87" t="e">
        <f>AND(#REF!,"AAAAAGr/v6E=")</f>
        <v>#REF!</v>
      </c>
      <c r="FG87" t="e">
        <f>AND(#REF!,"AAAAAGr/v6I=")</f>
        <v>#REF!</v>
      </c>
      <c r="FH87" t="e">
        <f>AND(#REF!,"AAAAAGr/v6M=")</f>
        <v>#REF!</v>
      </c>
      <c r="FI87" t="e">
        <f>AND(#REF!,"AAAAAGr/v6Q=")</f>
        <v>#REF!</v>
      </c>
      <c r="FJ87" t="e">
        <f>AND(#REF!,"AAAAAGr/v6U=")</f>
        <v>#REF!</v>
      </c>
      <c r="FK87" t="e">
        <f>AND(#REF!,"AAAAAGr/v6Y=")</f>
        <v>#REF!</v>
      </c>
      <c r="FL87" t="e">
        <f>AND(#REF!,"AAAAAGr/v6c=")</f>
        <v>#REF!</v>
      </c>
      <c r="FM87" t="e">
        <f>AND(#REF!,"AAAAAGr/v6g=")</f>
        <v>#REF!</v>
      </c>
      <c r="FN87" t="e">
        <f>AND(#REF!,"AAAAAGr/v6k=")</f>
        <v>#REF!</v>
      </c>
      <c r="FO87" t="e">
        <f>AND(#REF!,"AAAAAGr/v6o=")</f>
        <v>#REF!</v>
      </c>
      <c r="FP87" t="e">
        <f>AND(#REF!,"AAAAAGr/v6s=")</f>
        <v>#REF!</v>
      </c>
      <c r="FQ87" t="e">
        <f>AND(#REF!,"AAAAAGr/v6w=")</f>
        <v>#REF!</v>
      </c>
      <c r="FR87" t="e">
        <f>AND(#REF!,"AAAAAGr/v60=")</f>
        <v>#REF!</v>
      </c>
      <c r="FS87" t="e">
        <f>AND(#REF!,"AAAAAGr/v64=")</f>
        <v>#REF!</v>
      </c>
      <c r="FT87" t="e">
        <f>AND(#REF!,"AAAAAGr/v68=")</f>
        <v>#REF!</v>
      </c>
      <c r="FU87" t="e">
        <f>AND(#REF!,"AAAAAGr/v7A=")</f>
        <v>#REF!</v>
      </c>
      <c r="FV87" t="e">
        <f>AND(#REF!,"AAAAAGr/v7E=")</f>
        <v>#REF!</v>
      </c>
      <c r="FW87" t="e">
        <f>AND(#REF!,"AAAAAGr/v7I=")</f>
        <v>#REF!</v>
      </c>
      <c r="FX87" t="e">
        <f>AND(#REF!,"AAAAAGr/v7M=")</f>
        <v>#REF!</v>
      </c>
      <c r="FY87" t="e">
        <f>AND(#REF!,"AAAAAGr/v7Q=")</f>
        <v>#REF!</v>
      </c>
      <c r="FZ87" t="e">
        <f>AND(#REF!,"AAAAAGr/v7U=")</f>
        <v>#REF!</v>
      </c>
      <c r="GA87" t="e">
        <f>AND(#REF!,"AAAAAGr/v7Y=")</f>
        <v>#REF!</v>
      </c>
      <c r="GB87" t="e">
        <f>AND(#REF!,"AAAAAGr/v7c=")</f>
        <v>#REF!</v>
      </c>
      <c r="GC87" t="e">
        <f>AND(#REF!,"AAAAAGr/v7g=")</f>
        <v>#REF!</v>
      </c>
      <c r="GD87" t="e">
        <f>AND(#REF!,"AAAAAGr/v7k=")</f>
        <v>#REF!</v>
      </c>
      <c r="GE87" t="e">
        <f>AND(#REF!,"AAAAAGr/v7o=")</f>
        <v>#REF!</v>
      </c>
      <c r="GF87" t="e">
        <f>AND(#REF!,"AAAAAGr/v7s=")</f>
        <v>#REF!</v>
      </c>
      <c r="GG87" t="e">
        <f>AND(#REF!,"AAAAAGr/v7w=")</f>
        <v>#REF!</v>
      </c>
      <c r="GH87" t="e">
        <f>AND(#REF!,"AAAAAGr/v70=")</f>
        <v>#REF!</v>
      </c>
      <c r="GI87" t="e">
        <f>AND(#REF!,"AAAAAGr/v74=")</f>
        <v>#REF!</v>
      </c>
      <c r="GJ87" t="e">
        <f>AND(#REF!,"AAAAAGr/v78=")</f>
        <v>#REF!</v>
      </c>
      <c r="GK87" t="e">
        <f>AND(#REF!,"AAAAAGr/v8A=")</f>
        <v>#REF!</v>
      </c>
      <c r="GL87" t="e">
        <f>AND(#REF!,"AAAAAGr/v8E=")</f>
        <v>#REF!</v>
      </c>
      <c r="GM87" t="e">
        <f>AND(#REF!,"AAAAAGr/v8I=")</f>
        <v>#REF!</v>
      </c>
      <c r="GN87" t="e">
        <f>AND(#REF!,"AAAAAGr/v8M=")</f>
        <v>#REF!</v>
      </c>
      <c r="GO87" t="e">
        <f>AND(#REF!,"AAAAAGr/v8Q=")</f>
        <v>#REF!</v>
      </c>
      <c r="GP87" t="e">
        <f>AND(#REF!,"AAAAAGr/v8U=")</f>
        <v>#REF!</v>
      </c>
      <c r="GQ87" t="e">
        <f>AND(#REF!,"AAAAAGr/v8Y=")</f>
        <v>#REF!</v>
      </c>
      <c r="GR87" t="e">
        <f>AND(#REF!,"AAAAAGr/v8c=")</f>
        <v>#REF!</v>
      </c>
      <c r="GS87" t="e">
        <f>AND(#REF!,"AAAAAGr/v8g=")</f>
        <v>#REF!</v>
      </c>
      <c r="GT87" t="e">
        <f>AND(#REF!,"AAAAAGr/v8k=")</f>
        <v>#REF!</v>
      </c>
      <c r="GU87" t="e">
        <f>AND(#REF!,"AAAAAGr/v8o=")</f>
        <v>#REF!</v>
      </c>
      <c r="GV87" t="e">
        <f>AND(#REF!,"AAAAAGr/v8s=")</f>
        <v>#REF!</v>
      </c>
      <c r="GW87" t="e">
        <f>AND(#REF!,"AAAAAGr/v8w=")</f>
        <v>#REF!</v>
      </c>
      <c r="GX87" t="e">
        <f>AND(#REF!,"AAAAAGr/v80=")</f>
        <v>#REF!</v>
      </c>
      <c r="GY87" t="e">
        <f>AND(#REF!,"AAAAAGr/v84=")</f>
        <v>#REF!</v>
      </c>
      <c r="GZ87" t="e">
        <f>AND(#REF!,"AAAAAGr/v88=")</f>
        <v>#REF!</v>
      </c>
      <c r="HA87" t="e">
        <f>AND(#REF!,"AAAAAGr/v9A=")</f>
        <v>#REF!</v>
      </c>
      <c r="HB87" t="e">
        <f>AND(#REF!,"AAAAAGr/v9E=")</f>
        <v>#REF!</v>
      </c>
      <c r="HC87" t="e">
        <f>AND(#REF!,"AAAAAGr/v9I=")</f>
        <v>#REF!</v>
      </c>
      <c r="HD87" t="e">
        <f>AND(#REF!,"AAAAAGr/v9M=")</f>
        <v>#REF!</v>
      </c>
      <c r="HE87" t="e">
        <f>AND(#REF!,"AAAAAGr/v9Q=")</f>
        <v>#REF!</v>
      </c>
      <c r="HF87" t="e">
        <f>AND(#REF!,"AAAAAGr/v9U=")</f>
        <v>#REF!</v>
      </c>
      <c r="HG87" t="e">
        <f>AND(#REF!,"AAAAAGr/v9Y=")</f>
        <v>#REF!</v>
      </c>
      <c r="HH87" t="e">
        <f>AND(#REF!,"AAAAAGr/v9c=")</f>
        <v>#REF!</v>
      </c>
      <c r="HI87" t="e">
        <f>AND(#REF!,"AAAAAGr/v9g=")</f>
        <v>#REF!</v>
      </c>
      <c r="HJ87" t="e">
        <f>AND(#REF!,"AAAAAGr/v9k=")</f>
        <v>#REF!</v>
      </c>
      <c r="HK87" t="e">
        <f>AND(#REF!,"AAAAAGr/v9o=")</f>
        <v>#REF!</v>
      </c>
      <c r="HL87" t="e">
        <f>AND(#REF!,"AAAAAGr/v9s=")</f>
        <v>#REF!</v>
      </c>
      <c r="HM87" t="e">
        <f>AND(#REF!,"AAAAAGr/v9w=")</f>
        <v>#REF!</v>
      </c>
      <c r="HN87" t="e">
        <f>AND(#REF!,"AAAAAGr/v90=")</f>
        <v>#REF!</v>
      </c>
      <c r="HO87" t="e">
        <f>AND(#REF!,"AAAAAGr/v94=")</f>
        <v>#REF!</v>
      </c>
      <c r="HP87" t="e">
        <f>AND(#REF!,"AAAAAGr/v98=")</f>
        <v>#REF!</v>
      </c>
      <c r="HQ87" t="e">
        <f>AND(#REF!,"AAAAAGr/v+A=")</f>
        <v>#REF!</v>
      </c>
      <c r="HR87" t="e">
        <f>AND(#REF!,"AAAAAGr/v+E=")</f>
        <v>#REF!</v>
      </c>
      <c r="HS87" t="e">
        <f>AND(#REF!,"AAAAAGr/v+I=")</f>
        <v>#REF!</v>
      </c>
      <c r="HT87" t="e">
        <f>AND(#REF!,"AAAAAGr/v+M=")</f>
        <v>#REF!</v>
      </c>
      <c r="HU87" t="e">
        <f>AND(#REF!,"AAAAAGr/v+Q=")</f>
        <v>#REF!</v>
      </c>
      <c r="HV87" t="e">
        <f>AND(#REF!,"AAAAAGr/v+U=")</f>
        <v>#REF!</v>
      </c>
      <c r="HW87" t="e">
        <f>AND(#REF!,"AAAAAGr/v+Y=")</f>
        <v>#REF!</v>
      </c>
      <c r="HX87" t="e">
        <f>AND(#REF!,"AAAAAGr/v+c=")</f>
        <v>#REF!</v>
      </c>
      <c r="HY87" t="e">
        <f>AND(#REF!,"AAAAAGr/v+g=")</f>
        <v>#REF!</v>
      </c>
      <c r="HZ87" t="e">
        <f>AND(#REF!,"AAAAAGr/v+k=")</f>
        <v>#REF!</v>
      </c>
      <c r="IA87" t="e">
        <f>AND(#REF!,"AAAAAGr/v+o=")</f>
        <v>#REF!</v>
      </c>
      <c r="IB87" t="e">
        <f>AND(#REF!,"AAAAAGr/v+s=")</f>
        <v>#REF!</v>
      </c>
      <c r="IC87" t="e">
        <f>AND(#REF!,"AAAAAGr/v+w=")</f>
        <v>#REF!</v>
      </c>
      <c r="ID87" t="e">
        <f>AND(#REF!,"AAAAAGr/v+0=")</f>
        <v>#REF!</v>
      </c>
      <c r="IE87" t="e">
        <f>AND(#REF!,"AAAAAGr/v+4=")</f>
        <v>#REF!</v>
      </c>
      <c r="IF87" t="e">
        <f>AND(#REF!,"AAAAAGr/v+8=")</f>
        <v>#REF!</v>
      </c>
      <c r="IG87" t="e">
        <f>AND(#REF!,"AAAAAGr/v/A=")</f>
        <v>#REF!</v>
      </c>
      <c r="IH87" t="e">
        <f>AND(#REF!,"AAAAAGr/v/E=")</f>
        <v>#REF!</v>
      </c>
      <c r="II87" t="e">
        <f>AND(#REF!,"AAAAAGr/v/I=")</f>
        <v>#REF!</v>
      </c>
      <c r="IJ87" t="e">
        <f>AND(#REF!,"AAAAAGr/v/M=")</f>
        <v>#REF!</v>
      </c>
      <c r="IK87" t="e">
        <f>AND(#REF!,"AAAAAGr/v/Q=")</f>
        <v>#REF!</v>
      </c>
      <c r="IL87" t="e">
        <f>AND(#REF!,"AAAAAGr/v/U=")</f>
        <v>#REF!</v>
      </c>
      <c r="IM87" t="e">
        <f>AND(#REF!,"AAAAAGr/v/Y=")</f>
        <v>#REF!</v>
      </c>
      <c r="IN87" t="e">
        <f>AND(#REF!,"AAAAAGr/v/c=")</f>
        <v>#REF!</v>
      </c>
      <c r="IO87" t="e">
        <f>AND(#REF!,"AAAAAGr/v/g=")</f>
        <v>#REF!</v>
      </c>
      <c r="IP87" t="e">
        <f>AND(#REF!,"AAAAAGr/v/k=")</f>
        <v>#REF!</v>
      </c>
      <c r="IQ87" t="e">
        <f>AND(#REF!,"AAAAAGr/v/o=")</f>
        <v>#REF!</v>
      </c>
      <c r="IR87" t="e">
        <f>AND(#REF!,"AAAAAGr/v/s=")</f>
        <v>#REF!</v>
      </c>
      <c r="IS87" t="e">
        <f>AND(#REF!,"AAAAAGr/v/w=")</f>
        <v>#REF!</v>
      </c>
      <c r="IT87" t="e">
        <f>AND(#REF!,"AAAAAGr/v/0=")</f>
        <v>#REF!</v>
      </c>
      <c r="IU87" t="e">
        <f>AND(#REF!,"AAAAAGr/v/4=")</f>
        <v>#REF!</v>
      </c>
      <c r="IV87" t="e">
        <f>AND(#REF!,"AAAAAGr/v/8=")</f>
        <v>#REF!</v>
      </c>
    </row>
    <row r="88" spans="1:256" x14ac:dyDescent="0.2">
      <c r="A88" t="e">
        <f>AND(#REF!,"AAAAAB91RwA=")</f>
        <v>#REF!</v>
      </c>
      <c r="B88" t="e">
        <f>AND(#REF!,"AAAAAB91RwE=")</f>
        <v>#REF!</v>
      </c>
      <c r="C88" t="e">
        <f>AND(#REF!,"AAAAAB91RwI=")</f>
        <v>#REF!</v>
      </c>
      <c r="D88" t="e">
        <f>AND(#REF!,"AAAAAB91RwM=")</f>
        <v>#REF!</v>
      </c>
      <c r="E88" t="e">
        <f>AND(#REF!,"AAAAAB91RwQ=")</f>
        <v>#REF!</v>
      </c>
      <c r="F88" t="e">
        <f>AND(#REF!,"AAAAAB91RwU=")</f>
        <v>#REF!</v>
      </c>
      <c r="G88" t="e">
        <f>AND(#REF!,"AAAAAB91RwY=")</f>
        <v>#REF!</v>
      </c>
      <c r="H88" t="e">
        <f>AND(#REF!,"AAAAAB91Rwc=")</f>
        <v>#REF!</v>
      </c>
      <c r="I88" t="e">
        <f>IF(#REF!,"AAAAAB91Rwg=",0)</f>
        <v>#REF!</v>
      </c>
      <c r="J88" t="e">
        <f>AND(#REF!,"AAAAAB91Rwk=")</f>
        <v>#REF!</v>
      </c>
      <c r="K88" t="e">
        <f>AND(#REF!,"AAAAAB91Rwo=")</f>
        <v>#REF!</v>
      </c>
      <c r="L88" t="e">
        <f>AND(#REF!,"AAAAAB91Rws=")</f>
        <v>#REF!</v>
      </c>
      <c r="M88" t="e">
        <f>AND(#REF!,"AAAAAB91Rww=")</f>
        <v>#REF!</v>
      </c>
      <c r="N88" t="e">
        <f>AND(#REF!,"AAAAAB91Rw0=")</f>
        <v>#REF!</v>
      </c>
      <c r="O88" t="e">
        <f>AND(#REF!,"AAAAAB91Rw4=")</f>
        <v>#REF!</v>
      </c>
      <c r="P88" t="e">
        <f>AND(#REF!,"AAAAAB91Rw8=")</f>
        <v>#REF!</v>
      </c>
      <c r="Q88" t="e">
        <f>AND(#REF!,"AAAAAB91RxA=")</f>
        <v>#REF!</v>
      </c>
      <c r="R88" t="e">
        <f>AND(#REF!,"AAAAAB91RxE=")</f>
        <v>#REF!</v>
      </c>
      <c r="S88" t="e">
        <f>AND(#REF!,"AAAAAB91RxI=")</f>
        <v>#REF!</v>
      </c>
      <c r="T88" t="e">
        <f>AND(#REF!,"AAAAAB91RxM=")</f>
        <v>#REF!</v>
      </c>
      <c r="U88" t="e">
        <f>AND(#REF!,"AAAAAB91RxQ=")</f>
        <v>#REF!</v>
      </c>
      <c r="V88" t="e">
        <f>AND(#REF!,"AAAAAB91RxU=")</f>
        <v>#REF!</v>
      </c>
      <c r="W88" t="e">
        <f>AND(#REF!,"AAAAAB91RxY=")</f>
        <v>#REF!</v>
      </c>
      <c r="X88" t="e">
        <f>AND(#REF!,"AAAAAB91Rxc=")</f>
        <v>#REF!</v>
      </c>
      <c r="Y88" t="e">
        <f>AND(#REF!,"AAAAAB91Rxg=")</f>
        <v>#REF!</v>
      </c>
      <c r="Z88" t="e">
        <f>AND(#REF!,"AAAAAB91Rxk=")</f>
        <v>#REF!</v>
      </c>
      <c r="AA88" t="e">
        <f>AND(#REF!,"AAAAAB91Rxo=")</f>
        <v>#REF!</v>
      </c>
      <c r="AB88" t="e">
        <f>AND(#REF!,"AAAAAB91Rxs=")</f>
        <v>#REF!</v>
      </c>
      <c r="AC88" t="e">
        <f>AND(#REF!,"AAAAAB91Rxw=")</f>
        <v>#REF!</v>
      </c>
      <c r="AD88" t="e">
        <f>AND(#REF!,"AAAAAB91Rx0=")</f>
        <v>#REF!</v>
      </c>
      <c r="AE88" t="e">
        <f>AND(#REF!,"AAAAAB91Rx4=")</f>
        <v>#REF!</v>
      </c>
      <c r="AF88" t="e">
        <f>AND(#REF!,"AAAAAB91Rx8=")</f>
        <v>#REF!</v>
      </c>
      <c r="AG88" t="e">
        <f>AND(#REF!,"AAAAAB91RyA=")</f>
        <v>#REF!</v>
      </c>
      <c r="AH88" t="e">
        <f>AND(#REF!,"AAAAAB91RyE=")</f>
        <v>#REF!</v>
      </c>
      <c r="AI88" t="e">
        <f>AND(#REF!,"AAAAAB91RyI=")</f>
        <v>#REF!</v>
      </c>
      <c r="AJ88" t="e">
        <f>AND(#REF!,"AAAAAB91RyM=")</f>
        <v>#REF!</v>
      </c>
      <c r="AK88" t="e">
        <f>AND(#REF!,"AAAAAB91RyQ=")</f>
        <v>#REF!</v>
      </c>
      <c r="AL88" t="e">
        <f>AND(#REF!,"AAAAAB91RyU=")</f>
        <v>#REF!</v>
      </c>
      <c r="AM88" t="e">
        <f>AND(#REF!,"AAAAAB91RyY=")</f>
        <v>#REF!</v>
      </c>
      <c r="AN88" t="e">
        <f>AND(#REF!,"AAAAAB91Ryc=")</f>
        <v>#REF!</v>
      </c>
      <c r="AO88" t="e">
        <f>AND(#REF!,"AAAAAB91Ryg=")</f>
        <v>#REF!</v>
      </c>
      <c r="AP88" t="e">
        <f>AND(#REF!,"AAAAAB91Ryk=")</f>
        <v>#REF!</v>
      </c>
      <c r="AQ88" t="e">
        <f>AND(#REF!,"AAAAAB91Ryo=")</f>
        <v>#REF!</v>
      </c>
      <c r="AR88" t="e">
        <f>AND(#REF!,"AAAAAB91Rys=")</f>
        <v>#REF!</v>
      </c>
      <c r="AS88" t="e">
        <f>AND(#REF!,"AAAAAB91Ryw=")</f>
        <v>#REF!</v>
      </c>
      <c r="AT88" t="e">
        <f>AND(#REF!,"AAAAAB91Ry0=")</f>
        <v>#REF!</v>
      </c>
      <c r="AU88" t="e">
        <f>AND(#REF!,"AAAAAB91Ry4=")</f>
        <v>#REF!</v>
      </c>
      <c r="AV88" t="e">
        <f>AND(#REF!,"AAAAAB91Ry8=")</f>
        <v>#REF!</v>
      </c>
      <c r="AW88" t="e">
        <f>AND(#REF!,"AAAAAB91RzA=")</f>
        <v>#REF!</v>
      </c>
      <c r="AX88" t="e">
        <f>AND(#REF!,"AAAAAB91RzE=")</f>
        <v>#REF!</v>
      </c>
      <c r="AY88" t="e">
        <f>AND(#REF!,"AAAAAB91RzI=")</f>
        <v>#REF!</v>
      </c>
      <c r="AZ88" t="e">
        <f>AND(#REF!,"AAAAAB91RzM=")</f>
        <v>#REF!</v>
      </c>
      <c r="BA88" t="e">
        <f>AND(#REF!,"AAAAAB91RzQ=")</f>
        <v>#REF!</v>
      </c>
      <c r="BB88" t="e">
        <f>AND(#REF!,"AAAAAB91RzU=")</f>
        <v>#REF!</v>
      </c>
      <c r="BC88" t="e">
        <f>AND(#REF!,"AAAAAB91RzY=")</f>
        <v>#REF!</v>
      </c>
      <c r="BD88" t="e">
        <f>AND(#REF!,"AAAAAB91Rzc=")</f>
        <v>#REF!</v>
      </c>
      <c r="BE88" t="e">
        <f>AND(#REF!,"AAAAAB91Rzg=")</f>
        <v>#REF!</v>
      </c>
      <c r="BF88" t="e">
        <f>AND(#REF!,"AAAAAB91Rzk=")</f>
        <v>#REF!</v>
      </c>
      <c r="BG88" t="e">
        <f>AND(#REF!,"AAAAAB91Rzo=")</f>
        <v>#REF!</v>
      </c>
      <c r="BH88" t="e">
        <f>AND(#REF!,"AAAAAB91Rzs=")</f>
        <v>#REF!</v>
      </c>
      <c r="BI88" t="e">
        <f>AND(#REF!,"AAAAAB91Rzw=")</f>
        <v>#REF!</v>
      </c>
      <c r="BJ88" t="e">
        <f>AND(#REF!,"AAAAAB91Rz0=")</f>
        <v>#REF!</v>
      </c>
      <c r="BK88" t="e">
        <f>AND(#REF!,"AAAAAB91Rz4=")</f>
        <v>#REF!</v>
      </c>
      <c r="BL88" t="e">
        <f>AND(#REF!,"AAAAAB91Rz8=")</f>
        <v>#REF!</v>
      </c>
      <c r="BM88" t="e">
        <f>AND(#REF!,"AAAAAB91R0A=")</f>
        <v>#REF!</v>
      </c>
      <c r="BN88" t="e">
        <f>AND(#REF!,"AAAAAB91R0E=")</f>
        <v>#REF!</v>
      </c>
      <c r="BO88" t="e">
        <f>AND(#REF!,"AAAAAB91R0I=")</f>
        <v>#REF!</v>
      </c>
      <c r="BP88" t="e">
        <f>AND(#REF!,"AAAAAB91R0M=")</f>
        <v>#REF!</v>
      </c>
      <c r="BQ88" t="e">
        <f>AND(#REF!,"AAAAAB91R0Q=")</f>
        <v>#REF!</v>
      </c>
      <c r="BR88" t="e">
        <f>AND(#REF!,"AAAAAB91R0U=")</f>
        <v>#REF!</v>
      </c>
      <c r="BS88" t="e">
        <f>AND(#REF!,"AAAAAB91R0Y=")</f>
        <v>#REF!</v>
      </c>
      <c r="BT88" t="e">
        <f>AND(#REF!,"AAAAAB91R0c=")</f>
        <v>#REF!</v>
      </c>
      <c r="BU88" t="e">
        <f>AND(#REF!,"AAAAAB91R0g=")</f>
        <v>#REF!</v>
      </c>
      <c r="BV88" t="e">
        <f>AND(#REF!,"AAAAAB91R0k=")</f>
        <v>#REF!</v>
      </c>
      <c r="BW88" t="e">
        <f>AND(#REF!,"AAAAAB91R0o=")</f>
        <v>#REF!</v>
      </c>
      <c r="BX88" t="e">
        <f>AND(#REF!,"AAAAAB91R0s=")</f>
        <v>#REF!</v>
      </c>
      <c r="BY88" t="e">
        <f>AND(#REF!,"AAAAAB91R0w=")</f>
        <v>#REF!</v>
      </c>
      <c r="BZ88" t="e">
        <f>AND(#REF!,"AAAAAB91R00=")</f>
        <v>#REF!</v>
      </c>
      <c r="CA88" t="e">
        <f>AND(#REF!,"AAAAAB91R04=")</f>
        <v>#REF!</v>
      </c>
      <c r="CB88" t="e">
        <f>AND(#REF!,"AAAAAB91R08=")</f>
        <v>#REF!</v>
      </c>
      <c r="CC88" t="e">
        <f>AND(#REF!,"AAAAAB91R1A=")</f>
        <v>#REF!</v>
      </c>
      <c r="CD88" t="e">
        <f>AND(#REF!,"AAAAAB91R1E=")</f>
        <v>#REF!</v>
      </c>
      <c r="CE88" t="e">
        <f>AND(#REF!,"AAAAAB91R1I=")</f>
        <v>#REF!</v>
      </c>
      <c r="CF88" t="e">
        <f>AND(#REF!,"AAAAAB91R1M=")</f>
        <v>#REF!</v>
      </c>
      <c r="CG88" t="e">
        <f>AND(#REF!,"AAAAAB91R1Q=")</f>
        <v>#REF!</v>
      </c>
      <c r="CH88" t="e">
        <f>AND(#REF!,"AAAAAB91R1U=")</f>
        <v>#REF!</v>
      </c>
      <c r="CI88" t="e">
        <f>AND(#REF!,"AAAAAB91R1Y=")</f>
        <v>#REF!</v>
      </c>
      <c r="CJ88" t="e">
        <f>AND(#REF!,"AAAAAB91R1c=")</f>
        <v>#REF!</v>
      </c>
      <c r="CK88" t="e">
        <f>AND(#REF!,"AAAAAB91R1g=")</f>
        <v>#REF!</v>
      </c>
      <c r="CL88" t="e">
        <f>AND(#REF!,"AAAAAB91R1k=")</f>
        <v>#REF!</v>
      </c>
      <c r="CM88" t="e">
        <f>AND(#REF!,"AAAAAB91R1o=")</f>
        <v>#REF!</v>
      </c>
      <c r="CN88" t="e">
        <f>AND(#REF!,"AAAAAB91R1s=")</f>
        <v>#REF!</v>
      </c>
      <c r="CO88" t="e">
        <f>AND(#REF!,"AAAAAB91R1w=")</f>
        <v>#REF!</v>
      </c>
      <c r="CP88" t="e">
        <f>AND(#REF!,"AAAAAB91R10=")</f>
        <v>#REF!</v>
      </c>
      <c r="CQ88" t="e">
        <f>AND(#REF!,"AAAAAB91R14=")</f>
        <v>#REF!</v>
      </c>
      <c r="CR88" t="e">
        <f>AND(#REF!,"AAAAAB91R18=")</f>
        <v>#REF!</v>
      </c>
      <c r="CS88" t="e">
        <f>AND(#REF!,"AAAAAB91R2A=")</f>
        <v>#REF!</v>
      </c>
      <c r="CT88" t="e">
        <f>AND(#REF!,"AAAAAB91R2E=")</f>
        <v>#REF!</v>
      </c>
      <c r="CU88" t="e">
        <f>AND(#REF!,"AAAAAB91R2I=")</f>
        <v>#REF!</v>
      </c>
      <c r="CV88" t="e">
        <f>AND(#REF!,"AAAAAB91R2M=")</f>
        <v>#REF!</v>
      </c>
      <c r="CW88" t="e">
        <f>AND(#REF!,"AAAAAB91R2Q=")</f>
        <v>#REF!</v>
      </c>
      <c r="CX88" t="e">
        <f>AND(#REF!,"AAAAAB91R2U=")</f>
        <v>#REF!</v>
      </c>
      <c r="CY88" t="e">
        <f>AND(#REF!,"AAAAAB91R2Y=")</f>
        <v>#REF!</v>
      </c>
      <c r="CZ88" t="e">
        <f>AND(#REF!,"AAAAAB91R2c=")</f>
        <v>#REF!</v>
      </c>
      <c r="DA88" t="e">
        <f>AND(#REF!,"AAAAAB91R2g=")</f>
        <v>#REF!</v>
      </c>
      <c r="DB88" t="e">
        <f>AND(#REF!,"AAAAAB91R2k=")</f>
        <v>#REF!</v>
      </c>
      <c r="DC88" t="e">
        <f>AND(#REF!,"AAAAAB91R2o=")</f>
        <v>#REF!</v>
      </c>
      <c r="DD88" t="e">
        <f>AND(#REF!,"AAAAAB91R2s=")</f>
        <v>#REF!</v>
      </c>
      <c r="DE88" t="e">
        <f>AND(#REF!,"AAAAAB91R2w=")</f>
        <v>#REF!</v>
      </c>
      <c r="DF88" t="e">
        <f>AND(#REF!,"AAAAAB91R20=")</f>
        <v>#REF!</v>
      </c>
      <c r="DG88" t="e">
        <f>AND(#REF!,"AAAAAB91R24=")</f>
        <v>#REF!</v>
      </c>
      <c r="DH88" t="e">
        <f>AND(#REF!,"AAAAAB91R28=")</f>
        <v>#REF!</v>
      </c>
      <c r="DI88" t="e">
        <f>AND(#REF!,"AAAAAB91R3A=")</f>
        <v>#REF!</v>
      </c>
      <c r="DJ88" t="e">
        <f>AND(#REF!,"AAAAAB91R3E=")</f>
        <v>#REF!</v>
      </c>
      <c r="DK88" t="e">
        <f>AND(#REF!,"AAAAAB91R3I=")</f>
        <v>#REF!</v>
      </c>
      <c r="DL88" t="e">
        <f>AND(#REF!,"AAAAAB91R3M=")</f>
        <v>#REF!</v>
      </c>
      <c r="DM88" t="e">
        <f>AND(#REF!,"AAAAAB91R3Q=")</f>
        <v>#REF!</v>
      </c>
      <c r="DN88" t="e">
        <f>AND(#REF!,"AAAAAB91R3U=")</f>
        <v>#REF!</v>
      </c>
      <c r="DO88" t="e">
        <f>AND(#REF!,"AAAAAB91R3Y=")</f>
        <v>#REF!</v>
      </c>
      <c r="DP88" t="e">
        <f>AND(#REF!,"AAAAAB91R3c=")</f>
        <v>#REF!</v>
      </c>
      <c r="DQ88" t="e">
        <f>AND(#REF!,"AAAAAB91R3g=")</f>
        <v>#REF!</v>
      </c>
      <c r="DR88" t="e">
        <f>AND(#REF!,"AAAAAB91R3k=")</f>
        <v>#REF!</v>
      </c>
      <c r="DS88" t="e">
        <f>AND(#REF!,"AAAAAB91R3o=")</f>
        <v>#REF!</v>
      </c>
      <c r="DT88" t="e">
        <f>AND(#REF!,"AAAAAB91R3s=")</f>
        <v>#REF!</v>
      </c>
      <c r="DU88" t="e">
        <f>AND(#REF!,"AAAAAB91R3w=")</f>
        <v>#REF!</v>
      </c>
      <c r="DV88" t="e">
        <f>AND(#REF!,"AAAAAB91R30=")</f>
        <v>#REF!</v>
      </c>
      <c r="DW88" t="e">
        <f>AND(#REF!,"AAAAAB91R34=")</f>
        <v>#REF!</v>
      </c>
      <c r="DX88" t="e">
        <f>AND(#REF!,"AAAAAB91R38=")</f>
        <v>#REF!</v>
      </c>
      <c r="DY88" t="e">
        <f>AND(#REF!,"AAAAAB91R4A=")</f>
        <v>#REF!</v>
      </c>
      <c r="DZ88" t="e">
        <f>AND(#REF!,"AAAAAB91R4E=")</f>
        <v>#REF!</v>
      </c>
      <c r="EA88" t="e">
        <f>AND(#REF!,"AAAAAB91R4I=")</f>
        <v>#REF!</v>
      </c>
      <c r="EB88" t="e">
        <f>AND(#REF!,"AAAAAB91R4M=")</f>
        <v>#REF!</v>
      </c>
      <c r="EC88" t="e">
        <f>AND(#REF!,"AAAAAB91R4Q=")</f>
        <v>#REF!</v>
      </c>
      <c r="ED88" t="e">
        <f>AND(#REF!,"AAAAAB91R4U=")</f>
        <v>#REF!</v>
      </c>
      <c r="EE88" t="e">
        <f>AND(#REF!,"AAAAAB91R4Y=")</f>
        <v>#REF!</v>
      </c>
      <c r="EF88" t="e">
        <f>AND(#REF!,"AAAAAB91R4c=")</f>
        <v>#REF!</v>
      </c>
      <c r="EG88" t="e">
        <f>AND(#REF!,"AAAAAB91R4g=")</f>
        <v>#REF!</v>
      </c>
      <c r="EH88" t="e">
        <f>AND(#REF!,"AAAAAB91R4k=")</f>
        <v>#REF!</v>
      </c>
      <c r="EI88" t="e">
        <f>AND(#REF!,"AAAAAB91R4o=")</f>
        <v>#REF!</v>
      </c>
      <c r="EJ88" t="e">
        <f>AND(#REF!,"AAAAAB91R4s=")</f>
        <v>#REF!</v>
      </c>
      <c r="EK88" t="e">
        <f>AND(#REF!,"AAAAAB91R4w=")</f>
        <v>#REF!</v>
      </c>
      <c r="EL88" t="e">
        <f>AND(#REF!,"AAAAAB91R40=")</f>
        <v>#REF!</v>
      </c>
      <c r="EM88" t="e">
        <f>AND(#REF!,"AAAAAB91R44=")</f>
        <v>#REF!</v>
      </c>
      <c r="EN88" t="e">
        <f>AND(#REF!,"AAAAAB91R48=")</f>
        <v>#REF!</v>
      </c>
      <c r="EO88" t="e">
        <f>AND(#REF!,"AAAAAB91R5A=")</f>
        <v>#REF!</v>
      </c>
      <c r="EP88" t="e">
        <f>AND(#REF!,"AAAAAB91R5E=")</f>
        <v>#REF!</v>
      </c>
      <c r="EQ88" t="e">
        <f>AND(#REF!,"AAAAAB91R5I=")</f>
        <v>#REF!</v>
      </c>
      <c r="ER88" t="e">
        <f>AND(#REF!,"AAAAAB91R5M=")</f>
        <v>#REF!</v>
      </c>
      <c r="ES88" t="e">
        <f>AND(#REF!,"AAAAAB91R5Q=")</f>
        <v>#REF!</v>
      </c>
      <c r="ET88" t="e">
        <f>AND(#REF!,"AAAAAB91R5U=")</f>
        <v>#REF!</v>
      </c>
      <c r="EU88" t="e">
        <f>AND(#REF!,"AAAAAB91R5Y=")</f>
        <v>#REF!</v>
      </c>
      <c r="EV88" t="e">
        <f>AND(#REF!,"AAAAAB91R5c=")</f>
        <v>#REF!</v>
      </c>
      <c r="EW88" t="e">
        <f>AND(#REF!,"AAAAAB91R5g=")</f>
        <v>#REF!</v>
      </c>
      <c r="EX88" t="e">
        <f>AND(#REF!,"AAAAAB91R5k=")</f>
        <v>#REF!</v>
      </c>
      <c r="EY88" t="e">
        <f>AND(#REF!,"AAAAAB91R5o=")</f>
        <v>#REF!</v>
      </c>
      <c r="EZ88" t="e">
        <f>AND(#REF!,"AAAAAB91R5s=")</f>
        <v>#REF!</v>
      </c>
      <c r="FA88" t="e">
        <f>AND(#REF!,"AAAAAB91R5w=")</f>
        <v>#REF!</v>
      </c>
      <c r="FB88" t="e">
        <f>AND(#REF!,"AAAAAB91R50=")</f>
        <v>#REF!</v>
      </c>
      <c r="FC88" t="e">
        <f>AND(#REF!,"AAAAAB91R54=")</f>
        <v>#REF!</v>
      </c>
      <c r="FD88" t="e">
        <f>AND(#REF!,"AAAAAB91R58=")</f>
        <v>#REF!</v>
      </c>
      <c r="FE88" t="e">
        <f>AND(#REF!,"AAAAAB91R6A=")</f>
        <v>#REF!</v>
      </c>
      <c r="FF88" t="e">
        <f>AND(#REF!,"AAAAAB91R6E=")</f>
        <v>#REF!</v>
      </c>
      <c r="FG88" t="e">
        <f>AND(#REF!,"AAAAAB91R6I=")</f>
        <v>#REF!</v>
      </c>
      <c r="FH88" t="e">
        <f>AND(#REF!,"AAAAAB91R6M=")</f>
        <v>#REF!</v>
      </c>
      <c r="FI88" t="e">
        <f>AND(#REF!,"AAAAAB91R6Q=")</f>
        <v>#REF!</v>
      </c>
      <c r="FJ88" t="e">
        <f>AND(#REF!,"AAAAAB91R6U=")</f>
        <v>#REF!</v>
      </c>
      <c r="FK88" t="e">
        <f>AND(#REF!,"AAAAAB91R6Y=")</f>
        <v>#REF!</v>
      </c>
      <c r="FL88" t="e">
        <f>AND(#REF!,"AAAAAB91R6c=")</f>
        <v>#REF!</v>
      </c>
      <c r="FM88" t="e">
        <f>AND(#REF!,"AAAAAB91R6g=")</f>
        <v>#REF!</v>
      </c>
      <c r="FN88" t="e">
        <f>AND(#REF!,"AAAAAB91R6k=")</f>
        <v>#REF!</v>
      </c>
      <c r="FO88" t="e">
        <f>AND(#REF!,"AAAAAB91R6o=")</f>
        <v>#REF!</v>
      </c>
      <c r="FP88" t="e">
        <f>AND(#REF!,"AAAAAB91R6s=")</f>
        <v>#REF!</v>
      </c>
      <c r="FQ88" t="e">
        <f>AND(#REF!,"AAAAAB91R6w=")</f>
        <v>#REF!</v>
      </c>
      <c r="FR88" t="e">
        <f>AND(#REF!,"AAAAAB91R60=")</f>
        <v>#REF!</v>
      </c>
      <c r="FS88" t="e">
        <f>AND(#REF!,"AAAAAB91R64=")</f>
        <v>#REF!</v>
      </c>
      <c r="FT88" t="e">
        <f>AND(#REF!,"AAAAAB91R68=")</f>
        <v>#REF!</v>
      </c>
      <c r="FU88" t="e">
        <f>AND(#REF!,"AAAAAB91R7A=")</f>
        <v>#REF!</v>
      </c>
      <c r="FV88" t="e">
        <f>AND(#REF!,"AAAAAB91R7E=")</f>
        <v>#REF!</v>
      </c>
      <c r="FW88" t="e">
        <f>AND(#REF!,"AAAAAB91R7I=")</f>
        <v>#REF!</v>
      </c>
      <c r="FX88" t="e">
        <f>AND(#REF!,"AAAAAB91R7M=")</f>
        <v>#REF!</v>
      </c>
      <c r="FY88" t="e">
        <f>AND(#REF!,"AAAAAB91R7Q=")</f>
        <v>#REF!</v>
      </c>
      <c r="FZ88" t="e">
        <f>AND(#REF!,"AAAAAB91R7U=")</f>
        <v>#REF!</v>
      </c>
      <c r="GA88" t="e">
        <f>AND(#REF!,"AAAAAB91R7Y=")</f>
        <v>#REF!</v>
      </c>
      <c r="GB88" t="e">
        <f>AND(#REF!,"AAAAAB91R7c=")</f>
        <v>#REF!</v>
      </c>
      <c r="GC88" t="e">
        <f>AND(#REF!,"AAAAAB91R7g=")</f>
        <v>#REF!</v>
      </c>
      <c r="GD88" t="e">
        <f>AND(#REF!,"AAAAAB91R7k=")</f>
        <v>#REF!</v>
      </c>
      <c r="GE88" t="e">
        <f>AND(#REF!,"AAAAAB91R7o=")</f>
        <v>#REF!</v>
      </c>
      <c r="GF88" t="e">
        <f>AND(#REF!,"AAAAAB91R7s=")</f>
        <v>#REF!</v>
      </c>
      <c r="GG88" t="e">
        <f>AND(#REF!,"AAAAAB91R7w=")</f>
        <v>#REF!</v>
      </c>
      <c r="GH88" t="e">
        <f>IF(#REF!,"AAAAAB91R70=",0)</f>
        <v>#REF!</v>
      </c>
      <c r="GI88" t="e">
        <f>AND(#REF!,"AAAAAB91R74=")</f>
        <v>#REF!</v>
      </c>
      <c r="GJ88" t="e">
        <f>AND(#REF!,"AAAAAB91R78=")</f>
        <v>#REF!</v>
      </c>
      <c r="GK88" t="e">
        <f>AND(#REF!,"AAAAAB91R8A=")</f>
        <v>#REF!</v>
      </c>
      <c r="GL88" t="e">
        <f>AND(#REF!,"AAAAAB91R8E=")</f>
        <v>#REF!</v>
      </c>
      <c r="GM88" t="e">
        <f>AND(#REF!,"AAAAAB91R8I=")</f>
        <v>#REF!</v>
      </c>
      <c r="GN88" t="e">
        <f>AND(#REF!,"AAAAAB91R8M=")</f>
        <v>#REF!</v>
      </c>
      <c r="GO88" t="e">
        <f>AND(#REF!,"AAAAAB91R8Q=")</f>
        <v>#REF!</v>
      </c>
      <c r="GP88" t="e">
        <f>AND(#REF!,"AAAAAB91R8U=")</f>
        <v>#REF!</v>
      </c>
      <c r="GQ88" t="e">
        <f>AND(#REF!,"AAAAAB91R8Y=")</f>
        <v>#REF!</v>
      </c>
      <c r="GR88" t="e">
        <f>AND(#REF!,"AAAAAB91R8c=")</f>
        <v>#REF!</v>
      </c>
      <c r="GS88" t="e">
        <f>AND(#REF!,"AAAAAB91R8g=")</f>
        <v>#REF!</v>
      </c>
      <c r="GT88" t="e">
        <f>AND(#REF!,"AAAAAB91R8k=")</f>
        <v>#REF!</v>
      </c>
      <c r="GU88" t="e">
        <f>AND(#REF!,"AAAAAB91R8o=")</f>
        <v>#REF!</v>
      </c>
      <c r="GV88" t="e">
        <f>AND(#REF!,"AAAAAB91R8s=")</f>
        <v>#REF!</v>
      </c>
      <c r="GW88" t="e">
        <f>AND(#REF!,"AAAAAB91R8w=")</f>
        <v>#REF!</v>
      </c>
      <c r="GX88" t="e">
        <f>AND(#REF!,"AAAAAB91R80=")</f>
        <v>#REF!</v>
      </c>
      <c r="GY88" t="e">
        <f>AND(#REF!,"AAAAAB91R84=")</f>
        <v>#REF!</v>
      </c>
      <c r="GZ88" t="e">
        <f>AND(#REF!,"AAAAAB91R88=")</f>
        <v>#REF!</v>
      </c>
      <c r="HA88" t="e">
        <f>AND(#REF!,"AAAAAB91R9A=")</f>
        <v>#REF!</v>
      </c>
      <c r="HB88" t="e">
        <f>AND(#REF!,"AAAAAB91R9E=")</f>
        <v>#REF!</v>
      </c>
      <c r="HC88" t="e">
        <f>AND(#REF!,"AAAAAB91R9I=")</f>
        <v>#REF!</v>
      </c>
      <c r="HD88" t="e">
        <f>AND(#REF!,"AAAAAB91R9M=")</f>
        <v>#REF!</v>
      </c>
      <c r="HE88" t="e">
        <f>AND(#REF!,"AAAAAB91R9Q=")</f>
        <v>#REF!</v>
      </c>
      <c r="HF88" t="e">
        <f>AND(#REF!,"AAAAAB91R9U=")</f>
        <v>#REF!</v>
      </c>
      <c r="HG88" t="e">
        <f>AND(#REF!,"AAAAAB91R9Y=")</f>
        <v>#REF!</v>
      </c>
      <c r="HH88" t="e">
        <f>AND(#REF!,"AAAAAB91R9c=")</f>
        <v>#REF!</v>
      </c>
      <c r="HI88" t="e">
        <f>AND(#REF!,"AAAAAB91R9g=")</f>
        <v>#REF!</v>
      </c>
      <c r="HJ88" t="e">
        <f>AND(#REF!,"AAAAAB91R9k=")</f>
        <v>#REF!</v>
      </c>
      <c r="HK88" t="e">
        <f>AND(#REF!,"AAAAAB91R9o=")</f>
        <v>#REF!</v>
      </c>
      <c r="HL88" t="e">
        <f>AND(#REF!,"AAAAAB91R9s=")</f>
        <v>#REF!</v>
      </c>
      <c r="HM88" t="e">
        <f>AND(#REF!,"AAAAAB91R9w=")</f>
        <v>#REF!</v>
      </c>
      <c r="HN88" t="e">
        <f>AND(#REF!,"AAAAAB91R90=")</f>
        <v>#REF!</v>
      </c>
      <c r="HO88" t="e">
        <f>AND(#REF!,"AAAAAB91R94=")</f>
        <v>#REF!</v>
      </c>
      <c r="HP88" t="e">
        <f>AND(#REF!,"AAAAAB91R98=")</f>
        <v>#REF!</v>
      </c>
      <c r="HQ88" t="e">
        <f>AND(#REF!,"AAAAAB91R+A=")</f>
        <v>#REF!</v>
      </c>
      <c r="HR88" t="e">
        <f>AND(#REF!,"AAAAAB91R+E=")</f>
        <v>#REF!</v>
      </c>
      <c r="HS88" t="e">
        <f>AND(#REF!,"AAAAAB91R+I=")</f>
        <v>#REF!</v>
      </c>
      <c r="HT88" t="e">
        <f>AND(#REF!,"AAAAAB91R+M=")</f>
        <v>#REF!</v>
      </c>
      <c r="HU88" t="e">
        <f>AND(#REF!,"AAAAAB91R+Q=")</f>
        <v>#REF!</v>
      </c>
      <c r="HV88" t="e">
        <f>AND(#REF!,"AAAAAB91R+U=")</f>
        <v>#REF!</v>
      </c>
      <c r="HW88" t="e">
        <f>AND(#REF!,"AAAAAB91R+Y=")</f>
        <v>#REF!</v>
      </c>
      <c r="HX88" t="e">
        <f>AND(#REF!,"AAAAAB91R+c=")</f>
        <v>#REF!</v>
      </c>
      <c r="HY88" t="e">
        <f>AND(#REF!,"AAAAAB91R+g=")</f>
        <v>#REF!</v>
      </c>
      <c r="HZ88" t="e">
        <f>AND(#REF!,"AAAAAB91R+k=")</f>
        <v>#REF!</v>
      </c>
      <c r="IA88" t="e">
        <f>AND(#REF!,"AAAAAB91R+o=")</f>
        <v>#REF!</v>
      </c>
      <c r="IB88" t="e">
        <f>AND(#REF!,"AAAAAB91R+s=")</f>
        <v>#REF!</v>
      </c>
      <c r="IC88" t="e">
        <f>AND(#REF!,"AAAAAB91R+w=")</f>
        <v>#REF!</v>
      </c>
      <c r="ID88" t="e">
        <f>AND(#REF!,"AAAAAB91R+0=")</f>
        <v>#REF!</v>
      </c>
      <c r="IE88" t="e">
        <f>AND(#REF!,"AAAAAB91R+4=")</f>
        <v>#REF!</v>
      </c>
      <c r="IF88" t="e">
        <f>AND(#REF!,"AAAAAB91R+8=")</f>
        <v>#REF!</v>
      </c>
      <c r="IG88" t="e">
        <f>AND(#REF!,"AAAAAB91R/A=")</f>
        <v>#REF!</v>
      </c>
      <c r="IH88" t="e">
        <f>AND(#REF!,"AAAAAB91R/E=")</f>
        <v>#REF!</v>
      </c>
      <c r="II88" t="e">
        <f>AND(#REF!,"AAAAAB91R/I=")</f>
        <v>#REF!</v>
      </c>
      <c r="IJ88" t="e">
        <f>AND(#REF!,"AAAAAB91R/M=")</f>
        <v>#REF!</v>
      </c>
      <c r="IK88" t="e">
        <f>AND(#REF!,"AAAAAB91R/Q=")</f>
        <v>#REF!</v>
      </c>
      <c r="IL88" t="e">
        <f>AND(#REF!,"AAAAAB91R/U=")</f>
        <v>#REF!</v>
      </c>
      <c r="IM88" t="e">
        <f>AND(#REF!,"AAAAAB91R/Y=")</f>
        <v>#REF!</v>
      </c>
      <c r="IN88" t="e">
        <f>AND(#REF!,"AAAAAB91R/c=")</f>
        <v>#REF!</v>
      </c>
      <c r="IO88" t="e">
        <f>AND(#REF!,"AAAAAB91R/g=")</f>
        <v>#REF!</v>
      </c>
      <c r="IP88" t="e">
        <f>AND(#REF!,"AAAAAB91R/k=")</f>
        <v>#REF!</v>
      </c>
      <c r="IQ88" t="e">
        <f>AND(#REF!,"AAAAAB91R/o=")</f>
        <v>#REF!</v>
      </c>
      <c r="IR88" t="e">
        <f>AND(#REF!,"AAAAAB91R/s=")</f>
        <v>#REF!</v>
      </c>
      <c r="IS88" t="e">
        <f>AND(#REF!,"AAAAAB91R/w=")</f>
        <v>#REF!</v>
      </c>
      <c r="IT88" t="e">
        <f>AND(#REF!,"AAAAAB91R/0=")</f>
        <v>#REF!</v>
      </c>
      <c r="IU88" t="e">
        <f>AND(#REF!,"AAAAAB91R/4=")</f>
        <v>#REF!</v>
      </c>
      <c r="IV88" t="e">
        <f>AND(#REF!,"AAAAAB91R/8=")</f>
        <v>#REF!</v>
      </c>
    </row>
    <row r="89" spans="1:256" x14ac:dyDescent="0.2">
      <c r="A89" t="e">
        <f>AND(#REF!,"AAAAAD1/zwA=")</f>
        <v>#REF!</v>
      </c>
      <c r="B89" t="e">
        <f>AND(#REF!,"AAAAAD1/zwE=")</f>
        <v>#REF!</v>
      </c>
      <c r="C89" t="e">
        <f>AND(#REF!,"AAAAAD1/zwI=")</f>
        <v>#REF!</v>
      </c>
      <c r="D89" t="e">
        <f>AND(#REF!,"AAAAAD1/zwM=")</f>
        <v>#REF!</v>
      </c>
      <c r="E89" t="e">
        <f>AND(#REF!,"AAAAAD1/zwQ=")</f>
        <v>#REF!</v>
      </c>
      <c r="F89" t="e">
        <f>AND(#REF!,"AAAAAD1/zwU=")</f>
        <v>#REF!</v>
      </c>
      <c r="G89" t="e">
        <f>AND(#REF!,"AAAAAD1/zwY=")</f>
        <v>#REF!</v>
      </c>
      <c r="H89" t="e">
        <f>AND(#REF!,"AAAAAD1/zwc=")</f>
        <v>#REF!</v>
      </c>
      <c r="I89" t="e">
        <f>AND(#REF!,"AAAAAD1/zwg=")</f>
        <v>#REF!</v>
      </c>
      <c r="J89" t="e">
        <f>AND(#REF!,"AAAAAD1/zwk=")</f>
        <v>#REF!</v>
      </c>
      <c r="K89" t="e">
        <f>AND(#REF!,"AAAAAD1/zwo=")</f>
        <v>#REF!</v>
      </c>
      <c r="L89" t="e">
        <f>AND(#REF!,"AAAAAD1/zws=")</f>
        <v>#REF!</v>
      </c>
      <c r="M89" t="e">
        <f>AND(#REF!,"AAAAAD1/zww=")</f>
        <v>#REF!</v>
      </c>
      <c r="N89" t="e">
        <f>AND(#REF!,"AAAAAD1/zw0=")</f>
        <v>#REF!</v>
      </c>
      <c r="O89" t="e">
        <f>AND(#REF!,"AAAAAD1/zw4=")</f>
        <v>#REF!</v>
      </c>
      <c r="P89" t="e">
        <f>AND(#REF!,"AAAAAD1/zw8=")</f>
        <v>#REF!</v>
      </c>
      <c r="Q89" t="e">
        <f>AND(#REF!,"AAAAAD1/zxA=")</f>
        <v>#REF!</v>
      </c>
      <c r="R89" t="e">
        <f>AND(#REF!,"AAAAAD1/zxE=")</f>
        <v>#REF!</v>
      </c>
      <c r="S89" t="e">
        <f>AND(#REF!,"AAAAAD1/zxI=")</f>
        <v>#REF!</v>
      </c>
      <c r="T89" t="e">
        <f>AND(#REF!,"AAAAAD1/zxM=")</f>
        <v>#REF!</v>
      </c>
      <c r="U89" t="e">
        <f>AND(#REF!,"AAAAAD1/zxQ=")</f>
        <v>#REF!</v>
      </c>
      <c r="V89" t="e">
        <f>AND(#REF!,"AAAAAD1/zxU=")</f>
        <v>#REF!</v>
      </c>
      <c r="W89" t="e">
        <f>AND(#REF!,"AAAAAD1/zxY=")</f>
        <v>#REF!</v>
      </c>
      <c r="X89" t="e">
        <f>AND(#REF!,"AAAAAD1/zxc=")</f>
        <v>#REF!</v>
      </c>
      <c r="Y89" t="e">
        <f>AND(#REF!,"AAAAAD1/zxg=")</f>
        <v>#REF!</v>
      </c>
      <c r="Z89" t="e">
        <f>AND(#REF!,"AAAAAD1/zxk=")</f>
        <v>#REF!</v>
      </c>
      <c r="AA89" t="e">
        <f>AND(#REF!,"AAAAAD1/zxo=")</f>
        <v>#REF!</v>
      </c>
      <c r="AB89" t="e">
        <f>AND(#REF!,"AAAAAD1/zxs=")</f>
        <v>#REF!</v>
      </c>
      <c r="AC89" t="e">
        <f>AND(#REF!,"AAAAAD1/zxw=")</f>
        <v>#REF!</v>
      </c>
      <c r="AD89" t="e">
        <f>AND(#REF!,"AAAAAD1/zx0=")</f>
        <v>#REF!</v>
      </c>
      <c r="AE89" t="e">
        <f>AND(#REF!,"AAAAAD1/zx4=")</f>
        <v>#REF!</v>
      </c>
      <c r="AF89" t="e">
        <f>AND(#REF!,"AAAAAD1/zx8=")</f>
        <v>#REF!</v>
      </c>
      <c r="AG89" t="e">
        <f>AND(#REF!,"AAAAAD1/zyA=")</f>
        <v>#REF!</v>
      </c>
      <c r="AH89" t="e">
        <f>AND(#REF!,"AAAAAD1/zyE=")</f>
        <v>#REF!</v>
      </c>
      <c r="AI89" t="e">
        <f>AND(#REF!,"AAAAAD1/zyI=")</f>
        <v>#REF!</v>
      </c>
      <c r="AJ89" t="e">
        <f>AND(#REF!,"AAAAAD1/zyM=")</f>
        <v>#REF!</v>
      </c>
      <c r="AK89" t="e">
        <f>AND(#REF!,"AAAAAD1/zyQ=")</f>
        <v>#REF!</v>
      </c>
      <c r="AL89" t="e">
        <f>AND(#REF!,"AAAAAD1/zyU=")</f>
        <v>#REF!</v>
      </c>
      <c r="AM89" t="e">
        <f>AND(#REF!,"AAAAAD1/zyY=")</f>
        <v>#REF!</v>
      </c>
      <c r="AN89" t="e">
        <f>AND(#REF!,"AAAAAD1/zyc=")</f>
        <v>#REF!</v>
      </c>
      <c r="AO89" t="e">
        <f>AND(#REF!,"AAAAAD1/zyg=")</f>
        <v>#REF!</v>
      </c>
      <c r="AP89" t="e">
        <f>AND(#REF!,"AAAAAD1/zyk=")</f>
        <v>#REF!</v>
      </c>
      <c r="AQ89" t="e">
        <f>AND(#REF!,"AAAAAD1/zyo=")</f>
        <v>#REF!</v>
      </c>
      <c r="AR89" t="e">
        <f>AND(#REF!,"AAAAAD1/zys=")</f>
        <v>#REF!</v>
      </c>
      <c r="AS89" t="e">
        <f>AND(#REF!,"AAAAAD1/zyw=")</f>
        <v>#REF!</v>
      </c>
      <c r="AT89" t="e">
        <f>AND(#REF!,"AAAAAD1/zy0=")</f>
        <v>#REF!</v>
      </c>
      <c r="AU89" t="e">
        <f>AND(#REF!,"AAAAAD1/zy4=")</f>
        <v>#REF!</v>
      </c>
      <c r="AV89" t="e">
        <f>AND(#REF!,"AAAAAD1/zy8=")</f>
        <v>#REF!</v>
      </c>
      <c r="AW89" t="e">
        <f>AND(#REF!,"AAAAAD1/zzA=")</f>
        <v>#REF!</v>
      </c>
      <c r="AX89" t="e">
        <f>AND(#REF!,"AAAAAD1/zzE=")</f>
        <v>#REF!</v>
      </c>
      <c r="AY89" t="e">
        <f>AND(#REF!,"AAAAAD1/zzI=")</f>
        <v>#REF!</v>
      </c>
      <c r="AZ89" t="e">
        <f>AND(#REF!,"AAAAAD1/zzM=")</f>
        <v>#REF!</v>
      </c>
      <c r="BA89" t="e">
        <f>AND(#REF!,"AAAAAD1/zzQ=")</f>
        <v>#REF!</v>
      </c>
      <c r="BB89" t="e">
        <f>AND(#REF!,"AAAAAD1/zzU=")</f>
        <v>#REF!</v>
      </c>
      <c r="BC89" t="e">
        <f>AND(#REF!,"AAAAAD1/zzY=")</f>
        <v>#REF!</v>
      </c>
      <c r="BD89" t="e">
        <f>AND(#REF!,"AAAAAD1/zzc=")</f>
        <v>#REF!</v>
      </c>
      <c r="BE89" t="e">
        <f>AND(#REF!,"AAAAAD1/zzg=")</f>
        <v>#REF!</v>
      </c>
      <c r="BF89" t="e">
        <f>AND(#REF!,"AAAAAD1/zzk=")</f>
        <v>#REF!</v>
      </c>
      <c r="BG89" t="e">
        <f>AND(#REF!,"AAAAAD1/zzo=")</f>
        <v>#REF!</v>
      </c>
      <c r="BH89" t="e">
        <f>AND(#REF!,"AAAAAD1/zzs=")</f>
        <v>#REF!</v>
      </c>
      <c r="BI89" t="e">
        <f>AND(#REF!,"AAAAAD1/zzw=")</f>
        <v>#REF!</v>
      </c>
      <c r="BJ89" t="e">
        <f>AND(#REF!,"AAAAAD1/zz0=")</f>
        <v>#REF!</v>
      </c>
      <c r="BK89" t="e">
        <f>AND(#REF!,"AAAAAD1/zz4=")</f>
        <v>#REF!</v>
      </c>
      <c r="BL89" t="e">
        <f>AND(#REF!,"AAAAAD1/zz8=")</f>
        <v>#REF!</v>
      </c>
      <c r="BM89" t="e">
        <f>AND(#REF!,"AAAAAD1/z0A=")</f>
        <v>#REF!</v>
      </c>
      <c r="BN89" t="e">
        <f>AND(#REF!,"AAAAAD1/z0E=")</f>
        <v>#REF!</v>
      </c>
      <c r="BO89" t="e">
        <f>AND(#REF!,"AAAAAD1/z0I=")</f>
        <v>#REF!</v>
      </c>
      <c r="BP89" t="e">
        <f>AND(#REF!,"AAAAAD1/z0M=")</f>
        <v>#REF!</v>
      </c>
      <c r="BQ89" t="e">
        <f>AND(#REF!,"AAAAAD1/z0Q=")</f>
        <v>#REF!</v>
      </c>
      <c r="BR89" t="e">
        <f>AND(#REF!,"AAAAAD1/z0U=")</f>
        <v>#REF!</v>
      </c>
      <c r="BS89" t="e">
        <f>AND(#REF!,"AAAAAD1/z0Y=")</f>
        <v>#REF!</v>
      </c>
      <c r="BT89" t="e">
        <f>AND(#REF!,"AAAAAD1/z0c=")</f>
        <v>#REF!</v>
      </c>
      <c r="BU89" t="e">
        <f>AND(#REF!,"AAAAAD1/z0g=")</f>
        <v>#REF!</v>
      </c>
      <c r="BV89" t="e">
        <f>AND(#REF!,"AAAAAD1/z0k=")</f>
        <v>#REF!</v>
      </c>
      <c r="BW89" t="e">
        <f>AND(#REF!,"AAAAAD1/z0o=")</f>
        <v>#REF!</v>
      </c>
      <c r="BX89" t="e">
        <f>AND(#REF!,"AAAAAD1/z0s=")</f>
        <v>#REF!</v>
      </c>
      <c r="BY89" t="e">
        <f>AND(#REF!,"AAAAAD1/z0w=")</f>
        <v>#REF!</v>
      </c>
      <c r="BZ89" t="e">
        <f>AND(#REF!,"AAAAAD1/z00=")</f>
        <v>#REF!</v>
      </c>
      <c r="CA89" t="e">
        <f>AND(#REF!,"AAAAAD1/z04=")</f>
        <v>#REF!</v>
      </c>
      <c r="CB89" t="e">
        <f>AND(#REF!,"AAAAAD1/z08=")</f>
        <v>#REF!</v>
      </c>
      <c r="CC89" t="e">
        <f>AND(#REF!,"AAAAAD1/z1A=")</f>
        <v>#REF!</v>
      </c>
      <c r="CD89" t="e">
        <f>AND(#REF!,"AAAAAD1/z1E=")</f>
        <v>#REF!</v>
      </c>
      <c r="CE89" t="e">
        <f>AND(#REF!,"AAAAAD1/z1I=")</f>
        <v>#REF!</v>
      </c>
      <c r="CF89" t="e">
        <f>AND(#REF!,"AAAAAD1/z1M=")</f>
        <v>#REF!</v>
      </c>
      <c r="CG89" t="e">
        <f>AND(#REF!,"AAAAAD1/z1Q=")</f>
        <v>#REF!</v>
      </c>
      <c r="CH89" t="e">
        <f>AND(#REF!,"AAAAAD1/z1U=")</f>
        <v>#REF!</v>
      </c>
      <c r="CI89" t="e">
        <f>AND(#REF!,"AAAAAD1/z1Y=")</f>
        <v>#REF!</v>
      </c>
      <c r="CJ89" t="e">
        <f>AND(#REF!,"AAAAAD1/z1c=")</f>
        <v>#REF!</v>
      </c>
      <c r="CK89" t="e">
        <f>AND(#REF!,"AAAAAD1/z1g=")</f>
        <v>#REF!</v>
      </c>
      <c r="CL89" t="e">
        <f>AND(#REF!,"AAAAAD1/z1k=")</f>
        <v>#REF!</v>
      </c>
      <c r="CM89" t="e">
        <f>AND(#REF!,"AAAAAD1/z1o=")</f>
        <v>#REF!</v>
      </c>
      <c r="CN89" t="e">
        <f>AND(#REF!,"AAAAAD1/z1s=")</f>
        <v>#REF!</v>
      </c>
      <c r="CO89" t="e">
        <f>AND(#REF!,"AAAAAD1/z1w=")</f>
        <v>#REF!</v>
      </c>
      <c r="CP89" t="e">
        <f>AND(#REF!,"AAAAAD1/z10=")</f>
        <v>#REF!</v>
      </c>
      <c r="CQ89" t="e">
        <f>AND(#REF!,"AAAAAD1/z14=")</f>
        <v>#REF!</v>
      </c>
      <c r="CR89" t="e">
        <f>AND(#REF!,"AAAAAD1/z18=")</f>
        <v>#REF!</v>
      </c>
      <c r="CS89" t="e">
        <f>AND(#REF!,"AAAAAD1/z2A=")</f>
        <v>#REF!</v>
      </c>
      <c r="CT89" t="e">
        <f>AND(#REF!,"AAAAAD1/z2E=")</f>
        <v>#REF!</v>
      </c>
      <c r="CU89" t="e">
        <f>AND(#REF!,"AAAAAD1/z2I=")</f>
        <v>#REF!</v>
      </c>
      <c r="CV89" t="e">
        <f>AND(#REF!,"AAAAAD1/z2M=")</f>
        <v>#REF!</v>
      </c>
      <c r="CW89" t="e">
        <f>AND(#REF!,"AAAAAD1/z2Q=")</f>
        <v>#REF!</v>
      </c>
      <c r="CX89" t="e">
        <f>AND(#REF!,"AAAAAD1/z2U=")</f>
        <v>#REF!</v>
      </c>
      <c r="CY89" t="e">
        <f>AND(#REF!,"AAAAAD1/z2Y=")</f>
        <v>#REF!</v>
      </c>
      <c r="CZ89" t="e">
        <f>AND(#REF!,"AAAAAD1/z2c=")</f>
        <v>#REF!</v>
      </c>
      <c r="DA89" t="e">
        <f>AND(#REF!,"AAAAAD1/z2g=")</f>
        <v>#REF!</v>
      </c>
      <c r="DB89" t="e">
        <f>AND(#REF!,"AAAAAD1/z2k=")</f>
        <v>#REF!</v>
      </c>
      <c r="DC89" t="e">
        <f>AND(#REF!,"AAAAAD1/z2o=")</f>
        <v>#REF!</v>
      </c>
      <c r="DD89" t="e">
        <f>AND(#REF!,"AAAAAD1/z2s=")</f>
        <v>#REF!</v>
      </c>
      <c r="DE89" t="e">
        <f>AND(#REF!,"AAAAAD1/z2w=")</f>
        <v>#REF!</v>
      </c>
      <c r="DF89" t="e">
        <f>AND(#REF!,"AAAAAD1/z20=")</f>
        <v>#REF!</v>
      </c>
      <c r="DG89" t="e">
        <f>AND(#REF!,"AAAAAD1/z24=")</f>
        <v>#REF!</v>
      </c>
      <c r="DH89" t="e">
        <f>AND(#REF!,"AAAAAD1/z28=")</f>
        <v>#REF!</v>
      </c>
      <c r="DI89" t="e">
        <f>AND(#REF!,"AAAAAD1/z3A=")</f>
        <v>#REF!</v>
      </c>
      <c r="DJ89" t="e">
        <f>AND(#REF!,"AAAAAD1/z3E=")</f>
        <v>#REF!</v>
      </c>
      <c r="DK89" t="e">
        <f>IF(#REF!,"AAAAAD1/z3I=",0)</f>
        <v>#REF!</v>
      </c>
      <c r="DL89" t="e">
        <f>AND(#REF!,"AAAAAD1/z3M=")</f>
        <v>#REF!</v>
      </c>
      <c r="DM89" t="e">
        <f>AND(#REF!,"AAAAAD1/z3Q=")</f>
        <v>#REF!</v>
      </c>
      <c r="DN89" t="e">
        <f>AND(#REF!,"AAAAAD1/z3U=")</f>
        <v>#REF!</v>
      </c>
      <c r="DO89" t="e">
        <f>AND(#REF!,"AAAAAD1/z3Y=")</f>
        <v>#REF!</v>
      </c>
      <c r="DP89" t="e">
        <f>AND(#REF!,"AAAAAD1/z3c=")</f>
        <v>#REF!</v>
      </c>
      <c r="DQ89" t="e">
        <f>AND(#REF!,"AAAAAD1/z3g=")</f>
        <v>#REF!</v>
      </c>
      <c r="DR89" t="e">
        <f>AND(#REF!,"AAAAAD1/z3k=")</f>
        <v>#REF!</v>
      </c>
      <c r="DS89" t="e">
        <f>AND(#REF!,"AAAAAD1/z3o=")</f>
        <v>#REF!</v>
      </c>
      <c r="DT89" t="e">
        <f>AND(#REF!,"AAAAAD1/z3s=")</f>
        <v>#REF!</v>
      </c>
      <c r="DU89" t="e">
        <f>AND(#REF!,"AAAAAD1/z3w=")</f>
        <v>#REF!</v>
      </c>
      <c r="DV89" t="e">
        <f>AND(#REF!,"AAAAAD1/z30=")</f>
        <v>#REF!</v>
      </c>
      <c r="DW89" t="e">
        <f>AND(#REF!,"AAAAAD1/z34=")</f>
        <v>#REF!</v>
      </c>
      <c r="DX89" t="e">
        <f>AND(#REF!,"AAAAAD1/z38=")</f>
        <v>#REF!</v>
      </c>
      <c r="DY89" t="e">
        <f>AND(#REF!,"AAAAAD1/z4A=")</f>
        <v>#REF!</v>
      </c>
      <c r="DZ89" t="e">
        <f>AND(#REF!,"AAAAAD1/z4E=")</f>
        <v>#REF!</v>
      </c>
      <c r="EA89" t="e">
        <f>AND(#REF!,"AAAAAD1/z4I=")</f>
        <v>#REF!</v>
      </c>
      <c r="EB89" t="e">
        <f>AND(#REF!,"AAAAAD1/z4M=")</f>
        <v>#REF!</v>
      </c>
      <c r="EC89" t="e">
        <f>AND(#REF!,"AAAAAD1/z4Q=")</f>
        <v>#REF!</v>
      </c>
      <c r="ED89" t="e">
        <f>AND(#REF!,"AAAAAD1/z4U=")</f>
        <v>#REF!</v>
      </c>
      <c r="EE89" t="e">
        <f>AND(#REF!,"AAAAAD1/z4Y=")</f>
        <v>#REF!</v>
      </c>
      <c r="EF89" t="e">
        <f>AND(#REF!,"AAAAAD1/z4c=")</f>
        <v>#REF!</v>
      </c>
      <c r="EG89" t="e">
        <f>AND(#REF!,"AAAAAD1/z4g=")</f>
        <v>#REF!</v>
      </c>
      <c r="EH89" t="e">
        <f>AND(#REF!,"AAAAAD1/z4k=")</f>
        <v>#REF!</v>
      </c>
      <c r="EI89" t="e">
        <f>AND(#REF!,"AAAAAD1/z4o=")</f>
        <v>#REF!</v>
      </c>
      <c r="EJ89" t="e">
        <f>AND(#REF!,"AAAAAD1/z4s=")</f>
        <v>#REF!</v>
      </c>
      <c r="EK89" t="e">
        <f>AND(#REF!,"AAAAAD1/z4w=")</f>
        <v>#REF!</v>
      </c>
      <c r="EL89" t="e">
        <f>AND(#REF!,"AAAAAD1/z40=")</f>
        <v>#REF!</v>
      </c>
      <c r="EM89" t="e">
        <f>AND(#REF!,"AAAAAD1/z44=")</f>
        <v>#REF!</v>
      </c>
      <c r="EN89" t="e">
        <f>AND(#REF!,"AAAAAD1/z48=")</f>
        <v>#REF!</v>
      </c>
      <c r="EO89" t="e">
        <f>AND(#REF!,"AAAAAD1/z5A=")</f>
        <v>#REF!</v>
      </c>
      <c r="EP89" t="e">
        <f>AND(#REF!,"AAAAAD1/z5E=")</f>
        <v>#REF!</v>
      </c>
      <c r="EQ89" t="e">
        <f>AND(#REF!,"AAAAAD1/z5I=")</f>
        <v>#REF!</v>
      </c>
      <c r="ER89" t="e">
        <f>AND(#REF!,"AAAAAD1/z5M=")</f>
        <v>#REF!</v>
      </c>
      <c r="ES89" t="e">
        <f>AND(#REF!,"AAAAAD1/z5Q=")</f>
        <v>#REF!</v>
      </c>
      <c r="ET89" t="e">
        <f>AND(#REF!,"AAAAAD1/z5U=")</f>
        <v>#REF!</v>
      </c>
      <c r="EU89" t="e">
        <f>AND(#REF!,"AAAAAD1/z5Y=")</f>
        <v>#REF!</v>
      </c>
      <c r="EV89" t="e">
        <f>AND(#REF!,"AAAAAD1/z5c=")</f>
        <v>#REF!</v>
      </c>
      <c r="EW89" t="e">
        <f>AND(#REF!,"AAAAAD1/z5g=")</f>
        <v>#REF!</v>
      </c>
      <c r="EX89" t="e">
        <f>AND(#REF!,"AAAAAD1/z5k=")</f>
        <v>#REF!</v>
      </c>
      <c r="EY89" t="e">
        <f>AND(#REF!,"AAAAAD1/z5o=")</f>
        <v>#REF!</v>
      </c>
      <c r="EZ89" t="e">
        <f>AND(#REF!,"AAAAAD1/z5s=")</f>
        <v>#REF!</v>
      </c>
      <c r="FA89" t="e">
        <f>AND(#REF!,"AAAAAD1/z5w=")</f>
        <v>#REF!</v>
      </c>
      <c r="FB89" t="e">
        <f>AND(#REF!,"AAAAAD1/z50=")</f>
        <v>#REF!</v>
      </c>
      <c r="FC89" t="e">
        <f>AND(#REF!,"AAAAAD1/z54=")</f>
        <v>#REF!</v>
      </c>
      <c r="FD89" t="e">
        <f>AND(#REF!,"AAAAAD1/z58=")</f>
        <v>#REF!</v>
      </c>
      <c r="FE89" t="e">
        <f>AND(#REF!,"AAAAAD1/z6A=")</f>
        <v>#REF!</v>
      </c>
      <c r="FF89" t="e">
        <f>AND(#REF!,"AAAAAD1/z6E=")</f>
        <v>#REF!</v>
      </c>
      <c r="FG89" t="e">
        <f>AND(#REF!,"AAAAAD1/z6I=")</f>
        <v>#REF!</v>
      </c>
      <c r="FH89" t="e">
        <f>AND(#REF!,"AAAAAD1/z6M=")</f>
        <v>#REF!</v>
      </c>
      <c r="FI89" t="e">
        <f>AND(#REF!,"AAAAAD1/z6Q=")</f>
        <v>#REF!</v>
      </c>
      <c r="FJ89" t="e">
        <f>AND(#REF!,"AAAAAD1/z6U=")</f>
        <v>#REF!</v>
      </c>
      <c r="FK89" t="e">
        <f>AND(#REF!,"AAAAAD1/z6Y=")</f>
        <v>#REF!</v>
      </c>
      <c r="FL89" t="e">
        <f>AND(#REF!,"AAAAAD1/z6c=")</f>
        <v>#REF!</v>
      </c>
      <c r="FM89" t="e">
        <f>AND(#REF!,"AAAAAD1/z6g=")</f>
        <v>#REF!</v>
      </c>
      <c r="FN89" t="e">
        <f>AND(#REF!,"AAAAAD1/z6k=")</f>
        <v>#REF!</v>
      </c>
      <c r="FO89" t="e">
        <f>AND(#REF!,"AAAAAD1/z6o=")</f>
        <v>#REF!</v>
      </c>
      <c r="FP89" t="e">
        <f>AND(#REF!,"AAAAAD1/z6s=")</f>
        <v>#REF!</v>
      </c>
      <c r="FQ89" t="e">
        <f>AND(#REF!,"AAAAAD1/z6w=")</f>
        <v>#REF!</v>
      </c>
      <c r="FR89" t="e">
        <f>AND(#REF!,"AAAAAD1/z60=")</f>
        <v>#REF!</v>
      </c>
      <c r="FS89" t="e">
        <f>AND(#REF!,"AAAAAD1/z64=")</f>
        <v>#REF!</v>
      </c>
      <c r="FT89" t="e">
        <f>AND(#REF!,"AAAAAD1/z68=")</f>
        <v>#REF!</v>
      </c>
      <c r="FU89" t="e">
        <f>AND(#REF!,"AAAAAD1/z7A=")</f>
        <v>#REF!</v>
      </c>
      <c r="FV89" t="e">
        <f>AND(#REF!,"AAAAAD1/z7E=")</f>
        <v>#REF!</v>
      </c>
      <c r="FW89" t="e">
        <f>AND(#REF!,"AAAAAD1/z7I=")</f>
        <v>#REF!</v>
      </c>
      <c r="FX89" t="e">
        <f>AND(#REF!,"AAAAAD1/z7M=")</f>
        <v>#REF!</v>
      </c>
      <c r="FY89" t="e">
        <f>AND(#REF!,"AAAAAD1/z7Q=")</f>
        <v>#REF!</v>
      </c>
      <c r="FZ89" t="e">
        <f>AND(#REF!,"AAAAAD1/z7U=")</f>
        <v>#REF!</v>
      </c>
      <c r="GA89" t="e">
        <f>AND(#REF!,"AAAAAD1/z7Y=")</f>
        <v>#REF!</v>
      </c>
      <c r="GB89" t="e">
        <f>AND(#REF!,"AAAAAD1/z7c=")</f>
        <v>#REF!</v>
      </c>
      <c r="GC89" t="e">
        <f>AND(#REF!,"AAAAAD1/z7g=")</f>
        <v>#REF!</v>
      </c>
      <c r="GD89" t="e">
        <f>AND(#REF!,"AAAAAD1/z7k=")</f>
        <v>#REF!</v>
      </c>
      <c r="GE89" t="e">
        <f>AND(#REF!,"AAAAAD1/z7o=")</f>
        <v>#REF!</v>
      </c>
      <c r="GF89" t="e">
        <f>AND(#REF!,"AAAAAD1/z7s=")</f>
        <v>#REF!</v>
      </c>
      <c r="GG89" t="e">
        <f>AND(#REF!,"AAAAAD1/z7w=")</f>
        <v>#REF!</v>
      </c>
      <c r="GH89" t="e">
        <f>AND(#REF!,"AAAAAD1/z70=")</f>
        <v>#REF!</v>
      </c>
      <c r="GI89" t="e">
        <f>AND(#REF!,"AAAAAD1/z74=")</f>
        <v>#REF!</v>
      </c>
      <c r="GJ89" t="e">
        <f>AND(#REF!,"AAAAAD1/z78=")</f>
        <v>#REF!</v>
      </c>
      <c r="GK89" t="e">
        <f>AND(#REF!,"AAAAAD1/z8A=")</f>
        <v>#REF!</v>
      </c>
      <c r="GL89" t="e">
        <f>AND(#REF!,"AAAAAD1/z8E=")</f>
        <v>#REF!</v>
      </c>
      <c r="GM89" t="e">
        <f>AND(#REF!,"AAAAAD1/z8I=")</f>
        <v>#REF!</v>
      </c>
      <c r="GN89" t="e">
        <f>AND(#REF!,"AAAAAD1/z8M=")</f>
        <v>#REF!</v>
      </c>
      <c r="GO89" t="e">
        <f>AND(#REF!,"AAAAAD1/z8Q=")</f>
        <v>#REF!</v>
      </c>
      <c r="GP89" t="e">
        <f>AND(#REF!,"AAAAAD1/z8U=")</f>
        <v>#REF!</v>
      </c>
      <c r="GQ89" t="e">
        <f>AND(#REF!,"AAAAAD1/z8Y=")</f>
        <v>#REF!</v>
      </c>
      <c r="GR89" t="e">
        <f>AND(#REF!,"AAAAAD1/z8c=")</f>
        <v>#REF!</v>
      </c>
      <c r="GS89" t="e">
        <f>AND(#REF!,"AAAAAD1/z8g=")</f>
        <v>#REF!</v>
      </c>
      <c r="GT89" t="e">
        <f>AND(#REF!,"AAAAAD1/z8k=")</f>
        <v>#REF!</v>
      </c>
      <c r="GU89" t="e">
        <f>AND(#REF!,"AAAAAD1/z8o=")</f>
        <v>#REF!</v>
      </c>
      <c r="GV89" t="e">
        <f>AND(#REF!,"AAAAAD1/z8s=")</f>
        <v>#REF!</v>
      </c>
      <c r="GW89" t="e">
        <f>AND(#REF!,"AAAAAD1/z8w=")</f>
        <v>#REF!</v>
      </c>
      <c r="GX89" t="e">
        <f>AND(#REF!,"AAAAAD1/z80=")</f>
        <v>#REF!</v>
      </c>
      <c r="GY89" t="e">
        <f>AND(#REF!,"AAAAAD1/z84=")</f>
        <v>#REF!</v>
      </c>
      <c r="GZ89" t="e">
        <f>AND(#REF!,"AAAAAD1/z88=")</f>
        <v>#REF!</v>
      </c>
      <c r="HA89" t="e">
        <f>AND(#REF!,"AAAAAD1/z9A=")</f>
        <v>#REF!</v>
      </c>
      <c r="HB89" t="e">
        <f>AND(#REF!,"AAAAAD1/z9E=")</f>
        <v>#REF!</v>
      </c>
      <c r="HC89" t="e">
        <f>AND(#REF!,"AAAAAD1/z9I=")</f>
        <v>#REF!</v>
      </c>
      <c r="HD89" t="e">
        <f>AND(#REF!,"AAAAAD1/z9M=")</f>
        <v>#REF!</v>
      </c>
      <c r="HE89" t="e">
        <f>AND(#REF!,"AAAAAD1/z9Q=")</f>
        <v>#REF!</v>
      </c>
      <c r="HF89" t="e">
        <f>AND(#REF!,"AAAAAD1/z9U=")</f>
        <v>#REF!</v>
      </c>
      <c r="HG89" t="e">
        <f>AND(#REF!,"AAAAAD1/z9Y=")</f>
        <v>#REF!</v>
      </c>
      <c r="HH89" t="e">
        <f>AND(#REF!,"AAAAAD1/z9c=")</f>
        <v>#REF!</v>
      </c>
      <c r="HI89" t="e">
        <f>AND(#REF!,"AAAAAD1/z9g=")</f>
        <v>#REF!</v>
      </c>
      <c r="HJ89" t="e">
        <f>AND(#REF!,"AAAAAD1/z9k=")</f>
        <v>#REF!</v>
      </c>
      <c r="HK89" t="e">
        <f>AND(#REF!,"AAAAAD1/z9o=")</f>
        <v>#REF!</v>
      </c>
      <c r="HL89" t="e">
        <f>AND(#REF!,"AAAAAD1/z9s=")</f>
        <v>#REF!</v>
      </c>
      <c r="HM89" t="e">
        <f>AND(#REF!,"AAAAAD1/z9w=")</f>
        <v>#REF!</v>
      </c>
      <c r="HN89" t="e">
        <f>AND(#REF!,"AAAAAD1/z90=")</f>
        <v>#REF!</v>
      </c>
      <c r="HO89" t="e">
        <f>AND(#REF!,"AAAAAD1/z94=")</f>
        <v>#REF!</v>
      </c>
      <c r="HP89" t="e">
        <f>AND(#REF!,"AAAAAD1/z98=")</f>
        <v>#REF!</v>
      </c>
      <c r="HQ89" t="e">
        <f>AND(#REF!,"AAAAAD1/z+A=")</f>
        <v>#REF!</v>
      </c>
      <c r="HR89" t="e">
        <f>AND(#REF!,"AAAAAD1/z+E=")</f>
        <v>#REF!</v>
      </c>
      <c r="HS89" t="e">
        <f>AND(#REF!,"AAAAAD1/z+I=")</f>
        <v>#REF!</v>
      </c>
      <c r="HT89" t="e">
        <f>AND(#REF!,"AAAAAD1/z+M=")</f>
        <v>#REF!</v>
      </c>
      <c r="HU89" t="e">
        <f>AND(#REF!,"AAAAAD1/z+Q=")</f>
        <v>#REF!</v>
      </c>
      <c r="HV89" t="e">
        <f>AND(#REF!,"AAAAAD1/z+U=")</f>
        <v>#REF!</v>
      </c>
      <c r="HW89" t="e">
        <f>AND(#REF!,"AAAAAD1/z+Y=")</f>
        <v>#REF!</v>
      </c>
      <c r="HX89" t="e">
        <f>AND(#REF!,"AAAAAD1/z+c=")</f>
        <v>#REF!</v>
      </c>
      <c r="HY89" t="e">
        <f>AND(#REF!,"AAAAAD1/z+g=")</f>
        <v>#REF!</v>
      </c>
      <c r="HZ89" t="e">
        <f>AND(#REF!,"AAAAAD1/z+k=")</f>
        <v>#REF!</v>
      </c>
      <c r="IA89" t="e">
        <f>AND(#REF!,"AAAAAD1/z+o=")</f>
        <v>#REF!</v>
      </c>
      <c r="IB89" t="e">
        <f>AND(#REF!,"AAAAAD1/z+s=")</f>
        <v>#REF!</v>
      </c>
      <c r="IC89" t="e">
        <f>AND(#REF!,"AAAAAD1/z+w=")</f>
        <v>#REF!</v>
      </c>
      <c r="ID89" t="e">
        <f>AND(#REF!,"AAAAAD1/z+0=")</f>
        <v>#REF!</v>
      </c>
      <c r="IE89" t="e">
        <f>AND(#REF!,"AAAAAD1/z+4=")</f>
        <v>#REF!</v>
      </c>
      <c r="IF89" t="e">
        <f>AND(#REF!,"AAAAAD1/z+8=")</f>
        <v>#REF!</v>
      </c>
      <c r="IG89" t="e">
        <f>AND(#REF!,"AAAAAD1/z/A=")</f>
        <v>#REF!</v>
      </c>
      <c r="IH89" t="e">
        <f>AND(#REF!,"AAAAAD1/z/E=")</f>
        <v>#REF!</v>
      </c>
      <c r="II89" t="e">
        <f>AND(#REF!,"AAAAAD1/z/I=")</f>
        <v>#REF!</v>
      </c>
      <c r="IJ89" t="e">
        <f>AND(#REF!,"AAAAAD1/z/M=")</f>
        <v>#REF!</v>
      </c>
      <c r="IK89" t="e">
        <f>AND(#REF!,"AAAAAD1/z/Q=")</f>
        <v>#REF!</v>
      </c>
      <c r="IL89" t="e">
        <f>AND(#REF!,"AAAAAD1/z/U=")</f>
        <v>#REF!</v>
      </c>
      <c r="IM89" t="e">
        <f>AND(#REF!,"AAAAAD1/z/Y=")</f>
        <v>#REF!</v>
      </c>
      <c r="IN89" t="e">
        <f>AND(#REF!,"AAAAAD1/z/c=")</f>
        <v>#REF!</v>
      </c>
      <c r="IO89" t="e">
        <f>AND(#REF!,"AAAAAD1/z/g=")</f>
        <v>#REF!</v>
      </c>
      <c r="IP89" t="e">
        <f>AND(#REF!,"AAAAAD1/z/k=")</f>
        <v>#REF!</v>
      </c>
      <c r="IQ89" t="e">
        <f>AND(#REF!,"AAAAAD1/z/o=")</f>
        <v>#REF!</v>
      </c>
      <c r="IR89" t="e">
        <f>AND(#REF!,"AAAAAD1/z/s=")</f>
        <v>#REF!</v>
      </c>
      <c r="IS89" t="e">
        <f>AND(#REF!,"AAAAAD1/z/w=")</f>
        <v>#REF!</v>
      </c>
      <c r="IT89" t="e">
        <f>AND(#REF!,"AAAAAD1/z/0=")</f>
        <v>#REF!</v>
      </c>
      <c r="IU89" t="e">
        <f>AND(#REF!,"AAAAAD1/z/4=")</f>
        <v>#REF!</v>
      </c>
      <c r="IV89" t="e">
        <f>AND(#REF!,"AAAAAD1/z/8=")</f>
        <v>#REF!</v>
      </c>
    </row>
    <row r="90" spans="1:256" x14ac:dyDescent="0.2">
      <c r="A90" t="e">
        <f>AND(#REF!,"AAAAAH/zuwA=")</f>
        <v>#REF!</v>
      </c>
      <c r="B90" t="e">
        <f>AND(#REF!,"AAAAAH/zuwE=")</f>
        <v>#REF!</v>
      </c>
      <c r="C90" t="e">
        <f>AND(#REF!,"AAAAAH/zuwI=")</f>
        <v>#REF!</v>
      </c>
      <c r="D90" t="e">
        <f>AND(#REF!,"AAAAAH/zuwM=")</f>
        <v>#REF!</v>
      </c>
      <c r="E90" t="e">
        <f>AND(#REF!,"AAAAAH/zuwQ=")</f>
        <v>#REF!</v>
      </c>
      <c r="F90" t="e">
        <f>AND(#REF!,"AAAAAH/zuwU=")</f>
        <v>#REF!</v>
      </c>
      <c r="G90" t="e">
        <f>AND(#REF!,"AAAAAH/zuwY=")</f>
        <v>#REF!</v>
      </c>
      <c r="H90" t="e">
        <f>AND(#REF!,"AAAAAH/zuwc=")</f>
        <v>#REF!</v>
      </c>
      <c r="I90" t="e">
        <f>AND(#REF!,"AAAAAH/zuwg=")</f>
        <v>#REF!</v>
      </c>
      <c r="J90" t="e">
        <f>AND(#REF!,"AAAAAH/zuwk=")</f>
        <v>#REF!</v>
      </c>
      <c r="K90" t="e">
        <f>AND(#REF!,"AAAAAH/zuwo=")</f>
        <v>#REF!</v>
      </c>
      <c r="L90" t="e">
        <f>AND(#REF!,"AAAAAH/zuws=")</f>
        <v>#REF!</v>
      </c>
      <c r="M90" t="e">
        <f>AND(#REF!,"AAAAAH/zuww=")</f>
        <v>#REF!</v>
      </c>
      <c r="N90" t="e">
        <f>AND(#REF!,"AAAAAH/zuw0=")</f>
        <v>#REF!</v>
      </c>
      <c r="O90" t="e">
        <f>AND(#REF!,"AAAAAH/zuw4=")</f>
        <v>#REF!</v>
      </c>
      <c r="P90" t="e">
        <f>AND(#REF!,"AAAAAH/zuw8=")</f>
        <v>#REF!</v>
      </c>
      <c r="Q90" t="e">
        <f>AND(#REF!,"AAAAAH/zuxA=")</f>
        <v>#REF!</v>
      </c>
      <c r="R90" t="e">
        <f>AND(#REF!,"AAAAAH/zuxE=")</f>
        <v>#REF!</v>
      </c>
      <c r="S90" t="e">
        <f>AND(#REF!,"AAAAAH/zuxI=")</f>
        <v>#REF!</v>
      </c>
      <c r="T90" t="e">
        <f>AND(#REF!,"AAAAAH/zuxM=")</f>
        <v>#REF!</v>
      </c>
      <c r="U90" t="e">
        <f>AND(#REF!,"AAAAAH/zuxQ=")</f>
        <v>#REF!</v>
      </c>
      <c r="V90" t="e">
        <f>AND(#REF!,"AAAAAH/zuxU=")</f>
        <v>#REF!</v>
      </c>
      <c r="W90" t="e">
        <f>AND(#REF!,"AAAAAH/zuxY=")</f>
        <v>#REF!</v>
      </c>
      <c r="X90" t="e">
        <f>AND(#REF!,"AAAAAH/zuxc=")</f>
        <v>#REF!</v>
      </c>
      <c r="Y90" t="e">
        <f>AND(#REF!,"AAAAAH/zuxg=")</f>
        <v>#REF!</v>
      </c>
      <c r="Z90" t="e">
        <f>AND(#REF!,"AAAAAH/zuxk=")</f>
        <v>#REF!</v>
      </c>
      <c r="AA90" t="e">
        <f>AND(#REF!,"AAAAAH/zuxo=")</f>
        <v>#REF!</v>
      </c>
      <c r="AB90" t="e">
        <f>AND(#REF!,"AAAAAH/zuxs=")</f>
        <v>#REF!</v>
      </c>
      <c r="AC90" t="e">
        <f>AND(#REF!,"AAAAAH/zuxw=")</f>
        <v>#REF!</v>
      </c>
      <c r="AD90" t="e">
        <f>AND(#REF!,"AAAAAH/zux0=")</f>
        <v>#REF!</v>
      </c>
      <c r="AE90" t="e">
        <f>AND(#REF!,"AAAAAH/zux4=")</f>
        <v>#REF!</v>
      </c>
      <c r="AF90" t="e">
        <f>AND(#REF!,"AAAAAH/zux8=")</f>
        <v>#REF!</v>
      </c>
      <c r="AG90" t="e">
        <f>AND(#REF!,"AAAAAH/zuyA=")</f>
        <v>#REF!</v>
      </c>
      <c r="AH90" t="e">
        <f>AND(#REF!,"AAAAAH/zuyE=")</f>
        <v>#REF!</v>
      </c>
      <c r="AI90" t="e">
        <f>AND(#REF!,"AAAAAH/zuyI=")</f>
        <v>#REF!</v>
      </c>
      <c r="AJ90" t="e">
        <f>AND(#REF!,"AAAAAH/zuyM=")</f>
        <v>#REF!</v>
      </c>
      <c r="AK90" t="e">
        <f>AND(#REF!,"AAAAAH/zuyQ=")</f>
        <v>#REF!</v>
      </c>
      <c r="AL90" t="e">
        <f>AND(#REF!,"AAAAAH/zuyU=")</f>
        <v>#REF!</v>
      </c>
      <c r="AM90" t="e">
        <f>AND(#REF!,"AAAAAH/zuyY=")</f>
        <v>#REF!</v>
      </c>
      <c r="AN90" t="e">
        <f>IF(#REF!,"AAAAAH/zuyc=",0)</f>
        <v>#REF!</v>
      </c>
      <c r="AO90" t="e">
        <f>AND(#REF!,"AAAAAH/zuyg=")</f>
        <v>#REF!</v>
      </c>
      <c r="AP90" t="e">
        <f>AND(#REF!,"AAAAAH/zuyk=")</f>
        <v>#REF!</v>
      </c>
      <c r="AQ90" t="e">
        <f>AND(#REF!,"AAAAAH/zuyo=")</f>
        <v>#REF!</v>
      </c>
      <c r="AR90" t="e">
        <f>AND(#REF!,"AAAAAH/zuys=")</f>
        <v>#REF!</v>
      </c>
      <c r="AS90" t="e">
        <f>AND(#REF!,"AAAAAH/zuyw=")</f>
        <v>#REF!</v>
      </c>
      <c r="AT90" t="e">
        <f>AND(#REF!,"AAAAAH/zuy0=")</f>
        <v>#REF!</v>
      </c>
      <c r="AU90" t="e">
        <f>AND(#REF!,"AAAAAH/zuy4=")</f>
        <v>#REF!</v>
      </c>
      <c r="AV90" t="e">
        <f>AND(#REF!,"AAAAAH/zuy8=")</f>
        <v>#REF!</v>
      </c>
      <c r="AW90" t="e">
        <f>AND(#REF!,"AAAAAH/zuzA=")</f>
        <v>#REF!</v>
      </c>
      <c r="AX90" t="e">
        <f>AND(#REF!,"AAAAAH/zuzE=")</f>
        <v>#REF!</v>
      </c>
      <c r="AY90" t="e">
        <f>AND(#REF!,"AAAAAH/zuzI=")</f>
        <v>#REF!</v>
      </c>
      <c r="AZ90" t="e">
        <f>AND(#REF!,"AAAAAH/zuzM=")</f>
        <v>#REF!</v>
      </c>
      <c r="BA90" t="e">
        <f>AND(#REF!,"AAAAAH/zuzQ=")</f>
        <v>#REF!</v>
      </c>
      <c r="BB90" t="e">
        <f>AND(#REF!,"AAAAAH/zuzU=")</f>
        <v>#REF!</v>
      </c>
      <c r="BC90" t="e">
        <f>AND(#REF!,"AAAAAH/zuzY=")</f>
        <v>#REF!</v>
      </c>
      <c r="BD90" t="e">
        <f>AND(#REF!,"AAAAAH/zuzc=")</f>
        <v>#REF!</v>
      </c>
      <c r="BE90" t="e">
        <f>AND(#REF!,"AAAAAH/zuzg=")</f>
        <v>#REF!</v>
      </c>
      <c r="BF90" t="e">
        <f>AND(#REF!,"AAAAAH/zuzk=")</f>
        <v>#REF!</v>
      </c>
      <c r="BG90" t="e">
        <f>AND(#REF!,"AAAAAH/zuzo=")</f>
        <v>#REF!</v>
      </c>
      <c r="BH90" t="e">
        <f>AND(#REF!,"AAAAAH/zuzs=")</f>
        <v>#REF!</v>
      </c>
      <c r="BI90" t="e">
        <f>AND(#REF!,"AAAAAH/zuzw=")</f>
        <v>#REF!</v>
      </c>
      <c r="BJ90" t="e">
        <f>AND(#REF!,"AAAAAH/zuz0=")</f>
        <v>#REF!</v>
      </c>
      <c r="BK90" t="e">
        <f>AND(#REF!,"AAAAAH/zuz4=")</f>
        <v>#REF!</v>
      </c>
      <c r="BL90" t="e">
        <f>AND(#REF!,"AAAAAH/zuz8=")</f>
        <v>#REF!</v>
      </c>
      <c r="BM90" t="e">
        <f>AND(#REF!,"AAAAAH/zu0A=")</f>
        <v>#REF!</v>
      </c>
      <c r="BN90" t="e">
        <f>AND(#REF!,"AAAAAH/zu0E=")</f>
        <v>#REF!</v>
      </c>
      <c r="BO90" t="e">
        <f>AND(#REF!,"AAAAAH/zu0I=")</f>
        <v>#REF!</v>
      </c>
      <c r="BP90" t="e">
        <f>AND(#REF!,"AAAAAH/zu0M=")</f>
        <v>#REF!</v>
      </c>
      <c r="BQ90" t="e">
        <f>AND(#REF!,"AAAAAH/zu0Q=")</f>
        <v>#REF!</v>
      </c>
      <c r="BR90" t="e">
        <f>AND(#REF!,"AAAAAH/zu0U=")</f>
        <v>#REF!</v>
      </c>
      <c r="BS90" t="e">
        <f>AND(#REF!,"AAAAAH/zu0Y=")</f>
        <v>#REF!</v>
      </c>
      <c r="BT90" t="e">
        <f>AND(#REF!,"AAAAAH/zu0c=")</f>
        <v>#REF!</v>
      </c>
      <c r="BU90" t="e">
        <f>AND(#REF!,"AAAAAH/zu0g=")</f>
        <v>#REF!</v>
      </c>
      <c r="BV90" t="e">
        <f>AND(#REF!,"AAAAAH/zu0k=")</f>
        <v>#REF!</v>
      </c>
      <c r="BW90" t="e">
        <f>AND(#REF!,"AAAAAH/zu0o=")</f>
        <v>#REF!</v>
      </c>
      <c r="BX90" t="e">
        <f>AND(#REF!,"AAAAAH/zu0s=")</f>
        <v>#REF!</v>
      </c>
      <c r="BY90" t="e">
        <f>AND(#REF!,"AAAAAH/zu0w=")</f>
        <v>#REF!</v>
      </c>
      <c r="BZ90" t="e">
        <f>AND(#REF!,"AAAAAH/zu00=")</f>
        <v>#REF!</v>
      </c>
      <c r="CA90" t="e">
        <f>AND(#REF!,"AAAAAH/zu04=")</f>
        <v>#REF!</v>
      </c>
      <c r="CB90" t="e">
        <f>AND(#REF!,"AAAAAH/zu08=")</f>
        <v>#REF!</v>
      </c>
      <c r="CC90" t="e">
        <f>AND(#REF!,"AAAAAH/zu1A=")</f>
        <v>#REF!</v>
      </c>
      <c r="CD90" t="e">
        <f>AND(#REF!,"AAAAAH/zu1E=")</f>
        <v>#REF!</v>
      </c>
      <c r="CE90" t="e">
        <f>AND(#REF!,"AAAAAH/zu1I=")</f>
        <v>#REF!</v>
      </c>
      <c r="CF90" t="e">
        <f>AND(#REF!,"AAAAAH/zu1M=")</f>
        <v>#REF!</v>
      </c>
      <c r="CG90" t="e">
        <f>AND(#REF!,"AAAAAH/zu1Q=")</f>
        <v>#REF!</v>
      </c>
      <c r="CH90" t="e">
        <f>AND(#REF!,"AAAAAH/zu1U=")</f>
        <v>#REF!</v>
      </c>
      <c r="CI90" t="e">
        <f>AND(#REF!,"AAAAAH/zu1Y=")</f>
        <v>#REF!</v>
      </c>
      <c r="CJ90" t="e">
        <f>AND(#REF!,"AAAAAH/zu1c=")</f>
        <v>#REF!</v>
      </c>
      <c r="CK90" t="e">
        <f>AND(#REF!,"AAAAAH/zu1g=")</f>
        <v>#REF!</v>
      </c>
      <c r="CL90" t="e">
        <f>AND(#REF!,"AAAAAH/zu1k=")</f>
        <v>#REF!</v>
      </c>
      <c r="CM90" t="e">
        <f>AND(#REF!,"AAAAAH/zu1o=")</f>
        <v>#REF!</v>
      </c>
      <c r="CN90" t="e">
        <f>AND(#REF!,"AAAAAH/zu1s=")</f>
        <v>#REF!</v>
      </c>
      <c r="CO90" t="e">
        <f>AND(#REF!,"AAAAAH/zu1w=")</f>
        <v>#REF!</v>
      </c>
      <c r="CP90" t="e">
        <f>AND(#REF!,"AAAAAH/zu10=")</f>
        <v>#REF!</v>
      </c>
      <c r="CQ90" t="e">
        <f>AND(#REF!,"AAAAAH/zu14=")</f>
        <v>#REF!</v>
      </c>
      <c r="CR90" t="e">
        <f>AND(#REF!,"AAAAAH/zu18=")</f>
        <v>#REF!</v>
      </c>
      <c r="CS90" t="e">
        <f>AND(#REF!,"AAAAAH/zu2A=")</f>
        <v>#REF!</v>
      </c>
      <c r="CT90" t="e">
        <f>AND(#REF!,"AAAAAH/zu2E=")</f>
        <v>#REF!</v>
      </c>
      <c r="CU90" t="e">
        <f>AND(#REF!,"AAAAAH/zu2I=")</f>
        <v>#REF!</v>
      </c>
      <c r="CV90" t="e">
        <f>AND(#REF!,"AAAAAH/zu2M=")</f>
        <v>#REF!</v>
      </c>
      <c r="CW90" t="e">
        <f>AND(#REF!,"AAAAAH/zu2Q=")</f>
        <v>#REF!</v>
      </c>
      <c r="CX90" t="e">
        <f>AND(#REF!,"AAAAAH/zu2U=")</f>
        <v>#REF!</v>
      </c>
      <c r="CY90" t="e">
        <f>AND(#REF!,"AAAAAH/zu2Y=")</f>
        <v>#REF!</v>
      </c>
      <c r="CZ90" t="e">
        <f>AND(#REF!,"AAAAAH/zu2c=")</f>
        <v>#REF!</v>
      </c>
      <c r="DA90" t="e">
        <f>AND(#REF!,"AAAAAH/zu2g=")</f>
        <v>#REF!</v>
      </c>
      <c r="DB90" t="e">
        <f>AND(#REF!,"AAAAAH/zu2k=")</f>
        <v>#REF!</v>
      </c>
      <c r="DC90" t="e">
        <f>AND(#REF!,"AAAAAH/zu2o=")</f>
        <v>#REF!</v>
      </c>
      <c r="DD90" t="e">
        <f>AND(#REF!,"AAAAAH/zu2s=")</f>
        <v>#REF!</v>
      </c>
      <c r="DE90" t="e">
        <f>AND(#REF!,"AAAAAH/zu2w=")</f>
        <v>#REF!</v>
      </c>
      <c r="DF90" t="e">
        <f>AND(#REF!,"AAAAAH/zu20=")</f>
        <v>#REF!</v>
      </c>
      <c r="DG90" t="e">
        <f>AND(#REF!,"AAAAAH/zu24=")</f>
        <v>#REF!</v>
      </c>
      <c r="DH90" t="e">
        <f>AND(#REF!,"AAAAAH/zu28=")</f>
        <v>#REF!</v>
      </c>
      <c r="DI90" t="e">
        <f>AND(#REF!,"AAAAAH/zu3A=")</f>
        <v>#REF!</v>
      </c>
      <c r="DJ90" t="e">
        <f>AND(#REF!,"AAAAAH/zu3E=")</f>
        <v>#REF!</v>
      </c>
      <c r="DK90" t="e">
        <f>AND(#REF!,"AAAAAH/zu3I=")</f>
        <v>#REF!</v>
      </c>
      <c r="DL90" t="e">
        <f>AND(#REF!,"AAAAAH/zu3M=")</f>
        <v>#REF!</v>
      </c>
      <c r="DM90" t="e">
        <f>AND(#REF!,"AAAAAH/zu3Q=")</f>
        <v>#REF!</v>
      </c>
      <c r="DN90" t="e">
        <f>AND(#REF!,"AAAAAH/zu3U=")</f>
        <v>#REF!</v>
      </c>
      <c r="DO90" t="e">
        <f>AND(#REF!,"AAAAAH/zu3Y=")</f>
        <v>#REF!</v>
      </c>
      <c r="DP90" t="e">
        <f>AND(#REF!,"AAAAAH/zu3c=")</f>
        <v>#REF!</v>
      </c>
      <c r="DQ90" t="e">
        <f>AND(#REF!,"AAAAAH/zu3g=")</f>
        <v>#REF!</v>
      </c>
      <c r="DR90" t="e">
        <f>AND(#REF!,"AAAAAH/zu3k=")</f>
        <v>#REF!</v>
      </c>
      <c r="DS90" t="e">
        <f>AND(#REF!,"AAAAAH/zu3o=")</f>
        <v>#REF!</v>
      </c>
      <c r="DT90" t="e">
        <f>AND(#REF!,"AAAAAH/zu3s=")</f>
        <v>#REF!</v>
      </c>
      <c r="DU90" t="e">
        <f>AND(#REF!,"AAAAAH/zu3w=")</f>
        <v>#REF!</v>
      </c>
      <c r="DV90" t="e">
        <f>AND(#REF!,"AAAAAH/zu30=")</f>
        <v>#REF!</v>
      </c>
      <c r="DW90" t="e">
        <f>AND(#REF!,"AAAAAH/zu34=")</f>
        <v>#REF!</v>
      </c>
      <c r="DX90" t="e">
        <f>AND(#REF!,"AAAAAH/zu38=")</f>
        <v>#REF!</v>
      </c>
      <c r="DY90" t="e">
        <f>AND(#REF!,"AAAAAH/zu4A=")</f>
        <v>#REF!</v>
      </c>
      <c r="DZ90" t="e">
        <f>AND(#REF!,"AAAAAH/zu4E=")</f>
        <v>#REF!</v>
      </c>
      <c r="EA90" t="e">
        <f>AND(#REF!,"AAAAAH/zu4I=")</f>
        <v>#REF!</v>
      </c>
      <c r="EB90" t="e">
        <f>AND(#REF!,"AAAAAH/zu4M=")</f>
        <v>#REF!</v>
      </c>
      <c r="EC90" t="e">
        <f>AND(#REF!,"AAAAAH/zu4Q=")</f>
        <v>#REF!</v>
      </c>
      <c r="ED90" t="e">
        <f>AND(#REF!,"AAAAAH/zu4U=")</f>
        <v>#REF!</v>
      </c>
      <c r="EE90" t="e">
        <f>AND(#REF!,"AAAAAH/zu4Y=")</f>
        <v>#REF!</v>
      </c>
      <c r="EF90" t="e">
        <f>AND(#REF!,"AAAAAH/zu4c=")</f>
        <v>#REF!</v>
      </c>
      <c r="EG90" t="e">
        <f>AND(#REF!,"AAAAAH/zu4g=")</f>
        <v>#REF!</v>
      </c>
      <c r="EH90" t="e">
        <f>AND(#REF!,"AAAAAH/zu4k=")</f>
        <v>#REF!</v>
      </c>
      <c r="EI90" t="e">
        <f>AND(#REF!,"AAAAAH/zu4o=")</f>
        <v>#REF!</v>
      </c>
      <c r="EJ90" t="e">
        <f>AND(#REF!,"AAAAAH/zu4s=")</f>
        <v>#REF!</v>
      </c>
      <c r="EK90" t="e">
        <f>AND(#REF!,"AAAAAH/zu4w=")</f>
        <v>#REF!</v>
      </c>
      <c r="EL90" t="e">
        <f>AND(#REF!,"AAAAAH/zu40=")</f>
        <v>#REF!</v>
      </c>
      <c r="EM90" t="e">
        <f>AND(#REF!,"AAAAAH/zu44=")</f>
        <v>#REF!</v>
      </c>
      <c r="EN90" t="e">
        <f>AND(#REF!,"AAAAAH/zu48=")</f>
        <v>#REF!</v>
      </c>
      <c r="EO90" t="e">
        <f>AND(#REF!,"AAAAAH/zu5A=")</f>
        <v>#REF!</v>
      </c>
      <c r="EP90" t="e">
        <f>AND(#REF!,"AAAAAH/zu5E=")</f>
        <v>#REF!</v>
      </c>
      <c r="EQ90" t="e">
        <f>AND(#REF!,"AAAAAH/zu5I=")</f>
        <v>#REF!</v>
      </c>
      <c r="ER90" t="e">
        <f>AND(#REF!,"AAAAAH/zu5M=")</f>
        <v>#REF!</v>
      </c>
      <c r="ES90" t="e">
        <f>AND(#REF!,"AAAAAH/zu5Q=")</f>
        <v>#REF!</v>
      </c>
      <c r="ET90" t="e">
        <f>AND(#REF!,"AAAAAH/zu5U=")</f>
        <v>#REF!</v>
      </c>
      <c r="EU90" t="e">
        <f>AND(#REF!,"AAAAAH/zu5Y=")</f>
        <v>#REF!</v>
      </c>
      <c r="EV90" t="e">
        <f>AND(#REF!,"AAAAAH/zu5c=")</f>
        <v>#REF!</v>
      </c>
      <c r="EW90" t="e">
        <f>AND(#REF!,"AAAAAH/zu5g=")</f>
        <v>#REF!</v>
      </c>
      <c r="EX90" t="e">
        <f>AND(#REF!,"AAAAAH/zu5k=")</f>
        <v>#REF!</v>
      </c>
      <c r="EY90" t="e">
        <f>AND(#REF!,"AAAAAH/zu5o=")</f>
        <v>#REF!</v>
      </c>
      <c r="EZ90" t="e">
        <f>AND(#REF!,"AAAAAH/zu5s=")</f>
        <v>#REF!</v>
      </c>
      <c r="FA90" t="e">
        <f>AND(#REF!,"AAAAAH/zu5w=")</f>
        <v>#REF!</v>
      </c>
      <c r="FB90" t="e">
        <f>AND(#REF!,"AAAAAH/zu50=")</f>
        <v>#REF!</v>
      </c>
      <c r="FC90" t="e">
        <f>AND(#REF!,"AAAAAH/zu54=")</f>
        <v>#REF!</v>
      </c>
      <c r="FD90" t="e">
        <f>AND(#REF!,"AAAAAH/zu58=")</f>
        <v>#REF!</v>
      </c>
      <c r="FE90" t="e">
        <f>AND(#REF!,"AAAAAH/zu6A=")</f>
        <v>#REF!</v>
      </c>
      <c r="FF90" t="e">
        <f>AND(#REF!,"AAAAAH/zu6E=")</f>
        <v>#REF!</v>
      </c>
      <c r="FG90" t="e">
        <f>AND(#REF!,"AAAAAH/zu6I=")</f>
        <v>#REF!</v>
      </c>
      <c r="FH90" t="e">
        <f>AND(#REF!,"AAAAAH/zu6M=")</f>
        <v>#REF!</v>
      </c>
      <c r="FI90" t="e">
        <f>AND(#REF!,"AAAAAH/zu6Q=")</f>
        <v>#REF!</v>
      </c>
      <c r="FJ90" t="e">
        <f>AND(#REF!,"AAAAAH/zu6U=")</f>
        <v>#REF!</v>
      </c>
      <c r="FK90" t="e">
        <f>AND(#REF!,"AAAAAH/zu6Y=")</f>
        <v>#REF!</v>
      </c>
      <c r="FL90" t="e">
        <f>AND(#REF!,"AAAAAH/zu6c=")</f>
        <v>#REF!</v>
      </c>
      <c r="FM90" t="e">
        <f>AND(#REF!,"AAAAAH/zu6g=")</f>
        <v>#REF!</v>
      </c>
      <c r="FN90" t="e">
        <f>AND(#REF!,"AAAAAH/zu6k=")</f>
        <v>#REF!</v>
      </c>
      <c r="FO90" t="e">
        <f>AND(#REF!,"AAAAAH/zu6o=")</f>
        <v>#REF!</v>
      </c>
      <c r="FP90" t="e">
        <f>AND(#REF!,"AAAAAH/zu6s=")</f>
        <v>#REF!</v>
      </c>
      <c r="FQ90" t="e">
        <f>AND(#REF!,"AAAAAH/zu6w=")</f>
        <v>#REF!</v>
      </c>
      <c r="FR90" t="e">
        <f>AND(#REF!,"AAAAAH/zu60=")</f>
        <v>#REF!</v>
      </c>
      <c r="FS90" t="e">
        <f>AND(#REF!,"AAAAAH/zu64=")</f>
        <v>#REF!</v>
      </c>
      <c r="FT90" t="e">
        <f>AND(#REF!,"AAAAAH/zu68=")</f>
        <v>#REF!</v>
      </c>
      <c r="FU90" t="e">
        <f>AND(#REF!,"AAAAAH/zu7A=")</f>
        <v>#REF!</v>
      </c>
      <c r="FV90" t="e">
        <f>AND(#REF!,"AAAAAH/zu7E=")</f>
        <v>#REF!</v>
      </c>
      <c r="FW90" t="e">
        <f>AND(#REF!,"AAAAAH/zu7I=")</f>
        <v>#REF!</v>
      </c>
      <c r="FX90" t="e">
        <f>AND(#REF!,"AAAAAH/zu7M=")</f>
        <v>#REF!</v>
      </c>
      <c r="FY90" t="e">
        <f>AND(#REF!,"AAAAAH/zu7Q=")</f>
        <v>#REF!</v>
      </c>
      <c r="FZ90" t="e">
        <f>AND(#REF!,"AAAAAH/zu7U=")</f>
        <v>#REF!</v>
      </c>
      <c r="GA90" t="e">
        <f>AND(#REF!,"AAAAAH/zu7Y=")</f>
        <v>#REF!</v>
      </c>
      <c r="GB90" t="e">
        <f>AND(#REF!,"AAAAAH/zu7c=")</f>
        <v>#REF!</v>
      </c>
      <c r="GC90" t="e">
        <f>AND(#REF!,"AAAAAH/zu7g=")</f>
        <v>#REF!</v>
      </c>
      <c r="GD90" t="e">
        <f>AND(#REF!,"AAAAAH/zu7k=")</f>
        <v>#REF!</v>
      </c>
      <c r="GE90" t="e">
        <f>AND(#REF!,"AAAAAH/zu7o=")</f>
        <v>#REF!</v>
      </c>
      <c r="GF90" t="e">
        <f>AND(#REF!,"AAAAAH/zu7s=")</f>
        <v>#REF!</v>
      </c>
      <c r="GG90" t="e">
        <f>AND(#REF!,"AAAAAH/zu7w=")</f>
        <v>#REF!</v>
      </c>
      <c r="GH90" t="e">
        <f>AND(#REF!,"AAAAAH/zu70=")</f>
        <v>#REF!</v>
      </c>
      <c r="GI90" t="e">
        <f>AND(#REF!,"AAAAAH/zu74=")</f>
        <v>#REF!</v>
      </c>
      <c r="GJ90" t="e">
        <f>AND(#REF!,"AAAAAH/zu78=")</f>
        <v>#REF!</v>
      </c>
      <c r="GK90" t="e">
        <f>AND(#REF!,"AAAAAH/zu8A=")</f>
        <v>#REF!</v>
      </c>
      <c r="GL90" t="e">
        <f>AND(#REF!,"AAAAAH/zu8E=")</f>
        <v>#REF!</v>
      </c>
      <c r="GM90" t="e">
        <f>AND(#REF!,"AAAAAH/zu8I=")</f>
        <v>#REF!</v>
      </c>
      <c r="GN90" t="e">
        <f>AND(#REF!,"AAAAAH/zu8M=")</f>
        <v>#REF!</v>
      </c>
      <c r="GO90" t="e">
        <f>AND(#REF!,"AAAAAH/zu8Q=")</f>
        <v>#REF!</v>
      </c>
      <c r="GP90" t="e">
        <f>AND(#REF!,"AAAAAH/zu8U=")</f>
        <v>#REF!</v>
      </c>
      <c r="GQ90" t="e">
        <f>AND(#REF!,"AAAAAH/zu8Y=")</f>
        <v>#REF!</v>
      </c>
      <c r="GR90" t="e">
        <f>AND(#REF!,"AAAAAH/zu8c=")</f>
        <v>#REF!</v>
      </c>
      <c r="GS90" t="e">
        <f>AND(#REF!,"AAAAAH/zu8g=")</f>
        <v>#REF!</v>
      </c>
      <c r="GT90" t="e">
        <f>AND(#REF!,"AAAAAH/zu8k=")</f>
        <v>#REF!</v>
      </c>
      <c r="GU90" t="e">
        <f>AND(#REF!,"AAAAAH/zu8o=")</f>
        <v>#REF!</v>
      </c>
      <c r="GV90" t="e">
        <f>AND(#REF!,"AAAAAH/zu8s=")</f>
        <v>#REF!</v>
      </c>
      <c r="GW90" t="e">
        <f>AND(#REF!,"AAAAAH/zu8w=")</f>
        <v>#REF!</v>
      </c>
      <c r="GX90" t="e">
        <f>AND(#REF!,"AAAAAH/zu80=")</f>
        <v>#REF!</v>
      </c>
      <c r="GY90" t="e">
        <f>AND(#REF!,"AAAAAH/zu84=")</f>
        <v>#REF!</v>
      </c>
      <c r="GZ90" t="e">
        <f>AND(#REF!,"AAAAAH/zu88=")</f>
        <v>#REF!</v>
      </c>
      <c r="HA90" t="e">
        <f>AND(#REF!,"AAAAAH/zu9A=")</f>
        <v>#REF!</v>
      </c>
      <c r="HB90" t="e">
        <f>AND(#REF!,"AAAAAH/zu9E=")</f>
        <v>#REF!</v>
      </c>
      <c r="HC90" t="e">
        <f>AND(#REF!,"AAAAAH/zu9I=")</f>
        <v>#REF!</v>
      </c>
      <c r="HD90" t="e">
        <f>AND(#REF!,"AAAAAH/zu9M=")</f>
        <v>#REF!</v>
      </c>
      <c r="HE90" t="e">
        <f>AND(#REF!,"AAAAAH/zu9Q=")</f>
        <v>#REF!</v>
      </c>
      <c r="HF90" t="e">
        <f>AND(#REF!,"AAAAAH/zu9U=")</f>
        <v>#REF!</v>
      </c>
      <c r="HG90" t="e">
        <f>AND(#REF!,"AAAAAH/zu9Y=")</f>
        <v>#REF!</v>
      </c>
      <c r="HH90" t="e">
        <f>AND(#REF!,"AAAAAH/zu9c=")</f>
        <v>#REF!</v>
      </c>
      <c r="HI90" t="e">
        <f>AND(#REF!,"AAAAAH/zu9g=")</f>
        <v>#REF!</v>
      </c>
      <c r="HJ90" t="e">
        <f>AND(#REF!,"AAAAAH/zu9k=")</f>
        <v>#REF!</v>
      </c>
      <c r="HK90" t="e">
        <f>AND(#REF!,"AAAAAH/zu9o=")</f>
        <v>#REF!</v>
      </c>
      <c r="HL90" t="e">
        <f>AND(#REF!,"AAAAAH/zu9s=")</f>
        <v>#REF!</v>
      </c>
      <c r="HM90" t="e">
        <f>IF(#REF!,"AAAAAH/zu9w=",0)</f>
        <v>#REF!</v>
      </c>
      <c r="HN90" t="e">
        <f>AND(#REF!,"AAAAAH/zu90=")</f>
        <v>#REF!</v>
      </c>
      <c r="HO90" t="e">
        <f>AND(#REF!,"AAAAAH/zu94=")</f>
        <v>#REF!</v>
      </c>
      <c r="HP90" t="e">
        <f>AND(#REF!,"AAAAAH/zu98=")</f>
        <v>#REF!</v>
      </c>
      <c r="HQ90" t="e">
        <f>AND(#REF!,"AAAAAH/zu+A=")</f>
        <v>#REF!</v>
      </c>
      <c r="HR90" t="e">
        <f>AND(#REF!,"AAAAAH/zu+E=")</f>
        <v>#REF!</v>
      </c>
      <c r="HS90" t="e">
        <f>AND(#REF!,"AAAAAH/zu+I=")</f>
        <v>#REF!</v>
      </c>
      <c r="HT90" t="e">
        <f>AND(#REF!,"AAAAAH/zu+M=")</f>
        <v>#REF!</v>
      </c>
      <c r="HU90" t="e">
        <f>AND(#REF!,"AAAAAH/zu+Q=")</f>
        <v>#REF!</v>
      </c>
      <c r="HV90" t="e">
        <f>AND(#REF!,"AAAAAH/zu+U=")</f>
        <v>#REF!</v>
      </c>
      <c r="HW90" t="e">
        <f>AND(#REF!,"AAAAAH/zu+Y=")</f>
        <v>#REF!</v>
      </c>
      <c r="HX90" t="e">
        <f>AND(#REF!,"AAAAAH/zu+c=")</f>
        <v>#REF!</v>
      </c>
      <c r="HY90" t="e">
        <f>AND(#REF!,"AAAAAH/zu+g=")</f>
        <v>#REF!</v>
      </c>
      <c r="HZ90" t="e">
        <f>AND(#REF!,"AAAAAH/zu+k=")</f>
        <v>#REF!</v>
      </c>
      <c r="IA90" t="e">
        <f>AND(#REF!,"AAAAAH/zu+o=")</f>
        <v>#REF!</v>
      </c>
      <c r="IB90" t="e">
        <f>AND(#REF!,"AAAAAH/zu+s=")</f>
        <v>#REF!</v>
      </c>
      <c r="IC90" t="e">
        <f>AND(#REF!,"AAAAAH/zu+w=")</f>
        <v>#REF!</v>
      </c>
      <c r="ID90" t="e">
        <f>AND(#REF!,"AAAAAH/zu+0=")</f>
        <v>#REF!</v>
      </c>
      <c r="IE90" t="e">
        <f>AND(#REF!,"AAAAAH/zu+4=")</f>
        <v>#REF!</v>
      </c>
      <c r="IF90" t="e">
        <f>AND(#REF!,"AAAAAH/zu+8=")</f>
        <v>#REF!</v>
      </c>
      <c r="IG90" t="e">
        <f>AND(#REF!,"AAAAAH/zu/A=")</f>
        <v>#REF!</v>
      </c>
      <c r="IH90" t="e">
        <f>AND(#REF!,"AAAAAH/zu/E=")</f>
        <v>#REF!</v>
      </c>
      <c r="II90" t="e">
        <f>AND(#REF!,"AAAAAH/zu/I=")</f>
        <v>#REF!</v>
      </c>
      <c r="IJ90" t="e">
        <f>AND(#REF!,"AAAAAH/zu/M=")</f>
        <v>#REF!</v>
      </c>
      <c r="IK90" t="e">
        <f>AND(#REF!,"AAAAAH/zu/Q=")</f>
        <v>#REF!</v>
      </c>
      <c r="IL90" t="e">
        <f>AND(#REF!,"AAAAAH/zu/U=")</f>
        <v>#REF!</v>
      </c>
      <c r="IM90" t="e">
        <f>AND(#REF!,"AAAAAH/zu/Y=")</f>
        <v>#REF!</v>
      </c>
      <c r="IN90" t="e">
        <f>AND(#REF!,"AAAAAH/zu/c=")</f>
        <v>#REF!</v>
      </c>
      <c r="IO90" t="e">
        <f>AND(#REF!,"AAAAAH/zu/g=")</f>
        <v>#REF!</v>
      </c>
      <c r="IP90" t="e">
        <f>AND(#REF!,"AAAAAH/zu/k=")</f>
        <v>#REF!</v>
      </c>
      <c r="IQ90" t="e">
        <f>AND(#REF!,"AAAAAH/zu/o=")</f>
        <v>#REF!</v>
      </c>
      <c r="IR90" t="e">
        <f>AND(#REF!,"AAAAAH/zu/s=")</f>
        <v>#REF!</v>
      </c>
      <c r="IS90" t="e">
        <f>AND(#REF!,"AAAAAH/zu/w=")</f>
        <v>#REF!</v>
      </c>
      <c r="IT90" t="e">
        <f>AND(#REF!,"AAAAAH/zu/0=")</f>
        <v>#REF!</v>
      </c>
      <c r="IU90" t="e">
        <f>AND(#REF!,"AAAAAH/zu/4=")</f>
        <v>#REF!</v>
      </c>
      <c r="IV90" t="e">
        <f>AND(#REF!,"AAAAAH/zu/8=")</f>
        <v>#REF!</v>
      </c>
    </row>
    <row r="91" spans="1:256" x14ac:dyDescent="0.2">
      <c r="A91" t="e">
        <f>AND(#REF!,"AAAAAHvvzwA=")</f>
        <v>#REF!</v>
      </c>
      <c r="B91" t="e">
        <f>AND(#REF!,"AAAAAHvvzwE=")</f>
        <v>#REF!</v>
      </c>
      <c r="C91" t="e">
        <f>AND(#REF!,"AAAAAHvvzwI=")</f>
        <v>#REF!</v>
      </c>
      <c r="D91" t="e">
        <f>AND(#REF!,"AAAAAHvvzwM=")</f>
        <v>#REF!</v>
      </c>
      <c r="E91" t="e">
        <f>AND(#REF!,"AAAAAHvvzwQ=")</f>
        <v>#REF!</v>
      </c>
      <c r="F91" t="e">
        <f>AND(#REF!,"AAAAAHvvzwU=")</f>
        <v>#REF!</v>
      </c>
      <c r="G91" t="e">
        <f>AND(#REF!,"AAAAAHvvzwY=")</f>
        <v>#REF!</v>
      </c>
      <c r="H91" t="e">
        <f>AND(#REF!,"AAAAAHvvzwc=")</f>
        <v>#REF!</v>
      </c>
      <c r="I91" t="e">
        <f>AND(#REF!,"AAAAAHvvzwg=")</f>
        <v>#REF!</v>
      </c>
      <c r="J91" t="e">
        <f>AND(#REF!,"AAAAAHvvzwk=")</f>
        <v>#REF!</v>
      </c>
      <c r="K91" t="e">
        <f>AND(#REF!,"AAAAAHvvzwo=")</f>
        <v>#REF!</v>
      </c>
      <c r="L91" t="e">
        <f>AND(#REF!,"AAAAAHvvzws=")</f>
        <v>#REF!</v>
      </c>
      <c r="M91" t="e">
        <f>AND(#REF!,"AAAAAHvvzww=")</f>
        <v>#REF!</v>
      </c>
      <c r="N91" t="e">
        <f>AND(#REF!,"AAAAAHvvzw0=")</f>
        <v>#REF!</v>
      </c>
      <c r="O91" t="e">
        <f>AND(#REF!,"AAAAAHvvzw4=")</f>
        <v>#REF!</v>
      </c>
      <c r="P91" t="e">
        <f>AND(#REF!,"AAAAAHvvzw8=")</f>
        <v>#REF!</v>
      </c>
      <c r="Q91" t="e">
        <f>AND(#REF!,"AAAAAHvvzxA=")</f>
        <v>#REF!</v>
      </c>
      <c r="R91" t="e">
        <f>AND(#REF!,"AAAAAHvvzxE=")</f>
        <v>#REF!</v>
      </c>
      <c r="S91" t="e">
        <f>AND(#REF!,"AAAAAHvvzxI=")</f>
        <v>#REF!</v>
      </c>
      <c r="T91" t="e">
        <f>AND(#REF!,"AAAAAHvvzxM=")</f>
        <v>#REF!</v>
      </c>
      <c r="U91" t="e">
        <f>AND(#REF!,"AAAAAHvvzxQ=")</f>
        <v>#REF!</v>
      </c>
      <c r="V91" t="e">
        <f>AND(#REF!,"AAAAAHvvzxU=")</f>
        <v>#REF!</v>
      </c>
      <c r="W91" t="e">
        <f>AND(#REF!,"AAAAAHvvzxY=")</f>
        <v>#REF!</v>
      </c>
      <c r="X91" t="e">
        <f>AND(#REF!,"AAAAAHvvzxc=")</f>
        <v>#REF!</v>
      </c>
      <c r="Y91" t="e">
        <f>AND(#REF!,"AAAAAHvvzxg=")</f>
        <v>#REF!</v>
      </c>
      <c r="Z91" t="e">
        <f>AND(#REF!,"AAAAAHvvzxk=")</f>
        <v>#REF!</v>
      </c>
      <c r="AA91" t="e">
        <f>AND(#REF!,"AAAAAHvvzxo=")</f>
        <v>#REF!</v>
      </c>
      <c r="AB91" t="e">
        <f>AND(#REF!,"AAAAAHvvzxs=")</f>
        <v>#REF!</v>
      </c>
      <c r="AC91" t="e">
        <f>AND(#REF!,"AAAAAHvvzxw=")</f>
        <v>#REF!</v>
      </c>
      <c r="AD91" t="e">
        <f>AND(#REF!,"AAAAAHvvzx0=")</f>
        <v>#REF!</v>
      </c>
      <c r="AE91" t="e">
        <f>AND(#REF!,"AAAAAHvvzx4=")</f>
        <v>#REF!</v>
      </c>
      <c r="AF91" t="e">
        <f>AND(#REF!,"AAAAAHvvzx8=")</f>
        <v>#REF!</v>
      </c>
      <c r="AG91" t="e">
        <f>AND(#REF!,"AAAAAHvvzyA=")</f>
        <v>#REF!</v>
      </c>
      <c r="AH91" t="e">
        <f>AND(#REF!,"AAAAAHvvzyE=")</f>
        <v>#REF!</v>
      </c>
      <c r="AI91" t="e">
        <f>AND(#REF!,"AAAAAHvvzyI=")</f>
        <v>#REF!</v>
      </c>
      <c r="AJ91" t="e">
        <f>AND(#REF!,"AAAAAHvvzyM=")</f>
        <v>#REF!</v>
      </c>
      <c r="AK91" t="e">
        <f>AND(#REF!,"AAAAAHvvzyQ=")</f>
        <v>#REF!</v>
      </c>
      <c r="AL91" t="e">
        <f>AND(#REF!,"AAAAAHvvzyU=")</f>
        <v>#REF!</v>
      </c>
      <c r="AM91" t="e">
        <f>AND(#REF!,"AAAAAHvvzyY=")</f>
        <v>#REF!</v>
      </c>
      <c r="AN91" t="e">
        <f>AND(#REF!,"AAAAAHvvzyc=")</f>
        <v>#REF!</v>
      </c>
      <c r="AO91" t="e">
        <f>AND(#REF!,"AAAAAHvvzyg=")</f>
        <v>#REF!</v>
      </c>
      <c r="AP91" t="e">
        <f>AND(#REF!,"AAAAAHvvzyk=")</f>
        <v>#REF!</v>
      </c>
      <c r="AQ91" t="e">
        <f>AND(#REF!,"AAAAAHvvzyo=")</f>
        <v>#REF!</v>
      </c>
      <c r="AR91" t="e">
        <f>AND(#REF!,"AAAAAHvvzys=")</f>
        <v>#REF!</v>
      </c>
      <c r="AS91" t="e">
        <f>AND(#REF!,"AAAAAHvvzyw=")</f>
        <v>#REF!</v>
      </c>
      <c r="AT91" t="e">
        <f>AND(#REF!,"AAAAAHvvzy0=")</f>
        <v>#REF!</v>
      </c>
      <c r="AU91" t="e">
        <f>AND(#REF!,"AAAAAHvvzy4=")</f>
        <v>#REF!</v>
      </c>
      <c r="AV91" t="e">
        <f>AND(#REF!,"AAAAAHvvzy8=")</f>
        <v>#REF!</v>
      </c>
      <c r="AW91" t="e">
        <f>AND(#REF!,"AAAAAHvvzzA=")</f>
        <v>#REF!</v>
      </c>
      <c r="AX91" t="e">
        <f>AND(#REF!,"AAAAAHvvzzE=")</f>
        <v>#REF!</v>
      </c>
      <c r="AY91" t="e">
        <f>AND(#REF!,"AAAAAHvvzzI=")</f>
        <v>#REF!</v>
      </c>
      <c r="AZ91" t="e">
        <f>AND(#REF!,"AAAAAHvvzzM=")</f>
        <v>#REF!</v>
      </c>
      <c r="BA91" t="e">
        <f>AND(#REF!,"AAAAAHvvzzQ=")</f>
        <v>#REF!</v>
      </c>
      <c r="BB91" t="e">
        <f>AND(#REF!,"AAAAAHvvzzU=")</f>
        <v>#REF!</v>
      </c>
      <c r="BC91" t="e">
        <f>AND(#REF!,"AAAAAHvvzzY=")</f>
        <v>#REF!</v>
      </c>
      <c r="BD91" t="e">
        <f>AND(#REF!,"AAAAAHvvzzc=")</f>
        <v>#REF!</v>
      </c>
      <c r="BE91" t="e">
        <f>AND(#REF!,"AAAAAHvvzzg=")</f>
        <v>#REF!</v>
      </c>
      <c r="BF91" t="e">
        <f>AND(#REF!,"AAAAAHvvzzk=")</f>
        <v>#REF!</v>
      </c>
      <c r="BG91" t="e">
        <f>AND(#REF!,"AAAAAHvvzzo=")</f>
        <v>#REF!</v>
      </c>
      <c r="BH91" t="e">
        <f>AND(#REF!,"AAAAAHvvzzs=")</f>
        <v>#REF!</v>
      </c>
      <c r="BI91" t="e">
        <f>AND(#REF!,"AAAAAHvvzzw=")</f>
        <v>#REF!</v>
      </c>
      <c r="BJ91" t="e">
        <f>AND(#REF!,"AAAAAHvvzz0=")</f>
        <v>#REF!</v>
      </c>
      <c r="BK91" t="e">
        <f>AND(#REF!,"AAAAAHvvzz4=")</f>
        <v>#REF!</v>
      </c>
      <c r="BL91" t="e">
        <f>AND(#REF!,"AAAAAHvvzz8=")</f>
        <v>#REF!</v>
      </c>
      <c r="BM91" t="e">
        <f>AND(#REF!,"AAAAAHvvz0A=")</f>
        <v>#REF!</v>
      </c>
      <c r="BN91" t="e">
        <f>AND(#REF!,"AAAAAHvvz0E=")</f>
        <v>#REF!</v>
      </c>
      <c r="BO91" t="e">
        <f>AND(#REF!,"AAAAAHvvz0I=")</f>
        <v>#REF!</v>
      </c>
      <c r="BP91" t="e">
        <f>AND(#REF!,"AAAAAHvvz0M=")</f>
        <v>#REF!</v>
      </c>
      <c r="BQ91" t="e">
        <f>AND(#REF!,"AAAAAHvvz0Q=")</f>
        <v>#REF!</v>
      </c>
      <c r="BR91" t="e">
        <f>AND(#REF!,"AAAAAHvvz0U=")</f>
        <v>#REF!</v>
      </c>
      <c r="BS91" t="e">
        <f>AND(#REF!,"AAAAAHvvz0Y=")</f>
        <v>#REF!</v>
      </c>
      <c r="BT91" t="e">
        <f>AND(#REF!,"AAAAAHvvz0c=")</f>
        <v>#REF!</v>
      </c>
      <c r="BU91" t="e">
        <f>AND(#REF!,"AAAAAHvvz0g=")</f>
        <v>#REF!</v>
      </c>
      <c r="BV91" t="e">
        <f>AND(#REF!,"AAAAAHvvz0k=")</f>
        <v>#REF!</v>
      </c>
      <c r="BW91" t="e">
        <f>AND(#REF!,"AAAAAHvvz0o=")</f>
        <v>#REF!</v>
      </c>
      <c r="BX91" t="e">
        <f>AND(#REF!,"AAAAAHvvz0s=")</f>
        <v>#REF!</v>
      </c>
      <c r="BY91" t="e">
        <f>AND(#REF!,"AAAAAHvvz0w=")</f>
        <v>#REF!</v>
      </c>
      <c r="BZ91" t="e">
        <f>AND(#REF!,"AAAAAHvvz00=")</f>
        <v>#REF!</v>
      </c>
      <c r="CA91" t="e">
        <f>AND(#REF!,"AAAAAHvvz04=")</f>
        <v>#REF!</v>
      </c>
      <c r="CB91" t="e">
        <f>AND(#REF!,"AAAAAHvvz08=")</f>
        <v>#REF!</v>
      </c>
      <c r="CC91" t="e">
        <f>AND(#REF!,"AAAAAHvvz1A=")</f>
        <v>#REF!</v>
      </c>
      <c r="CD91" t="e">
        <f>AND(#REF!,"AAAAAHvvz1E=")</f>
        <v>#REF!</v>
      </c>
      <c r="CE91" t="e">
        <f>AND(#REF!,"AAAAAHvvz1I=")</f>
        <v>#REF!</v>
      </c>
      <c r="CF91" t="e">
        <f>AND(#REF!,"AAAAAHvvz1M=")</f>
        <v>#REF!</v>
      </c>
      <c r="CG91" t="e">
        <f>AND(#REF!,"AAAAAHvvz1Q=")</f>
        <v>#REF!</v>
      </c>
      <c r="CH91" t="e">
        <f>AND(#REF!,"AAAAAHvvz1U=")</f>
        <v>#REF!</v>
      </c>
      <c r="CI91" t="e">
        <f>AND(#REF!,"AAAAAHvvz1Y=")</f>
        <v>#REF!</v>
      </c>
      <c r="CJ91" t="e">
        <f>AND(#REF!,"AAAAAHvvz1c=")</f>
        <v>#REF!</v>
      </c>
      <c r="CK91" t="e">
        <f>AND(#REF!,"AAAAAHvvz1g=")</f>
        <v>#REF!</v>
      </c>
      <c r="CL91" t="e">
        <f>AND(#REF!,"AAAAAHvvz1k=")</f>
        <v>#REF!</v>
      </c>
      <c r="CM91" t="e">
        <f>AND(#REF!,"AAAAAHvvz1o=")</f>
        <v>#REF!</v>
      </c>
      <c r="CN91" t="e">
        <f>AND(#REF!,"AAAAAHvvz1s=")</f>
        <v>#REF!</v>
      </c>
      <c r="CO91" t="e">
        <f>AND(#REF!,"AAAAAHvvz1w=")</f>
        <v>#REF!</v>
      </c>
      <c r="CP91" t="e">
        <f>AND(#REF!,"AAAAAHvvz10=")</f>
        <v>#REF!</v>
      </c>
      <c r="CQ91" t="e">
        <f>AND(#REF!,"AAAAAHvvz14=")</f>
        <v>#REF!</v>
      </c>
      <c r="CR91" t="e">
        <f>AND(#REF!,"AAAAAHvvz18=")</f>
        <v>#REF!</v>
      </c>
      <c r="CS91" t="e">
        <f>AND(#REF!,"AAAAAHvvz2A=")</f>
        <v>#REF!</v>
      </c>
      <c r="CT91" t="e">
        <f>AND(#REF!,"AAAAAHvvz2E=")</f>
        <v>#REF!</v>
      </c>
      <c r="CU91" t="e">
        <f>AND(#REF!,"AAAAAHvvz2I=")</f>
        <v>#REF!</v>
      </c>
      <c r="CV91" t="e">
        <f>AND(#REF!,"AAAAAHvvz2M=")</f>
        <v>#REF!</v>
      </c>
      <c r="CW91" t="e">
        <f>AND(#REF!,"AAAAAHvvz2Q=")</f>
        <v>#REF!</v>
      </c>
      <c r="CX91" t="e">
        <f>AND(#REF!,"AAAAAHvvz2U=")</f>
        <v>#REF!</v>
      </c>
      <c r="CY91" t="e">
        <f>AND(#REF!,"AAAAAHvvz2Y=")</f>
        <v>#REF!</v>
      </c>
      <c r="CZ91" t="e">
        <f>AND(#REF!,"AAAAAHvvz2c=")</f>
        <v>#REF!</v>
      </c>
      <c r="DA91" t="e">
        <f>AND(#REF!,"AAAAAHvvz2g=")</f>
        <v>#REF!</v>
      </c>
      <c r="DB91" t="e">
        <f>AND(#REF!,"AAAAAHvvz2k=")</f>
        <v>#REF!</v>
      </c>
      <c r="DC91" t="e">
        <f>AND(#REF!,"AAAAAHvvz2o=")</f>
        <v>#REF!</v>
      </c>
      <c r="DD91" t="e">
        <f>AND(#REF!,"AAAAAHvvz2s=")</f>
        <v>#REF!</v>
      </c>
      <c r="DE91" t="e">
        <f>AND(#REF!,"AAAAAHvvz2w=")</f>
        <v>#REF!</v>
      </c>
      <c r="DF91" t="e">
        <f>AND(#REF!,"AAAAAHvvz20=")</f>
        <v>#REF!</v>
      </c>
      <c r="DG91" t="e">
        <f>AND(#REF!,"AAAAAHvvz24=")</f>
        <v>#REF!</v>
      </c>
      <c r="DH91" t="e">
        <f>AND(#REF!,"AAAAAHvvz28=")</f>
        <v>#REF!</v>
      </c>
      <c r="DI91" t="e">
        <f>AND(#REF!,"AAAAAHvvz3A=")</f>
        <v>#REF!</v>
      </c>
      <c r="DJ91" t="e">
        <f>AND(#REF!,"AAAAAHvvz3E=")</f>
        <v>#REF!</v>
      </c>
      <c r="DK91" t="e">
        <f>AND(#REF!,"AAAAAHvvz3I=")</f>
        <v>#REF!</v>
      </c>
      <c r="DL91" t="e">
        <f>AND(#REF!,"AAAAAHvvz3M=")</f>
        <v>#REF!</v>
      </c>
      <c r="DM91" t="e">
        <f>AND(#REF!,"AAAAAHvvz3Q=")</f>
        <v>#REF!</v>
      </c>
      <c r="DN91" t="e">
        <f>AND(#REF!,"AAAAAHvvz3U=")</f>
        <v>#REF!</v>
      </c>
      <c r="DO91" t="e">
        <f>AND(#REF!,"AAAAAHvvz3Y=")</f>
        <v>#REF!</v>
      </c>
      <c r="DP91" t="e">
        <f>AND(#REF!,"AAAAAHvvz3c=")</f>
        <v>#REF!</v>
      </c>
      <c r="DQ91" t="e">
        <f>AND(#REF!,"AAAAAHvvz3g=")</f>
        <v>#REF!</v>
      </c>
      <c r="DR91" t="e">
        <f>AND(#REF!,"AAAAAHvvz3k=")</f>
        <v>#REF!</v>
      </c>
      <c r="DS91" t="e">
        <f>AND(#REF!,"AAAAAHvvz3o=")</f>
        <v>#REF!</v>
      </c>
      <c r="DT91" t="e">
        <f>AND(#REF!,"AAAAAHvvz3s=")</f>
        <v>#REF!</v>
      </c>
      <c r="DU91" t="e">
        <f>AND(#REF!,"AAAAAHvvz3w=")</f>
        <v>#REF!</v>
      </c>
      <c r="DV91" t="e">
        <f>AND(#REF!,"AAAAAHvvz30=")</f>
        <v>#REF!</v>
      </c>
      <c r="DW91" t="e">
        <f>AND(#REF!,"AAAAAHvvz34=")</f>
        <v>#REF!</v>
      </c>
      <c r="DX91" t="e">
        <f>AND(#REF!,"AAAAAHvvz38=")</f>
        <v>#REF!</v>
      </c>
      <c r="DY91" t="e">
        <f>AND(#REF!,"AAAAAHvvz4A=")</f>
        <v>#REF!</v>
      </c>
      <c r="DZ91" t="e">
        <f>AND(#REF!,"AAAAAHvvz4E=")</f>
        <v>#REF!</v>
      </c>
      <c r="EA91" t="e">
        <f>AND(#REF!,"AAAAAHvvz4I=")</f>
        <v>#REF!</v>
      </c>
      <c r="EB91" t="e">
        <f>AND(#REF!,"AAAAAHvvz4M=")</f>
        <v>#REF!</v>
      </c>
      <c r="EC91" t="e">
        <f>AND(#REF!,"AAAAAHvvz4Q=")</f>
        <v>#REF!</v>
      </c>
      <c r="ED91" t="e">
        <f>AND(#REF!,"AAAAAHvvz4U=")</f>
        <v>#REF!</v>
      </c>
      <c r="EE91" t="e">
        <f>AND(#REF!,"AAAAAHvvz4Y=")</f>
        <v>#REF!</v>
      </c>
      <c r="EF91" t="e">
        <f>AND(#REF!,"AAAAAHvvz4c=")</f>
        <v>#REF!</v>
      </c>
      <c r="EG91" t="e">
        <f>AND(#REF!,"AAAAAHvvz4g=")</f>
        <v>#REF!</v>
      </c>
      <c r="EH91" t="e">
        <f>AND(#REF!,"AAAAAHvvz4k=")</f>
        <v>#REF!</v>
      </c>
      <c r="EI91" t="e">
        <f>AND(#REF!,"AAAAAHvvz4o=")</f>
        <v>#REF!</v>
      </c>
      <c r="EJ91" t="e">
        <f>AND(#REF!,"AAAAAHvvz4s=")</f>
        <v>#REF!</v>
      </c>
      <c r="EK91" t="e">
        <f>AND(#REF!,"AAAAAHvvz4w=")</f>
        <v>#REF!</v>
      </c>
      <c r="EL91" t="e">
        <f>AND(#REF!,"AAAAAHvvz40=")</f>
        <v>#REF!</v>
      </c>
      <c r="EM91" t="e">
        <f>AND(#REF!,"AAAAAHvvz44=")</f>
        <v>#REF!</v>
      </c>
      <c r="EN91" t="e">
        <f>AND(#REF!,"AAAAAHvvz48=")</f>
        <v>#REF!</v>
      </c>
      <c r="EO91" t="e">
        <f>AND(#REF!,"AAAAAHvvz5A=")</f>
        <v>#REF!</v>
      </c>
      <c r="EP91" t="e">
        <f>IF(#REF!,"AAAAAHvvz5E=",0)</f>
        <v>#REF!</v>
      </c>
      <c r="EQ91" t="e">
        <f>AND(#REF!,"AAAAAHvvz5I=")</f>
        <v>#REF!</v>
      </c>
      <c r="ER91" t="e">
        <f>AND(#REF!,"AAAAAHvvz5M=")</f>
        <v>#REF!</v>
      </c>
      <c r="ES91" t="e">
        <f>AND(#REF!,"AAAAAHvvz5Q=")</f>
        <v>#REF!</v>
      </c>
      <c r="ET91" t="e">
        <f>AND(#REF!,"AAAAAHvvz5U=")</f>
        <v>#REF!</v>
      </c>
      <c r="EU91" t="e">
        <f>AND(#REF!,"AAAAAHvvz5Y=")</f>
        <v>#REF!</v>
      </c>
      <c r="EV91" t="e">
        <f>AND(#REF!,"AAAAAHvvz5c=")</f>
        <v>#REF!</v>
      </c>
      <c r="EW91" t="e">
        <f>AND(#REF!,"AAAAAHvvz5g=")</f>
        <v>#REF!</v>
      </c>
      <c r="EX91" t="e">
        <f>AND(#REF!,"AAAAAHvvz5k=")</f>
        <v>#REF!</v>
      </c>
      <c r="EY91" t="e">
        <f>AND(#REF!,"AAAAAHvvz5o=")</f>
        <v>#REF!</v>
      </c>
      <c r="EZ91" t="e">
        <f>AND(#REF!,"AAAAAHvvz5s=")</f>
        <v>#REF!</v>
      </c>
      <c r="FA91" t="e">
        <f>AND(#REF!,"AAAAAHvvz5w=")</f>
        <v>#REF!</v>
      </c>
      <c r="FB91" t="e">
        <f>AND(#REF!,"AAAAAHvvz50=")</f>
        <v>#REF!</v>
      </c>
      <c r="FC91" t="e">
        <f>AND(#REF!,"AAAAAHvvz54=")</f>
        <v>#REF!</v>
      </c>
      <c r="FD91" t="e">
        <f>AND(#REF!,"AAAAAHvvz58=")</f>
        <v>#REF!</v>
      </c>
      <c r="FE91" t="e">
        <f>AND(#REF!,"AAAAAHvvz6A=")</f>
        <v>#REF!</v>
      </c>
      <c r="FF91" t="e">
        <f>AND(#REF!,"AAAAAHvvz6E=")</f>
        <v>#REF!</v>
      </c>
      <c r="FG91" t="e">
        <f>AND(#REF!,"AAAAAHvvz6I=")</f>
        <v>#REF!</v>
      </c>
      <c r="FH91" t="e">
        <f>AND(#REF!,"AAAAAHvvz6M=")</f>
        <v>#REF!</v>
      </c>
      <c r="FI91" t="e">
        <f>AND(#REF!,"AAAAAHvvz6Q=")</f>
        <v>#REF!</v>
      </c>
      <c r="FJ91" t="e">
        <f>AND(#REF!,"AAAAAHvvz6U=")</f>
        <v>#REF!</v>
      </c>
      <c r="FK91" t="e">
        <f>AND(#REF!,"AAAAAHvvz6Y=")</f>
        <v>#REF!</v>
      </c>
      <c r="FL91" t="e">
        <f>AND(#REF!,"AAAAAHvvz6c=")</f>
        <v>#REF!</v>
      </c>
      <c r="FM91" t="e">
        <f>AND(#REF!,"AAAAAHvvz6g=")</f>
        <v>#REF!</v>
      </c>
      <c r="FN91" t="e">
        <f>AND(#REF!,"AAAAAHvvz6k=")</f>
        <v>#REF!</v>
      </c>
      <c r="FO91" t="e">
        <f>AND(#REF!,"AAAAAHvvz6o=")</f>
        <v>#REF!</v>
      </c>
      <c r="FP91" t="e">
        <f>AND(#REF!,"AAAAAHvvz6s=")</f>
        <v>#REF!</v>
      </c>
      <c r="FQ91" t="e">
        <f>AND(#REF!,"AAAAAHvvz6w=")</f>
        <v>#REF!</v>
      </c>
      <c r="FR91" t="e">
        <f>AND(#REF!,"AAAAAHvvz60=")</f>
        <v>#REF!</v>
      </c>
      <c r="FS91" t="e">
        <f>AND(#REF!,"AAAAAHvvz64=")</f>
        <v>#REF!</v>
      </c>
      <c r="FT91" t="e">
        <f>AND(#REF!,"AAAAAHvvz68=")</f>
        <v>#REF!</v>
      </c>
      <c r="FU91" t="e">
        <f>AND(#REF!,"AAAAAHvvz7A=")</f>
        <v>#REF!</v>
      </c>
      <c r="FV91" t="e">
        <f>AND(#REF!,"AAAAAHvvz7E=")</f>
        <v>#REF!</v>
      </c>
      <c r="FW91" t="e">
        <f>AND(#REF!,"AAAAAHvvz7I=")</f>
        <v>#REF!</v>
      </c>
      <c r="FX91" t="e">
        <f>AND(#REF!,"AAAAAHvvz7M=")</f>
        <v>#REF!</v>
      </c>
      <c r="FY91" t="e">
        <f>AND(#REF!,"AAAAAHvvz7Q=")</f>
        <v>#REF!</v>
      </c>
      <c r="FZ91" t="e">
        <f>AND(#REF!,"AAAAAHvvz7U=")</f>
        <v>#REF!</v>
      </c>
      <c r="GA91" t="e">
        <f>AND(#REF!,"AAAAAHvvz7Y=")</f>
        <v>#REF!</v>
      </c>
      <c r="GB91" t="e">
        <f>AND(#REF!,"AAAAAHvvz7c=")</f>
        <v>#REF!</v>
      </c>
      <c r="GC91" t="e">
        <f>AND(#REF!,"AAAAAHvvz7g=")</f>
        <v>#REF!</v>
      </c>
      <c r="GD91" t="e">
        <f>AND(#REF!,"AAAAAHvvz7k=")</f>
        <v>#REF!</v>
      </c>
      <c r="GE91" t="e">
        <f>AND(#REF!,"AAAAAHvvz7o=")</f>
        <v>#REF!</v>
      </c>
      <c r="GF91" t="e">
        <f>AND(#REF!,"AAAAAHvvz7s=")</f>
        <v>#REF!</v>
      </c>
      <c r="GG91" t="e">
        <f>AND(#REF!,"AAAAAHvvz7w=")</f>
        <v>#REF!</v>
      </c>
      <c r="GH91" t="e">
        <f>AND(#REF!,"AAAAAHvvz70=")</f>
        <v>#REF!</v>
      </c>
      <c r="GI91" t="e">
        <f>AND(#REF!,"AAAAAHvvz74=")</f>
        <v>#REF!</v>
      </c>
      <c r="GJ91" t="e">
        <f>AND(#REF!,"AAAAAHvvz78=")</f>
        <v>#REF!</v>
      </c>
      <c r="GK91" t="e">
        <f>AND(#REF!,"AAAAAHvvz8A=")</f>
        <v>#REF!</v>
      </c>
      <c r="GL91" t="e">
        <f>AND(#REF!,"AAAAAHvvz8E=")</f>
        <v>#REF!</v>
      </c>
      <c r="GM91" t="e">
        <f>AND(#REF!,"AAAAAHvvz8I=")</f>
        <v>#REF!</v>
      </c>
      <c r="GN91" t="e">
        <f>AND(#REF!,"AAAAAHvvz8M=")</f>
        <v>#REF!</v>
      </c>
      <c r="GO91" t="e">
        <f>AND(#REF!,"AAAAAHvvz8Q=")</f>
        <v>#REF!</v>
      </c>
      <c r="GP91" t="e">
        <f>AND(#REF!,"AAAAAHvvz8U=")</f>
        <v>#REF!</v>
      </c>
      <c r="GQ91" t="e">
        <f>AND(#REF!,"AAAAAHvvz8Y=")</f>
        <v>#REF!</v>
      </c>
      <c r="GR91" t="e">
        <f>AND(#REF!,"AAAAAHvvz8c=")</f>
        <v>#REF!</v>
      </c>
      <c r="GS91" t="e">
        <f>AND(#REF!,"AAAAAHvvz8g=")</f>
        <v>#REF!</v>
      </c>
      <c r="GT91" t="e">
        <f>AND(#REF!,"AAAAAHvvz8k=")</f>
        <v>#REF!</v>
      </c>
      <c r="GU91" t="e">
        <f>AND(#REF!,"AAAAAHvvz8o=")</f>
        <v>#REF!</v>
      </c>
      <c r="GV91" t="e">
        <f>AND(#REF!,"AAAAAHvvz8s=")</f>
        <v>#REF!</v>
      </c>
      <c r="GW91" t="e">
        <f>AND(#REF!,"AAAAAHvvz8w=")</f>
        <v>#REF!</v>
      </c>
      <c r="GX91" t="e">
        <f>AND(#REF!,"AAAAAHvvz80=")</f>
        <v>#REF!</v>
      </c>
      <c r="GY91" t="e">
        <f>AND(#REF!,"AAAAAHvvz84=")</f>
        <v>#REF!</v>
      </c>
      <c r="GZ91" t="e">
        <f>AND(#REF!,"AAAAAHvvz88=")</f>
        <v>#REF!</v>
      </c>
      <c r="HA91" t="e">
        <f>AND(#REF!,"AAAAAHvvz9A=")</f>
        <v>#REF!</v>
      </c>
      <c r="HB91" t="e">
        <f>AND(#REF!,"AAAAAHvvz9E=")</f>
        <v>#REF!</v>
      </c>
      <c r="HC91" t="e">
        <f>AND(#REF!,"AAAAAHvvz9I=")</f>
        <v>#REF!</v>
      </c>
      <c r="HD91" t="e">
        <f>AND(#REF!,"AAAAAHvvz9M=")</f>
        <v>#REF!</v>
      </c>
      <c r="HE91" t="e">
        <f>AND(#REF!,"AAAAAHvvz9Q=")</f>
        <v>#REF!</v>
      </c>
      <c r="HF91" t="e">
        <f>AND(#REF!,"AAAAAHvvz9U=")</f>
        <v>#REF!</v>
      </c>
      <c r="HG91" t="e">
        <f>AND(#REF!,"AAAAAHvvz9Y=")</f>
        <v>#REF!</v>
      </c>
      <c r="HH91" t="e">
        <f>AND(#REF!,"AAAAAHvvz9c=")</f>
        <v>#REF!</v>
      </c>
      <c r="HI91" t="e">
        <f>AND(#REF!,"AAAAAHvvz9g=")</f>
        <v>#REF!</v>
      </c>
      <c r="HJ91" t="e">
        <f>AND(#REF!,"AAAAAHvvz9k=")</f>
        <v>#REF!</v>
      </c>
      <c r="HK91" t="e">
        <f>AND(#REF!,"AAAAAHvvz9o=")</f>
        <v>#REF!</v>
      </c>
      <c r="HL91" t="e">
        <f>AND(#REF!,"AAAAAHvvz9s=")</f>
        <v>#REF!</v>
      </c>
      <c r="HM91" t="e">
        <f>AND(#REF!,"AAAAAHvvz9w=")</f>
        <v>#REF!</v>
      </c>
      <c r="HN91" t="e">
        <f>AND(#REF!,"AAAAAHvvz90=")</f>
        <v>#REF!</v>
      </c>
      <c r="HO91" t="e">
        <f>AND(#REF!,"AAAAAHvvz94=")</f>
        <v>#REF!</v>
      </c>
      <c r="HP91" t="e">
        <f>AND(#REF!,"AAAAAHvvz98=")</f>
        <v>#REF!</v>
      </c>
      <c r="HQ91" t="e">
        <f>AND(#REF!,"AAAAAHvvz+A=")</f>
        <v>#REF!</v>
      </c>
      <c r="HR91" t="e">
        <f>AND(#REF!,"AAAAAHvvz+E=")</f>
        <v>#REF!</v>
      </c>
      <c r="HS91" t="e">
        <f>AND(#REF!,"AAAAAHvvz+I=")</f>
        <v>#REF!</v>
      </c>
      <c r="HT91" t="e">
        <f>AND(#REF!,"AAAAAHvvz+M=")</f>
        <v>#REF!</v>
      </c>
      <c r="HU91" t="e">
        <f>AND(#REF!,"AAAAAHvvz+Q=")</f>
        <v>#REF!</v>
      </c>
      <c r="HV91" t="e">
        <f>AND(#REF!,"AAAAAHvvz+U=")</f>
        <v>#REF!</v>
      </c>
      <c r="HW91" t="e">
        <f>AND(#REF!,"AAAAAHvvz+Y=")</f>
        <v>#REF!</v>
      </c>
      <c r="HX91" t="e">
        <f>AND(#REF!,"AAAAAHvvz+c=")</f>
        <v>#REF!</v>
      </c>
      <c r="HY91" t="e">
        <f>AND(#REF!,"AAAAAHvvz+g=")</f>
        <v>#REF!</v>
      </c>
      <c r="HZ91" t="e">
        <f>AND(#REF!,"AAAAAHvvz+k=")</f>
        <v>#REF!</v>
      </c>
      <c r="IA91" t="e">
        <f>AND(#REF!,"AAAAAHvvz+o=")</f>
        <v>#REF!</v>
      </c>
      <c r="IB91" t="e">
        <f>AND(#REF!,"AAAAAHvvz+s=")</f>
        <v>#REF!</v>
      </c>
      <c r="IC91" t="e">
        <f>AND(#REF!,"AAAAAHvvz+w=")</f>
        <v>#REF!</v>
      </c>
      <c r="ID91" t="e">
        <f>AND(#REF!,"AAAAAHvvz+0=")</f>
        <v>#REF!</v>
      </c>
      <c r="IE91" t="e">
        <f>AND(#REF!,"AAAAAHvvz+4=")</f>
        <v>#REF!</v>
      </c>
      <c r="IF91" t="e">
        <f>AND(#REF!,"AAAAAHvvz+8=")</f>
        <v>#REF!</v>
      </c>
      <c r="IG91" t="e">
        <f>AND(#REF!,"AAAAAHvvz/A=")</f>
        <v>#REF!</v>
      </c>
      <c r="IH91" t="e">
        <f>AND(#REF!,"AAAAAHvvz/E=")</f>
        <v>#REF!</v>
      </c>
      <c r="II91" t="e">
        <f>AND(#REF!,"AAAAAHvvz/I=")</f>
        <v>#REF!</v>
      </c>
      <c r="IJ91" t="e">
        <f>AND(#REF!,"AAAAAHvvz/M=")</f>
        <v>#REF!</v>
      </c>
      <c r="IK91" t="e">
        <f>AND(#REF!,"AAAAAHvvz/Q=")</f>
        <v>#REF!</v>
      </c>
      <c r="IL91" t="e">
        <f>AND(#REF!,"AAAAAHvvz/U=")</f>
        <v>#REF!</v>
      </c>
      <c r="IM91" t="e">
        <f>AND(#REF!,"AAAAAHvvz/Y=")</f>
        <v>#REF!</v>
      </c>
      <c r="IN91" t="e">
        <f>AND(#REF!,"AAAAAHvvz/c=")</f>
        <v>#REF!</v>
      </c>
      <c r="IO91" t="e">
        <f>AND(#REF!,"AAAAAHvvz/g=")</f>
        <v>#REF!</v>
      </c>
      <c r="IP91" t="e">
        <f>AND(#REF!,"AAAAAHvvz/k=")</f>
        <v>#REF!</v>
      </c>
      <c r="IQ91" t="e">
        <f>AND(#REF!,"AAAAAHvvz/o=")</f>
        <v>#REF!</v>
      </c>
      <c r="IR91" t="e">
        <f>AND(#REF!,"AAAAAHvvz/s=")</f>
        <v>#REF!</v>
      </c>
      <c r="IS91" t="e">
        <f>AND(#REF!,"AAAAAHvvz/w=")</f>
        <v>#REF!</v>
      </c>
      <c r="IT91" t="e">
        <f>AND(#REF!,"AAAAAHvvz/0=")</f>
        <v>#REF!</v>
      </c>
      <c r="IU91" t="e">
        <f>AND(#REF!,"AAAAAHvvz/4=")</f>
        <v>#REF!</v>
      </c>
      <c r="IV91" t="e">
        <f>AND(#REF!,"AAAAAHvvz/8=")</f>
        <v>#REF!</v>
      </c>
    </row>
    <row r="92" spans="1:256" x14ac:dyDescent="0.2">
      <c r="A92" t="e">
        <f>AND(#REF!,"AAAAAGt/+gA=")</f>
        <v>#REF!</v>
      </c>
      <c r="B92" t="e">
        <f>AND(#REF!,"AAAAAGt/+gE=")</f>
        <v>#REF!</v>
      </c>
      <c r="C92" t="e">
        <f>AND(#REF!,"AAAAAGt/+gI=")</f>
        <v>#REF!</v>
      </c>
      <c r="D92" t="e">
        <f>AND(#REF!,"AAAAAGt/+gM=")</f>
        <v>#REF!</v>
      </c>
      <c r="E92" t="e">
        <f>AND(#REF!,"AAAAAGt/+gQ=")</f>
        <v>#REF!</v>
      </c>
      <c r="F92" t="e">
        <f>AND(#REF!,"AAAAAGt/+gU=")</f>
        <v>#REF!</v>
      </c>
      <c r="G92" t="e">
        <f>AND(#REF!,"AAAAAGt/+gY=")</f>
        <v>#REF!</v>
      </c>
      <c r="H92" t="e">
        <f>AND(#REF!,"AAAAAGt/+gc=")</f>
        <v>#REF!</v>
      </c>
      <c r="I92" t="e">
        <f>AND(#REF!,"AAAAAGt/+gg=")</f>
        <v>#REF!</v>
      </c>
      <c r="J92" t="e">
        <f>AND(#REF!,"AAAAAGt/+gk=")</f>
        <v>#REF!</v>
      </c>
      <c r="K92" t="e">
        <f>AND(#REF!,"AAAAAGt/+go=")</f>
        <v>#REF!</v>
      </c>
      <c r="L92" t="e">
        <f>AND(#REF!,"AAAAAGt/+gs=")</f>
        <v>#REF!</v>
      </c>
      <c r="M92" t="e">
        <f>AND(#REF!,"AAAAAGt/+gw=")</f>
        <v>#REF!</v>
      </c>
      <c r="N92" t="e">
        <f>AND(#REF!,"AAAAAGt/+g0=")</f>
        <v>#REF!</v>
      </c>
      <c r="O92" t="e">
        <f>AND(#REF!,"AAAAAGt/+g4=")</f>
        <v>#REF!</v>
      </c>
      <c r="P92" t="e">
        <f>AND(#REF!,"AAAAAGt/+g8=")</f>
        <v>#REF!</v>
      </c>
      <c r="Q92" t="e">
        <f>AND(#REF!,"AAAAAGt/+hA=")</f>
        <v>#REF!</v>
      </c>
      <c r="R92" t="e">
        <f>AND(#REF!,"AAAAAGt/+hE=")</f>
        <v>#REF!</v>
      </c>
      <c r="S92" t="e">
        <f>AND(#REF!,"AAAAAGt/+hI=")</f>
        <v>#REF!</v>
      </c>
      <c r="T92" t="e">
        <f>AND(#REF!,"AAAAAGt/+hM=")</f>
        <v>#REF!</v>
      </c>
      <c r="U92" t="e">
        <f>AND(#REF!,"AAAAAGt/+hQ=")</f>
        <v>#REF!</v>
      </c>
      <c r="V92" t="e">
        <f>AND(#REF!,"AAAAAGt/+hU=")</f>
        <v>#REF!</v>
      </c>
      <c r="W92" t="e">
        <f>AND(#REF!,"AAAAAGt/+hY=")</f>
        <v>#REF!</v>
      </c>
      <c r="X92" t="e">
        <f>AND(#REF!,"AAAAAGt/+hc=")</f>
        <v>#REF!</v>
      </c>
      <c r="Y92" t="e">
        <f>AND(#REF!,"AAAAAGt/+hg=")</f>
        <v>#REF!</v>
      </c>
      <c r="Z92" t="e">
        <f>AND(#REF!,"AAAAAGt/+hk=")</f>
        <v>#REF!</v>
      </c>
      <c r="AA92" t="e">
        <f>AND(#REF!,"AAAAAGt/+ho=")</f>
        <v>#REF!</v>
      </c>
      <c r="AB92" t="e">
        <f>AND(#REF!,"AAAAAGt/+hs=")</f>
        <v>#REF!</v>
      </c>
      <c r="AC92" t="e">
        <f>AND(#REF!,"AAAAAGt/+hw=")</f>
        <v>#REF!</v>
      </c>
      <c r="AD92" t="e">
        <f>AND(#REF!,"AAAAAGt/+h0=")</f>
        <v>#REF!</v>
      </c>
      <c r="AE92" t="e">
        <f>AND(#REF!,"AAAAAGt/+h4=")</f>
        <v>#REF!</v>
      </c>
      <c r="AF92" t="e">
        <f>AND(#REF!,"AAAAAGt/+h8=")</f>
        <v>#REF!</v>
      </c>
      <c r="AG92" t="e">
        <f>AND(#REF!,"AAAAAGt/+iA=")</f>
        <v>#REF!</v>
      </c>
      <c r="AH92" t="e">
        <f>AND(#REF!,"AAAAAGt/+iE=")</f>
        <v>#REF!</v>
      </c>
      <c r="AI92" t="e">
        <f>AND(#REF!,"AAAAAGt/+iI=")</f>
        <v>#REF!</v>
      </c>
      <c r="AJ92" t="e">
        <f>AND(#REF!,"AAAAAGt/+iM=")</f>
        <v>#REF!</v>
      </c>
      <c r="AK92" t="e">
        <f>AND(#REF!,"AAAAAGt/+iQ=")</f>
        <v>#REF!</v>
      </c>
      <c r="AL92" t="e">
        <f>AND(#REF!,"AAAAAGt/+iU=")</f>
        <v>#REF!</v>
      </c>
      <c r="AM92" t="e">
        <f>AND(#REF!,"AAAAAGt/+iY=")</f>
        <v>#REF!</v>
      </c>
      <c r="AN92" t="e">
        <f>AND(#REF!,"AAAAAGt/+ic=")</f>
        <v>#REF!</v>
      </c>
      <c r="AO92" t="e">
        <f>AND(#REF!,"AAAAAGt/+ig=")</f>
        <v>#REF!</v>
      </c>
      <c r="AP92" t="e">
        <f>AND(#REF!,"AAAAAGt/+ik=")</f>
        <v>#REF!</v>
      </c>
      <c r="AQ92" t="e">
        <f>AND(#REF!,"AAAAAGt/+io=")</f>
        <v>#REF!</v>
      </c>
      <c r="AR92" t="e">
        <f>AND(#REF!,"AAAAAGt/+is=")</f>
        <v>#REF!</v>
      </c>
      <c r="AS92" t="e">
        <f>AND(#REF!,"AAAAAGt/+iw=")</f>
        <v>#REF!</v>
      </c>
      <c r="AT92" t="e">
        <f>AND(#REF!,"AAAAAGt/+i0=")</f>
        <v>#REF!</v>
      </c>
      <c r="AU92" t="e">
        <f>AND(#REF!,"AAAAAGt/+i4=")</f>
        <v>#REF!</v>
      </c>
      <c r="AV92" t="e">
        <f>AND(#REF!,"AAAAAGt/+i8=")</f>
        <v>#REF!</v>
      </c>
      <c r="AW92" t="e">
        <f>AND(#REF!,"AAAAAGt/+jA=")</f>
        <v>#REF!</v>
      </c>
      <c r="AX92" t="e">
        <f>AND(#REF!,"AAAAAGt/+jE=")</f>
        <v>#REF!</v>
      </c>
      <c r="AY92" t="e">
        <f>AND(#REF!,"AAAAAGt/+jI=")</f>
        <v>#REF!</v>
      </c>
      <c r="AZ92" t="e">
        <f>AND(#REF!,"AAAAAGt/+jM=")</f>
        <v>#REF!</v>
      </c>
      <c r="BA92" t="e">
        <f>AND(#REF!,"AAAAAGt/+jQ=")</f>
        <v>#REF!</v>
      </c>
      <c r="BB92" t="e">
        <f>AND(#REF!,"AAAAAGt/+jU=")</f>
        <v>#REF!</v>
      </c>
      <c r="BC92" t="e">
        <f>AND(#REF!,"AAAAAGt/+jY=")</f>
        <v>#REF!</v>
      </c>
      <c r="BD92" t="e">
        <f>AND(#REF!,"AAAAAGt/+jc=")</f>
        <v>#REF!</v>
      </c>
      <c r="BE92" t="e">
        <f>AND(#REF!,"AAAAAGt/+jg=")</f>
        <v>#REF!</v>
      </c>
      <c r="BF92" t="e">
        <f>AND(#REF!,"AAAAAGt/+jk=")</f>
        <v>#REF!</v>
      </c>
      <c r="BG92" t="e">
        <f>AND(#REF!,"AAAAAGt/+jo=")</f>
        <v>#REF!</v>
      </c>
      <c r="BH92" t="e">
        <f>AND(#REF!,"AAAAAGt/+js=")</f>
        <v>#REF!</v>
      </c>
      <c r="BI92" t="e">
        <f>AND(#REF!,"AAAAAGt/+jw=")</f>
        <v>#REF!</v>
      </c>
      <c r="BJ92" t="e">
        <f>AND(#REF!,"AAAAAGt/+j0=")</f>
        <v>#REF!</v>
      </c>
      <c r="BK92" t="e">
        <f>AND(#REF!,"AAAAAGt/+j4=")</f>
        <v>#REF!</v>
      </c>
      <c r="BL92" t="e">
        <f>AND(#REF!,"AAAAAGt/+j8=")</f>
        <v>#REF!</v>
      </c>
      <c r="BM92" t="e">
        <f>AND(#REF!,"AAAAAGt/+kA=")</f>
        <v>#REF!</v>
      </c>
      <c r="BN92" t="e">
        <f>AND(#REF!,"AAAAAGt/+kE=")</f>
        <v>#REF!</v>
      </c>
      <c r="BO92" t="e">
        <f>AND(#REF!,"AAAAAGt/+kI=")</f>
        <v>#REF!</v>
      </c>
      <c r="BP92" t="e">
        <f>AND(#REF!,"AAAAAGt/+kM=")</f>
        <v>#REF!</v>
      </c>
      <c r="BQ92" t="e">
        <f>AND(#REF!,"AAAAAGt/+kQ=")</f>
        <v>#REF!</v>
      </c>
      <c r="BR92" t="e">
        <f>AND(#REF!,"AAAAAGt/+kU=")</f>
        <v>#REF!</v>
      </c>
      <c r="BS92" t="e">
        <f>IF(#REF!,"AAAAAGt/+kY=",0)</f>
        <v>#REF!</v>
      </c>
      <c r="BT92" t="e">
        <f>AND(#REF!,"AAAAAGt/+kc=")</f>
        <v>#REF!</v>
      </c>
      <c r="BU92" t="e">
        <f>AND(#REF!,"AAAAAGt/+kg=")</f>
        <v>#REF!</v>
      </c>
      <c r="BV92" t="e">
        <f>AND(#REF!,"AAAAAGt/+kk=")</f>
        <v>#REF!</v>
      </c>
      <c r="BW92" t="e">
        <f>AND(#REF!,"AAAAAGt/+ko=")</f>
        <v>#REF!</v>
      </c>
      <c r="BX92" t="e">
        <f>AND(#REF!,"AAAAAGt/+ks=")</f>
        <v>#REF!</v>
      </c>
      <c r="BY92" t="e">
        <f>AND(#REF!,"AAAAAGt/+kw=")</f>
        <v>#REF!</v>
      </c>
      <c r="BZ92" t="e">
        <f>AND(#REF!,"AAAAAGt/+k0=")</f>
        <v>#REF!</v>
      </c>
      <c r="CA92" t="e">
        <f>AND(#REF!,"AAAAAGt/+k4=")</f>
        <v>#REF!</v>
      </c>
      <c r="CB92" t="e">
        <f>AND(#REF!,"AAAAAGt/+k8=")</f>
        <v>#REF!</v>
      </c>
      <c r="CC92" t="e">
        <f>AND(#REF!,"AAAAAGt/+lA=")</f>
        <v>#REF!</v>
      </c>
      <c r="CD92" t="e">
        <f>AND(#REF!,"AAAAAGt/+lE=")</f>
        <v>#REF!</v>
      </c>
      <c r="CE92" t="e">
        <f>AND(#REF!,"AAAAAGt/+lI=")</f>
        <v>#REF!</v>
      </c>
      <c r="CF92" t="e">
        <f>AND(#REF!,"AAAAAGt/+lM=")</f>
        <v>#REF!</v>
      </c>
      <c r="CG92" t="e">
        <f>AND(#REF!,"AAAAAGt/+lQ=")</f>
        <v>#REF!</v>
      </c>
      <c r="CH92" t="e">
        <f>AND(#REF!,"AAAAAGt/+lU=")</f>
        <v>#REF!</v>
      </c>
      <c r="CI92" t="e">
        <f>AND(#REF!,"AAAAAGt/+lY=")</f>
        <v>#REF!</v>
      </c>
      <c r="CJ92" t="e">
        <f>AND(#REF!,"AAAAAGt/+lc=")</f>
        <v>#REF!</v>
      </c>
      <c r="CK92" t="e">
        <f>AND(#REF!,"AAAAAGt/+lg=")</f>
        <v>#REF!</v>
      </c>
      <c r="CL92" t="e">
        <f>AND(#REF!,"AAAAAGt/+lk=")</f>
        <v>#REF!</v>
      </c>
      <c r="CM92" t="e">
        <f>AND(#REF!,"AAAAAGt/+lo=")</f>
        <v>#REF!</v>
      </c>
      <c r="CN92" t="e">
        <f>AND(#REF!,"AAAAAGt/+ls=")</f>
        <v>#REF!</v>
      </c>
      <c r="CO92" t="e">
        <f>AND(#REF!,"AAAAAGt/+lw=")</f>
        <v>#REF!</v>
      </c>
      <c r="CP92" t="e">
        <f>AND(#REF!,"AAAAAGt/+l0=")</f>
        <v>#REF!</v>
      </c>
      <c r="CQ92" t="e">
        <f>AND(#REF!,"AAAAAGt/+l4=")</f>
        <v>#REF!</v>
      </c>
      <c r="CR92" t="e">
        <f>AND(#REF!,"AAAAAGt/+l8=")</f>
        <v>#REF!</v>
      </c>
      <c r="CS92" t="e">
        <f>AND(#REF!,"AAAAAGt/+mA=")</f>
        <v>#REF!</v>
      </c>
      <c r="CT92" t="e">
        <f>AND(#REF!,"AAAAAGt/+mE=")</f>
        <v>#REF!</v>
      </c>
      <c r="CU92" t="e">
        <f>AND(#REF!,"AAAAAGt/+mI=")</f>
        <v>#REF!</v>
      </c>
      <c r="CV92" t="e">
        <f>AND(#REF!,"AAAAAGt/+mM=")</f>
        <v>#REF!</v>
      </c>
      <c r="CW92" t="e">
        <f>AND(#REF!,"AAAAAGt/+mQ=")</f>
        <v>#REF!</v>
      </c>
      <c r="CX92" t="e">
        <f>AND(#REF!,"AAAAAGt/+mU=")</f>
        <v>#REF!</v>
      </c>
      <c r="CY92" t="e">
        <f>AND(#REF!,"AAAAAGt/+mY=")</f>
        <v>#REF!</v>
      </c>
      <c r="CZ92" t="e">
        <f>AND(#REF!,"AAAAAGt/+mc=")</f>
        <v>#REF!</v>
      </c>
      <c r="DA92" t="e">
        <f>AND(#REF!,"AAAAAGt/+mg=")</f>
        <v>#REF!</v>
      </c>
      <c r="DB92" t="e">
        <f>AND(#REF!,"AAAAAGt/+mk=")</f>
        <v>#REF!</v>
      </c>
      <c r="DC92" t="e">
        <f>AND(#REF!,"AAAAAGt/+mo=")</f>
        <v>#REF!</v>
      </c>
      <c r="DD92" t="e">
        <f>AND(#REF!,"AAAAAGt/+ms=")</f>
        <v>#REF!</v>
      </c>
      <c r="DE92" t="e">
        <f>AND(#REF!,"AAAAAGt/+mw=")</f>
        <v>#REF!</v>
      </c>
      <c r="DF92" t="e">
        <f>AND(#REF!,"AAAAAGt/+m0=")</f>
        <v>#REF!</v>
      </c>
      <c r="DG92" t="e">
        <f>AND(#REF!,"AAAAAGt/+m4=")</f>
        <v>#REF!</v>
      </c>
      <c r="DH92" t="e">
        <f>AND(#REF!,"AAAAAGt/+m8=")</f>
        <v>#REF!</v>
      </c>
      <c r="DI92" t="e">
        <f>AND(#REF!,"AAAAAGt/+nA=")</f>
        <v>#REF!</v>
      </c>
      <c r="DJ92" t="e">
        <f>AND(#REF!,"AAAAAGt/+nE=")</f>
        <v>#REF!</v>
      </c>
      <c r="DK92" t="e">
        <f>AND(#REF!,"AAAAAGt/+nI=")</f>
        <v>#REF!</v>
      </c>
      <c r="DL92" t="e">
        <f>AND(#REF!,"AAAAAGt/+nM=")</f>
        <v>#REF!</v>
      </c>
      <c r="DM92" t="e">
        <f>AND(#REF!,"AAAAAGt/+nQ=")</f>
        <v>#REF!</v>
      </c>
      <c r="DN92" t="e">
        <f>AND(#REF!,"AAAAAGt/+nU=")</f>
        <v>#REF!</v>
      </c>
      <c r="DO92" t="e">
        <f>AND(#REF!,"AAAAAGt/+nY=")</f>
        <v>#REF!</v>
      </c>
      <c r="DP92" t="e">
        <f>AND(#REF!,"AAAAAGt/+nc=")</f>
        <v>#REF!</v>
      </c>
      <c r="DQ92" t="e">
        <f>AND(#REF!,"AAAAAGt/+ng=")</f>
        <v>#REF!</v>
      </c>
      <c r="DR92" t="e">
        <f>AND(#REF!,"AAAAAGt/+nk=")</f>
        <v>#REF!</v>
      </c>
      <c r="DS92" t="e">
        <f>AND(#REF!,"AAAAAGt/+no=")</f>
        <v>#REF!</v>
      </c>
      <c r="DT92" t="e">
        <f>AND(#REF!,"AAAAAGt/+ns=")</f>
        <v>#REF!</v>
      </c>
      <c r="DU92" t="e">
        <f>AND(#REF!,"AAAAAGt/+nw=")</f>
        <v>#REF!</v>
      </c>
      <c r="DV92" t="e">
        <f>AND(#REF!,"AAAAAGt/+n0=")</f>
        <v>#REF!</v>
      </c>
      <c r="DW92" t="e">
        <f>AND(#REF!,"AAAAAGt/+n4=")</f>
        <v>#REF!</v>
      </c>
      <c r="DX92" t="e">
        <f>AND(#REF!,"AAAAAGt/+n8=")</f>
        <v>#REF!</v>
      </c>
      <c r="DY92" t="e">
        <f>AND(#REF!,"AAAAAGt/+oA=")</f>
        <v>#REF!</v>
      </c>
      <c r="DZ92" t="e">
        <f>AND(#REF!,"AAAAAGt/+oE=")</f>
        <v>#REF!</v>
      </c>
      <c r="EA92" t="e">
        <f>AND(#REF!,"AAAAAGt/+oI=")</f>
        <v>#REF!</v>
      </c>
      <c r="EB92" t="e">
        <f>AND(#REF!,"AAAAAGt/+oM=")</f>
        <v>#REF!</v>
      </c>
      <c r="EC92" t="e">
        <f>AND(#REF!,"AAAAAGt/+oQ=")</f>
        <v>#REF!</v>
      </c>
      <c r="ED92" t="e">
        <f>AND(#REF!,"AAAAAGt/+oU=")</f>
        <v>#REF!</v>
      </c>
      <c r="EE92" t="e">
        <f>AND(#REF!,"AAAAAGt/+oY=")</f>
        <v>#REF!</v>
      </c>
      <c r="EF92" t="e">
        <f>AND(#REF!,"AAAAAGt/+oc=")</f>
        <v>#REF!</v>
      </c>
      <c r="EG92" t="e">
        <f>AND(#REF!,"AAAAAGt/+og=")</f>
        <v>#REF!</v>
      </c>
      <c r="EH92" t="e">
        <f>AND(#REF!,"AAAAAGt/+ok=")</f>
        <v>#REF!</v>
      </c>
      <c r="EI92" t="e">
        <f>AND(#REF!,"AAAAAGt/+oo=")</f>
        <v>#REF!</v>
      </c>
      <c r="EJ92" t="e">
        <f>AND(#REF!,"AAAAAGt/+os=")</f>
        <v>#REF!</v>
      </c>
      <c r="EK92" t="e">
        <f>AND(#REF!,"AAAAAGt/+ow=")</f>
        <v>#REF!</v>
      </c>
      <c r="EL92" t="e">
        <f>AND(#REF!,"AAAAAGt/+o0=")</f>
        <v>#REF!</v>
      </c>
      <c r="EM92" t="e">
        <f>AND(#REF!,"AAAAAGt/+o4=")</f>
        <v>#REF!</v>
      </c>
      <c r="EN92" t="e">
        <f>AND(#REF!,"AAAAAGt/+o8=")</f>
        <v>#REF!</v>
      </c>
      <c r="EO92" t="e">
        <f>AND(#REF!,"AAAAAGt/+pA=")</f>
        <v>#REF!</v>
      </c>
      <c r="EP92" t="e">
        <f>AND(#REF!,"AAAAAGt/+pE=")</f>
        <v>#REF!</v>
      </c>
      <c r="EQ92" t="e">
        <f>AND(#REF!,"AAAAAGt/+pI=")</f>
        <v>#REF!</v>
      </c>
      <c r="ER92" t="e">
        <f>AND(#REF!,"AAAAAGt/+pM=")</f>
        <v>#REF!</v>
      </c>
      <c r="ES92" t="e">
        <f>AND(#REF!,"AAAAAGt/+pQ=")</f>
        <v>#REF!</v>
      </c>
      <c r="ET92" t="e">
        <f>AND(#REF!,"AAAAAGt/+pU=")</f>
        <v>#REF!</v>
      </c>
      <c r="EU92" t="e">
        <f>AND(#REF!,"AAAAAGt/+pY=")</f>
        <v>#REF!</v>
      </c>
      <c r="EV92" t="e">
        <f>AND(#REF!,"AAAAAGt/+pc=")</f>
        <v>#REF!</v>
      </c>
      <c r="EW92" t="e">
        <f>AND(#REF!,"AAAAAGt/+pg=")</f>
        <v>#REF!</v>
      </c>
      <c r="EX92" t="e">
        <f>AND(#REF!,"AAAAAGt/+pk=")</f>
        <v>#REF!</v>
      </c>
      <c r="EY92" t="e">
        <f>AND(#REF!,"AAAAAGt/+po=")</f>
        <v>#REF!</v>
      </c>
      <c r="EZ92" t="e">
        <f>AND(#REF!,"AAAAAGt/+ps=")</f>
        <v>#REF!</v>
      </c>
      <c r="FA92" t="e">
        <f>AND(#REF!,"AAAAAGt/+pw=")</f>
        <v>#REF!</v>
      </c>
      <c r="FB92" t="e">
        <f>AND(#REF!,"AAAAAGt/+p0=")</f>
        <v>#REF!</v>
      </c>
      <c r="FC92" t="e">
        <f>AND(#REF!,"AAAAAGt/+p4=")</f>
        <v>#REF!</v>
      </c>
      <c r="FD92" t="e">
        <f>AND(#REF!,"AAAAAGt/+p8=")</f>
        <v>#REF!</v>
      </c>
      <c r="FE92" t="e">
        <f>AND(#REF!,"AAAAAGt/+qA=")</f>
        <v>#REF!</v>
      </c>
      <c r="FF92" t="e">
        <f>AND(#REF!,"AAAAAGt/+qE=")</f>
        <v>#REF!</v>
      </c>
      <c r="FG92" t="e">
        <f>AND(#REF!,"AAAAAGt/+qI=")</f>
        <v>#REF!</v>
      </c>
      <c r="FH92" t="e">
        <f>AND(#REF!,"AAAAAGt/+qM=")</f>
        <v>#REF!</v>
      </c>
      <c r="FI92" t="e">
        <f>AND(#REF!,"AAAAAGt/+qQ=")</f>
        <v>#REF!</v>
      </c>
      <c r="FJ92" t="e">
        <f>AND(#REF!,"AAAAAGt/+qU=")</f>
        <v>#REF!</v>
      </c>
      <c r="FK92" t="e">
        <f>AND(#REF!,"AAAAAGt/+qY=")</f>
        <v>#REF!</v>
      </c>
      <c r="FL92" t="e">
        <f>AND(#REF!,"AAAAAGt/+qc=")</f>
        <v>#REF!</v>
      </c>
      <c r="FM92" t="e">
        <f>AND(#REF!,"AAAAAGt/+qg=")</f>
        <v>#REF!</v>
      </c>
      <c r="FN92" t="e">
        <f>AND(#REF!,"AAAAAGt/+qk=")</f>
        <v>#REF!</v>
      </c>
      <c r="FO92" t="e">
        <f>AND(#REF!,"AAAAAGt/+qo=")</f>
        <v>#REF!</v>
      </c>
      <c r="FP92" t="e">
        <f>AND(#REF!,"AAAAAGt/+qs=")</f>
        <v>#REF!</v>
      </c>
      <c r="FQ92" t="e">
        <f>AND(#REF!,"AAAAAGt/+qw=")</f>
        <v>#REF!</v>
      </c>
      <c r="FR92" t="e">
        <f>AND(#REF!,"AAAAAGt/+q0=")</f>
        <v>#REF!</v>
      </c>
      <c r="FS92" t="e">
        <f>AND(#REF!,"AAAAAGt/+q4=")</f>
        <v>#REF!</v>
      </c>
      <c r="FT92" t="e">
        <f>AND(#REF!,"AAAAAGt/+q8=")</f>
        <v>#REF!</v>
      </c>
      <c r="FU92" t="e">
        <f>AND(#REF!,"AAAAAGt/+rA=")</f>
        <v>#REF!</v>
      </c>
      <c r="FV92" t="e">
        <f>AND(#REF!,"AAAAAGt/+rE=")</f>
        <v>#REF!</v>
      </c>
      <c r="FW92" t="e">
        <f>AND(#REF!,"AAAAAGt/+rI=")</f>
        <v>#REF!</v>
      </c>
      <c r="FX92" t="e">
        <f>AND(#REF!,"AAAAAGt/+rM=")</f>
        <v>#REF!</v>
      </c>
      <c r="FY92" t="e">
        <f>AND(#REF!,"AAAAAGt/+rQ=")</f>
        <v>#REF!</v>
      </c>
      <c r="FZ92" t="e">
        <f>AND(#REF!,"AAAAAGt/+rU=")</f>
        <v>#REF!</v>
      </c>
      <c r="GA92" t="e">
        <f>AND(#REF!,"AAAAAGt/+rY=")</f>
        <v>#REF!</v>
      </c>
      <c r="GB92" t="e">
        <f>AND(#REF!,"AAAAAGt/+rc=")</f>
        <v>#REF!</v>
      </c>
      <c r="GC92" t="e">
        <f>AND(#REF!,"AAAAAGt/+rg=")</f>
        <v>#REF!</v>
      </c>
      <c r="GD92" t="e">
        <f>AND(#REF!,"AAAAAGt/+rk=")</f>
        <v>#REF!</v>
      </c>
      <c r="GE92" t="e">
        <f>AND(#REF!,"AAAAAGt/+ro=")</f>
        <v>#REF!</v>
      </c>
      <c r="GF92" t="e">
        <f>AND(#REF!,"AAAAAGt/+rs=")</f>
        <v>#REF!</v>
      </c>
      <c r="GG92" t="e">
        <f>AND(#REF!,"AAAAAGt/+rw=")</f>
        <v>#REF!</v>
      </c>
      <c r="GH92" t="e">
        <f>AND(#REF!,"AAAAAGt/+r0=")</f>
        <v>#REF!</v>
      </c>
      <c r="GI92" t="e">
        <f>AND(#REF!,"AAAAAGt/+r4=")</f>
        <v>#REF!</v>
      </c>
      <c r="GJ92" t="e">
        <f>AND(#REF!,"AAAAAGt/+r8=")</f>
        <v>#REF!</v>
      </c>
      <c r="GK92" t="e">
        <f>AND(#REF!,"AAAAAGt/+sA=")</f>
        <v>#REF!</v>
      </c>
      <c r="GL92" t="e">
        <f>AND(#REF!,"AAAAAGt/+sE=")</f>
        <v>#REF!</v>
      </c>
      <c r="GM92" t="e">
        <f>AND(#REF!,"AAAAAGt/+sI=")</f>
        <v>#REF!</v>
      </c>
      <c r="GN92" t="e">
        <f>AND(#REF!,"AAAAAGt/+sM=")</f>
        <v>#REF!</v>
      </c>
      <c r="GO92" t="e">
        <f>AND(#REF!,"AAAAAGt/+sQ=")</f>
        <v>#REF!</v>
      </c>
      <c r="GP92" t="e">
        <f>AND(#REF!,"AAAAAGt/+sU=")</f>
        <v>#REF!</v>
      </c>
      <c r="GQ92" t="e">
        <f>AND(#REF!,"AAAAAGt/+sY=")</f>
        <v>#REF!</v>
      </c>
      <c r="GR92" t="e">
        <f>AND(#REF!,"AAAAAGt/+sc=")</f>
        <v>#REF!</v>
      </c>
      <c r="GS92" t="e">
        <f>AND(#REF!,"AAAAAGt/+sg=")</f>
        <v>#REF!</v>
      </c>
      <c r="GT92" t="e">
        <f>AND(#REF!,"AAAAAGt/+sk=")</f>
        <v>#REF!</v>
      </c>
      <c r="GU92" t="e">
        <f>AND(#REF!,"AAAAAGt/+so=")</f>
        <v>#REF!</v>
      </c>
      <c r="GV92" t="e">
        <f>AND(#REF!,"AAAAAGt/+ss=")</f>
        <v>#REF!</v>
      </c>
      <c r="GW92" t="e">
        <f>AND(#REF!,"AAAAAGt/+sw=")</f>
        <v>#REF!</v>
      </c>
      <c r="GX92" t="e">
        <f>AND(#REF!,"AAAAAGt/+s0=")</f>
        <v>#REF!</v>
      </c>
      <c r="GY92" t="e">
        <f>AND(#REF!,"AAAAAGt/+s4=")</f>
        <v>#REF!</v>
      </c>
      <c r="GZ92" t="e">
        <f>AND(#REF!,"AAAAAGt/+s8=")</f>
        <v>#REF!</v>
      </c>
      <c r="HA92" t="e">
        <f>AND(#REF!,"AAAAAGt/+tA=")</f>
        <v>#REF!</v>
      </c>
      <c r="HB92" t="e">
        <f>AND(#REF!,"AAAAAGt/+tE=")</f>
        <v>#REF!</v>
      </c>
      <c r="HC92" t="e">
        <f>AND(#REF!,"AAAAAGt/+tI=")</f>
        <v>#REF!</v>
      </c>
      <c r="HD92" t="e">
        <f>AND(#REF!,"AAAAAGt/+tM=")</f>
        <v>#REF!</v>
      </c>
      <c r="HE92" t="e">
        <f>AND(#REF!,"AAAAAGt/+tQ=")</f>
        <v>#REF!</v>
      </c>
      <c r="HF92" t="e">
        <f>AND(#REF!,"AAAAAGt/+tU=")</f>
        <v>#REF!</v>
      </c>
      <c r="HG92" t="e">
        <f>AND(#REF!,"AAAAAGt/+tY=")</f>
        <v>#REF!</v>
      </c>
      <c r="HH92" t="e">
        <f>AND(#REF!,"AAAAAGt/+tc=")</f>
        <v>#REF!</v>
      </c>
      <c r="HI92" t="e">
        <f>AND(#REF!,"AAAAAGt/+tg=")</f>
        <v>#REF!</v>
      </c>
      <c r="HJ92" t="e">
        <f>AND(#REF!,"AAAAAGt/+tk=")</f>
        <v>#REF!</v>
      </c>
      <c r="HK92" t="e">
        <f>AND(#REF!,"AAAAAGt/+to=")</f>
        <v>#REF!</v>
      </c>
      <c r="HL92" t="e">
        <f>AND(#REF!,"AAAAAGt/+ts=")</f>
        <v>#REF!</v>
      </c>
      <c r="HM92" t="e">
        <f>AND(#REF!,"AAAAAGt/+tw=")</f>
        <v>#REF!</v>
      </c>
      <c r="HN92" t="e">
        <f>AND(#REF!,"AAAAAGt/+t0=")</f>
        <v>#REF!</v>
      </c>
      <c r="HO92" t="e">
        <f>AND(#REF!,"AAAAAGt/+t4=")</f>
        <v>#REF!</v>
      </c>
      <c r="HP92" t="e">
        <f>AND(#REF!,"AAAAAGt/+t8=")</f>
        <v>#REF!</v>
      </c>
      <c r="HQ92" t="e">
        <f>AND(#REF!,"AAAAAGt/+uA=")</f>
        <v>#REF!</v>
      </c>
      <c r="HR92" t="e">
        <f>AND(#REF!,"AAAAAGt/+uE=")</f>
        <v>#REF!</v>
      </c>
      <c r="HS92" t="e">
        <f>AND(#REF!,"AAAAAGt/+uI=")</f>
        <v>#REF!</v>
      </c>
      <c r="HT92" t="e">
        <f>AND(#REF!,"AAAAAGt/+uM=")</f>
        <v>#REF!</v>
      </c>
      <c r="HU92" t="e">
        <f>AND(#REF!,"AAAAAGt/+uQ=")</f>
        <v>#REF!</v>
      </c>
      <c r="HV92" t="e">
        <f>AND(#REF!,"AAAAAGt/+uU=")</f>
        <v>#REF!</v>
      </c>
      <c r="HW92" t="e">
        <f>AND(#REF!,"AAAAAGt/+uY=")</f>
        <v>#REF!</v>
      </c>
      <c r="HX92" t="e">
        <f>AND(#REF!,"AAAAAGt/+uc=")</f>
        <v>#REF!</v>
      </c>
      <c r="HY92" t="e">
        <f>AND(#REF!,"AAAAAGt/+ug=")</f>
        <v>#REF!</v>
      </c>
      <c r="HZ92" t="e">
        <f>AND(#REF!,"AAAAAGt/+uk=")</f>
        <v>#REF!</v>
      </c>
      <c r="IA92" t="e">
        <f>AND(#REF!,"AAAAAGt/+uo=")</f>
        <v>#REF!</v>
      </c>
      <c r="IB92" t="e">
        <f>AND(#REF!,"AAAAAGt/+us=")</f>
        <v>#REF!</v>
      </c>
      <c r="IC92" t="e">
        <f>AND(#REF!,"AAAAAGt/+uw=")</f>
        <v>#REF!</v>
      </c>
      <c r="ID92" t="e">
        <f>AND(#REF!,"AAAAAGt/+u0=")</f>
        <v>#REF!</v>
      </c>
      <c r="IE92" t="e">
        <f>AND(#REF!,"AAAAAGt/+u4=")</f>
        <v>#REF!</v>
      </c>
      <c r="IF92" t="e">
        <f>AND(#REF!,"AAAAAGt/+u8=")</f>
        <v>#REF!</v>
      </c>
      <c r="IG92" t="e">
        <f>AND(#REF!,"AAAAAGt/+vA=")</f>
        <v>#REF!</v>
      </c>
      <c r="IH92" t="e">
        <f>AND(#REF!,"AAAAAGt/+vE=")</f>
        <v>#REF!</v>
      </c>
      <c r="II92" t="e">
        <f>AND(#REF!,"AAAAAGt/+vI=")</f>
        <v>#REF!</v>
      </c>
      <c r="IJ92" t="e">
        <f>AND(#REF!,"AAAAAGt/+vM=")</f>
        <v>#REF!</v>
      </c>
      <c r="IK92" t="e">
        <f>AND(#REF!,"AAAAAGt/+vQ=")</f>
        <v>#REF!</v>
      </c>
      <c r="IL92" t="e">
        <f>AND(#REF!,"AAAAAGt/+vU=")</f>
        <v>#REF!</v>
      </c>
      <c r="IM92" t="e">
        <f>AND(#REF!,"AAAAAGt/+vY=")</f>
        <v>#REF!</v>
      </c>
      <c r="IN92" t="e">
        <f>AND(#REF!,"AAAAAGt/+vc=")</f>
        <v>#REF!</v>
      </c>
      <c r="IO92" t="e">
        <f>AND(#REF!,"AAAAAGt/+vg=")</f>
        <v>#REF!</v>
      </c>
      <c r="IP92" t="e">
        <f>AND(#REF!,"AAAAAGt/+vk=")</f>
        <v>#REF!</v>
      </c>
      <c r="IQ92" t="e">
        <f>AND(#REF!,"AAAAAGt/+vo=")</f>
        <v>#REF!</v>
      </c>
      <c r="IR92" t="e">
        <f>IF(#REF!,"AAAAAGt/+vs=",0)</f>
        <v>#REF!</v>
      </c>
      <c r="IS92" t="e">
        <f>AND(#REF!,"AAAAAGt/+vw=")</f>
        <v>#REF!</v>
      </c>
      <c r="IT92" t="e">
        <f>AND(#REF!,"AAAAAGt/+v0=")</f>
        <v>#REF!</v>
      </c>
      <c r="IU92" t="e">
        <f>AND(#REF!,"AAAAAGt/+v4=")</f>
        <v>#REF!</v>
      </c>
      <c r="IV92" t="e">
        <f>AND(#REF!,"AAAAAGt/+v8=")</f>
        <v>#REF!</v>
      </c>
    </row>
    <row r="93" spans="1:256" x14ac:dyDescent="0.2">
      <c r="A93" t="e">
        <f>AND(#REF!,"AAAAAHf2PwA=")</f>
        <v>#REF!</v>
      </c>
      <c r="B93" t="e">
        <f>AND(#REF!,"AAAAAHf2PwE=")</f>
        <v>#REF!</v>
      </c>
      <c r="C93" t="e">
        <f>AND(#REF!,"AAAAAHf2PwI=")</f>
        <v>#REF!</v>
      </c>
      <c r="D93" t="e">
        <f>AND(#REF!,"AAAAAHf2PwM=")</f>
        <v>#REF!</v>
      </c>
      <c r="E93" t="e">
        <f>AND(#REF!,"AAAAAHf2PwQ=")</f>
        <v>#REF!</v>
      </c>
      <c r="F93" t="e">
        <f>AND(#REF!,"AAAAAHf2PwU=")</f>
        <v>#REF!</v>
      </c>
      <c r="G93" t="e">
        <f>AND(#REF!,"AAAAAHf2PwY=")</f>
        <v>#REF!</v>
      </c>
      <c r="H93" t="e">
        <f>AND(#REF!,"AAAAAHf2Pwc=")</f>
        <v>#REF!</v>
      </c>
      <c r="I93" t="e">
        <f>AND(#REF!,"AAAAAHf2Pwg=")</f>
        <v>#REF!</v>
      </c>
      <c r="J93" t="e">
        <f>AND(#REF!,"AAAAAHf2Pwk=")</f>
        <v>#REF!</v>
      </c>
      <c r="K93" t="e">
        <f>AND(#REF!,"AAAAAHf2Pwo=")</f>
        <v>#REF!</v>
      </c>
      <c r="L93" t="e">
        <f>AND(#REF!,"AAAAAHf2Pws=")</f>
        <v>#REF!</v>
      </c>
      <c r="M93" t="e">
        <f>AND(#REF!,"AAAAAHf2Pww=")</f>
        <v>#REF!</v>
      </c>
      <c r="N93" t="e">
        <f>AND(#REF!,"AAAAAHf2Pw0=")</f>
        <v>#REF!</v>
      </c>
      <c r="O93" t="e">
        <f>AND(#REF!,"AAAAAHf2Pw4=")</f>
        <v>#REF!</v>
      </c>
      <c r="P93" t="e">
        <f>AND(#REF!,"AAAAAHf2Pw8=")</f>
        <v>#REF!</v>
      </c>
      <c r="Q93" t="e">
        <f>AND(#REF!,"AAAAAHf2PxA=")</f>
        <v>#REF!</v>
      </c>
      <c r="R93" t="e">
        <f>AND(#REF!,"AAAAAHf2PxE=")</f>
        <v>#REF!</v>
      </c>
      <c r="S93" t="e">
        <f>AND(#REF!,"AAAAAHf2PxI=")</f>
        <v>#REF!</v>
      </c>
      <c r="T93" t="e">
        <f>AND(#REF!,"AAAAAHf2PxM=")</f>
        <v>#REF!</v>
      </c>
      <c r="U93" t="e">
        <f>AND(#REF!,"AAAAAHf2PxQ=")</f>
        <v>#REF!</v>
      </c>
      <c r="V93" t="e">
        <f>AND(#REF!,"AAAAAHf2PxU=")</f>
        <v>#REF!</v>
      </c>
      <c r="W93" t="e">
        <f>AND(#REF!,"AAAAAHf2PxY=")</f>
        <v>#REF!</v>
      </c>
      <c r="X93" t="e">
        <f>AND(#REF!,"AAAAAHf2Pxc=")</f>
        <v>#REF!</v>
      </c>
      <c r="Y93" t="e">
        <f>AND(#REF!,"AAAAAHf2Pxg=")</f>
        <v>#REF!</v>
      </c>
      <c r="Z93" t="e">
        <f>AND(#REF!,"AAAAAHf2Pxk=")</f>
        <v>#REF!</v>
      </c>
      <c r="AA93" t="e">
        <f>AND(#REF!,"AAAAAHf2Pxo=")</f>
        <v>#REF!</v>
      </c>
      <c r="AB93" t="e">
        <f>AND(#REF!,"AAAAAHf2Pxs=")</f>
        <v>#REF!</v>
      </c>
      <c r="AC93" t="e">
        <f>AND(#REF!,"AAAAAHf2Pxw=")</f>
        <v>#REF!</v>
      </c>
      <c r="AD93" t="e">
        <f>AND(#REF!,"AAAAAHf2Px0=")</f>
        <v>#REF!</v>
      </c>
      <c r="AE93" t="e">
        <f>AND(#REF!,"AAAAAHf2Px4=")</f>
        <v>#REF!</v>
      </c>
      <c r="AF93" t="e">
        <f>AND(#REF!,"AAAAAHf2Px8=")</f>
        <v>#REF!</v>
      </c>
      <c r="AG93" t="e">
        <f>AND(#REF!,"AAAAAHf2PyA=")</f>
        <v>#REF!</v>
      </c>
      <c r="AH93" t="e">
        <f>AND(#REF!,"AAAAAHf2PyE=")</f>
        <v>#REF!</v>
      </c>
      <c r="AI93" t="e">
        <f>AND(#REF!,"AAAAAHf2PyI=")</f>
        <v>#REF!</v>
      </c>
      <c r="AJ93" t="e">
        <f>AND(#REF!,"AAAAAHf2PyM=")</f>
        <v>#REF!</v>
      </c>
      <c r="AK93" t="e">
        <f>AND(#REF!,"AAAAAHf2PyQ=")</f>
        <v>#REF!</v>
      </c>
      <c r="AL93" t="e">
        <f>AND(#REF!,"AAAAAHf2PyU=")</f>
        <v>#REF!</v>
      </c>
      <c r="AM93" t="e">
        <f>AND(#REF!,"AAAAAHf2PyY=")</f>
        <v>#REF!</v>
      </c>
      <c r="AN93" t="e">
        <f>AND(#REF!,"AAAAAHf2Pyc=")</f>
        <v>#REF!</v>
      </c>
      <c r="AO93" t="e">
        <f>AND(#REF!,"AAAAAHf2Pyg=")</f>
        <v>#REF!</v>
      </c>
      <c r="AP93" t="e">
        <f>AND(#REF!,"AAAAAHf2Pyk=")</f>
        <v>#REF!</v>
      </c>
      <c r="AQ93" t="e">
        <f>AND(#REF!,"AAAAAHf2Pyo=")</f>
        <v>#REF!</v>
      </c>
      <c r="AR93" t="e">
        <f>AND(#REF!,"AAAAAHf2Pys=")</f>
        <v>#REF!</v>
      </c>
      <c r="AS93" t="e">
        <f>AND(#REF!,"AAAAAHf2Pyw=")</f>
        <v>#REF!</v>
      </c>
      <c r="AT93" t="e">
        <f>AND(#REF!,"AAAAAHf2Py0=")</f>
        <v>#REF!</v>
      </c>
      <c r="AU93" t="e">
        <f>AND(#REF!,"AAAAAHf2Py4=")</f>
        <v>#REF!</v>
      </c>
      <c r="AV93" t="e">
        <f>AND(#REF!,"AAAAAHf2Py8=")</f>
        <v>#REF!</v>
      </c>
      <c r="AW93" t="e">
        <f>AND(#REF!,"AAAAAHf2PzA=")</f>
        <v>#REF!</v>
      </c>
      <c r="AX93" t="e">
        <f>AND(#REF!,"AAAAAHf2PzE=")</f>
        <v>#REF!</v>
      </c>
      <c r="AY93" t="e">
        <f>AND(#REF!,"AAAAAHf2PzI=")</f>
        <v>#REF!</v>
      </c>
      <c r="AZ93" t="e">
        <f>AND(#REF!,"AAAAAHf2PzM=")</f>
        <v>#REF!</v>
      </c>
      <c r="BA93" t="e">
        <f>AND(#REF!,"AAAAAHf2PzQ=")</f>
        <v>#REF!</v>
      </c>
      <c r="BB93" t="e">
        <f>AND(#REF!,"AAAAAHf2PzU=")</f>
        <v>#REF!</v>
      </c>
      <c r="BC93" t="e">
        <f>AND(#REF!,"AAAAAHf2PzY=")</f>
        <v>#REF!</v>
      </c>
      <c r="BD93" t="e">
        <f>AND(#REF!,"AAAAAHf2Pzc=")</f>
        <v>#REF!</v>
      </c>
      <c r="BE93" t="e">
        <f>AND(#REF!,"AAAAAHf2Pzg=")</f>
        <v>#REF!</v>
      </c>
      <c r="BF93" t="e">
        <f>AND(#REF!,"AAAAAHf2Pzk=")</f>
        <v>#REF!</v>
      </c>
      <c r="BG93" t="e">
        <f>AND(#REF!,"AAAAAHf2Pzo=")</f>
        <v>#REF!</v>
      </c>
      <c r="BH93" t="e">
        <f>AND(#REF!,"AAAAAHf2Pzs=")</f>
        <v>#REF!</v>
      </c>
      <c r="BI93" t="e">
        <f>AND(#REF!,"AAAAAHf2Pzw=")</f>
        <v>#REF!</v>
      </c>
      <c r="BJ93" t="e">
        <f>AND(#REF!,"AAAAAHf2Pz0=")</f>
        <v>#REF!</v>
      </c>
      <c r="BK93" t="e">
        <f>AND(#REF!,"AAAAAHf2Pz4=")</f>
        <v>#REF!</v>
      </c>
      <c r="BL93" t="e">
        <f>AND(#REF!,"AAAAAHf2Pz8=")</f>
        <v>#REF!</v>
      </c>
      <c r="BM93" t="e">
        <f>AND(#REF!,"AAAAAHf2P0A=")</f>
        <v>#REF!</v>
      </c>
      <c r="BN93" t="e">
        <f>AND(#REF!,"AAAAAHf2P0E=")</f>
        <v>#REF!</v>
      </c>
      <c r="BO93" t="e">
        <f>AND(#REF!,"AAAAAHf2P0I=")</f>
        <v>#REF!</v>
      </c>
      <c r="BP93" t="e">
        <f>AND(#REF!,"AAAAAHf2P0M=")</f>
        <v>#REF!</v>
      </c>
      <c r="BQ93" t="e">
        <f>AND(#REF!,"AAAAAHf2P0Q=")</f>
        <v>#REF!</v>
      </c>
      <c r="BR93" t="e">
        <f>AND(#REF!,"AAAAAHf2P0U=")</f>
        <v>#REF!</v>
      </c>
      <c r="BS93" t="e">
        <f>AND(#REF!,"AAAAAHf2P0Y=")</f>
        <v>#REF!</v>
      </c>
      <c r="BT93" t="e">
        <f>AND(#REF!,"AAAAAHf2P0c=")</f>
        <v>#REF!</v>
      </c>
      <c r="BU93" t="e">
        <f>AND(#REF!,"AAAAAHf2P0g=")</f>
        <v>#REF!</v>
      </c>
      <c r="BV93" t="e">
        <f>AND(#REF!,"AAAAAHf2P0k=")</f>
        <v>#REF!</v>
      </c>
      <c r="BW93" t="e">
        <f>AND(#REF!,"AAAAAHf2P0o=")</f>
        <v>#REF!</v>
      </c>
      <c r="BX93" t="e">
        <f>AND(#REF!,"AAAAAHf2P0s=")</f>
        <v>#REF!</v>
      </c>
      <c r="BY93" t="e">
        <f>AND(#REF!,"AAAAAHf2P0w=")</f>
        <v>#REF!</v>
      </c>
      <c r="BZ93" t="e">
        <f>AND(#REF!,"AAAAAHf2P00=")</f>
        <v>#REF!</v>
      </c>
      <c r="CA93" t="e">
        <f>AND(#REF!,"AAAAAHf2P04=")</f>
        <v>#REF!</v>
      </c>
      <c r="CB93" t="e">
        <f>AND(#REF!,"AAAAAHf2P08=")</f>
        <v>#REF!</v>
      </c>
      <c r="CC93" t="e">
        <f>AND(#REF!,"AAAAAHf2P1A=")</f>
        <v>#REF!</v>
      </c>
      <c r="CD93" t="e">
        <f>AND(#REF!,"AAAAAHf2P1E=")</f>
        <v>#REF!</v>
      </c>
      <c r="CE93" t="e">
        <f>AND(#REF!,"AAAAAHf2P1I=")</f>
        <v>#REF!</v>
      </c>
      <c r="CF93" t="e">
        <f>AND(#REF!,"AAAAAHf2P1M=")</f>
        <v>#REF!</v>
      </c>
      <c r="CG93" t="e">
        <f>AND(#REF!,"AAAAAHf2P1Q=")</f>
        <v>#REF!</v>
      </c>
      <c r="CH93" t="e">
        <f>AND(#REF!,"AAAAAHf2P1U=")</f>
        <v>#REF!</v>
      </c>
      <c r="CI93" t="e">
        <f>AND(#REF!,"AAAAAHf2P1Y=")</f>
        <v>#REF!</v>
      </c>
      <c r="CJ93" t="e">
        <f>AND(#REF!,"AAAAAHf2P1c=")</f>
        <v>#REF!</v>
      </c>
      <c r="CK93" t="e">
        <f>AND(#REF!,"AAAAAHf2P1g=")</f>
        <v>#REF!</v>
      </c>
      <c r="CL93" t="e">
        <f>AND(#REF!,"AAAAAHf2P1k=")</f>
        <v>#REF!</v>
      </c>
      <c r="CM93" t="e">
        <f>AND(#REF!,"AAAAAHf2P1o=")</f>
        <v>#REF!</v>
      </c>
      <c r="CN93" t="e">
        <f>AND(#REF!,"AAAAAHf2P1s=")</f>
        <v>#REF!</v>
      </c>
      <c r="CO93" t="e">
        <f>AND(#REF!,"AAAAAHf2P1w=")</f>
        <v>#REF!</v>
      </c>
      <c r="CP93" t="e">
        <f>AND(#REF!,"AAAAAHf2P10=")</f>
        <v>#REF!</v>
      </c>
      <c r="CQ93" t="e">
        <f>AND(#REF!,"AAAAAHf2P14=")</f>
        <v>#REF!</v>
      </c>
      <c r="CR93" t="e">
        <f>AND(#REF!,"AAAAAHf2P18=")</f>
        <v>#REF!</v>
      </c>
      <c r="CS93" t="e">
        <f>AND(#REF!,"AAAAAHf2P2A=")</f>
        <v>#REF!</v>
      </c>
      <c r="CT93" t="e">
        <f>AND(#REF!,"AAAAAHf2P2E=")</f>
        <v>#REF!</v>
      </c>
      <c r="CU93" t="e">
        <f>AND(#REF!,"AAAAAHf2P2I=")</f>
        <v>#REF!</v>
      </c>
      <c r="CV93" t="e">
        <f>AND(#REF!,"AAAAAHf2P2M=")</f>
        <v>#REF!</v>
      </c>
      <c r="CW93" t="e">
        <f>AND(#REF!,"AAAAAHf2P2Q=")</f>
        <v>#REF!</v>
      </c>
      <c r="CX93" t="e">
        <f>AND(#REF!,"AAAAAHf2P2U=")</f>
        <v>#REF!</v>
      </c>
      <c r="CY93" t="e">
        <f>AND(#REF!,"AAAAAHf2P2Y=")</f>
        <v>#REF!</v>
      </c>
      <c r="CZ93" t="e">
        <f>AND(#REF!,"AAAAAHf2P2c=")</f>
        <v>#REF!</v>
      </c>
      <c r="DA93" t="e">
        <f>AND(#REF!,"AAAAAHf2P2g=")</f>
        <v>#REF!</v>
      </c>
      <c r="DB93" t="e">
        <f>AND(#REF!,"AAAAAHf2P2k=")</f>
        <v>#REF!</v>
      </c>
      <c r="DC93" t="e">
        <f>AND(#REF!,"AAAAAHf2P2o=")</f>
        <v>#REF!</v>
      </c>
      <c r="DD93" t="e">
        <f>AND(#REF!,"AAAAAHf2P2s=")</f>
        <v>#REF!</v>
      </c>
      <c r="DE93" t="e">
        <f>AND(#REF!,"AAAAAHf2P2w=")</f>
        <v>#REF!</v>
      </c>
      <c r="DF93" t="e">
        <f>AND(#REF!,"AAAAAHf2P20=")</f>
        <v>#REF!</v>
      </c>
      <c r="DG93" t="e">
        <f>AND(#REF!,"AAAAAHf2P24=")</f>
        <v>#REF!</v>
      </c>
      <c r="DH93" t="e">
        <f>AND(#REF!,"AAAAAHf2P28=")</f>
        <v>#REF!</v>
      </c>
      <c r="DI93" t="e">
        <f>AND(#REF!,"AAAAAHf2P3A=")</f>
        <v>#REF!</v>
      </c>
      <c r="DJ93" t="e">
        <f>AND(#REF!,"AAAAAHf2P3E=")</f>
        <v>#REF!</v>
      </c>
      <c r="DK93" t="e">
        <f>AND(#REF!,"AAAAAHf2P3I=")</f>
        <v>#REF!</v>
      </c>
      <c r="DL93" t="e">
        <f>AND(#REF!,"AAAAAHf2P3M=")</f>
        <v>#REF!</v>
      </c>
      <c r="DM93" t="e">
        <f>AND(#REF!,"AAAAAHf2P3Q=")</f>
        <v>#REF!</v>
      </c>
      <c r="DN93" t="e">
        <f>AND(#REF!,"AAAAAHf2P3U=")</f>
        <v>#REF!</v>
      </c>
      <c r="DO93" t="e">
        <f>AND(#REF!,"AAAAAHf2P3Y=")</f>
        <v>#REF!</v>
      </c>
      <c r="DP93" t="e">
        <f>AND(#REF!,"AAAAAHf2P3c=")</f>
        <v>#REF!</v>
      </c>
      <c r="DQ93" t="e">
        <f>AND(#REF!,"AAAAAHf2P3g=")</f>
        <v>#REF!</v>
      </c>
      <c r="DR93" t="e">
        <f>AND(#REF!,"AAAAAHf2P3k=")</f>
        <v>#REF!</v>
      </c>
      <c r="DS93" t="e">
        <f>AND(#REF!,"AAAAAHf2P3o=")</f>
        <v>#REF!</v>
      </c>
      <c r="DT93" t="e">
        <f>AND(#REF!,"AAAAAHf2P3s=")</f>
        <v>#REF!</v>
      </c>
      <c r="DU93" t="e">
        <f>AND(#REF!,"AAAAAHf2P3w=")</f>
        <v>#REF!</v>
      </c>
      <c r="DV93" t="e">
        <f>AND(#REF!,"AAAAAHf2P30=")</f>
        <v>#REF!</v>
      </c>
      <c r="DW93" t="e">
        <f>AND(#REF!,"AAAAAHf2P34=")</f>
        <v>#REF!</v>
      </c>
      <c r="DX93" t="e">
        <f>AND(#REF!,"AAAAAHf2P38=")</f>
        <v>#REF!</v>
      </c>
      <c r="DY93" t="e">
        <f>AND(#REF!,"AAAAAHf2P4A=")</f>
        <v>#REF!</v>
      </c>
      <c r="DZ93" t="e">
        <f>AND(#REF!,"AAAAAHf2P4E=")</f>
        <v>#REF!</v>
      </c>
      <c r="EA93" t="e">
        <f>AND(#REF!,"AAAAAHf2P4I=")</f>
        <v>#REF!</v>
      </c>
      <c r="EB93" t="e">
        <f>AND(#REF!,"AAAAAHf2P4M=")</f>
        <v>#REF!</v>
      </c>
      <c r="EC93" t="e">
        <f>AND(#REF!,"AAAAAHf2P4Q=")</f>
        <v>#REF!</v>
      </c>
      <c r="ED93" t="e">
        <f>AND(#REF!,"AAAAAHf2P4U=")</f>
        <v>#REF!</v>
      </c>
      <c r="EE93" t="e">
        <f>AND(#REF!,"AAAAAHf2P4Y=")</f>
        <v>#REF!</v>
      </c>
      <c r="EF93" t="e">
        <f>AND(#REF!,"AAAAAHf2P4c=")</f>
        <v>#REF!</v>
      </c>
      <c r="EG93" t="e">
        <f>AND(#REF!,"AAAAAHf2P4g=")</f>
        <v>#REF!</v>
      </c>
      <c r="EH93" t="e">
        <f>AND(#REF!,"AAAAAHf2P4k=")</f>
        <v>#REF!</v>
      </c>
      <c r="EI93" t="e">
        <f>AND(#REF!,"AAAAAHf2P4o=")</f>
        <v>#REF!</v>
      </c>
      <c r="EJ93" t="e">
        <f>AND(#REF!,"AAAAAHf2P4s=")</f>
        <v>#REF!</v>
      </c>
      <c r="EK93" t="e">
        <f>AND(#REF!,"AAAAAHf2P4w=")</f>
        <v>#REF!</v>
      </c>
      <c r="EL93" t="e">
        <f>AND(#REF!,"AAAAAHf2P40=")</f>
        <v>#REF!</v>
      </c>
      <c r="EM93" t="e">
        <f>AND(#REF!,"AAAAAHf2P44=")</f>
        <v>#REF!</v>
      </c>
      <c r="EN93" t="e">
        <f>AND(#REF!,"AAAAAHf2P48=")</f>
        <v>#REF!</v>
      </c>
      <c r="EO93" t="e">
        <f>AND(#REF!,"AAAAAHf2P5A=")</f>
        <v>#REF!</v>
      </c>
      <c r="EP93" t="e">
        <f>AND(#REF!,"AAAAAHf2P5E=")</f>
        <v>#REF!</v>
      </c>
      <c r="EQ93" t="e">
        <f>AND(#REF!,"AAAAAHf2P5I=")</f>
        <v>#REF!</v>
      </c>
      <c r="ER93" t="e">
        <f>AND(#REF!,"AAAAAHf2P5M=")</f>
        <v>#REF!</v>
      </c>
      <c r="ES93" t="e">
        <f>AND(#REF!,"AAAAAHf2P5Q=")</f>
        <v>#REF!</v>
      </c>
      <c r="ET93" t="e">
        <f>AND(#REF!,"AAAAAHf2P5U=")</f>
        <v>#REF!</v>
      </c>
      <c r="EU93" t="e">
        <f>AND(#REF!,"AAAAAHf2P5Y=")</f>
        <v>#REF!</v>
      </c>
      <c r="EV93" t="e">
        <f>AND(#REF!,"AAAAAHf2P5c=")</f>
        <v>#REF!</v>
      </c>
      <c r="EW93" t="e">
        <f>AND(#REF!,"AAAAAHf2P5g=")</f>
        <v>#REF!</v>
      </c>
      <c r="EX93" t="e">
        <f>AND(#REF!,"AAAAAHf2P5k=")</f>
        <v>#REF!</v>
      </c>
      <c r="EY93" t="e">
        <f>AND(#REF!,"AAAAAHf2P5o=")</f>
        <v>#REF!</v>
      </c>
      <c r="EZ93" t="e">
        <f>AND(#REF!,"AAAAAHf2P5s=")</f>
        <v>#REF!</v>
      </c>
      <c r="FA93" t="e">
        <f>AND(#REF!,"AAAAAHf2P5w=")</f>
        <v>#REF!</v>
      </c>
      <c r="FB93" t="e">
        <f>AND(#REF!,"AAAAAHf2P50=")</f>
        <v>#REF!</v>
      </c>
      <c r="FC93" t="e">
        <f>AND(#REF!,"AAAAAHf2P54=")</f>
        <v>#REF!</v>
      </c>
      <c r="FD93" t="e">
        <f>AND(#REF!,"AAAAAHf2P58=")</f>
        <v>#REF!</v>
      </c>
      <c r="FE93" t="e">
        <f>AND(#REF!,"AAAAAHf2P6A=")</f>
        <v>#REF!</v>
      </c>
      <c r="FF93" t="e">
        <f>AND(#REF!,"AAAAAHf2P6E=")</f>
        <v>#REF!</v>
      </c>
      <c r="FG93" t="e">
        <f>AND(#REF!,"AAAAAHf2P6I=")</f>
        <v>#REF!</v>
      </c>
      <c r="FH93" t="e">
        <f>AND(#REF!,"AAAAAHf2P6M=")</f>
        <v>#REF!</v>
      </c>
      <c r="FI93" t="e">
        <f>AND(#REF!,"AAAAAHf2P6Q=")</f>
        <v>#REF!</v>
      </c>
      <c r="FJ93" t="e">
        <f>AND(#REF!,"AAAAAHf2P6U=")</f>
        <v>#REF!</v>
      </c>
      <c r="FK93" t="e">
        <f>AND(#REF!,"AAAAAHf2P6Y=")</f>
        <v>#REF!</v>
      </c>
      <c r="FL93" t="e">
        <f>AND(#REF!,"AAAAAHf2P6c=")</f>
        <v>#REF!</v>
      </c>
      <c r="FM93" t="e">
        <f>AND(#REF!,"AAAAAHf2P6g=")</f>
        <v>#REF!</v>
      </c>
      <c r="FN93" t="e">
        <f>AND(#REF!,"AAAAAHf2P6k=")</f>
        <v>#REF!</v>
      </c>
      <c r="FO93" t="e">
        <f>AND(#REF!,"AAAAAHf2P6o=")</f>
        <v>#REF!</v>
      </c>
      <c r="FP93" t="e">
        <f>AND(#REF!,"AAAAAHf2P6s=")</f>
        <v>#REF!</v>
      </c>
      <c r="FQ93" t="e">
        <f>AND(#REF!,"AAAAAHf2P6w=")</f>
        <v>#REF!</v>
      </c>
      <c r="FR93" t="e">
        <f>AND(#REF!,"AAAAAHf2P60=")</f>
        <v>#REF!</v>
      </c>
      <c r="FS93" t="e">
        <f>AND(#REF!,"AAAAAHf2P64=")</f>
        <v>#REF!</v>
      </c>
      <c r="FT93" t="e">
        <f>AND(#REF!,"AAAAAHf2P68=")</f>
        <v>#REF!</v>
      </c>
      <c r="FU93" t="e">
        <f>IF(#REF!,"AAAAAHf2P7A=",0)</f>
        <v>#REF!</v>
      </c>
      <c r="FV93" t="e">
        <f>AND(#REF!,"AAAAAHf2P7E=")</f>
        <v>#REF!</v>
      </c>
      <c r="FW93" t="e">
        <f>AND(#REF!,"AAAAAHf2P7I=")</f>
        <v>#REF!</v>
      </c>
      <c r="FX93" t="e">
        <f>AND(#REF!,"AAAAAHf2P7M=")</f>
        <v>#REF!</v>
      </c>
      <c r="FY93" t="e">
        <f>AND(#REF!,"AAAAAHf2P7Q=")</f>
        <v>#REF!</v>
      </c>
      <c r="FZ93" t="e">
        <f>AND(#REF!,"AAAAAHf2P7U=")</f>
        <v>#REF!</v>
      </c>
      <c r="GA93" t="e">
        <f>AND(#REF!,"AAAAAHf2P7Y=")</f>
        <v>#REF!</v>
      </c>
      <c r="GB93" t="e">
        <f>AND(#REF!,"AAAAAHf2P7c=")</f>
        <v>#REF!</v>
      </c>
      <c r="GC93" t="e">
        <f>AND(#REF!,"AAAAAHf2P7g=")</f>
        <v>#REF!</v>
      </c>
      <c r="GD93" t="e">
        <f>AND(#REF!,"AAAAAHf2P7k=")</f>
        <v>#REF!</v>
      </c>
      <c r="GE93" t="e">
        <f>AND(#REF!,"AAAAAHf2P7o=")</f>
        <v>#REF!</v>
      </c>
      <c r="GF93" t="e">
        <f>AND(#REF!,"AAAAAHf2P7s=")</f>
        <v>#REF!</v>
      </c>
      <c r="GG93" t="e">
        <f>AND(#REF!,"AAAAAHf2P7w=")</f>
        <v>#REF!</v>
      </c>
      <c r="GH93" t="e">
        <f>AND(#REF!,"AAAAAHf2P70=")</f>
        <v>#REF!</v>
      </c>
      <c r="GI93" t="e">
        <f>AND(#REF!,"AAAAAHf2P74=")</f>
        <v>#REF!</v>
      </c>
      <c r="GJ93" t="e">
        <f>AND(#REF!,"AAAAAHf2P78=")</f>
        <v>#REF!</v>
      </c>
      <c r="GK93" t="e">
        <f>AND(#REF!,"AAAAAHf2P8A=")</f>
        <v>#REF!</v>
      </c>
      <c r="GL93" t="e">
        <f>AND(#REF!,"AAAAAHf2P8E=")</f>
        <v>#REF!</v>
      </c>
      <c r="GM93" t="e">
        <f>AND(#REF!,"AAAAAHf2P8I=")</f>
        <v>#REF!</v>
      </c>
      <c r="GN93" t="e">
        <f>AND(#REF!,"AAAAAHf2P8M=")</f>
        <v>#REF!</v>
      </c>
      <c r="GO93" t="e">
        <f>AND(#REF!,"AAAAAHf2P8Q=")</f>
        <v>#REF!</v>
      </c>
      <c r="GP93" t="e">
        <f>AND(#REF!,"AAAAAHf2P8U=")</f>
        <v>#REF!</v>
      </c>
      <c r="GQ93" t="e">
        <f>AND(#REF!,"AAAAAHf2P8Y=")</f>
        <v>#REF!</v>
      </c>
      <c r="GR93" t="e">
        <f>AND(#REF!,"AAAAAHf2P8c=")</f>
        <v>#REF!</v>
      </c>
      <c r="GS93" t="e">
        <f>AND(#REF!,"AAAAAHf2P8g=")</f>
        <v>#REF!</v>
      </c>
      <c r="GT93" t="e">
        <f>AND(#REF!,"AAAAAHf2P8k=")</f>
        <v>#REF!</v>
      </c>
      <c r="GU93" t="e">
        <f>AND(#REF!,"AAAAAHf2P8o=")</f>
        <v>#REF!</v>
      </c>
      <c r="GV93" t="e">
        <f>AND(#REF!,"AAAAAHf2P8s=")</f>
        <v>#REF!</v>
      </c>
      <c r="GW93" t="e">
        <f>AND(#REF!,"AAAAAHf2P8w=")</f>
        <v>#REF!</v>
      </c>
      <c r="GX93" t="e">
        <f>AND(#REF!,"AAAAAHf2P80=")</f>
        <v>#REF!</v>
      </c>
      <c r="GY93" t="e">
        <f>AND(#REF!,"AAAAAHf2P84=")</f>
        <v>#REF!</v>
      </c>
      <c r="GZ93" t="e">
        <f>AND(#REF!,"AAAAAHf2P88=")</f>
        <v>#REF!</v>
      </c>
      <c r="HA93" t="e">
        <f>AND(#REF!,"AAAAAHf2P9A=")</f>
        <v>#REF!</v>
      </c>
      <c r="HB93" t="e">
        <f>AND(#REF!,"AAAAAHf2P9E=")</f>
        <v>#REF!</v>
      </c>
      <c r="HC93" t="e">
        <f>AND(#REF!,"AAAAAHf2P9I=")</f>
        <v>#REF!</v>
      </c>
      <c r="HD93" t="e">
        <f>AND(#REF!,"AAAAAHf2P9M=")</f>
        <v>#REF!</v>
      </c>
      <c r="HE93" t="e">
        <f>AND(#REF!,"AAAAAHf2P9Q=")</f>
        <v>#REF!</v>
      </c>
      <c r="HF93" t="e">
        <f>AND(#REF!,"AAAAAHf2P9U=")</f>
        <v>#REF!</v>
      </c>
      <c r="HG93" t="e">
        <f>AND(#REF!,"AAAAAHf2P9Y=")</f>
        <v>#REF!</v>
      </c>
      <c r="HH93" t="e">
        <f>AND(#REF!,"AAAAAHf2P9c=")</f>
        <v>#REF!</v>
      </c>
      <c r="HI93" t="e">
        <f>AND(#REF!,"AAAAAHf2P9g=")</f>
        <v>#REF!</v>
      </c>
      <c r="HJ93" t="e">
        <f>AND(#REF!,"AAAAAHf2P9k=")</f>
        <v>#REF!</v>
      </c>
      <c r="HK93" t="e">
        <f>AND(#REF!,"AAAAAHf2P9o=")</f>
        <v>#REF!</v>
      </c>
      <c r="HL93" t="e">
        <f>AND(#REF!,"AAAAAHf2P9s=")</f>
        <v>#REF!</v>
      </c>
      <c r="HM93" t="e">
        <f>AND(#REF!,"AAAAAHf2P9w=")</f>
        <v>#REF!</v>
      </c>
      <c r="HN93" t="e">
        <f>AND(#REF!,"AAAAAHf2P90=")</f>
        <v>#REF!</v>
      </c>
      <c r="HO93" t="e">
        <f>AND(#REF!,"AAAAAHf2P94=")</f>
        <v>#REF!</v>
      </c>
      <c r="HP93" t="e">
        <f>AND(#REF!,"AAAAAHf2P98=")</f>
        <v>#REF!</v>
      </c>
      <c r="HQ93" t="e">
        <f>AND(#REF!,"AAAAAHf2P+A=")</f>
        <v>#REF!</v>
      </c>
      <c r="HR93" t="e">
        <f>AND(#REF!,"AAAAAHf2P+E=")</f>
        <v>#REF!</v>
      </c>
      <c r="HS93" t="e">
        <f>AND(#REF!,"AAAAAHf2P+I=")</f>
        <v>#REF!</v>
      </c>
      <c r="HT93" t="e">
        <f>AND(#REF!,"AAAAAHf2P+M=")</f>
        <v>#REF!</v>
      </c>
      <c r="HU93" t="e">
        <f>AND(#REF!,"AAAAAHf2P+Q=")</f>
        <v>#REF!</v>
      </c>
      <c r="HV93" t="e">
        <f>AND(#REF!,"AAAAAHf2P+U=")</f>
        <v>#REF!</v>
      </c>
      <c r="HW93" t="e">
        <f>AND(#REF!,"AAAAAHf2P+Y=")</f>
        <v>#REF!</v>
      </c>
      <c r="HX93" t="e">
        <f>AND(#REF!,"AAAAAHf2P+c=")</f>
        <v>#REF!</v>
      </c>
      <c r="HY93" t="e">
        <f>AND(#REF!,"AAAAAHf2P+g=")</f>
        <v>#REF!</v>
      </c>
      <c r="HZ93" t="e">
        <f>AND(#REF!,"AAAAAHf2P+k=")</f>
        <v>#REF!</v>
      </c>
      <c r="IA93" t="e">
        <f>AND(#REF!,"AAAAAHf2P+o=")</f>
        <v>#REF!</v>
      </c>
      <c r="IB93" t="e">
        <f>AND(#REF!,"AAAAAHf2P+s=")</f>
        <v>#REF!</v>
      </c>
      <c r="IC93" t="e">
        <f>AND(#REF!,"AAAAAHf2P+w=")</f>
        <v>#REF!</v>
      </c>
      <c r="ID93" t="e">
        <f>AND(#REF!,"AAAAAHf2P+0=")</f>
        <v>#REF!</v>
      </c>
      <c r="IE93" t="e">
        <f>AND(#REF!,"AAAAAHf2P+4=")</f>
        <v>#REF!</v>
      </c>
      <c r="IF93" t="e">
        <f>AND(#REF!,"AAAAAHf2P+8=")</f>
        <v>#REF!</v>
      </c>
      <c r="IG93" t="e">
        <f>AND(#REF!,"AAAAAHf2P/A=")</f>
        <v>#REF!</v>
      </c>
      <c r="IH93" t="e">
        <f>AND(#REF!,"AAAAAHf2P/E=")</f>
        <v>#REF!</v>
      </c>
      <c r="II93" t="e">
        <f>AND(#REF!,"AAAAAHf2P/I=")</f>
        <v>#REF!</v>
      </c>
      <c r="IJ93" t="e">
        <f>AND(#REF!,"AAAAAHf2P/M=")</f>
        <v>#REF!</v>
      </c>
      <c r="IK93" t="e">
        <f>AND(#REF!,"AAAAAHf2P/Q=")</f>
        <v>#REF!</v>
      </c>
      <c r="IL93" t="e">
        <f>AND(#REF!,"AAAAAHf2P/U=")</f>
        <v>#REF!</v>
      </c>
      <c r="IM93" t="e">
        <f>AND(#REF!,"AAAAAHf2P/Y=")</f>
        <v>#REF!</v>
      </c>
      <c r="IN93" t="e">
        <f>AND(#REF!,"AAAAAHf2P/c=")</f>
        <v>#REF!</v>
      </c>
      <c r="IO93" t="e">
        <f>AND(#REF!,"AAAAAHf2P/g=")</f>
        <v>#REF!</v>
      </c>
      <c r="IP93" t="e">
        <f>AND(#REF!,"AAAAAHf2P/k=")</f>
        <v>#REF!</v>
      </c>
      <c r="IQ93" t="e">
        <f>AND(#REF!,"AAAAAHf2P/o=")</f>
        <v>#REF!</v>
      </c>
      <c r="IR93" t="e">
        <f>AND(#REF!,"AAAAAHf2P/s=")</f>
        <v>#REF!</v>
      </c>
      <c r="IS93" t="e">
        <f>AND(#REF!,"AAAAAHf2P/w=")</f>
        <v>#REF!</v>
      </c>
      <c r="IT93" t="e">
        <f>AND(#REF!,"AAAAAHf2P/0=")</f>
        <v>#REF!</v>
      </c>
      <c r="IU93" t="e">
        <f>AND(#REF!,"AAAAAHf2P/4=")</f>
        <v>#REF!</v>
      </c>
      <c r="IV93" t="e">
        <f>AND(#REF!,"AAAAAHf2P/8=")</f>
        <v>#REF!</v>
      </c>
    </row>
    <row r="94" spans="1:256" x14ac:dyDescent="0.2">
      <c r="A94" t="e">
        <f>AND(#REF!,"AAAAAF/5ugA=")</f>
        <v>#REF!</v>
      </c>
      <c r="B94" t="e">
        <f>AND(#REF!,"AAAAAF/5ugE=")</f>
        <v>#REF!</v>
      </c>
      <c r="C94" t="e">
        <f>AND(#REF!,"AAAAAF/5ugI=")</f>
        <v>#REF!</v>
      </c>
      <c r="D94" t="e">
        <f>AND(#REF!,"AAAAAF/5ugM=")</f>
        <v>#REF!</v>
      </c>
      <c r="E94" t="e">
        <f>AND(#REF!,"AAAAAF/5ugQ=")</f>
        <v>#REF!</v>
      </c>
      <c r="F94" t="e">
        <f>AND(#REF!,"AAAAAF/5ugU=")</f>
        <v>#REF!</v>
      </c>
      <c r="G94" t="e">
        <f>AND(#REF!,"AAAAAF/5ugY=")</f>
        <v>#REF!</v>
      </c>
      <c r="H94" t="e">
        <f>AND(#REF!,"AAAAAF/5ugc=")</f>
        <v>#REF!</v>
      </c>
      <c r="I94" t="e">
        <f>AND(#REF!,"AAAAAF/5ugg=")</f>
        <v>#REF!</v>
      </c>
      <c r="J94" t="e">
        <f>AND(#REF!,"AAAAAF/5ugk=")</f>
        <v>#REF!</v>
      </c>
      <c r="K94" t="e">
        <f>AND(#REF!,"AAAAAF/5ugo=")</f>
        <v>#REF!</v>
      </c>
      <c r="L94" t="e">
        <f>AND(#REF!,"AAAAAF/5ugs=")</f>
        <v>#REF!</v>
      </c>
      <c r="M94" t="e">
        <f>AND(#REF!,"AAAAAF/5ugw=")</f>
        <v>#REF!</v>
      </c>
      <c r="N94" t="e">
        <f>AND(#REF!,"AAAAAF/5ug0=")</f>
        <v>#REF!</v>
      </c>
      <c r="O94" t="e">
        <f>AND(#REF!,"AAAAAF/5ug4=")</f>
        <v>#REF!</v>
      </c>
      <c r="P94" t="e">
        <f>AND(#REF!,"AAAAAF/5ug8=")</f>
        <v>#REF!</v>
      </c>
      <c r="Q94" t="e">
        <f>AND(#REF!,"AAAAAF/5uhA=")</f>
        <v>#REF!</v>
      </c>
      <c r="R94" t="e">
        <f>AND(#REF!,"AAAAAF/5uhE=")</f>
        <v>#REF!</v>
      </c>
      <c r="S94" t="e">
        <f>AND(#REF!,"AAAAAF/5uhI=")</f>
        <v>#REF!</v>
      </c>
      <c r="T94" t="e">
        <f>AND(#REF!,"AAAAAF/5uhM=")</f>
        <v>#REF!</v>
      </c>
      <c r="U94" t="e">
        <f>AND(#REF!,"AAAAAF/5uhQ=")</f>
        <v>#REF!</v>
      </c>
      <c r="V94" t="e">
        <f>AND(#REF!,"AAAAAF/5uhU=")</f>
        <v>#REF!</v>
      </c>
      <c r="W94" t="e">
        <f>AND(#REF!,"AAAAAF/5uhY=")</f>
        <v>#REF!</v>
      </c>
      <c r="X94" t="e">
        <f>AND(#REF!,"AAAAAF/5uhc=")</f>
        <v>#REF!</v>
      </c>
      <c r="Y94" t="e">
        <f>AND(#REF!,"AAAAAF/5uhg=")</f>
        <v>#REF!</v>
      </c>
      <c r="Z94" t="e">
        <f>AND(#REF!,"AAAAAF/5uhk=")</f>
        <v>#REF!</v>
      </c>
      <c r="AA94" t="e">
        <f>AND(#REF!,"AAAAAF/5uho=")</f>
        <v>#REF!</v>
      </c>
      <c r="AB94" t="e">
        <f>AND(#REF!,"AAAAAF/5uhs=")</f>
        <v>#REF!</v>
      </c>
      <c r="AC94" t="e">
        <f>AND(#REF!,"AAAAAF/5uhw=")</f>
        <v>#REF!</v>
      </c>
      <c r="AD94" t="e">
        <f>AND(#REF!,"AAAAAF/5uh0=")</f>
        <v>#REF!</v>
      </c>
      <c r="AE94" t="e">
        <f>AND(#REF!,"AAAAAF/5uh4=")</f>
        <v>#REF!</v>
      </c>
      <c r="AF94" t="e">
        <f>AND(#REF!,"AAAAAF/5uh8=")</f>
        <v>#REF!</v>
      </c>
      <c r="AG94" t="e">
        <f>AND(#REF!,"AAAAAF/5uiA=")</f>
        <v>#REF!</v>
      </c>
      <c r="AH94" t="e">
        <f>AND(#REF!,"AAAAAF/5uiE=")</f>
        <v>#REF!</v>
      </c>
      <c r="AI94" t="e">
        <f>AND(#REF!,"AAAAAF/5uiI=")</f>
        <v>#REF!</v>
      </c>
      <c r="AJ94" t="e">
        <f>AND(#REF!,"AAAAAF/5uiM=")</f>
        <v>#REF!</v>
      </c>
      <c r="AK94" t="e">
        <f>AND(#REF!,"AAAAAF/5uiQ=")</f>
        <v>#REF!</v>
      </c>
      <c r="AL94" t="e">
        <f>AND(#REF!,"AAAAAF/5uiU=")</f>
        <v>#REF!</v>
      </c>
      <c r="AM94" t="e">
        <f>AND(#REF!,"AAAAAF/5uiY=")</f>
        <v>#REF!</v>
      </c>
      <c r="AN94" t="e">
        <f>AND(#REF!,"AAAAAF/5uic=")</f>
        <v>#REF!</v>
      </c>
      <c r="AO94" t="e">
        <f>AND(#REF!,"AAAAAF/5uig=")</f>
        <v>#REF!</v>
      </c>
      <c r="AP94" t="e">
        <f>AND(#REF!,"AAAAAF/5uik=")</f>
        <v>#REF!</v>
      </c>
      <c r="AQ94" t="e">
        <f>AND(#REF!,"AAAAAF/5uio=")</f>
        <v>#REF!</v>
      </c>
      <c r="AR94" t="e">
        <f>AND(#REF!,"AAAAAF/5uis=")</f>
        <v>#REF!</v>
      </c>
      <c r="AS94" t="e">
        <f>AND(#REF!,"AAAAAF/5uiw=")</f>
        <v>#REF!</v>
      </c>
      <c r="AT94" t="e">
        <f>AND(#REF!,"AAAAAF/5ui0=")</f>
        <v>#REF!</v>
      </c>
      <c r="AU94" t="e">
        <f>AND(#REF!,"AAAAAF/5ui4=")</f>
        <v>#REF!</v>
      </c>
      <c r="AV94" t="e">
        <f>AND(#REF!,"AAAAAF/5ui8=")</f>
        <v>#REF!</v>
      </c>
      <c r="AW94" t="e">
        <f>AND(#REF!,"AAAAAF/5ujA=")</f>
        <v>#REF!</v>
      </c>
      <c r="AX94" t="e">
        <f>AND(#REF!,"AAAAAF/5ujE=")</f>
        <v>#REF!</v>
      </c>
      <c r="AY94" t="e">
        <f>AND(#REF!,"AAAAAF/5ujI=")</f>
        <v>#REF!</v>
      </c>
      <c r="AZ94" t="e">
        <f>AND(#REF!,"AAAAAF/5ujM=")</f>
        <v>#REF!</v>
      </c>
      <c r="BA94" t="e">
        <f>AND(#REF!,"AAAAAF/5ujQ=")</f>
        <v>#REF!</v>
      </c>
      <c r="BB94" t="e">
        <f>AND(#REF!,"AAAAAF/5ujU=")</f>
        <v>#REF!</v>
      </c>
      <c r="BC94" t="e">
        <f>AND(#REF!,"AAAAAF/5ujY=")</f>
        <v>#REF!</v>
      </c>
      <c r="BD94" t="e">
        <f>AND(#REF!,"AAAAAF/5ujc=")</f>
        <v>#REF!</v>
      </c>
      <c r="BE94" t="e">
        <f>AND(#REF!,"AAAAAF/5ujg=")</f>
        <v>#REF!</v>
      </c>
      <c r="BF94" t="e">
        <f>AND(#REF!,"AAAAAF/5ujk=")</f>
        <v>#REF!</v>
      </c>
      <c r="BG94" t="e">
        <f>AND(#REF!,"AAAAAF/5ujo=")</f>
        <v>#REF!</v>
      </c>
      <c r="BH94" t="e">
        <f>AND(#REF!,"AAAAAF/5ujs=")</f>
        <v>#REF!</v>
      </c>
      <c r="BI94" t="e">
        <f>AND(#REF!,"AAAAAF/5ujw=")</f>
        <v>#REF!</v>
      </c>
      <c r="BJ94" t="e">
        <f>AND(#REF!,"AAAAAF/5uj0=")</f>
        <v>#REF!</v>
      </c>
      <c r="BK94" t="e">
        <f>AND(#REF!,"AAAAAF/5uj4=")</f>
        <v>#REF!</v>
      </c>
      <c r="BL94" t="e">
        <f>AND(#REF!,"AAAAAF/5uj8=")</f>
        <v>#REF!</v>
      </c>
      <c r="BM94" t="e">
        <f>AND(#REF!,"AAAAAF/5ukA=")</f>
        <v>#REF!</v>
      </c>
      <c r="BN94" t="e">
        <f>AND(#REF!,"AAAAAF/5ukE=")</f>
        <v>#REF!</v>
      </c>
      <c r="BO94" t="e">
        <f>AND(#REF!,"AAAAAF/5ukI=")</f>
        <v>#REF!</v>
      </c>
      <c r="BP94" t="e">
        <f>AND(#REF!,"AAAAAF/5ukM=")</f>
        <v>#REF!</v>
      </c>
      <c r="BQ94" t="e">
        <f>AND(#REF!,"AAAAAF/5ukQ=")</f>
        <v>#REF!</v>
      </c>
      <c r="BR94" t="e">
        <f>AND(#REF!,"AAAAAF/5ukU=")</f>
        <v>#REF!</v>
      </c>
      <c r="BS94" t="e">
        <f>AND(#REF!,"AAAAAF/5ukY=")</f>
        <v>#REF!</v>
      </c>
      <c r="BT94" t="e">
        <f>AND(#REF!,"AAAAAF/5ukc=")</f>
        <v>#REF!</v>
      </c>
      <c r="BU94" t="e">
        <f>AND(#REF!,"AAAAAF/5ukg=")</f>
        <v>#REF!</v>
      </c>
      <c r="BV94" t="e">
        <f>AND(#REF!,"AAAAAF/5ukk=")</f>
        <v>#REF!</v>
      </c>
      <c r="BW94" t="e">
        <f>AND(#REF!,"AAAAAF/5uko=")</f>
        <v>#REF!</v>
      </c>
      <c r="BX94" t="e">
        <f>AND(#REF!,"AAAAAF/5uks=")</f>
        <v>#REF!</v>
      </c>
      <c r="BY94" t="e">
        <f>AND(#REF!,"AAAAAF/5ukw=")</f>
        <v>#REF!</v>
      </c>
      <c r="BZ94" t="e">
        <f>AND(#REF!,"AAAAAF/5uk0=")</f>
        <v>#REF!</v>
      </c>
      <c r="CA94" t="e">
        <f>AND(#REF!,"AAAAAF/5uk4=")</f>
        <v>#REF!</v>
      </c>
      <c r="CB94" t="e">
        <f>AND(#REF!,"AAAAAF/5uk8=")</f>
        <v>#REF!</v>
      </c>
      <c r="CC94" t="e">
        <f>AND(#REF!,"AAAAAF/5ulA=")</f>
        <v>#REF!</v>
      </c>
      <c r="CD94" t="e">
        <f>AND(#REF!,"AAAAAF/5ulE=")</f>
        <v>#REF!</v>
      </c>
      <c r="CE94" t="e">
        <f>AND(#REF!,"AAAAAF/5ulI=")</f>
        <v>#REF!</v>
      </c>
      <c r="CF94" t="e">
        <f>AND(#REF!,"AAAAAF/5ulM=")</f>
        <v>#REF!</v>
      </c>
      <c r="CG94" t="e">
        <f>AND(#REF!,"AAAAAF/5ulQ=")</f>
        <v>#REF!</v>
      </c>
      <c r="CH94" t="e">
        <f>AND(#REF!,"AAAAAF/5ulU=")</f>
        <v>#REF!</v>
      </c>
      <c r="CI94" t="e">
        <f>AND(#REF!,"AAAAAF/5ulY=")</f>
        <v>#REF!</v>
      </c>
      <c r="CJ94" t="e">
        <f>AND(#REF!,"AAAAAF/5ulc=")</f>
        <v>#REF!</v>
      </c>
      <c r="CK94" t="e">
        <f>AND(#REF!,"AAAAAF/5ulg=")</f>
        <v>#REF!</v>
      </c>
      <c r="CL94" t="e">
        <f>AND(#REF!,"AAAAAF/5ulk=")</f>
        <v>#REF!</v>
      </c>
      <c r="CM94" t="e">
        <f>AND(#REF!,"AAAAAF/5ulo=")</f>
        <v>#REF!</v>
      </c>
      <c r="CN94" t="e">
        <f>AND(#REF!,"AAAAAF/5uls=")</f>
        <v>#REF!</v>
      </c>
      <c r="CO94" t="e">
        <f>AND(#REF!,"AAAAAF/5ulw=")</f>
        <v>#REF!</v>
      </c>
      <c r="CP94" t="e">
        <f>AND(#REF!,"AAAAAF/5ul0=")</f>
        <v>#REF!</v>
      </c>
      <c r="CQ94" t="e">
        <f>AND(#REF!,"AAAAAF/5ul4=")</f>
        <v>#REF!</v>
      </c>
      <c r="CR94" t="e">
        <f>AND(#REF!,"AAAAAF/5ul8=")</f>
        <v>#REF!</v>
      </c>
      <c r="CS94" t="e">
        <f>AND(#REF!,"AAAAAF/5umA=")</f>
        <v>#REF!</v>
      </c>
      <c r="CT94" t="e">
        <f>AND(#REF!,"AAAAAF/5umE=")</f>
        <v>#REF!</v>
      </c>
      <c r="CU94" t="e">
        <f>AND(#REF!,"AAAAAF/5umI=")</f>
        <v>#REF!</v>
      </c>
      <c r="CV94" t="e">
        <f>AND(#REF!,"AAAAAF/5umM=")</f>
        <v>#REF!</v>
      </c>
      <c r="CW94" t="e">
        <f>AND(#REF!,"AAAAAF/5umQ=")</f>
        <v>#REF!</v>
      </c>
      <c r="CX94" t="e">
        <f>IF(#REF!,"AAAAAF/5umU=",0)</f>
        <v>#REF!</v>
      </c>
      <c r="CY94" t="e">
        <f>AND(#REF!,"AAAAAF/5umY=")</f>
        <v>#REF!</v>
      </c>
      <c r="CZ94" t="e">
        <f>AND(#REF!,"AAAAAF/5umc=")</f>
        <v>#REF!</v>
      </c>
      <c r="DA94" t="e">
        <f>AND(#REF!,"AAAAAF/5umg=")</f>
        <v>#REF!</v>
      </c>
      <c r="DB94" t="e">
        <f>AND(#REF!,"AAAAAF/5umk=")</f>
        <v>#REF!</v>
      </c>
      <c r="DC94" t="e">
        <f>AND(#REF!,"AAAAAF/5umo=")</f>
        <v>#REF!</v>
      </c>
      <c r="DD94" t="e">
        <f>AND(#REF!,"AAAAAF/5ums=")</f>
        <v>#REF!</v>
      </c>
      <c r="DE94" t="e">
        <f>AND(#REF!,"AAAAAF/5umw=")</f>
        <v>#REF!</v>
      </c>
      <c r="DF94" t="e">
        <f>AND(#REF!,"AAAAAF/5um0=")</f>
        <v>#REF!</v>
      </c>
      <c r="DG94" t="e">
        <f>AND(#REF!,"AAAAAF/5um4=")</f>
        <v>#REF!</v>
      </c>
      <c r="DH94" t="e">
        <f>AND(#REF!,"AAAAAF/5um8=")</f>
        <v>#REF!</v>
      </c>
      <c r="DI94" t="e">
        <f>AND(#REF!,"AAAAAF/5unA=")</f>
        <v>#REF!</v>
      </c>
      <c r="DJ94" t="e">
        <f>AND(#REF!,"AAAAAF/5unE=")</f>
        <v>#REF!</v>
      </c>
      <c r="DK94" t="e">
        <f>AND(#REF!,"AAAAAF/5unI=")</f>
        <v>#REF!</v>
      </c>
      <c r="DL94" t="e">
        <f>AND(#REF!,"AAAAAF/5unM=")</f>
        <v>#REF!</v>
      </c>
      <c r="DM94" t="e">
        <f>AND(#REF!,"AAAAAF/5unQ=")</f>
        <v>#REF!</v>
      </c>
      <c r="DN94" t="e">
        <f>AND(#REF!,"AAAAAF/5unU=")</f>
        <v>#REF!</v>
      </c>
      <c r="DO94" t="e">
        <f>AND(#REF!,"AAAAAF/5unY=")</f>
        <v>#REF!</v>
      </c>
      <c r="DP94" t="e">
        <f>AND(#REF!,"AAAAAF/5unc=")</f>
        <v>#REF!</v>
      </c>
      <c r="DQ94" t="e">
        <f>AND(#REF!,"AAAAAF/5ung=")</f>
        <v>#REF!</v>
      </c>
      <c r="DR94" t="e">
        <f>AND(#REF!,"AAAAAF/5unk=")</f>
        <v>#REF!</v>
      </c>
      <c r="DS94" t="e">
        <f>AND(#REF!,"AAAAAF/5uno=")</f>
        <v>#REF!</v>
      </c>
      <c r="DT94" t="e">
        <f>AND(#REF!,"AAAAAF/5uns=")</f>
        <v>#REF!</v>
      </c>
      <c r="DU94" t="e">
        <f>AND(#REF!,"AAAAAF/5unw=")</f>
        <v>#REF!</v>
      </c>
      <c r="DV94" t="e">
        <f>AND(#REF!,"AAAAAF/5un0=")</f>
        <v>#REF!</v>
      </c>
      <c r="DW94" t="e">
        <f>AND(#REF!,"AAAAAF/5un4=")</f>
        <v>#REF!</v>
      </c>
      <c r="DX94" t="e">
        <f>AND(#REF!,"AAAAAF/5un8=")</f>
        <v>#REF!</v>
      </c>
      <c r="DY94" t="e">
        <f>AND(#REF!,"AAAAAF/5uoA=")</f>
        <v>#REF!</v>
      </c>
      <c r="DZ94" t="e">
        <f>AND(#REF!,"AAAAAF/5uoE=")</f>
        <v>#REF!</v>
      </c>
      <c r="EA94" t="e">
        <f>AND(#REF!,"AAAAAF/5uoI=")</f>
        <v>#REF!</v>
      </c>
      <c r="EB94" t="e">
        <f>AND(#REF!,"AAAAAF/5uoM=")</f>
        <v>#REF!</v>
      </c>
      <c r="EC94" t="e">
        <f>AND(#REF!,"AAAAAF/5uoQ=")</f>
        <v>#REF!</v>
      </c>
      <c r="ED94" t="e">
        <f>AND(#REF!,"AAAAAF/5uoU=")</f>
        <v>#REF!</v>
      </c>
      <c r="EE94" t="e">
        <f>AND(#REF!,"AAAAAF/5uoY=")</f>
        <v>#REF!</v>
      </c>
      <c r="EF94" t="e">
        <f>AND(#REF!,"AAAAAF/5uoc=")</f>
        <v>#REF!</v>
      </c>
      <c r="EG94" t="e">
        <f>AND(#REF!,"AAAAAF/5uog=")</f>
        <v>#REF!</v>
      </c>
      <c r="EH94" t="e">
        <f>AND(#REF!,"AAAAAF/5uok=")</f>
        <v>#REF!</v>
      </c>
      <c r="EI94" t="e">
        <f>AND(#REF!,"AAAAAF/5uoo=")</f>
        <v>#REF!</v>
      </c>
      <c r="EJ94" t="e">
        <f>AND(#REF!,"AAAAAF/5uos=")</f>
        <v>#REF!</v>
      </c>
      <c r="EK94" t="e">
        <f>AND(#REF!,"AAAAAF/5uow=")</f>
        <v>#REF!</v>
      </c>
      <c r="EL94" t="e">
        <f>AND(#REF!,"AAAAAF/5uo0=")</f>
        <v>#REF!</v>
      </c>
      <c r="EM94" t="e">
        <f>AND(#REF!,"AAAAAF/5uo4=")</f>
        <v>#REF!</v>
      </c>
      <c r="EN94" t="e">
        <f>AND(#REF!,"AAAAAF/5uo8=")</f>
        <v>#REF!</v>
      </c>
      <c r="EO94" t="e">
        <f>AND(#REF!,"AAAAAF/5upA=")</f>
        <v>#REF!</v>
      </c>
      <c r="EP94" t="e">
        <f>AND(#REF!,"AAAAAF/5upE=")</f>
        <v>#REF!</v>
      </c>
      <c r="EQ94" t="e">
        <f>AND(#REF!,"AAAAAF/5upI=")</f>
        <v>#REF!</v>
      </c>
      <c r="ER94" t="e">
        <f>AND(#REF!,"AAAAAF/5upM=")</f>
        <v>#REF!</v>
      </c>
      <c r="ES94" t="e">
        <f>AND(#REF!,"AAAAAF/5upQ=")</f>
        <v>#REF!</v>
      </c>
      <c r="ET94" t="e">
        <f>AND(#REF!,"AAAAAF/5upU=")</f>
        <v>#REF!</v>
      </c>
      <c r="EU94" t="e">
        <f>AND(#REF!,"AAAAAF/5upY=")</f>
        <v>#REF!</v>
      </c>
      <c r="EV94" t="e">
        <f>AND(#REF!,"AAAAAF/5upc=")</f>
        <v>#REF!</v>
      </c>
      <c r="EW94" t="e">
        <f>AND(#REF!,"AAAAAF/5upg=")</f>
        <v>#REF!</v>
      </c>
      <c r="EX94" t="e">
        <f>AND(#REF!,"AAAAAF/5upk=")</f>
        <v>#REF!</v>
      </c>
      <c r="EY94" t="e">
        <f>AND(#REF!,"AAAAAF/5upo=")</f>
        <v>#REF!</v>
      </c>
      <c r="EZ94" t="e">
        <f>AND(#REF!,"AAAAAF/5ups=")</f>
        <v>#REF!</v>
      </c>
      <c r="FA94" t="e">
        <f>AND(#REF!,"AAAAAF/5upw=")</f>
        <v>#REF!</v>
      </c>
      <c r="FB94" t="e">
        <f>AND(#REF!,"AAAAAF/5up0=")</f>
        <v>#REF!</v>
      </c>
      <c r="FC94" t="e">
        <f>AND(#REF!,"AAAAAF/5up4=")</f>
        <v>#REF!</v>
      </c>
      <c r="FD94" t="e">
        <f>AND(#REF!,"AAAAAF/5up8=")</f>
        <v>#REF!</v>
      </c>
      <c r="FE94" t="e">
        <f>AND(#REF!,"AAAAAF/5uqA=")</f>
        <v>#REF!</v>
      </c>
      <c r="FF94" t="e">
        <f>AND(#REF!,"AAAAAF/5uqE=")</f>
        <v>#REF!</v>
      </c>
      <c r="FG94" t="e">
        <f>AND(#REF!,"AAAAAF/5uqI=")</f>
        <v>#REF!</v>
      </c>
      <c r="FH94" t="e">
        <f>AND(#REF!,"AAAAAF/5uqM=")</f>
        <v>#REF!</v>
      </c>
      <c r="FI94" t="e">
        <f>AND(#REF!,"AAAAAF/5uqQ=")</f>
        <v>#REF!</v>
      </c>
      <c r="FJ94" t="e">
        <f>AND(#REF!,"AAAAAF/5uqU=")</f>
        <v>#REF!</v>
      </c>
      <c r="FK94" t="e">
        <f>AND(#REF!,"AAAAAF/5uqY=")</f>
        <v>#REF!</v>
      </c>
      <c r="FL94" t="e">
        <f>AND(#REF!,"AAAAAF/5uqc=")</f>
        <v>#REF!</v>
      </c>
      <c r="FM94" t="e">
        <f>AND(#REF!,"AAAAAF/5uqg=")</f>
        <v>#REF!</v>
      </c>
      <c r="FN94" t="e">
        <f>AND(#REF!,"AAAAAF/5uqk=")</f>
        <v>#REF!</v>
      </c>
      <c r="FO94" t="e">
        <f>AND(#REF!,"AAAAAF/5uqo=")</f>
        <v>#REF!</v>
      </c>
      <c r="FP94" t="e">
        <f>AND(#REF!,"AAAAAF/5uqs=")</f>
        <v>#REF!</v>
      </c>
      <c r="FQ94" t="e">
        <f>AND(#REF!,"AAAAAF/5uqw=")</f>
        <v>#REF!</v>
      </c>
      <c r="FR94" t="e">
        <f>AND(#REF!,"AAAAAF/5uq0=")</f>
        <v>#REF!</v>
      </c>
      <c r="FS94" t="e">
        <f>AND(#REF!,"AAAAAF/5uq4=")</f>
        <v>#REF!</v>
      </c>
      <c r="FT94" t="e">
        <f>AND(#REF!,"AAAAAF/5uq8=")</f>
        <v>#REF!</v>
      </c>
      <c r="FU94" t="e">
        <f>AND(#REF!,"AAAAAF/5urA=")</f>
        <v>#REF!</v>
      </c>
      <c r="FV94" t="e">
        <f>AND(#REF!,"AAAAAF/5urE=")</f>
        <v>#REF!</v>
      </c>
      <c r="FW94" t="e">
        <f>AND(#REF!,"AAAAAF/5urI=")</f>
        <v>#REF!</v>
      </c>
      <c r="FX94" t="e">
        <f>AND(#REF!,"AAAAAF/5urM=")</f>
        <v>#REF!</v>
      </c>
      <c r="FY94" t="e">
        <f>AND(#REF!,"AAAAAF/5urQ=")</f>
        <v>#REF!</v>
      </c>
      <c r="FZ94" t="e">
        <f>AND(#REF!,"AAAAAF/5urU=")</f>
        <v>#REF!</v>
      </c>
      <c r="GA94" t="e">
        <f>AND(#REF!,"AAAAAF/5urY=")</f>
        <v>#REF!</v>
      </c>
      <c r="GB94" t="e">
        <f>AND(#REF!,"AAAAAF/5urc=")</f>
        <v>#REF!</v>
      </c>
      <c r="GC94" t="e">
        <f>AND(#REF!,"AAAAAF/5urg=")</f>
        <v>#REF!</v>
      </c>
      <c r="GD94" t="e">
        <f>AND(#REF!,"AAAAAF/5urk=")</f>
        <v>#REF!</v>
      </c>
      <c r="GE94" t="e">
        <f>AND(#REF!,"AAAAAF/5uro=")</f>
        <v>#REF!</v>
      </c>
      <c r="GF94" t="e">
        <f>AND(#REF!,"AAAAAF/5urs=")</f>
        <v>#REF!</v>
      </c>
      <c r="GG94" t="e">
        <f>AND(#REF!,"AAAAAF/5urw=")</f>
        <v>#REF!</v>
      </c>
      <c r="GH94" t="e">
        <f>AND(#REF!,"AAAAAF/5ur0=")</f>
        <v>#REF!</v>
      </c>
      <c r="GI94" t="e">
        <f>AND(#REF!,"AAAAAF/5ur4=")</f>
        <v>#REF!</v>
      </c>
      <c r="GJ94" t="e">
        <f>AND(#REF!,"AAAAAF/5ur8=")</f>
        <v>#REF!</v>
      </c>
      <c r="GK94" t="e">
        <f>AND(#REF!,"AAAAAF/5usA=")</f>
        <v>#REF!</v>
      </c>
      <c r="GL94" t="e">
        <f>AND(#REF!,"AAAAAF/5usE=")</f>
        <v>#REF!</v>
      </c>
      <c r="GM94" t="e">
        <f>AND(#REF!,"AAAAAF/5usI=")</f>
        <v>#REF!</v>
      </c>
      <c r="GN94" t="e">
        <f>AND(#REF!,"AAAAAF/5usM=")</f>
        <v>#REF!</v>
      </c>
      <c r="GO94" t="e">
        <f>AND(#REF!,"AAAAAF/5usQ=")</f>
        <v>#REF!</v>
      </c>
      <c r="GP94" t="e">
        <f>AND(#REF!,"AAAAAF/5usU=")</f>
        <v>#REF!</v>
      </c>
      <c r="GQ94" t="e">
        <f>AND(#REF!,"AAAAAF/5usY=")</f>
        <v>#REF!</v>
      </c>
      <c r="GR94" t="e">
        <f>AND(#REF!,"AAAAAF/5usc=")</f>
        <v>#REF!</v>
      </c>
      <c r="GS94" t="e">
        <f>AND(#REF!,"AAAAAF/5usg=")</f>
        <v>#REF!</v>
      </c>
      <c r="GT94" t="e">
        <f>AND(#REF!,"AAAAAF/5usk=")</f>
        <v>#REF!</v>
      </c>
      <c r="GU94" t="e">
        <f>AND(#REF!,"AAAAAF/5uso=")</f>
        <v>#REF!</v>
      </c>
      <c r="GV94" t="e">
        <f>AND(#REF!,"AAAAAF/5uss=")</f>
        <v>#REF!</v>
      </c>
      <c r="GW94" t="e">
        <f>AND(#REF!,"AAAAAF/5usw=")</f>
        <v>#REF!</v>
      </c>
      <c r="GX94" t="e">
        <f>AND(#REF!,"AAAAAF/5us0=")</f>
        <v>#REF!</v>
      </c>
      <c r="GY94" t="e">
        <f>AND(#REF!,"AAAAAF/5us4=")</f>
        <v>#REF!</v>
      </c>
      <c r="GZ94" t="e">
        <f>AND(#REF!,"AAAAAF/5us8=")</f>
        <v>#REF!</v>
      </c>
      <c r="HA94" t="e">
        <f>AND(#REF!,"AAAAAF/5utA=")</f>
        <v>#REF!</v>
      </c>
      <c r="HB94" t="e">
        <f>AND(#REF!,"AAAAAF/5utE=")</f>
        <v>#REF!</v>
      </c>
      <c r="HC94" t="e">
        <f>AND(#REF!,"AAAAAF/5utI=")</f>
        <v>#REF!</v>
      </c>
      <c r="HD94" t="e">
        <f>AND(#REF!,"AAAAAF/5utM=")</f>
        <v>#REF!</v>
      </c>
      <c r="HE94" t="e">
        <f>AND(#REF!,"AAAAAF/5utQ=")</f>
        <v>#REF!</v>
      </c>
      <c r="HF94" t="e">
        <f>AND(#REF!,"AAAAAF/5utU=")</f>
        <v>#REF!</v>
      </c>
      <c r="HG94" t="e">
        <f>AND(#REF!,"AAAAAF/5utY=")</f>
        <v>#REF!</v>
      </c>
      <c r="HH94" t="e">
        <f>AND(#REF!,"AAAAAF/5utc=")</f>
        <v>#REF!</v>
      </c>
      <c r="HI94" t="e">
        <f>AND(#REF!,"AAAAAF/5utg=")</f>
        <v>#REF!</v>
      </c>
      <c r="HJ94" t="e">
        <f>AND(#REF!,"AAAAAF/5utk=")</f>
        <v>#REF!</v>
      </c>
      <c r="HK94" t="e">
        <f>AND(#REF!,"AAAAAF/5uto=")</f>
        <v>#REF!</v>
      </c>
      <c r="HL94" t="e">
        <f>AND(#REF!,"AAAAAF/5uts=")</f>
        <v>#REF!</v>
      </c>
      <c r="HM94" t="e">
        <f>AND(#REF!,"AAAAAF/5utw=")</f>
        <v>#REF!</v>
      </c>
      <c r="HN94" t="e">
        <f>AND(#REF!,"AAAAAF/5ut0=")</f>
        <v>#REF!</v>
      </c>
      <c r="HO94" t="e">
        <f>AND(#REF!,"AAAAAF/5ut4=")</f>
        <v>#REF!</v>
      </c>
      <c r="HP94" t="e">
        <f>AND(#REF!,"AAAAAF/5ut8=")</f>
        <v>#REF!</v>
      </c>
      <c r="HQ94" t="e">
        <f>AND(#REF!,"AAAAAF/5uuA=")</f>
        <v>#REF!</v>
      </c>
      <c r="HR94" t="e">
        <f>AND(#REF!,"AAAAAF/5uuE=")</f>
        <v>#REF!</v>
      </c>
      <c r="HS94" t="e">
        <f>AND(#REF!,"AAAAAF/5uuI=")</f>
        <v>#REF!</v>
      </c>
      <c r="HT94" t="e">
        <f>AND(#REF!,"AAAAAF/5uuM=")</f>
        <v>#REF!</v>
      </c>
      <c r="HU94" t="e">
        <f>AND(#REF!,"AAAAAF/5uuQ=")</f>
        <v>#REF!</v>
      </c>
      <c r="HV94" t="e">
        <f>AND(#REF!,"AAAAAF/5uuU=")</f>
        <v>#REF!</v>
      </c>
      <c r="HW94" t="e">
        <f>AND(#REF!,"AAAAAF/5uuY=")</f>
        <v>#REF!</v>
      </c>
      <c r="HX94" t="e">
        <f>AND(#REF!,"AAAAAF/5uuc=")</f>
        <v>#REF!</v>
      </c>
      <c r="HY94" t="e">
        <f>AND(#REF!,"AAAAAF/5uug=")</f>
        <v>#REF!</v>
      </c>
      <c r="HZ94" t="e">
        <f>AND(#REF!,"AAAAAF/5uuk=")</f>
        <v>#REF!</v>
      </c>
      <c r="IA94" t="e">
        <f>AND(#REF!,"AAAAAF/5uuo=")</f>
        <v>#REF!</v>
      </c>
      <c r="IB94" t="e">
        <f>AND(#REF!,"AAAAAF/5uus=")</f>
        <v>#REF!</v>
      </c>
      <c r="IC94" t="e">
        <f>AND(#REF!,"AAAAAF/5uuw=")</f>
        <v>#REF!</v>
      </c>
      <c r="ID94" t="e">
        <f>AND(#REF!,"AAAAAF/5uu0=")</f>
        <v>#REF!</v>
      </c>
      <c r="IE94" t="e">
        <f>AND(#REF!,"AAAAAF/5uu4=")</f>
        <v>#REF!</v>
      </c>
      <c r="IF94" t="e">
        <f>AND(#REF!,"AAAAAF/5uu8=")</f>
        <v>#REF!</v>
      </c>
      <c r="IG94" t="e">
        <f>AND(#REF!,"AAAAAF/5uvA=")</f>
        <v>#REF!</v>
      </c>
      <c r="IH94" t="e">
        <f>AND(#REF!,"AAAAAF/5uvE=")</f>
        <v>#REF!</v>
      </c>
      <c r="II94" t="e">
        <f>AND(#REF!,"AAAAAF/5uvI=")</f>
        <v>#REF!</v>
      </c>
      <c r="IJ94" t="e">
        <f>AND(#REF!,"AAAAAF/5uvM=")</f>
        <v>#REF!</v>
      </c>
      <c r="IK94" t="e">
        <f>AND(#REF!,"AAAAAF/5uvQ=")</f>
        <v>#REF!</v>
      </c>
      <c r="IL94" t="e">
        <f>AND(#REF!,"AAAAAF/5uvU=")</f>
        <v>#REF!</v>
      </c>
      <c r="IM94" t="e">
        <f>AND(#REF!,"AAAAAF/5uvY=")</f>
        <v>#REF!</v>
      </c>
      <c r="IN94" t="e">
        <f>AND(#REF!,"AAAAAF/5uvc=")</f>
        <v>#REF!</v>
      </c>
      <c r="IO94" t="e">
        <f>AND(#REF!,"AAAAAF/5uvg=")</f>
        <v>#REF!</v>
      </c>
      <c r="IP94" t="e">
        <f>AND(#REF!,"AAAAAF/5uvk=")</f>
        <v>#REF!</v>
      </c>
      <c r="IQ94" t="e">
        <f>AND(#REF!,"AAAAAF/5uvo=")</f>
        <v>#REF!</v>
      </c>
      <c r="IR94" t="e">
        <f>AND(#REF!,"AAAAAF/5uvs=")</f>
        <v>#REF!</v>
      </c>
      <c r="IS94" t="e">
        <f>AND(#REF!,"AAAAAF/5uvw=")</f>
        <v>#REF!</v>
      </c>
      <c r="IT94" t="e">
        <f>AND(#REF!,"AAAAAF/5uv0=")</f>
        <v>#REF!</v>
      </c>
      <c r="IU94" t="e">
        <f>AND(#REF!,"AAAAAF/5uv4=")</f>
        <v>#REF!</v>
      </c>
      <c r="IV94" t="e">
        <f>AND(#REF!,"AAAAAF/5uv8=")</f>
        <v>#REF!</v>
      </c>
    </row>
    <row r="95" spans="1:256" x14ac:dyDescent="0.2">
      <c r="A95" t="e">
        <f>AND(#REF!,"AAAAADpv/wA=")</f>
        <v>#REF!</v>
      </c>
      <c r="B95" t="e">
        <f>AND(#REF!,"AAAAADpv/wE=")</f>
        <v>#REF!</v>
      </c>
      <c r="C95" t="e">
        <f>AND(#REF!,"AAAAADpv/wI=")</f>
        <v>#REF!</v>
      </c>
      <c r="D95" t="e">
        <f>AND(#REF!,"AAAAADpv/wM=")</f>
        <v>#REF!</v>
      </c>
      <c r="E95" t="e">
        <f>AND(#REF!,"AAAAADpv/wQ=")</f>
        <v>#REF!</v>
      </c>
      <c r="F95" t="e">
        <f>AND(#REF!,"AAAAADpv/wU=")</f>
        <v>#REF!</v>
      </c>
      <c r="G95" t="e">
        <f>AND(#REF!,"AAAAADpv/wY=")</f>
        <v>#REF!</v>
      </c>
      <c r="H95" t="e">
        <f>AND(#REF!,"AAAAADpv/wc=")</f>
        <v>#REF!</v>
      </c>
      <c r="I95" t="e">
        <f>AND(#REF!,"AAAAADpv/wg=")</f>
        <v>#REF!</v>
      </c>
      <c r="J95" t="e">
        <f>AND(#REF!,"AAAAADpv/wk=")</f>
        <v>#REF!</v>
      </c>
      <c r="K95" t="e">
        <f>AND(#REF!,"AAAAADpv/wo=")</f>
        <v>#REF!</v>
      </c>
      <c r="L95" t="e">
        <f>AND(#REF!,"AAAAADpv/ws=")</f>
        <v>#REF!</v>
      </c>
      <c r="M95" t="e">
        <f>AND(#REF!,"AAAAADpv/ww=")</f>
        <v>#REF!</v>
      </c>
      <c r="N95" t="e">
        <f>AND(#REF!,"AAAAADpv/w0=")</f>
        <v>#REF!</v>
      </c>
      <c r="O95" t="e">
        <f>AND(#REF!,"AAAAADpv/w4=")</f>
        <v>#REF!</v>
      </c>
      <c r="P95" t="e">
        <f>AND(#REF!,"AAAAADpv/w8=")</f>
        <v>#REF!</v>
      </c>
      <c r="Q95" t="e">
        <f>AND(#REF!,"AAAAADpv/xA=")</f>
        <v>#REF!</v>
      </c>
      <c r="R95" t="e">
        <f>AND(#REF!,"AAAAADpv/xE=")</f>
        <v>#REF!</v>
      </c>
      <c r="S95" t="e">
        <f>AND(#REF!,"AAAAADpv/xI=")</f>
        <v>#REF!</v>
      </c>
      <c r="T95" t="e">
        <f>AND(#REF!,"AAAAADpv/xM=")</f>
        <v>#REF!</v>
      </c>
      <c r="U95" t="e">
        <f>AND(#REF!,"AAAAADpv/xQ=")</f>
        <v>#REF!</v>
      </c>
      <c r="V95" t="e">
        <f>AND(#REF!,"AAAAADpv/xU=")</f>
        <v>#REF!</v>
      </c>
      <c r="W95" t="e">
        <f>AND(#REF!,"AAAAADpv/xY=")</f>
        <v>#REF!</v>
      </c>
      <c r="X95" t="e">
        <f>AND(#REF!,"AAAAADpv/xc=")</f>
        <v>#REF!</v>
      </c>
      <c r="Y95" t="e">
        <f>AND(#REF!,"AAAAADpv/xg=")</f>
        <v>#REF!</v>
      </c>
      <c r="Z95" t="e">
        <f>AND(#REF!,"AAAAADpv/xk=")</f>
        <v>#REF!</v>
      </c>
      <c r="AA95" t="e">
        <f>IF(#REF!,"AAAAADpv/xo=",0)</f>
        <v>#REF!</v>
      </c>
      <c r="AB95" t="e">
        <f>AND(#REF!,"AAAAADpv/xs=")</f>
        <v>#REF!</v>
      </c>
      <c r="AC95" t="e">
        <f>AND(#REF!,"AAAAADpv/xw=")</f>
        <v>#REF!</v>
      </c>
      <c r="AD95" t="e">
        <f>AND(#REF!,"AAAAADpv/x0=")</f>
        <v>#REF!</v>
      </c>
      <c r="AE95" t="e">
        <f>AND(#REF!,"AAAAADpv/x4=")</f>
        <v>#REF!</v>
      </c>
      <c r="AF95" t="e">
        <f>AND(#REF!,"AAAAADpv/x8=")</f>
        <v>#REF!</v>
      </c>
      <c r="AG95" t="e">
        <f>AND(#REF!,"AAAAADpv/yA=")</f>
        <v>#REF!</v>
      </c>
      <c r="AH95" t="e">
        <f>AND(#REF!,"AAAAADpv/yE=")</f>
        <v>#REF!</v>
      </c>
      <c r="AI95" t="e">
        <f>AND(#REF!,"AAAAADpv/yI=")</f>
        <v>#REF!</v>
      </c>
      <c r="AJ95" t="e">
        <f>AND(#REF!,"AAAAADpv/yM=")</f>
        <v>#REF!</v>
      </c>
      <c r="AK95" t="e">
        <f>AND(#REF!,"AAAAADpv/yQ=")</f>
        <v>#REF!</v>
      </c>
      <c r="AL95" t="e">
        <f>AND(#REF!,"AAAAADpv/yU=")</f>
        <v>#REF!</v>
      </c>
      <c r="AM95" t="e">
        <f>AND(#REF!,"AAAAADpv/yY=")</f>
        <v>#REF!</v>
      </c>
      <c r="AN95" t="e">
        <f>AND(#REF!,"AAAAADpv/yc=")</f>
        <v>#REF!</v>
      </c>
      <c r="AO95" t="e">
        <f>AND(#REF!,"AAAAADpv/yg=")</f>
        <v>#REF!</v>
      </c>
      <c r="AP95" t="e">
        <f>AND(#REF!,"AAAAADpv/yk=")</f>
        <v>#REF!</v>
      </c>
      <c r="AQ95" t="e">
        <f>AND(#REF!,"AAAAADpv/yo=")</f>
        <v>#REF!</v>
      </c>
      <c r="AR95" t="e">
        <f>AND(#REF!,"AAAAADpv/ys=")</f>
        <v>#REF!</v>
      </c>
      <c r="AS95" t="e">
        <f>AND(#REF!,"AAAAADpv/yw=")</f>
        <v>#REF!</v>
      </c>
      <c r="AT95" t="e">
        <f>AND(#REF!,"AAAAADpv/y0=")</f>
        <v>#REF!</v>
      </c>
      <c r="AU95" t="e">
        <f>AND(#REF!,"AAAAADpv/y4=")</f>
        <v>#REF!</v>
      </c>
      <c r="AV95" t="e">
        <f>AND(#REF!,"AAAAADpv/y8=")</f>
        <v>#REF!</v>
      </c>
      <c r="AW95" t="e">
        <f>AND(#REF!,"AAAAADpv/zA=")</f>
        <v>#REF!</v>
      </c>
      <c r="AX95" t="e">
        <f>AND(#REF!,"AAAAADpv/zE=")</f>
        <v>#REF!</v>
      </c>
      <c r="AY95" t="e">
        <f>AND(#REF!,"AAAAADpv/zI=")</f>
        <v>#REF!</v>
      </c>
      <c r="AZ95" t="e">
        <f>AND(#REF!,"AAAAADpv/zM=")</f>
        <v>#REF!</v>
      </c>
      <c r="BA95" t="e">
        <f>AND(#REF!,"AAAAADpv/zQ=")</f>
        <v>#REF!</v>
      </c>
      <c r="BB95" t="e">
        <f>AND(#REF!,"AAAAADpv/zU=")</f>
        <v>#REF!</v>
      </c>
      <c r="BC95" t="e">
        <f>AND(#REF!,"AAAAADpv/zY=")</f>
        <v>#REF!</v>
      </c>
      <c r="BD95" t="e">
        <f>AND(#REF!,"AAAAADpv/zc=")</f>
        <v>#REF!</v>
      </c>
      <c r="BE95" t="e">
        <f>AND(#REF!,"AAAAADpv/zg=")</f>
        <v>#REF!</v>
      </c>
      <c r="BF95" t="e">
        <f>AND(#REF!,"AAAAADpv/zk=")</f>
        <v>#REF!</v>
      </c>
      <c r="BG95" t="e">
        <f>AND(#REF!,"AAAAADpv/zo=")</f>
        <v>#REF!</v>
      </c>
      <c r="BH95" t="e">
        <f>AND(#REF!,"AAAAADpv/zs=")</f>
        <v>#REF!</v>
      </c>
      <c r="BI95" t="e">
        <f>AND(#REF!,"AAAAADpv/zw=")</f>
        <v>#REF!</v>
      </c>
      <c r="BJ95" t="e">
        <f>AND(#REF!,"AAAAADpv/z0=")</f>
        <v>#REF!</v>
      </c>
      <c r="BK95" t="e">
        <f>AND(#REF!,"AAAAADpv/z4=")</f>
        <v>#REF!</v>
      </c>
      <c r="BL95" t="e">
        <f>AND(#REF!,"AAAAADpv/z8=")</f>
        <v>#REF!</v>
      </c>
      <c r="BM95" t="e">
        <f>AND(#REF!,"AAAAADpv/0A=")</f>
        <v>#REF!</v>
      </c>
      <c r="BN95" t="e">
        <f>AND(#REF!,"AAAAADpv/0E=")</f>
        <v>#REF!</v>
      </c>
      <c r="BO95" t="e">
        <f>AND(#REF!,"AAAAADpv/0I=")</f>
        <v>#REF!</v>
      </c>
      <c r="BP95" t="e">
        <f>AND(#REF!,"AAAAADpv/0M=")</f>
        <v>#REF!</v>
      </c>
      <c r="BQ95" t="e">
        <f>AND(#REF!,"AAAAADpv/0Q=")</f>
        <v>#REF!</v>
      </c>
      <c r="BR95" t="e">
        <f>AND(#REF!,"AAAAADpv/0U=")</f>
        <v>#REF!</v>
      </c>
      <c r="BS95" t="e">
        <f>AND(#REF!,"AAAAADpv/0Y=")</f>
        <v>#REF!</v>
      </c>
      <c r="BT95" t="e">
        <f>AND(#REF!,"AAAAADpv/0c=")</f>
        <v>#REF!</v>
      </c>
      <c r="BU95" t="e">
        <f>AND(#REF!,"AAAAADpv/0g=")</f>
        <v>#REF!</v>
      </c>
      <c r="BV95" t="e">
        <f>AND(#REF!,"AAAAADpv/0k=")</f>
        <v>#REF!</v>
      </c>
      <c r="BW95" t="e">
        <f>AND(#REF!,"AAAAADpv/0o=")</f>
        <v>#REF!</v>
      </c>
      <c r="BX95" t="e">
        <f>AND(#REF!,"AAAAADpv/0s=")</f>
        <v>#REF!</v>
      </c>
      <c r="BY95" t="e">
        <f>AND(#REF!,"AAAAADpv/0w=")</f>
        <v>#REF!</v>
      </c>
      <c r="BZ95" t="e">
        <f>AND(#REF!,"AAAAADpv/00=")</f>
        <v>#REF!</v>
      </c>
      <c r="CA95" t="e">
        <f>AND(#REF!,"AAAAADpv/04=")</f>
        <v>#REF!</v>
      </c>
      <c r="CB95" t="e">
        <f>AND(#REF!,"AAAAADpv/08=")</f>
        <v>#REF!</v>
      </c>
      <c r="CC95" t="e">
        <f>AND(#REF!,"AAAAADpv/1A=")</f>
        <v>#REF!</v>
      </c>
      <c r="CD95" t="e">
        <f>AND(#REF!,"AAAAADpv/1E=")</f>
        <v>#REF!</v>
      </c>
      <c r="CE95" t="e">
        <f>AND(#REF!,"AAAAADpv/1I=")</f>
        <v>#REF!</v>
      </c>
      <c r="CF95" t="e">
        <f>AND(#REF!,"AAAAADpv/1M=")</f>
        <v>#REF!</v>
      </c>
      <c r="CG95" t="e">
        <f>AND(#REF!,"AAAAADpv/1Q=")</f>
        <v>#REF!</v>
      </c>
      <c r="CH95" t="e">
        <f>AND(#REF!,"AAAAADpv/1U=")</f>
        <v>#REF!</v>
      </c>
      <c r="CI95" t="e">
        <f>AND(#REF!,"AAAAADpv/1Y=")</f>
        <v>#REF!</v>
      </c>
      <c r="CJ95" t="e">
        <f>AND(#REF!,"AAAAADpv/1c=")</f>
        <v>#REF!</v>
      </c>
      <c r="CK95" t="e">
        <f>AND(#REF!,"AAAAADpv/1g=")</f>
        <v>#REF!</v>
      </c>
      <c r="CL95" t="e">
        <f>AND(#REF!,"AAAAADpv/1k=")</f>
        <v>#REF!</v>
      </c>
      <c r="CM95" t="e">
        <f>AND(#REF!,"AAAAADpv/1o=")</f>
        <v>#REF!</v>
      </c>
      <c r="CN95" t="e">
        <f>AND(#REF!,"AAAAADpv/1s=")</f>
        <v>#REF!</v>
      </c>
      <c r="CO95" t="e">
        <f>AND(#REF!,"AAAAADpv/1w=")</f>
        <v>#REF!</v>
      </c>
      <c r="CP95" t="e">
        <f>AND(#REF!,"AAAAADpv/10=")</f>
        <v>#REF!</v>
      </c>
      <c r="CQ95" t="e">
        <f>AND(#REF!,"AAAAADpv/14=")</f>
        <v>#REF!</v>
      </c>
      <c r="CR95" t="e">
        <f>AND(#REF!,"AAAAADpv/18=")</f>
        <v>#REF!</v>
      </c>
      <c r="CS95" t="e">
        <f>AND(#REF!,"AAAAADpv/2A=")</f>
        <v>#REF!</v>
      </c>
      <c r="CT95" t="e">
        <f>AND(#REF!,"AAAAADpv/2E=")</f>
        <v>#REF!</v>
      </c>
      <c r="CU95" t="e">
        <f>AND(#REF!,"AAAAADpv/2I=")</f>
        <v>#REF!</v>
      </c>
      <c r="CV95" t="e">
        <f>AND(#REF!,"AAAAADpv/2M=")</f>
        <v>#REF!</v>
      </c>
      <c r="CW95" t="e">
        <f>AND(#REF!,"AAAAADpv/2Q=")</f>
        <v>#REF!</v>
      </c>
      <c r="CX95" t="e">
        <f>AND(#REF!,"AAAAADpv/2U=")</f>
        <v>#REF!</v>
      </c>
      <c r="CY95" t="e">
        <f>AND(#REF!,"AAAAADpv/2Y=")</f>
        <v>#REF!</v>
      </c>
      <c r="CZ95" t="e">
        <f>AND(#REF!,"AAAAADpv/2c=")</f>
        <v>#REF!</v>
      </c>
      <c r="DA95" t="e">
        <f>AND(#REF!,"AAAAADpv/2g=")</f>
        <v>#REF!</v>
      </c>
      <c r="DB95" t="e">
        <f>AND(#REF!,"AAAAADpv/2k=")</f>
        <v>#REF!</v>
      </c>
      <c r="DC95" t="e">
        <f>AND(#REF!,"AAAAADpv/2o=")</f>
        <v>#REF!</v>
      </c>
      <c r="DD95" t="e">
        <f>AND(#REF!,"AAAAADpv/2s=")</f>
        <v>#REF!</v>
      </c>
      <c r="DE95" t="e">
        <f>AND(#REF!,"AAAAADpv/2w=")</f>
        <v>#REF!</v>
      </c>
      <c r="DF95" t="e">
        <f>AND(#REF!,"AAAAADpv/20=")</f>
        <v>#REF!</v>
      </c>
      <c r="DG95" t="e">
        <f>AND(#REF!,"AAAAADpv/24=")</f>
        <v>#REF!</v>
      </c>
      <c r="DH95" t="e">
        <f>AND(#REF!,"AAAAADpv/28=")</f>
        <v>#REF!</v>
      </c>
      <c r="DI95" t="e">
        <f>AND(#REF!,"AAAAADpv/3A=")</f>
        <v>#REF!</v>
      </c>
      <c r="DJ95" t="e">
        <f>AND(#REF!,"AAAAADpv/3E=")</f>
        <v>#REF!</v>
      </c>
      <c r="DK95" t="e">
        <f>AND(#REF!,"AAAAADpv/3I=")</f>
        <v>#REF!</v>
      </c>
      <c r="DL95" t="e">
        <f>AND(#REF!,"AAAAADpv/3M=")</f>
        <v>#REF!</v>
      </c>
      <c r="DM95" t="e">
        <f>AND(#REF!,"AAAAADpv/3Q=")</f>
        <v>#REF!</v>
      </c>
      <c r="DN95" t="e">
        <f>AND(#REF!,"AAAAADpv/3U=")</f>
        <v>#REF!</v>
      </c>
      <c r="DO95" t="e">
        <f>AND(#REF!,"AAAAADpv/3Y=")</f>
        <v>#REF!</v>
      </c>
      <c r="DP95" t="e">
        <f>AND(#REF!,"AAAAADpv/3c=")</f>
        <v>#REF!</v>
      </c>
      <c r="DQ95" t="e">
        <f>AND(#REF!,"AAAAADpv/3g=")</f>
        <v>#REF!</v>
      </c>
      <c r="DR95" t="e">
        <f>AND(#REF!,"AAAAADpv/3k=")</f>
        <v>#REF!</v>
      </c>
      <c r="DS95" t="e">
        <f>AND(#REF!,"AAAAADpv/3o=")</f>
        <v>#REF!</v>
      </c>
      <c r="DT95" t="e">
        <f>AND(#REF!,"AAAAADpv/3s=")</f>
        <v>#REF!</v>
      </c>
      <c r="DU95" t="e">
        <f>AND(#REF!,"AAAAADpv/3w=")</f>
        <v>#REF!</v>
      </c>
      <c r="DV95" t="e">
        <f>AND(#REF!,"AAAAADpv/30=")</f>
        <v>#REF!</v>
      </c>
      <c r="DW95" t="e">
        <f>AND(#REF!,"AAAAADpv/34=")</f>
        <v>#REF!</v>
      </c>
      <c r="DX95" t="e">
        <f>AND(#REF!,"AAAAADpv/38=")</f>
        <v>#REF!</v>
      </c>
      <c r="DY95" t="e">
        <f>AND(#REF!,"AAAAADpv/4A=")</f>
        <v>#REF!</v>
      </c>
      <c r="DZ95" t="e">
        <f>AND(#REF!,"AAAAADpv/4E=")</f>
        <v>#REF!</v>
      </c>
      <c r="EA95" t="e">
        <f>AND(#REF!,"AAAAADpv/4I=")</f>
        <v>#REF!</v>
      </c>
      <c r="EB95" t="e">
        <f>AND(#REF!,"AAAAADpv/4M=")</f>
        <v>#REF!</v>
      </c>
      <c r="EC95" t="e">
        <f>AND(#REF!,"AAAAADpv/4Q=")</f>
        <v>#REF!</v>
      </c>
      <c r="ED95" t="e">
        <f>AND(#REF!,"AAAAADpv/4U=")</f>
        <v>#REF!</v>
      </c>
      <c r="EE95" t="e">
        <f>AND(#REF!,"AAAAADpv/4Y=")</f>
        <v>#REF!</v>
      </c>
      <c r="EF95" t="e">
        <f>AND(#REF!,"AAAAADpv/4c=")</f>
        <v>#REF!</v>
      </c>
      <c r="EG95" t="e">
        <f>AND(#REF!,"AAAAADpv/4g=")</f>
        <v>#REF!</v>
      </c>
      <c r="EH95" t="e">
        <f>AND(#REF!,"AAAAADpv/4k=")</f>
        <v>#REF!</v>
      </c>
      <c r="EI95" t="e">
        <f>AND(#REF!,"AAAAADpv/4o=")</f>
        <v>#REF!</v>
      </c>
      <c r="EJ95" t="e">
        <f>AND(#REF!,"AAAAADpv/4s=")</f>
        <v>#REF!</v>
      </c>
      <c r="EK95" t="e">
        <f>AND(#REF!,"AAAAADpv/4w=")</f>
        <v>#REF!</v>
      </c>
      <c r="EL95" t="e">
        <f>AND(#REF!,"AAAAADpv/40=")</f>
        <v>#REF!</v>
      </c>
      <c r="EM95" t="e">
        <f>AND(#REF!,"AAAAADpv/44=")</f>
        <v>#REF!</v>
      </c>
      <c r="EN95" t="e">
        <f>AND(#REF!,"AAAAADpv/48=")</f>
        <v>#REF!</v>
      </c>
      <c r="EO95" t="e">
        <f>AND(#REF!,"AAAAADpv/5A=")</f>
        <v>#REF!</v>
      </c>
      <c r="EP95" t="e">
        <f>AND(#REF!,"AAAAADpv/5E=")</f>
        <v>#REF!</v>
      </c>
      <c r="EQ95" t="e">
        <f>AND(#REF!,"AAAAADpv/5I=")</f>
        <v>#REF!</v>
      </c>
      <c r="ER95" t="e">
        <f>AND(#REF!,"AAAAADpv/5M=")</f>
        <v>#REF!</v>
      </c>
      <c r="ES95" t="e">
        <f>AND(#REF!,"AAAAADpv/5Q=")</f>
        <v>#REF!</v>
      </c>
      <c r="ET95" t="e">
        <f>AND(#REF!,"AAAAADpv/5U=")</f>
        <v>#REF!</v>
      </c>
      <c r="EU95" t="e">
        <f>AND(#REF!,"AAAAADpv/5Y=")</f>
        <v>#REF!</v>
      </c>
      <c r="EV95" t="e">
        <f>AND(#REF!,"AAAAADpv/5c=")</f>
        <v>#REF!</v>
      </c>
      <c r="EW95" t="e">
        <f>AND(#REF!,"AAAAADpv/5g=")</f>
        <v>#REF!</v>
      </c>
      <c r="EX95" t="e">
        <f>AND(#REF!,"AAAAADpv/5k=")</f>
        <v>#REF!</v>
      </c>
      <c r="EY95" t="e">
        <f>AND(#REF!,"AAAAADpv/5o=")</f>
        <v>#REF!</v>
      </c>
      <c r="EZ95" t="e">
        <f>AND(#REF!,"AAAAADpv/5s=")</f>
        <v>#REF!</v>
      </c>
      <c r="FA95" t="e">
        <f>AND(#REF!,"AAAAADpv/5w=")</f>
        <v>#REF!</v>
      </c>
      <c r="FB95" t="e">
        <f>AND(#REF!,"AAAAADpv/50=")</f>
        <v>#REF!</v>
      </c>
      <c r="FC95" t="e">
        <f>AND(#REF!,"AAAAADpv/54=")</f>
        <v>#REF!</v>
      </c>
      <c r="FD95" t="e">
        <f>AND(#REF!,"AAAAADpv/58=")</f>
        <v>#REF!</v>
      </c>
      <c r="FE95" t="e">
        <f>AND(#REF!,"AAAAADpv/6A=")</f>
        <v>#REF!</v>
      </c>
      <c r="FF95" t="e">
        <f>AND(#REF!,"AAAAADpv/6E=")</f>
        <v>#REF!</v>
      </c>
      <c r="FG95" t="e">
        <f>AND(#REF!,"AAAAADpv/6I=")</f>
        <v>#REF!</v>
      </c>
      <c r="FH95" t="e">
        <f>AND(#REF!,"AAAAADpv/6M=")</f>
        <v>#REF!</v>
      </c>
      <c r="FI95" t="e">
        <f>AND(#REF!,"AAAAADpv/6Q=")</f>
        <v>#REF!</v>
      </c>
      <c r="FJ95" t="e">
        <f>AND(#REF!,"AAAAADpv/6U=")</f>
        <v>#REF!</v>
      </c>
      <c r="FK95" t="e">
        <f>AND(#REF!,"AAAAADpv/6Y=")</f>
        <v>#REF!</v>
      </c>
      <c r="FL95" t="e">
        <f>AND(#REF!,"AAAAADpv/6c=")</f>
        <v>#REF!</v>
      </c>
      <c r="FM95" t="e">
        <f>AND(#REF!,"AAAAADpv/6g=")</f>
        <v>#REF!</v>
      </c>
      <c r="FN95" t="e">
        <f>AND(#REF!,"AAAAADpv/6k=")</f>
        <v>#REF!</v>
      </c>
      <c r="FO95" t="e">
        <f>AND(#REF!,"AAAAADpv/6o=")</f>
        <v>#REF!</v>
      </c>
      <c r="FP95" t="e">
        <f>AND(#REF!,"AAAAADpv/6s=")</f>
        <v>#REF!</v>
      </c>
      <c r="FQ95" t="e">
        <f>AND(#REF!,"AAAAADpv/6w=")</f>
        <v>#REF!</v>
      </c>
      <c r="FR95" t="e">
        <f>AND(#REF!,"AAAAADpv/60=")</f>
        <v>#REF!</v>
      </c>
      <c r="FS95" t="e">
        <f>AND(#REF!,"AAAAADpv/64=")</f>
        <v>#REF!</v>
      </c>
      <c r="FT95" t="e">
        <f>AND(#REF!,"AAAAADpv/68=")</f>
        <v>#REF!</v>
      </c>
      <c r="FU95" t="e">
        <f>AND(#REF!,"AAAAADpv/7A=")</f>
        <v>#REF!</v>
      </c>
      <c r="FV95" t="e">
        <f>AND(#REF!,"AAAAADpv/7E=")</f>
        <v>#REF!</v>
      </c>
      <c r="FW95" t="e">
        <f>AND(#REF!,"AAAAADpv/7I=")</f>
        <v>#REF!</v>
      </c>
      <c r="FX95" t="e">
        <f>AND(#REF!,"AAAAADpv/7M=")</f>
        <v>#REF!</v>
      </c>
      <c r="FY95" t="e">
        <f>AND(#REF!,"AAAAADpv/7Q=")</f>
        <v>#REF!</v>
      </c>
      <c r="FZ95" t="e">
        <f>AND(#REF!,"AAAAADpv/7U=")</f>
        <v>#REF!</v>
      </c>
      <c r="GA95" t="e">
        <f>AND(#REF!,"AAAAADpv/7Y=")</f>
        <v>#REF!</v>
      </c>
      <c r="GB95" t="e">
        <f>AND(#REF!,"AAAAADpv/7c=")</f>
        <v>#REF!</v>
      </c>
      <c r="GC95" t="e">
        <f>AND(#REF!,"AAAAADpv/7g=")</f>
        <v>#REF!</v>
      </c>
      <c r="GD95" t="e">
        <f>AND(#REF!,"AAAAADpv/7k=")</f>
        <v>#REF!</v>
      </c>
      <c r="GE95" t="e">
        <f>AND(#REF!,"AAAAADpv/7o=")</f>
        <v>#REF!</v>
      </c>
      <c r="GF95" t="e">
        <f>AND(#REF!,"AAAAADpv/7s=")</f>
        <v>#REF!</v>
      </c>
      <c r="GG95" t="e">
        <f>AND(#REF!,"AAAAADpv/7w=")</f>
        <v>#REF!</v>
      </c>
      <c r="GH95" t="e">
        <f>AND(#REF!,"AAAAADpv/70=")</f>
        <v>#REF!</v>
      </c>
      <c r="GI95" t="e">
        <f>AND(#REF!,"AAAAADpv/74=")</f>
        <v>#REF!</v>
      </c>
      <c r="GJ95" t="e">
        <f>AND(#REF!,"AAAAADpv/78=")</f>
        <v>#REF!</v>
      </c>
      <c r="GK95" t="e">
        <f>AND(#REF!,"AAAAADpv/8A=")</f>
        <v>#REF!</v>
      </c>
      <c r="GL95" t="e">
        <f>AND(#REF!,"AAAAADpv/8E=")</f>
        <v>#REF!</v>
      </c>
      <c r="GM95" t="e">
        <f>AND(#REF!,"AAAAADpv/8I=")</f>
        <v>#REF!</v>
      </c>
      <c r="GN95" t="e">
        <f>AND(#REF!,"AAAAADpv/8M=")</f>
        <v>#REF!</v>
      </c>
      <c r="GO95" t="e">
        <f>AND(#REF!,"AAAAADpv/8Q=")</f>
        <v>#REF!</v>
      </c>
      <c r="GP95" t="e">
        <f>AND(#REF!,"AAAAADpv/8U=")</f>
        <v>#REF!</v>
      </c>
      <c r="GQ95" t="e">
        <f>AND(#REF!,"AAAAADpv/8Y=")</f>
        <v>#REF!</v>
      </c>
      <c r="GR95" t="e">
        <f>AND(#REF!,"AAAAADpv/8c=")</f>
        <v>#REF!</v>
      </c>
      <c r="GS95" t="e">
        <f>AND(#REF!,"AAAAADpv/8g=")</f>
        <v>#REF!</v>
      </c>
      <c r="GT95" t="e">
        <f>AND(#REF!,"AAAAADpv/8k=")</f>
        <v>#REF!</v>
      </c>
      <c r="GU95" t="e">
        <f>AND(#REF!,"AAAAADpv/8o=")</f>
        <v>#REF!</v>
      </c>
      <c r="GV95" t="e">
        <f>AND(#REF!,"AAAAADpv/8s=")</f>
        <v>#REF!</v>
      </c>
      <c r="GW95" t="e">
        <f>AND(#REF!,"AAAAADpv/8w=")</f>
        <v>#REF!</v>
      </c>
      <c r="GX95" t="e">
        <f>AND(#REF!,"AAAAADpv/80=")</f>
        <v>#REF!</v>
      </c>
      <c r="GY95" t="e">
        <f>AND(#REF!,"AAAAADpv/84=")</f>
        <v>#REF!</v>
      </c>
      <c r="GZ95" t="e">
        <f>IF(#REF!,"AAAAADpv/88=",0)</f>
        <v>#REF!</v>
      </c>
      <c r="HA95" t="e">
        <f>AND(#REF!,"AAAAADpv/9A=")</f>
        <v>#REF!</v>
      </c>
      <c r="HB95" t="e">
        <f>AND(#REF!,"AAAAADpv/9E=")</f>
        <v>#REF!</v>
      </c>
      <c r="HC95" t="e">
        <f>AND(#REF!,"AAAAADpv/9I=")</f>
        <v>#REF!</v>
      </c>
      <c r="HD95" t="e">
        <f>AND(#REF!,"AAAAADpv/9M=")</f>
        <v>#REF!</v>
      </c>
      <c r="HE95" t="e">
        <f>AND(#REF!,"AAAAADpv/9Q=")</f>
        <v>#REF!</v>
      </c>
      <c r="HF95" t="e">
        <f>AND(#REF!,"AAAAADpv/9U=")</f>
        <v>#REF!</v>
      </c>
      <c r="HG95" t="e">
        <f>AND(#REF!,"AAAAADpv/9Y=")</f>
        <v>#REF!</v>
      </c>
      <c r="HH95" t="e">
        <f>AND(#REF!,"AAAAADpv/9c=")</f>
        <v>#REF!</v>
      </c>
      <c r="HI95" t="e">
        <f>AND(#REF!,"AAAAADpv/9g=")</f>
        <v>#REF!</v>
      </c>
      <c r="HJ95" t="e">
        <f>AND(#REF!,"AAAAADpv/9k=")</f>
        <v>#REF!</v>
      </c>
      <c r="HK95" t="e">
        <f>AND(#REF!,"AAAAADpv/9o=")</f>
        <v>#REF!</v>
      </c>
      <c r="HL95" t="e">
        <f>AND(#REF!,"AAAAADpv/9s=")</f>
        <v>#REF!</v>
      </c>
      <c r="HM95" t="e">
        <f>AND(#REF!,"AAAAADpv/9w=")</f>
        <v>#REF!</v>
      </c>
      <c r="HN95" t="e">
        <f>AND(#REF!,"AAAAADpv/90=")</f>
        <v>#REF!</v>
      </c>
      <c r="HO95" t="e">
        <f>AND(#REF!,"AAAAADpv/94=")</f>
        <v>#REF!</v>
      </c>
      <c r="HP95" t="e">
        <f>AND(#REF!,"AAAAADpv/98=")</f>
        <v>#REF!</v>
      </c>
      <c r="HQ95" t="e">
        <f>AND(#REF!,"AAAAADpv/+A=")</f>
        <v>#REF!</v>
      </c>
      <c r="HR95" t="e">
        <f>AND(#REF!,"AAAAADpv/+E=")</f>
        <v>#REF!</v>
      </c>
      <c r="HS95" t="e">
        <f>AND(#REF!,"AAAAADpv/+I=")</f>
        <v>#REF!</v>
      </c>
      <c r="HT95" t="e">
        <f>AND(#REF!,"AAAAADpv/+M=")</f>
        <v>#REF!</v>
      </c>
      <c r="HU95" t="e">
        <f>AND(#REF!,"AAAAADpv/+Q=")</f>
        <v>#REF!</v>
      </c>
      <c r="HV95" t="e">
        <f>AND(#REF!,"AAAAADpv/+U=")</f>
        <v>#REF!</v>
      </c>
      <c r="HW95" t="e">
        <f>AND(#REF!,"AAAAADpv/+Y=")</f>
        <v>#REF!</v>
      </c>
      <c r="HX95" t="e">
        <f>AND(#REF!,"AAAAADpv/+c=")</f>
        <v>#REF!</v>
      </c>
      <c r="HY95" t="e">
        <f>AND(#REF!,"AAAAADpv/+g=")</f>
        <v>#REF!</v>
      </c>
      <c r="HZ95" t="e">
        <f>AND(#REF!,"AAAAADpv/+k=")</f>
        <v>#REF!</v>
      </c>
      <c r="IA95" t="e">
        <f>AND(#REF!,"AAAAADpv/+o=")</f>
        <v>#REF!</v>
      </c>
      <c r="IB95" t="e">
        <f>AND(#REF!,"AAAAADpv/+s=")</f>
        <v>#REF!</v>
      </c>
      <c r="IC95" t="e">
        <f>AND(#REF!,"AAAAADpv/+w=")</f>
        <v>#REF!</v>
      </c>
      <c r="ID95" t="e">
        <f>AND(#REF!,"AAAAADpv/+0=")</f>
        <v>#REF!</v>
      </c>
      <c r="IE95" t="e">
        <f>AND(#REF!,"AAAAADpv/+4=")</f>
        <v>#REF!</v>
      </c>
      <c r="IF95" t="e">
        <f>AND(#REF!,"AAAAADpv/+8=")</f>
        <v>#REF!</v>
      </c>
      <c r="IG95" t="e">
        <f>AND(#REF!,"AAAAADpv//A=")</f>
        <v>#REF!</v>
      </c>
      <c r="IH95" t="e">
        <f>AND(#REF!,"AAAAADpv//E=")</f>
        <v>#REF!</v>
      </c>
      <c r="II95" t="e">
        <f>AND(#REF!,"AAAAADpv//I=")</f>
        <v>#REF!</v>
      </c>
      <c r="IJ95" t="e">
        <f>AND(#REF!,"AAAAADpv//M=")</f>
        <v>#REF!</v>
      </c>
      <c r="IK95" t="e">
        <f>AND(#REF!,"AAAAADpv//Q=")</f>
        <v>#REF!</v>
      </c>
      <c r="IL95" t="e">
        <f>AND(#REF!,"AAAAADpv//U=")</f>
        <v>#REF!</v>
      </c>
      <c r="IM95" t="e">
        <f>AND(#REF!,"AAAAADpv//Y=")</f>
        <v>#REF!</v>
      </c>
      <c r="IN95" t="e">
        <f>AND(#REF!,"AAAAADpv//c=")</f>
        <v>#REF!</v>
      </c>
      <c r="IO95" t="e">
        <f>AND(#REF!,"AAAAADpv//g=")</f>
        <v>#REF!</v>
      </c>
      <c r="IP95" t="e">
        <f>AND(#REF!,"AAAAADpv//k=")</f>
        <v>#REF!</v>
      </c>
      <c r="IQ95" t="e">
        <f>AND(#REF!,"AAAAADpv//o=")</f>
        <v>#REF!</v>
      </c>
      <c r="IR95" t="e">
        <f>AND(#REF!,"AAAAADpv//s=")</f>
        <v>#REF!</v>
      </c>
      <c r="IS95" t="e">
        <f>AND(#REF!,"AAAAADpv//w=")</f>
        <v>#REF!</v>
      </c>
      <c r="IT95" t="e">
        <f>AND(#REF!,"AAAAADpv//0=")</f>
        <v>#REF!</v>
      </c>
      <c r="IU95" t="e">
        <f>AND(#REF!,"AAAAADpv//4=")</f>
        <v>#REF!</v>
      </c>
      <c r="IV95" t="e">
        <f>AND(#REF!,"AAAAADpv//8=")</f>
        <v>#REF!</v>
      </c>
    </row>
    <row r="96" spans="1:256" x14ac:dyDescent="0.2">
      <c r="A96" t="e">
        <f>AND(#REF!,"AAAAAH6nbwA=")</f>
        <v>#REF!</v>
      </c>
      <c r="B96" t="e">
        <f>AND(#REF!,"AAAAAH6nbwE=")</f>
        <v>#REF!</v>
      </c>
      <c r="C96" t="e">
        <f>AND(#REF!,"AAAAAH6nbwI=")</f>
        <v>#REF!</v>
      </c>
      <c r="D96" t="e">
        <f>AND(#REF!,"AAAAAH6nbwM=")</f>
        <v>#REF!</v>
      </c>
      <c r="E96" t="e">
        <f>AND(#REF!,"AAAAAH6nbwQ=")</f>
        <v>#REF!</v>
      </c>
      <c r="F96" t="e">
        <f>AND(#REF!,"AAAAAH6nbwU=")</f>
        <v>#REF!</v>
      </c>
      <c r="G96" t="e">
        <f>AND(#REF!,"AAAAAH6nbwY=")</f>
        <v>#REF!</v>
      </c>
      <c r="H96" t="e">
        <f>AND(#REF!,"AAAAAH6nbwc=")</f>
        <v>#REF!</v>
      </c>
      <c r="I96" t="e">
        <f>AND(#REF!,"AAAAAH6nbwg=")</f>
        <v>#REF!</v>
      </c>
      <c r="J96" t="e">
        <f>AND(#REF!,"AAAAAH6nbwk=")</f>
        <v>#REF!</v>
      </c>
      <c r="K96" t="e">
        <f>AND(#REF!,"AAAAAH6nbwo=")</f>
        <v>#REF!</v>
      </c>
      <c r="L96" t="e">
        <f>AND(#REF!,"AAAAAH6nbws=")</f>
        <v>#REF!</v>
      </c>
      <c r="M96" t="e">
        <f>AND(#REF!,"AAAAAH6nbww=")</f>
        <v>#REF!</v>
      </c>
      <c r="N96" t="e">
        <f>AND(#REF!,"AAAAAH6nbw0=")</f>
        <v>#REF!</v>
      </c>
      <c r="O96" t="e">
        <f>AND(#REF!,"AAAAAH6nbw4=")</f>
        <v>#REF!</v>
      </c>
      <c r="P96" t="e">
        <f>AND(#REF!,"AAAAAH6nbw8=")</f>
        <v>#REF!</v>
      </c>
      <c r="Q96" t="e">
        <f>AND(#REF!,"AAAAAH6nbxA=")</f>
        <v>#REF!</v>
      </c>
      <c r="R96" t="e">
        <f>AND(#REF!,"AAAAAH6nbxE=")</f>
        <v>#REF!</v>
      </c>
      <c r="S96" t="e">
        <f>AND(#REF!,"AAAAAH6nbxI=")</f>
        <v>#REF!</v>
      </c>
      <c r="T96" t="e">
        <f>AND(#REF!,"AAAAAH6nbxM=")</f>
        <v>#REF!</v>
      </c>
      <c r="U96" t="e">
        <f>AND(#REF!,"AAAAAH6nbxQ=")</f>
        <v>#REF!</v>
      </c>
      <c r="V96" t="e">
        <f>AND(#REF!,"AAAAAH6nbxU=")</f>
        <v>#REF!</v>
      </c>
      <c r="W96" t="e">
        <f>AND(#REF!,"AAAAAH6nbxY=")</f>
        <v>#REF!</v>
      </c>
      <c r="X96" t="e">
        <f>AND(#REF!,"AAAAAH6nbxc=")</f>
        <v>#REF!</v>
      </c>
      <c r="Y96" t="e">
        <f>AND(#REF!,"AAAAAH6nbxg=")</f>
        <v>#REF!</v>
      </c>
      <c r="Z96" t="e">
        <f>AND(#REF!,"AAAAAH6nbxk=")</f>
        <v>#REF!</v>
      </c>
      <c r="AA96" t="e">
        <f>AND(#REF!,"AAAAAH6nbxo=")</f>
        <v>#REF!</v>
      </c>
      <c r="AB96" t="e">
        <f>AND(#REF!,"AAAAAH6nbxs=")</f>
        <v>#REF!</v>
      </c>
      <c r="AC96" t="e">
        <f>AND(#REF!,"AAAAAH6nbxw=")</f>
        <v>#REF!</v>
      </c>
      <c r="AD96" t="e">
        <f>AND(#REF!,"AAAAAH6nbx0=")</f>
        <v>#REF!</v>
      </c>
      <c r="AE96" t="e">
        <f>AND(#REF!,"AAAAAH6nbx4=")</f>
        <v>#REF!</v>
      </c>
      <c r="AF96" t="e">
        <f>AND(#REF!,"AAAAAH6nbx8=")</f>
        <v>#REF!</v>
      </c>
      <c r="AG96" t="e">
        <f>AND(#REF!,"AAAAAH6nbyA=")</f>
        <v>#REF!</v>
      </c>
      <c r="AH96" t="e">
        <f>AND(#REF!,"AAAAAH6nbyE=")</f>
        <v>#REF!</v>
      </c>
      <c r="AI96" t="e">
        <f>AND(#REF!,"AAAAAH6nbyI=")</f>
        <v>#REF!</v>
      </c>
      <c r="AJ96" t="e">
        <f>AND(#REF!,"AAAAAH6nbyM=")</f>
        <v>#REF!</v>
      </c>
      <c r="AK96" t="e">
        <f>AND(#REF!,"AAAAAH6nbyQ=")</f>
        <v>#REF!</v>
      </c>
      <c r="AL96" t="e">
        <f>AND(#REF!,"AAAAAH6nbyU=")</f>
        <v>#REF!</v>
      </c>
      <c r="AM96" t="e">
        <f>AND(#REF!,"AAAAAH6nbyY=")</f>
        <v>#REF!</v>
      </c>
      <c r="AN96" t="e">
        <f>AND(#REF!,"AAAAAH6nbyc=")</f>
        <v>#REF!</v>
      </c>
      <c r="AO96" t="e">
        <f>AND(#REF!,"AAAAAH6nbyg=")</f>
        <v>#REF!</v>
      </c>
      <c r="AP96" t="e">
        <f>AND(#REF!,"AAAAAH6nbyk=")</f>
        <v>#REF!</v>
      </c>
      <c r="AQ96" t="e">
        <f>AND(#REF!,"AAAAAH6nbyo=")</f>
        <v>#REF!</v>
      </c>
      <c r="AR96" t="e">
        <f>AND(#REF!,"AAAAAH6nbys=")</f>
        <v>#REF!</v>
      </c>
      <c r="AS96" t="e">
        <f>AND(#REF!,"AAAAAH6nbyw=")</f>
        <v>#REF!</v>
      </c>
      <c r="AT96" t="e">
        <f>AND(#REF!,"AAAAAH6nby0=")</f>
        <v>#REF!</v>
      </c>
      <c r="AU96" t="e">
        <f>AND(#REF!,"AAAAAH6nby4=")</f>
        <v>#REF!</v>
      </c>
      <c r="AV96" t="e">
        <f>AND(#REF!,"AAAAAH6nby8=")</f>
        <v>#REF!</v>
      </c>
      <c r="AW96" t="e">
        <f>AND(#REF!,"AAAAAH6nbzA=")</f>
        <v>#REF!</v>
      </c>
      <c r="AX96" t="e">
        <f>AND(#REF!,"AAAAAH6nbzE=")</f>
        <v>#REF!</v>
      </c>
      <c r="AY96" t="e">
        <f>AND(#REF!,"AAAAAH6nbzI=")</f>
        <v>#REF!</v>
      </c>
      <c r="AZ96" t="e">
        <f>AND(#REF!,"AAAAAH6nbzM=")</f>
        <v>#REF!</v>
      </c>
      <c r="BA96" t="e">
        <f>AND(#REF!,"AAAAAH6nbzQ=")</f>
        <v>#REF!</v>
      </c>
      <c r="BB96" t="e">
        <f>AND(#REF!,"AAAAAH6nbzU=")</f>
        <v>#REF!</v>
      </c>
      <c r="BC96" t="e">
        <f>AND(#REF!,"AAAAAH6nbzY=")</f>
        <v>#REF!</v>
      </c>
      <c r="BD96" t="e">
        <f>AND(#REF!,"AAAAAH6nbzc=")</f>
        <v>#REF!</v>
      </c>
      <c r="BE96" t="e">
        <f>AND(#REF!,"AAAAAH6nbzg=")</f>
        <v>#REF!</v>
      </c>
      <c r="BF96" t="e">
        <f>AND(#REF!,"AAAAAH6nbzk=")</f>
        <v>#REF!</v>
      </c>
      <c r="BG96" t="e">
        <f>AND(#REF!,"AAAAAH6nbzo=")</f>
        <v>#REF!</v>
      </c>
      <c r="BH96" t="e">
        <f>AND(#REF!,"AAAAAH6nbzs=")</f>
        <v>#REF!</v>
      </c>
      <c r="BI96" t="e">
        <f>AND(#REF!,"AAAAAH6nbzw=")</f>
        <v>#REF!</v>
      </c>
      <c r="BJ96" t="e">
        <f>AND(#REF!,"AAAAAH6nbz0=")</f>
        <v>#REF!</v>
      </c>
      <c r="BK96" t="e">
        <f>AND(#REF!,"AAAAAH6nbz4=")</f>
        <v>#REF!</v>
      </c>
      <c r="BL96" t="e">
        <f>AND(#REF!,"AAAAAH6nbz8=")</f>
        <v>#REF!</v>
      </c>
      <c r="BM96" t="e">
        <f>AND(#REF!,"AAAAAH6nb0A=")</f>
        <v>#REF!</v>
      </c>
      <c r="BN96" t="e">
        <f>AND(#REF!,"AAAAAH6nb0E=")</f>
        <v>#REF!</v>
      </c>
      <c r="BO96" t="e">
        <f>AND(#REF!,"AAAAAH6nb0I=")</f>
        <v>#REF!</v>
      </c>
      <c r="BP96" t="e">
        <f>AND(#REF!,"AAAAAH6nb0M=")</f>
        <v>#REF!</v>
      </c>
      <c r="BQ96" t="e">
        <f>AND(#REF!,"AAAAAH6nb0Q=")</f>
        <v>#REF!</v>
      </c>
      <c r="BR96" t="e">
        <f>AND(#REF!,"AAAAAH6nb0U=")</f>
        <v>#REF!</v>
      </c>
      <c r="BS96" t="e">
        <f>AND(#REF!,"AAAAAH6nb0Y=")</f>
        <v>#REF!</v>
      </c>
      <c r="BT96" t="e">
        <f>AND(#REF!,"AAAAAH6nb0c=")</f>
        <v>#REF!</v>
      </c>
      <c r="BU96" t="e">
        <f>AND(#REF!,"AAAAAH6nb0g=")</f>
        <v>#REF!</v>
      </c>
      <c r="BV96" t="e">
        <f>AND(#REF!,"AAAAAH6nb0k=")</f>
        <v>#REF!</v>
      </c>
      <c r="BW96" t="e">
        <f>AND(#REF!,"AAAAAH6nb0o=")</f>
        <v>#REF!</v>
      </c>
      <c r="BX96" t="e">
        <f>AND(#REF!,"AAAAAH6nb0s=")</f>
        <v>#REF!</v>
      </c>
      <c r="BY96" t="e">
        <f>AND(#REF!,"AAAAAH6nb0w=")</f>
        <v>#REF!</v>
      </c>
      <c r="BZ96" t="e">
        <f>AND(#REF!,"AAAAAH6nb00=")</f>
        <v>#REF!</v>
      </c>
      <c r="CA96" t="e">
        <f>AND(#REF!,"AAAAAH6nb04=")</f>
        <v>#REF!</v>
      </c>
      <c r="CB96" t="e">
        <f>AND(#REF!,"AAAAAH6nb08=")</f>
        <v>#REF!</v>
      </c>
      <c r="CC96" t="e">
        <f>AND(#REF!,"AAAAAH6nb1A=")</f>
        <v>#REF!</v>
      </c>
      <c r="CD96" t="e">
        <f>AND(#REF!,"AAAAAH6nb1E=")</f>
        <v>#REF!</v>
      </c>
      <c r="CE96" t="e">
        <f>AND(#REF!,"AAAAAH6nb1I=")</f>
        <v>#REF!</v>
      </c>
      <c r="CF96" t="e">
        <f>AND(#REF!,"AAAAAH6nb1M=")</f>
        <v>#REF!</v>
      </c>
      <c r="CG96" t="e">
        <f>AND(#REF!,"AAAAAH6nb1Q=")</f>
        <v>#REF!</v>
      </c>
      <c r="CH96" t="e">
        <f>AND(#REF!,"AAAAAH6nb1U=")</f>
        <v>#REF!</v>
      </c>
      <c r="CI96" t="e">
        <f>AND(#REF!,"AAAAAH6nb1Y=")</f>
        <v>#REF!</v>
      </c>
      <c r="CJ96" t="e">
        <f>AND(#REF!,"AAAAAH6nb1c=")</f>
        <v>#REF!</v>
      </c>
      <c r="CK96" t="e">
        <f>AND(#REF!,"AAAAAH6nb1g=")</f>
        <v>#REF!</v>
      </c>
      <c r="CL96" t="e">
        <f>AND(#REF!,"AAAAAH6nb1k=")</f>
        <v>#REF!</v>
      </c>
      <c r="CM96" t="e">
        <f>AND(#REF!,"AAAAAH6nb1o=")</f>
        <v>#REF!</v>
      </c>
      <c r="CN96" t="e">
        <f>AND(#REF!,"AAAAAH6nb1s=")</f>
        <v>#REF!</v>
      </c>
      <c r="CO96" t="e">
        <f>AND(#REF!,"AAAAAH6nb1w=")</f>
        <v>#REF!</v>
      </c>
      <c r="CP96" t="e">
        <f>AND(#REF!,"AAAAAH6nb10=")</f>
        <v>#REF!</v>
      </c>
      <c r="CQ96" t="e">
        <f>AND(#REF!,"AAAAAH6nb14=")</f>
        <v>#REF!</v>
      </c>
      <c r="CR96" t="e">
        <f>AND(#REF!,"AAAAAH6nb18=")</f>
        <v>#REF!</v>
      </c>
      <c r="CS96" t="e">
        <f>AND(#REF!,"AAAAAH6nb2A=")</f>
        <v>#REF!</v>
      </c>
      <c r="CT96" t="e">
        <f>AND(#REF!,"AAAAAH6nb2E=")</f>
        <v>#REF!</v>
      </c>
      <c r="CU96" t="e">
        <f>AND(#REF!,"AAAAAH6nb2I=")</f>
        <v>#REF!</v>
      </c>
      <c r="CV96" t="e">
        <f>AND(#REF!,"AAAAAH6nb2M=")</f>
        <v>#REF!</v>
      </c>
      <c r="CW96" t="e">
        <f>AND(#REF!,"AAAAAH6nb2Q=")</f>
        <v>#REF!</v>
      </c>
      <c r="CX96" t="e">
        <f>AND(#REF!,"AAAAAH6nb2U=")</f>
        <v>#REF!</v>
      </c>
      <c r="CY96" t="e">
        <f>AND(#REF!,"AAAAAH6nb2Y=")</f>
        <v>#REF!</v>
      </c>
      <c r="CZ96" t="e">
        <f>AND(#REF!,"AAAAAH6nb2c=")</f>
        <v>#REF!</v>
      </c>
      <c r="DA96" t="e">
        <f>AND(#REF!,"AAAAAH6nb2g=")</f>
        <v>#REF!</v>
      </c>
      <c r="DB96" t="e">
        <f>AND(#REF!,"AAAAAH6nb2k=")</f>
        <v>#REF!</v>
      </c>
      <c r="DC96" t="e">
        <f>AND(#REF!,"AAAAAH6nb2o=")</f>
        <v>#REF!</v>
      </c>
      <c r="DD96" t="e">
        <f>AND(#REF!,"AAAAAH6nb2s=")</f>
        <v>#REF!</v>
      </c>
      <c r="DE96" t="e">
        <f>AND(#REF!,"AAAAAH6nb2w=")</f>
        <v>#REF!</v>
      </c>
      <c r="DF96" t="e">
        <f>AND(#REF!,"AAAAAH6nb20=")</f>
        <v>#REF!</v>
      </c>
      <c r="DG96" t="e">
        <f>AND(#REF!,"AAAAAH6nb24=")</f>
        <v>#REF!</v>
      </c>
      <c r="DH96" t="e">
        <f>AND(#REF!,"AAAAAH6nb28=")</f>
        <v>#REF!</v>
      </c>
      <c r="DI96" t="e">
        <f>AND(#REF!,"AAAAAH6nb3A=")</f>
        <v>#REF!</v>
      </c>
      <c r="DJ96" t="e">
        <f>AND(#REF!,"AAAAAH6nb3E=")</f>
        <v>#REF!</v>
      </c>
      <c r="DK96" t="e">
        <f>AND(#REF!,"AAAAAH6nb3I=")</f>
        <v>#REF!</v>
      </c>
      <c r="DL96" t="e">
        <f>AND(#REF!,"AAAAAH6nb3M=")</f>
        <v>#REF!</v>
      </c>
      <c r="DM96" t="e">
        <f>AND(#REF!,"AAAAAH6nb3Q=")</f>
        <v>#REF!</v>
      </c>
      <c r="DN96" t="e">
        <f>AND(#REF!,"AAAAAH6nb3U=")</f>
        <v>#REF!</v>
      </c>
      <c r="DO96" t="e">
        <f>AND(#REF!,"AAAAAH6nb3Y=")</f>
        <v>#REF!</v>
      </c>
      <c r="DP96" t="e">
        <f>AND(#REF!,"AAAAAH6nb3c=")</f>
        <v>#REF!</v>
      </c>
      <c r="DQ96" t="e">
        <f>AND(#REF!,"AAAAAH6nb3g=")</f>
        <v>#REF!</v>
      </c>
      <c r="DR96" t="e">
        <f>AND(#REF!,"AAAAAH6nb3k=")</f>
        <v>#REF!</v>
      </c>
      <c r="DS96" t="e">
        <f>AND(#REF!,"AAAAAH6nb3o=")</f>
        <v>#REF!</v>
      </c>
      <c r="DT96" t="e">
        <f>AND(#REF!,"AAAAAH6nb3s=")</f>
        <v>#REF!</v>
      </c>
      <c r="DU96" t="e">
        <f>AND(#REF!,"AAAAAH6nb3w=")</f>
        <v>#REF!</v>
      </c>
      <c r="DV96" t="e">
        <f>AND(#REF!,"AAAAAH6nb30=")</f>
        <v>#REF!</v>
      </c>
      <c r="DW96" t="e">
        <f>AND(#REF!,"AAAAAH6nb34=")</f>
        <v>#REF!</v>
      </c>
      <c r="DX96" t="e">
        <f>AND(#REF!,"AAAAAH6nb38=")</f>
        <v>#REF!</v>
      </c>
      <c r="DY96" t="e">
        <f>AND(#REF!,"AAAAAH6nb4A=")</f>
        <v>#REF!</v>
      </c>
      <c r="DZ96" t="e">
        <f>AND(#REF!,"AAAAAH6nb4E=")</f>
        <v>#REF!</v>
      </c>
      <c r="EA96" t="e">
        <f>AND(#REF!,"AAAAAH6nb4I=")</f>
        <v>#REF!</v>
      </c>
      <c r="EB96" t="e">
        <f>AND(#REF!,"AAAAAH6nb4M=")</f>
        <v>#REF!</v>
      </c>
      <c r="EC96" t="e">
        <f>IF(#REF!,"AAAAAH6nb4Q=",0)</f>
        <v>#REF!</v>
      </c>
      <c r="ED96" t="e">
        <f>AND(#REF!,"AAAAAH6nb4U=")</f>
        <v>#REF!</v>
      </c>
      <c r="EE96" t="e">
        <f>AND(#REF!,"AAAAAH6nb4Y=")</f>
        <v>#REF!</v>
      </c>
      <c r="EF96" t="e">
        <f>AND(#REF!,"AAAAAH6nb4c=")</f>
        <v>#REF!</v>
      </c>
      <c r="EG96" t="e">
        <f>AND(#REF!,"AAAAAH6nb4g=")</f>
        <v>#REF!</v>
      </c>
      <c r="EH96" t="e">
        <f>AND(#REF!,"AAAAAH6nb4k=")</f>
        <v>#REF!</v>
      </c>
      <c r="EI96" t="e">
        <f>AND(#REF!,"AAAAAH6nb4o=")</f>
        <v>#REF!</v>
      </c>
      <c r="EJ96" t="e">
        <f>AND(#REF!,"AAAAAH6nb4s=")</f>
        <v>#REF!</v>
      </c>
      <c r="EK96" t="e">
        <f>AND(#REF!,"AAAAAH6nb4w=")</f>
        <v>#REF!</v>
      </c>
      <c r="EL96" t="e">
        <f>AND(#REF!,"AAAAAH6nb40=")</f>
        <v>#REF!</v>
      </c>
      <c r="EM96" t="e">
        <f>AND(#REF!,"AAAAAH6nb44=")</f>
        <v>#REF!</v>
      </c>
      <c r="EN96" t="e">
        <f>AND(#REF!,"AAAAAH6nb48=")</f>
        <v>#REF!</v>
      </c>
      <c r="EO96" t="e">
        <f>AND(#REF!,"AAAAAH6nb5A=")</f>
        <v>#REF!</v>
      </c>
      <c r="EP96" t="e">
        <f>AND(#REF!,"AAAAAH6nb5E=")</f>
        <v>#REF!</v>
      </c>
      <c r="EQ96" t="e">
        <f>AND(#REF!,"AAAAAH6nb5I=")</f>
        <v>#REF!</v>
      </c>
      <c r="ER96" t="e">
        <f>AND(#REF!,"AAAAAH6nb5M=")</f>
        <v>#REF!</v>
      </c>
      <c r="ES96" t="e">
        <f>AND(#REF!,"AAAAAH6nb5Q=")</f>
        <v>#REF!</v>
      </c>
      <c r="ET96" t="e">
        <f>AND(#REF!,"AAAAAH6nb5U=")</f>
        <v>#REF!</v>
      </c>
      <c r="EU96" t="e">
        <f>AND(#REF!,"AAAAAH6nb5Y=")</f>
        <v>#REF!</v>
      </c>
      <c r="EV96" t="e">
        <f>AND(#REF!,"AAAAAH6nb5c=")</f>
        <v>#REF!</v>
      </c>
      <c r="EW96" t="e">
        <f>AND(#REF!,"AAAAAH6nb5g=")</f>
        <v>#REF!</v>
      </c>
      <c r="EX96" t="e">
        <f>AND(#REF!,"AAAAAH6nb5k=")</f>
        <v>#REF!</v>
      </c>
      <c r="EY96" t="e">
        <f>AND(#REF!,"AAAAAH6nb5o=")</f>
        <v>#REF!</v>
      </c>
      <c r="EZ96" t="e">
        <f>AND(#REF!,"AAAAAH6nb5s=")</f>
        <v>#REF!</v>
      </c>
      <c r="FA96" t="e">
        <f>AND(#REF!,"AAAAAH6nb5w=")</f>
        <v>#REF!</v>
      </c>
      <c r="FB96" t="e">
        <f>AND(#REF!,"AAAAAH6nb50=")</f>
        <v>#REF!</v>
      </c>
      <c r="FC96" t="e">
        <f>AND(#REF!,"AAAAAH6nb54=")</f>
        <v>#REF!</v>
      </c>
      <c r="FD96" t="e">
        <f>AND(#REF!,"AAAAAH6nb58=")</f>
        <v>#REF!</v>
      </c>
      <c r="FE96" t="e">
        <f>AND(#REF!,"AAAAAH6nb6A=")</f>
        <v>#REF!</v>
      </c>
      <c r="FF96" t="e">
        <f>AND(#REF!,"AAAAAH6nb6E=")</f>
        <v>#REF!</v>
      </c>
      <c r="FG96" t="e">
        <f>AND(#REF!,"AAAAAH6nb6I=")</f>
        <v>#REF!</v>
      </c>
      <c r="FH96" t="e">
        <f>AND(#REF!,"AAAAAH6nb6M=")</f>
        <v>#REF!</v>
      </c>
      <c r="FI96" t="e">
        <f>AND(#REF!,"AAAAAH6nb6Q=")</f>
        <v>#REF!</v>
      </c>
      <c r="FJ96" t="e">
        <f>AND(#REF!,"AAAAAH6nb6U=")</f>
        <v>#REF!</v>
      </c>
      <c r="FK96" t="e">
        <f>AND(#REF!,"AAAAAH6nb6Y=")</f>
        <v>#REF!</v>
      </c>
      <c r="FL96" t="e">
        <f>AND(#REF!,"AAAAAH6nb6c=")</f>
        <v>#REF!</v>
      </c>
      <c r="FM96" t="e">
        <f>AND(#REF!,"AAAAAH6nb6g=")</f>
        <v>#REF!</v>
      </c>
      <c r="FN96" t="e">
        <f>AND(#REF!,"AAAAAH6nb6k=")</f>
        <v>#REF!</v>
      </c>
      <c r="FO96" t="e">
        <f>AND(#REF!,"AAAAAH6nb6o=")</f>
        <v>#REF!</v>
      </c>
      <c r="FP96" t="e">
        <f>AND(#REF!,"AAAAAH6nb6s=")</f>
        <v>#REF!</v>
      </c>
      <c r="FQ96" t="e">
        <f>AND(#REF!,"AAAAAH6nb6w=")</f>
        <v>#REF!</v>
      </c>
      <c r="FR96" t="e">
        <f>AND(#REF!,"AAAAAH6nb60=")</f>
        <v>#REF!</v>
      </c>
      <c r="FS96" t="e">
        <f>AND(#REF!,"AAAAAH6nb64=")</f>
        <v>#REF!</v>
      </c>
      <c r="FT96" t="e">
        <f>AND(#REF!,"AAAAAH6nb68=")</f>
        <v>#REF!</v>
      </c>
      <c r="FU96" t="e">
        <f>AND(#REF!,"AAAAAH6nb7A=")</f>
        <v>#REF!</v>
      </c>
      <c r="FV96" t="e">
        <f>AND(#REF!,"AAAAAH6nb7E=")</f>
        <v>#REF!</v>
      </c>
      <c r="FW96" t="e">
        <f>AND(#REF!,"AAAAAH6nb7I=")</f>
        <v>#REF!</v>
      </c>
      <c r="FX96" t="e">
        <f>AND(#REF!,"AAAAAH6nb7M=")</f>
        <v>#REF!</v>
      </c>
      <c r="FY96" t="e">
        <f>AND(#REF!,"AAAAAH6nb7Q=")</f>
        <v>#REF!</v>
      </c>
      <c r="FZ96" t="e">
        <f>AND(#REF!,"AAAAAH6nb7U=")</f>
        <v>#REF!</v>
      </c>
      <c r="GA96" t="e">
        <f>AND(#REF!,"AAAAAH6nb7Y=")</f>
        <v>#REF!</v>
      </c>
      <c r="GB96" t="e">
        <f>AND(#REF!,"AAAAAH6nb7c=")</f>
        <v>#REF!</v>
      </c>
      <c r="GC96" t="e">
        <f>AND(#REF!,"AAAAAH6nb7g=")</f>
        <v>#REF!</v>
      </c>
      <c r="GD96" t="e">
        <f>AND(#REF!,"AAAAAH6nb7k=")</f>
        <v>#REF!</v>
      </c>
      <c r="GE96" t="e">
        <f>AND(#REF!,"AAAAAH6nb7o=")</f>
        <v>#REF!</v>
      </c>
      <c r="GF96" t="e">
        <f>AND(#REF!,"AAAAAH6nb7s=")</f>
        <v>#REF!</v>
      </c>
      <c r="GG96" t="e">
        <f>AND(#REF!,"AAAAAH6nb7w=")</f>
        <v>#REF!</v>
      </c>
      <c r="GH96" t="e">
        <f>AND(#REF!,"AAAAAH6nb70=")</f>
        <v>#REF!</v>
      </c>
      <c r="GI96" t="e">
        <f>AND(#REF!,"AAAAAH6nb74=")</f>
        <v>#REF!</v>
      </c>
      <c r="GJ96" t="e">
        <f>AND(#REF!,"AAAAAH6nb78=")</f>
        <v>#REF!</v>
      </c>
      <c r="GK96" t="e">
        <f>AND(#REF!,"AAAAAH6nb8A=")</f>
        <v>#REF!</v>
      </c>
      <c r="GL96" t="e">
        <f>AND(#REF!,"AAAAAH6nb8E=")</f>
        <v>#REF!</v>
      </c>
      <c r="GM96" t="e">
        <f>AND(#REF!,"AAAAAH6nb8I=")</f>
        <v>#REF!</v>
      </c>
      <c r="GN96" t="e">
        <f>AND(#REF!,"AAAAAH6nb8M=")</f>
        <v>#REF!</v>
      </c>
      <c r="GO96" t="e">
        <f>AND(#REF!,"AAAAAH6nb8Q=")</f>
        <v>#REF!</v>
      </c>
      <c r="GP96" t="e">
        <f>AND(#REF!,"AAAAAH6nb8U=")</f>
        <v>#REF!</v>
      </c>
      <c r="GQ96" t="e">
        <f>AND(#REF!,"AAAAAH6nb8Y=")</f>
        <v>#REF!</v>
      </c>
      <c r="GR96" t="e">
        <f>AND(#REF!,"AAAAAH6nb8c=")</f>
        <v>#REF!</v>
      </c>
      <c r="GS96" t="e">
        <f>AND(#REF!,"AAAAAH6nb8g=")</f>
        <v>#REF!</v>
      </c>
      <c r="GT96" t="e">
        <f>AND(#REF!,"AAAAAH6nb8k=")</f>
        <v>#REF!</v>
      </c>
      <c r="GU96" t="e">
        <f>AND(#REF!,"AAAAAH6nb8o=")</f>
        <v>#REF!</v>
      </c>
      <c r="GV96" t="e">
        <f>AND(#REF!,"AAAAAH6nb8s=")</f>
        <v>#REF!</v>
      </c>
      <c r="GW96" t="e">
        <f>AND(#REF!,"AAAAAH6nb8w=")</f>
        <v>#REF!</v>
      </c>
      <c r="GX96" t="e">
        <f>AND(#REF!,"AAAAAH6nb80=")</f>
        <v>#REF!</v>
      </c>
      <c r="GY96" t="e">
        <f>AND(#REF!,"AAAAAH6nb84=")</f>
        <v>#REF!</v>
      </c>
      <c r="GZ96" t="e">
        <f>AND(#REF!,"AAAAAH6nb88=")</f>
        <v>#REF!</v>
      </c>
      <c r="HA96" t="e">
        <f>AND(#REF!,"AAAAAH6nb9A=")</f>
        <v>#REF!</v>
      </c>
      <c r="HB96" t="e">
        <f>AND(#REF!,"AAAAAH6nb9E=")</f>
        <v>#REF!</v>
      </c>
      <c r="HC96" t="e">
        <f>AND(#REF!,"AAAAAH6nb9I=")</f>
        <v>#REF!</v>
      </c>
      <c r="HD96" t="e">
        <f>AND(#REF!,"AAAAAH6nb9M=")</f>
        <v>#REF!</v>
      </c>
      <c r="HE96" t="e">
        <f>AND(#REF!,"AAAAAH6nb9Q=")</f>
        <v>#REF!</v>
      </c>
      <c r="HF96" t="e">
        <f>AND(#REF!,"AAAAAH6nb9U=")</f>
        <v>#REF!</v>
      </c>
      <c r="HG96" t="e">
        <f>AND(#REF!,"AAAAAH6nb9Y=")</f>
        <v>#REF!</v>
      </c>
      <c r="HH96" t="e">
        <f>AND(#REF!,"AAAAAH6nb9c=")</f>
        <v>#REF!</v>
      </c>
      <c r="HI96" t="e">
        <f>AND(#REF!,"AAAAAH6nb9g=")</f>
        <v>#REF!</v>
      </c>
      <c r="HJ96" t="e">
        <f>AND(#REF!,"AAAAAH6nb9k=")</f>
        <v>#REF!</v>
      </c>
      <c r="HK96" t="e">
        <f>AND(#REF!,"AAAAAH6nb9o=")</f>
        <v>#REF!</v>
      </c>
      <c r="HL96" t="e">
        <f>AND(#REF!,"AAAAAH6nb9s=")</f>
        <v>#REF!</v>
      </c>
      <c r="HM96" t="e">
        <f>AND(#REF!,"AAAAAH6nb9w=")</f>
        <v>#REF!</v>
      </c>
      <c r="HN96" t="e">
        <f>AND(#REF!,"AAAAAH6nb90=")</f>
        <v>#REF!</v>
      </c>
      <c r="HO96" t="e">
        <f>AND(#REF!,"AAAAAH6nb94=")</f>
        <v>#REF!</v>
      </c>
      <c r="HP96" t="e">
        <f>AND(#REF!,"AAAAAH6nb98=")</f>
        <v>#REF!</v>
      </c>
      <c r="HQ96" t="e">
        <f>AND(#REF!,"AAAAAH6nb+A=")</f>
        <v>#REF!</v>
      </c>
      <c r="HR96" t="e">
        <f>AND(#REF!,"AAAAAH6nb+E=")</f>
        <v>#REF!</v>
      </c>
      <c r="HS96" t="e">
        <f>AND(#REF!,"AAAAAH6nb+I=")</f>
        <v>#REF!</v>
      </c>
      <c r="HT96" t="e">
        <f>AND(#REF!,"AAAAAH6nb+M=")</f>
        <v>#REF!</v>
      </c>
      <c r="HU96" t="e">
        <f>AND(#REF!,"AAAAAH6nb+Q=")</f>
        <v>#REF!</v>
      </c>
      <c r="HV96" t="e">
        <f>AND(#REF!,"AAAAAH6nb+U=")</f>
        <v>#REF!</v>
      </c>
      <c r="HW96" t="e">
        <f>AND(#REF!,"AAAAAH6nb+Y=")</f>
        <v>#REF!</v>
      </c>
      <c r="HX96" t="e">
        <f>AND(#REF!,"AAAAAH6nb+c=")</f>
        <v>#REF!</v>
      </c>
      <c r="HY96" t="e">
        <f>AND(#REF!,"AAAAAH6nb+g=")</f>
        <v>#REF!</v>
      </c>
      <c r="HZ96" t="e">
        <f>AND(#REF!,"AAAAAH6nb+k=")</f>
        <v>#REF!</v>
      </c>
      <c r="IA96" t="e">
        <f>AND(#REF!,"AAAAAH6nb+o=")</f>
        <v>#REF!</v>
      </c>
      <c r="IB96" t="e">
        <f>AND(#REF!,"AAAAAH6nb+s=")</f>
        <v>#REF!</v>
      </c>
      <c r="IC96" t="e">
        <f>AND(#REF!,"AAAAAH6nb+w=")</f>
        <v>#REF!</v>
      </c>
      <c r="ID96" t="e">
        <f>AND(#REF!,"AAAAAH6nb+0=")</f>
        <v>#REF!</v>
      </c>
      <c r="IE96" t="e">
        <f>AND(#REF!,"AAAAAH6nb+4=")</f>
        <v>#REF!</v>
      </c>
      <c r="IF96" t="e">
        <f>AND(#REF!,"AAAAAH6nb+8=")</f>
        <v>#REF!</v>
      </c>
      <c r="IG96" t="e">
        <f>AND(#REF!,"AAAAAH6nb/A=")</f>
        <v>#REF!</v>
      </c>
      <c r="IH96" t="e">
        <f>AND(#REF!,"AAAAAH6nb/E=")</f>
        <v>#REF!</v>
      </c>
      <c r="II96" t="e">
        <f>AND(#REF!,"AAAAAH6nb/I=")</f>
        <v>#REF!</v>
      </c>
      <c r="IJ96" t="e">
        <f>AND(#REF!,"AAAAAH6nb/M=")</f>
        <v>#REF!</v>
      </c>
      <c r="IK96" t="e">
        <f>AND(#REF!,"AAAAAH6nb/Q=")</f>
        <v>#REF!</v>
      </c>
      <c r="IL96" t="e">
        <f>AND(#REF!,"AAAAAH6nb/U=")</f>
        <v>#REF!</v>
      </c>
      <c r="IM96" t="e">
        <f>AND(#REF!,"AAAAAH6nb/Y=")</f>
        <v>#REF!</v>
      </c>
      <c r="IN96" t="e">
        <f>AND(#REF!,"AAAAAH6nb/c=")</f>
        <v>#REF!</v>
      </c>
      <c r="IO96" t="e">
        <f>AND(#REF!,"AAAAAH6nb/g=")</f>
        <v>#REF!</v>
      </c>
      <c r="IP96" t="e">
        <f>AND(#REF!,"AAAAAH6nb/k=")</f>
        <v>#REF!</v>
      </c>
      <c r="IQ96" t="e">
        <f>AND(#REF!,"AAAAAH6nb/o=")</f>
        <v>#REF!</v>
      </c>
      <c r="IR96" t="e">
        <f>AND(#REF!,"AAAAAH6nb/s=")</f>
        <v>#REF!</v>
      </c>
      <c r="IS96" t="e">
        <f>AND(#REF!,"AAAAAH6nb/w=")</f>
        <v>#REF!</v>
      </c>
      <c r="IT96" t="e">
        <f>AND(#REF!,"AAAAAH6nb/0=")</f>
        <v>#REF!</v>
      </c>
      <c r="IU96" t="e">
        <f>AND(#REF!,"AAAAAH6nb/4=")</f>
        <v>#REF!</v>
      </c>
      <c r="IV96" t="e">
        <f>AND(#REF!,"AAAAAH6nb/8=")</f>
        <v>#REF!</v>
      </c>
    </row>
    <row r="97" spans="1:256" x14ac:dyDescent="0.2">
      <c r="A97" t="e">
        <f>AND(#REF!,"AAAAAAXrdwA=")</f>
        <v>#REF!</v>
      </c>
      <c r="B97" t="e">
        <f>AND(#REF!,"AAAAAAXrdwE=")</f>
        <v>#REF!</v>
      </c>
      <c r="C97" t="e">
        <f>AND(#REF!,"AAAAAAXrdwI=")</f>
        <v>#REF!</v>
      </c>
      <c r="D97" t="e">
        <f>AND(#REF!,"AAAAAAXrdwM=")</f>
        <v>#REF!</v>
      </c>
      <c r="E97" t="e">
        <f>AND(#REF!,"AAAAAAXrdwQ=")</f>
        <v>#REF!</v>
      </c>
      <c r="F97" t="e">
        <f>AND(#REF!,"AAAAAAXrdwU=")</f>
        <v>#REF!</v>
      </c>
      <c r="G97" t="e">
        <f>AND(#REF!,"AAAAAAXrdwY=")</f>
        <v>#REF!</v>
      </c>
      <c r="H97" t="e">
        <f>AND(#REF!,"AAAAAAXrdwc=")</f>
        <v>#REF!</v>
      </c>
      <c r="I97" t="e">
        <f>AND(#REF!,"AAAAAAXrdwg=")</f>
        <v>#REF!</v>
      </c>
      <c r="J97" t="e">
        <f>AND(#REF!,"AAAAAAXrdwk=")</f>
        <v>#REF!</v>
      </c>
      <c r="K97" t="e">
        <f>AND(#REF!,"AAAAAAXrdwo=")</f>
        <v>#REF!</v>
      </c>
      <c r="L97" t="e">
        <f>AND(#REF!,"AAAAAAXrdws=")</f>
        <v>#REF!</v>
      </c>
      <c r="M97" t="e">
        <f>AND(#REF!,"AAAAAAXrdww=")</f>
        <v>#REF!</v>
      </c>
      <c r="N97" t="e">
        <f>AND(#REF!,"AAAAAAXrdw0=")</f>
        <v>#REF!</v>
      </c>
      <c r="O97" t="e">
        <f>AND(#REF!,"AAAAAAXrdw4=")</f>
        <v>#REF!</v>
      </c>
      <c r="P97" t="e">
        <f>AND(#REF!,"AAAAAAXrdw8=")</f>
        <v>#REF!</v>
      </c>
      <c r="Q97" t="e">
        <f>AND(#REF!,"AAAAAAXrdxA=")</f>
        <v>#REF!</v>
      </c>
      <c r="R97" t="e">
        <f>AND(#REF!,"AAAAAAXrdxE=")</f>
        <v>#REF!</v>
      </c>
      <c r="S97" t="e">
        <f>AND(#REF!,"AAAAAAXrdxI=")</f>
        <v>#REF!</v>
      </c>
      <c r="T97" t="e">
        <f>AND(#REF!,"AAAAAAXrdxM=")</f>
        <v>#REF!</v>
      </c>
      <c r="U97" t="e">
        <f>AND(#REF!,"AAAAAAXrdxQ=")</f>
        <v>#REF!</v>
      </c>
      <c r="V97" t="e">
        <f>AND(#REF!,"AAAAAAXrdxU=")</f>
        <v>#REF!</v>
      </c>
      <c r="W97" t="e">
        <f>AND(#REF!,"AAAAAAXrdxY=")</f>
        <v>#REF!</v>
      </c>
      <c r="X97" t="e">
        <f>AND(#REF!,"AAAAAAXrdxc=")</f>
        <v>#REF!</v>
      </c>
      <c r="Y97" t="e">
        <f>AND(#REF!,"AAAAAAXrdxg=")</f>
        <v>#REF!</v>
      </c>
      <c r="Z97" t="e">
        <f>AND(#REF!,"AAAAAAXrdxk=")</f>
        <v>#REF!</v>
      </c>
      <c r="AA97" t="e">
        <f>AND(#REF!,"AAAAAAXrdxo=")</f>
        <v>#REF!</v>
      </c>
      <c r="AB97" t="e">
        <f>AND(#REF!,"AAAAAAXrdxs=")</f>
        <v>#REF!</v>
      </c>
      <c r="AC97" t="e">
        <f>AND(#REF!,"AAAAAAXrdxw=")</f>
        <v>#REF!</v>
      </c>
      <c r="AD97" t="e">
        <f>AND(#REF!,"AAAAAAXrdx0=")</f>
        <v>#REF!</v>
      </c>
      <c r="AE97" t="e">
        <f>AND(#REF!,"AAAAAAXrdx4=")</f>
        <v>#REF!</v>
      </c>
      <c r="AF97" t="e">
        <f>AND(#REF!,"AAAAAAXrdx8=")</f>
        <v>#REF!</v>
      </c>
      <c r="AG97" t="e">
        <f>AND(#REF!,"AAAAAAXrdyA=")</f>
        <v>#REF!</v>
      </c>
      <c r="AH97" t="e">
        <f>AND(#REF!,"AAAAAAXrdyE=")</f>
        <v>#REF!</v>
      </c>
      <c r="AI97" t="e">
        <f>AND(#REF!,"AAAAAAXrdyI=")</f>
        <v>#REF!</v>
      </c>
      <c r="AJ97" t="e">
        <f>AND(#REF!,"AAAAAAXrdyM=")</f>
        <v>#REF!</v>
      </c>
      <c r="AK97" t="e">
        <f>AND(#REF!,"AAAAAAXrdyQ=")</f>
        <v>#REF!</v>
      </c>
      <c r="AL97" t="e">
        <f>AND(#REF!,"AAAAAAXrdyU=")</f>
        <v>#REF!</v>
      </c>
      <c r="AM97" t="e">
        <f>AND(#REF!,"AAAAAAXrdyY=")</f>
        <v>#REF!</v>
      </c>
      <c r="AN97" t="e">
        <f>AND(#REF!,"AAAAAAXrdyc=")</f>
        <v>#REF!</v>
      </c>
      <c r="AO97" t="e">
        <f>AND(#REF!,"AAAAAAXrdyg=")</f>
        <v>#REF!</v>
      </c>
      <c r="AP97" t="e">
        <f>AND(#REF!,"AAAAAAXrdyk=")</f>
        <v>#REF!</v>
      </c>
      <c r="AQ97" t="e">
        <f>AND(#REF!,"AAAAAAXrdyo=")</f>
        <v>#REF!</v>
      </c>
      <c r="AR97" t="e">
        <f>AND(#REF!,"AAAAAAXrdys=")</f>
        <v>#REF!</v>
      </c>
      <c r="AS97" t="e">
        <f>AND(#REF!,"AAAAAAXrdyw=")</f>
        <v>#REF!</v>
      </c>
      <c r="AT97" t="e">
        <f>AND(#REF!,"AAAAAAXrdy0=")</f>
        <v>#REF!</v>
      </c>
      <c r="AU97" t="e">
        <f>AND(#REF!,"AAAAAAXrdy4=")</f>
        <v>#REF!</v>
      </c>
      <c r="AV97" t="e">
        <f>AND(#REF!,"AAAAAAXrdy8=")</f>
        <v>#REF!</v>
      </c>
      <c r="AW97" t="e">
        <f>AND(#REF!,"AAAAAAXrdzA=")</f>
        <v>#REF!</v>
      </c>
      <c r="AX97" t="e">
        <f>AND(#REF!,"AAAAAAXrdzE=")</f>
        <v>#REF!</v>
      </c>
      <c r="AY97" t="e">
        <f>AND(#REF!,"AAAAAAXrdzI=")</f>
        <v>#REF!</v>
      </c>
      <c r="AZ97" t="e">
        <f>AND(#REF!,"AAAAAAXrdzM=")</f>
        <v>#REF!</v>
      </c>
      <c r="BA97" t="e">
        <f>AND(#REF!,"AAAAAAXrdzQ=")</f>
        <v>#REF!</v>
      </c>
      <c r="BB97" t="e">
        <f>AND(#REF!,"AAAAAAXrdzU=")</f>
        <v>#REF!</v>
      </c>
      <c r="BC97" t="e">
        <f>AND(#REF!,"AAAAAAXrdzY=")</f>
        <v>#REF!</v>
      </c>
      <c r="BD97" t="e">
        <f>AND(#REF!,"AAAAAAXrdzc=")</f>
        <v>#REF!</v>
      </c>
      <c r="BE97" t="e">
        <f>AND(#REF!,"AAAAAAXrdzg=")</f>
        <v>#REF!</v>
      </c>
      <c r="BF97" t="e">
        <f>IF(#REF!,"AAAAAAXrdzk=",0)</f>
        <v>#REF!</v>
      </c>
      <c r="BG97" t="e">
        <f>AND(#REF!,"AAAAAAXrdzo=")</f>
        <v>#REF!</v>
      </c>
      <c r="BH97" t="e">
        <f>AND(#REF!,"AAAAAAXrdzs=")</f>
        <v>#REF!</v>
      </c>
      <c r="BI97" t="e">
        <f>AND(#REF!,"AAAAAAXrdzw=")</f>
        <v>#REF!</v>
      </c>
      <c r="BJ97" t="e">
        <f>AND(#REF!,"AAAAAAXrdz0=")</f>
        <v>#REF!</v>
      </c>
      <c r="BK97" t="e">
        <f>AND(#REF!,"AAAAAAXrdz4=")</f>
        <v>#REF!</v>
      </c>
      <c r="BL97" t="e">
        <f>AND(#REF!,"AAAAAAXrdz8=")</f>
        <v>#REF!</v>
      </c>
      <c r="BM97" t="e">
        <f>AND(#REF!,"AAAAAAXrd0A=")</f>
        <v>#REF!</v>
      </c>
      <c r="BN97" t="e">
        <f>AND(#REF!,"AAAAAAXrd0E=")</f>
        <v>#REF!</v>
      </c>
      <c r="BO97" t="e">
        <f>AND(#REF!,"AAAAAAXrd0I=")</f>
        <v>#REF!</v>
      </c>
      <c r="BP97" t="e">
        <f>AND(#REF!,"AAAAAAXrd0M=")</f>
        <v>#REF!</v>
      </c>
      <c r="BQ97" t="e">
        <f>AND(#REF!,"AAAAAAXrd0Q=")</f>
        <v>#REF!</v>
      </c>
      <c r="BR97" t="e">
        <f>AND(#REF!,"AAAAAAXrd0U=")</f>
        <v>#REF!</v>
      </c>
      <c r="BS97" t="e">
        <f>AND(#REF!,"AAAAAAXrd0Y=")</f>
        <v>#REF!</v>
      </c>
      <c r="BT97" t="e">
        <f>AND(#REF!,"AAAAAAXrd0c=")</f>
        <v>#REF!</v>
      </c>
      <c r="BU97" t="e">
        <f>AND(#REF!,"AAAAAAXrd0g=")</f>
        <v>#REF!</v>
      </c>
      <c r="BV97" t="e">
        <f>AND(#REF!,"AAAAAAXrd0k=")</f>
        <v>#REF!</v>
      </c>
      <c r="BW97" t="e">
        <f>AND(#REF!,"AAAAAAXrd0o=")</f>
        <v>#REF!</v>
      </c>
      <c r="BX97" t="e">
        <f>AND(#REF!,"AAAAAAXrd0s=")</f>
        <v>#REF!</v>
      </c>
      <c r="BY97" t="e">
        <f>AND(#REF!,"AAAAAAXrd0w=")</f>
        <v>#REF!</v>
      </c>
      <c r="BZ97" t="e">
        <f>AND(#REF!,"AAAAAAXrd00=")</f>
        <v>#REF!</v>
      </c>
      <c r="CA97" t="e">
        <f>AND(#REF!,"AAAAAAXrd04=")</f>
        <v>#REF!</v>
      </c>
      <c r="CB97" t="e">
        <f>AND(#REF!,"AAAAAAXrd08=")</f>
        <v>#REF!</v>
      </c>
      <c r="CC97" t="e">
        <f>AND(#REF!,"AAAAAAXrd1A=")</f>
        <v>#REF!</v>
      </c>
      <c r="CD97" t="e">
        <f>AND(#REF!,"AAAAAAXrd1E=")</f>
        <v>#REF!</v>
      </c>
      <c r="CE97" t="e">
        <f>AND(#REF!,"AAAAAAXrd1I=")</f>
        <v>#REF!</v>
      </c>
      <c r="CF97" t="e">
        <f>AND(#REF!,"AAAAAAXrd1M=")</f>
        <v>#REF!</v>
      </c>
      <c r="CG97" t="e">
        <f>AND(#REF!,"AAAAAAXrd1Q=")</f>
        <v>#REF!</v>
      </c>
      <c r="CH97" t="e">
        <f>AND(#REF!,"AAAAAAXrd1U=")</f>
        <v>#REF!</v>
      </c>
      <c r="CI97" t="e">
        <f>AND(#REF!,"AAAAAAXrd1Y=")</f>
        <v>#REF!</v>
      </c>
      <c r="CJ97" t="e">
        <f>AND(#REF!,"AAAAAAXrd1c=")</f>
        <v>#REF!</v>
      </c>
      <c r="CK97" t="e">
        <f>AND(#REF!,"AAAAAAXrd1g=")</f>
        <v>#REF!</v>
      </c>
      <c r="CL97" t="e">
        <f>AND(#REF!,"AAAAAAXrd1k=")</f>
        <v>#REF!</v>
      </c>
      <c r="CM97" t="e">
        <f>AND(#REF!,"AAAAAAXrd1o=")</f>
        <v>#REF!</v>
      </c>
      <c r="CN97" t="e">
        <f>AND(#REF!,"AAAAAAXrd1s=")</f>
        <v>#REF!</v>
      </c>
      <c r="CO97" t="e">
        <f>AND(#REF!,"AAAAAAXrd1w=")</f>
        <v>#REF!</v>
      </c>
      <c r="CP97" t="e">
        <f>AND(#REF!,"AAAAAAXrd10=")</f>
        <v>#REF!</v>
      </c>
      <c r="CQ97" t="e">
        <f>AND(#REF!,"AAAAAAXrd14=")</f>
        <v>#REF!</v>
      </c>
      <c r="CR97" t="e">
        <f>AND(#REF!,"AAAAAAXrd18=")</f>
        <v>#REF!</v>
      </c>
      <c r="CS97" t="e">
        <f>AND(#REF!,"AAAAAAXrd2A=")</f>
        <v>#REF!</v>
      </c>
      <c r="CT97" t="e">
        <f>AND(#REF!,"AAAAAAXrd2E=")</f>
        <v>#REF!</v>
      </c>
      <c r="CU97" t="e">
        <f>AND(#REF!,"AAAAAAXrd2I=")</f>
        <v>#REF!</v>
      </c>
      <c r="CV97" t="e">
        <f>AND(#REF!,"AAAAAAXrd2M=")</f>
        <v>#REF!</v>
      </c>
      <c r="CW97" t="e">
        <f>AND(#REF!,"AAAAAAXrd2Q=")</f>
        <v>#REF!</v>
      </c>
      <c r="CX97" t="e">
        <f>AND(#REF!,"AAAAAAXrd2U=")</f>
        <v>#REF!</v>
      </c>
      <c r="CY97" t="e">
        <f>AND(#REF!,"AAAAAAXrd2Y=")</f>
        <v>#REF!</v>
      </c>
      <c r="CZ97" t="e">
        <f>AND(#REF!,"AAAAAAXrd2c=")</f>
        <v>#REF!</v>
      </c>
      <c r="DA97" t="e">
        <f>AND(#REF!,"AAAAAAXrd2g=")</f>
        <v>#REF!</v>
      </c>
      <c r="DB97" t="e">
        <f>AND(#REF!,"AAAAAAXrd2k=")</f>
        <v>#REF!</v>
      </c>
      <c r="DC97" t="e">
        <f>AND(#REF!,"AAAAAAXrd2o=")</f>
        <v>#REF!</v>
      </c>
      <c r="DD97" t="e">
        <f>AND(#REF!,"AAAAAAXrd2s=")</f>
        <v>#REF!</v>
      </c>
      <c r="DE97" t="e">
        <f>AND(#REF!,"AAAAAAXrd2w=")</f>
        <v>#REF!</v>
      </c>
      <c r="DF97" t="e">
        <f>AND(#REF!,"AAAAAAXrd20=")</f>
        <v>#REF!</v>
      </c>
      <c r="DG97" t="e">
        <f>AND(#REF!,"AAAAAAXrd24=")</f>
        <v>#REF!</v>
      </c>
      <c r="DH97" t="e">
        <f>AND(#REF!,"AAAAAAXrd28=")</f>
        <v>#REF!</v>
      </c>
      <c r="DI97" t="e">
        <f>AND(#REF!,"AAAAAAXrd3A=")</f>
        <v>#REF!</v>
      </c>
      <c r="DJ97" t="e">
        <f>AND(#REF!,"AAAAAAXrd3E=")</f>
        <v>#REF!</v>
      </c>
      <c r="DK97" t="e">
        <f>AND(#REF!,"AAAAAAXrd3I=")</f>
        <v>#REF!</v>
      </c>
      <c r="DL97" t="e">
        <f>AND(#REF!,"AAAAAAXrd3M=")</f>
        <v>#REF!</v>
      </c>
      <c r="DM97" t="e">
        <f>AND(#REF!,"AAAAAAXrd3Q=")</f>
        <v>#REF!</v>
      </c>
      <c r="DN97" t="e">
        <f>AND(#REF!,"AAAAAAXrd3U=")</f>
        <v>#REF!</v>
      </c>
      <c r="DO97" t="e">
        <f>AND(#REF!,"AAAAAAXrd3Y=")</f>
        <v>#REF!</v>
      </c>
      <c r="DP97" t="e">
        <f>AND(#REF!,"AAAAAAXrd3c=")</f>
        <v>#REF!</v>
      </c>
      <c r="DQ97" t="e">
        <f>AND(#REF!,"AAAAAAXrd3g=")</f>
        <v>#REF!</v>
      </c>
      <c r="DR97" t="e">
        <f>AND(#REF!,"AAAAAAXrd3k=")</f>
        <v>#REF!</v>
      </c>
      <c r="DS97" t="e">
        <f>AND(#REF!,"AAAAAAXrd3o=")</f>
        <v>#REF!</v>
      </c>
      <c r="DT97" t="e">
        <f>AND(#REF!,"AAAAAAXrd3s=")</f>
        <v>#REF!</v>
      </c>
      <c r="DU97" t="e">
        <f>AND(#REF!,"AAAAAAXrd3w=")</f>
        <v>#REF!</v>
      </c>
      <c r="DV97" t="e">
        <f>AND(#REF!,"AAAAAAXrd30=")</f>
        <v>#REF!</v>
      </c>
      <c r="DW97" t="e">
        <f>AND(#REF!,"AAAAAAXrd34=")</f>
        <v>#REF!</v>
      </c>
      <c r="DX97" t="e">
        <f>AND(#REF!,"AAAAAAXrd38=")</f>
        <v>#REF!</v>
      </c>
      <c r="DY97" t="e">
        <f>AND(#REF!,"AAAAAAXrd4A=")</f>
        <v>#REF!</v>
      </c>
      <c r="DZ97" t="e">
        <f>AND(#REF!,"AAAAAAXrd4E=")</f>
        <v>#REF!</v>
      </c>
      <c r="EA97" t="e">
        <f>AND(#REF!,"AAAAAAXrd4I=")</f>
        <v>#REF!</v>
      </c>
      <c r="EB97" t="e">
        <f>AND(#REF!,"AAAAAAXrd4M=")</f>
        <v>#REF!</v>
      </c>
      <c r="EC97" t="e">
        <f>AND(#REF!,"AAAAAAXrd4Q=")</f>
        <v>#REF!</v>
      </c>
      <c r="ED97" t="e">
        <f>AND(#REF!,"AAAAAAXrd4U=")</f>
        <v>#REF!</v>
      </c>
      <c r="EE97" t="e">
        <f>AND(#REF!,"AAAAAAXrd4Y=")</f>
        <v>#REF!</v>
      </c>
      <c r="EF97" t="e">
        <f>AND(#REF!,"AAAAAAXrd4c=")</f>
        <v>#REF!</v>
      </c>
      <c r="EG97" t="e">
        <f>AND(#REF!,"AAAAAAXrd4g=")</f>
        <v>#REF!</v>
      </c>
      <c r="EH97" t="e">
        <f>AND(#REF!,"AAAAAAXrd4k=")</f>
        <v>#REF!</v>
      </c>
      <c r="EI97" t="e">
        <f>AND(#REF!,"AAAAAAXrd4o=")</f>
        <v>#REF!</v>
      </c>
      <c r="EJ97" t="e">
        <f>AND(#REF!,"AAAAAAXrd4s=")</f>
        <v>#REF!</v>
      </c>
      <c r="EK97" t="e">
        <f>AND(#REF!,"AAAAAAXrd4w=")</f>
        <v>#REF!</v>
      </c>
      <c r="EL97" t="e">
        <f>AND(#REF!,"AAAAAAXrd40=")</f>
        <v>#REF!</v>
      </c>
      <c r="EM97" t="e">
        <f>AND(#REF!,"AAAAAAXrd44=")</f>
        <v>#REF!</v>
      </c>
      <c r="EN97" t="e">
        <f>AND(#REF!,"AAAAAAXrd48=")</f>
        <v>#REF!</v>
      </c>
      <c r="EO97" t="e">
        <f>AND(#REF!,"AAAAAAXrd5A=")</f>
        <v>#REF!</v>
      </c>
      <c r="EP97" t="e">
        <f>AND(#REF!,"AAAAAAXrd5E=")</f>
        <v>#REF!</v>
      </c>
      <c r="EQ97" t="e">
        <f>AND(#REF!,"AAAAAAXrd5I=")</f>
        <v>#REF!</v>
      </c>
      <c r="ER97" t="e">
        <f>AND(#REF!,"AAAAAAXrd5M=")</f>
        <v>#REF!</v>
      </c>
      <c r="ES97" t="e">
        <f>AND(#REF!,"AAAAAAXrd5Q=")</f>
        <v>#REF!</v>
      </c>
      <c r="ET97" t="e">
        <f>AND(#REF!,"AAAAAAXrd5U=")</f>
        <v>#REF!</v>
      </c>
      <c r="EU97" t="e">
        <f>AND(#REF!,"AAAAAAXrd5Y=")</f>
        <v>#REF!</v>
      </c>
      <c r="EV97" t="e">
        <f>AND(#REF!,"AAAAAAXrd5c=")</f>
        <v>#REF!</v>
      </c>
      <c r="EW97" t="e">
        <f>AND(#REF!,"AAAAAAXrd5g=")</f>
        <v>#REF!</v>
      </c>
      <c r="EX97" t="e">
        <f>AND(#REF!,"AAAAAAXrd5k=")</f>
        <v>#REF!</v>
      </c>
      <c r="EY97" t="e">
        <f>AND(#REF!,"AAAAAAXrd5o=")</f>
        <v>#REF!</v>
      </c>
      <c r="EZ97" t="e">
        <f>AND(#REF!,"AAAAAAXrd5s=")</f>
        <v>#REF!</v>
      </c>
      <c r="FA97" t="e">
        <f>AND(#REF!,"AAAAAAXrd5w=")</f>
        <v>#REF!</v>
      </c>
      <c r="FB97" t="e">
        <f>AND(#REF!,"AAAAAAXrd50=")</f>
        <v>#REF!</v>
      </c>
      <c r="FC97" t="e">
        <f>AND(#REF!,"AAAAAAXrd54=")</f>
        <v>#REF!</v>
      </c>
      <c r="FD97" t="e">
        <f>AND(#REF!,"AAAAAAXrd58=")</f>
        <v>#REF!</v>
      </c>
      <c r="FE97" t="e">
        <f>AND(#REF!,"AAAAAAXrd6A=")</f>
        <v>#REF!</v>
      </c>
      <c r="FF97" t="e">
        <f>AND(#REF!,"AAAAAAXrd6E=")</f>
        <v>#REF!</v>
      </c>
      <c r="FG97" t="e">
        <f>AND(#REF!,"AAAAAAXrd6I=")</f>
        <v>#REF!</v>
      </c>
      <c r="FH97" t="e">
        <f>AND(#REF!,"AAAAAAXrd6M=")</f>
        <v>#REF!</v>
      </c>
      <c r="FI97" t="e">
        <f>AND(#REF!,"AAAAAAXrd6Q=")</f>
        <v>#REF!</v>
      </c>
      <c r="FJ97" t="e">
        <f>AND(#REF!,"AAAAAAXrd6U=")</f>
        <v>#REF!</v>
      </c>
      <c r="FK97" t="e">
        <f>AND(#REF!,"AAAAAAXrd6Y=")</f>
        <v>#REF!</v>
      </c>
      <c r="FL97" t="e">
        <f>AND(#REF!,"AAAAAAXrd6c=")</f>
        <v>#REF!</v>
      </c>
      <c r="FM97" t="e">
        <f>AND(#REF!,"AAAAAAXrd6g=")</f>
        <v>#REF!</v>
      </c>
      <c r="FN97" t="e">
        <f>AND(#REF!,"AAAAAAXrd6k=")</f>
        <v>#REF!</v>
      </c>
      <c r="FO97" t="e">
        <f>AND(#REF!,"AAAAAAXrd6o=")</f>
        <v>#REF!</v>
      </c>
      <c r="FP97" t="e">
        <f>AND(#REF!,"AAAAAAXrd6s=")</f>
        <v>#REF!</v>
      </c>
      <c r="FQ97" t="e">
        <f>AND(#REF!,"AAAAAAXrd6w=")</f>
        <v>#REF!</v>
      </c>
      <c r="FR97" t="e">
        <f>AND(#REF!,"AAAAAAXrd60=")</f>
        <v>#REF!</v>
      </c>
      <c r="FS97" t="e">
        <f>AND(#REF!,"AAAAAAXrd64=")</f>
        <v>#REF!</v>
      </c>
      <c r="FT97" t="e">
        <f>AND(#REF!,"AAAAAAXrd68=")</f>
        <v>#REF!</v>
      </c>
      <c r="FU97" t="e">
        <f>AND(#REF!,"AAAAAAXrd7A=")</f>
        <v>#REF!</v>
      </c>
      <c r="FV97" t="e">
        <f>AND(#REF!,"AAAAAAXrd7E=")</f>
        <v>#REF!</v>
      </c>
      <c r="FW97" t="e">
        <f>AND(#REF!,"AAAAAAXrd7I=")</f>
        <v>#REF!</v>
      </c>
      <c r="FX97" t="e">
        <f>AND(#REF!,"AAAAAAXrd7M=")</f>
        <v>#REF!</v>
      </c>
      <c r="FY97" t="e">
        <f>AND(#REF!,"AAAAAAXrd7Q=")</f>
        <v>#REF!</v>
      </c>
      <c r="FZ97" t="e">
        <f>AND(#REF!,"AAAAAAXrd7U=")</f>
        <v>#REF!</v>
      </c>
      <c r="GA97" t="e">
        <f>AND(#REF!,"AAAAAAXrd7Y=")</f>
        <v>#REF!</v>
      </c>
      <c r="GB97" t="e">
        <f>AND(#REF!,"AAAAAAXrd7c=")</f>
        <v>#REF!</v>
      </c>
      <c r="GC97" t="e">
        <f>AND(#REF!,"AAAAAAXrd7g=")</f>
        <v>#REF!</v>
      </c>
      <c r="GD97" t="e">
        <f>AND(#REF!,"AAAAAAXrd7k=")</f>
        <v>#REF!</v>
      </c>
      <c r="GE97" t="e">
        <f>AND(#REF!,"AAAAAAXrd7o=")</f>
        <v>#REF!</v>
      </c>
      <c r="GF97" t="e">
        <f>AND(#REF!,"AAAAAAXrd7s=")</f>
        <v>#REF!</v>
      </c>
      <c r="GG97" t="e">
        <f>AND(#REF!,"AAAAAAXrd7w=")</f>
        <v>#REF!</v>
      </c>
      <c r="GH97" t="e">
        <f>AND(#REF!,"AAAAAAXrd70=")</f>
        <v>#REF!</v>
      </c>
      <c r="GI97" t="e">
        <f>AND(#REF!,"AAAAAAXrd74=")</f>
        <v>#REF!</v>
      </c>
      <c r="GJ97" t="e">
        <f>AND(#REF!,"AAAAAAXrd78=")</f>
        <v>#REF!</v>
      </c>
      <c r="GK97" t="e">
        <f>AND(#REF!,"AAAAAAXrd8A=")</f>
        <v>#REF!</v>
      </c>
      <c r="GL97" t="e">
        <f>AND(#REF!,"AAAAAAXrd8E=")</f>
        <v>#REF!</v>
      </c>
      <c r="GM97" t="e">
        <f>AND(#REF!,"AAAAAAXrd8I=")</f>
        <v>#REF!</v>
      </c>
      <c r="GN97" t="e">
        <f>AND(#REF!,"AAAAAAXrd8M=")</f>
        <v>#REF!</v>
      </c>
      <c r="GO97" t="e">
        <f>AND(#REF!,"AAAAAAXrd8Q=")</f>
        <v>#REF!</v>
      </c>
      <c r="GP97" t="e">
        <f>AND(#REF!,"AAAAAAXrd8U=")</f>
        <v>#REF!</v>
      </c>
      <c r="GQ97" t="e">
        <f>AND(#REF!,"AAAAAAXrd8Y=")</f>
        <v>#REF!</v>
      </c>
      <c r="GR97" t="e">
        <f>AND(#REF!,"AAAAAAXrd8c=")</f>
        <v>#REF!</v>
      </c>
      <c r="GS97" t="e">
        <f>AND(#REF!,"AAAAAAXrd8g=")</f>
        <v>#REF!</v>
      </c>
      <c r="GT97" t="e">
        <f>AND(#REF!,"AAAAAAXrd8k=")</f>
        <v>#REF!</v>
      </c>
      <c r="GU97" t="e">
        <f>AND(#REF!,"AAAAAAXrd8o=")</f>
        <v>#REF!</v>
      </c>
      <c r="GV97" t="e">
        <f>AND(#REF!,"AAAAAAXrd8s=")</f>
        <v>#REF!</v>
      </c>
      <c r="GW97" t="e">
        <f>AND(#REF!,"AAAAAAXrd8w=")</f>
        <v>#REF!</v>
      </c>
      <c r="GX97" t="e">
        <f>AND(#REF!,"AAAAAAXrd80=")</f>
        <v>#REF!</v>
      </c>
      <c r="GY97" t="e">
        <f>AND(#REF!,"AAAAAAXrd84=")</f>
        <v>#REF!</v>
      </c>
      <c r="GZ97" t="e">
        <f>AND(#REF!,"AAAAAAXrd88=")</f>
        <v>#REF!</v>
      </c>
      <c r="HA97" t="e">
        <f>AND(#REF!,"AAAAAAXrd9A=")</f>
        <v>#REF!</v>
      </c>
      <c r="HB97" t="e">
        <f>AND(#REF!,"AAAAAAXrd9E=")</f>
        <v>#REF!</v>
      </c>
      <c r="HC97" t="e">
        <f>AND(#REF!,"AAAAAAXrd9I=")</f>
        <v>#REF!</v>
      </c>
      <c r="HD97" t="e">
        <f>AND(#REF!,"AAAAAAXrd9M=")</f>
        <v>#REF!</v>
      </c>
      <c r="HE97" t="e">
        <f>AND(#REF!,"AAAAAAXrd9Q=")</f>
        <v>#REF!</v>
      </c>
      <c r="HF97" t="e">
        <f>AND(#REF!,"AAAAAAXrd9U=")</f>
        <v>#REF!</v>
      </c>
      <c r="HG97" t="e">
        <f>AND(#REF!,"AAAAAAXrd9Y=")</f>
        <v>#REF!</v>
      </c>
      <c r="HH97" t="e">
        <f>AND(#REF!,"AAAAAAXrd9c=")</f>
        <v>#REF!</v>
      </c>
      <c r="HI97" t="e">
        <f>AND(#REF!,"AAAAAAXrd9g=")</f>
        <v>#REF!</v>
      </c>
      <c r="HJ97" t="e">
        <f>AND(#REF!,"AAAAAAXrd9k=")</f>
        <v>#REF!</v>
      </c>
      <c r="HK97" t="e">
        <f>AND(#REF!,"AAAAAAXrd9o=")</f>
        <v>#REF!</v>
      </c>
      <c r="HL97" t="e">
        <f>AND(#REF!,"AAAAAAXrd9s=")</f>
        <v>#REF!</v>
      </c>
      <c r="HM97" t="e">
        <f>AND(#REF!,"AAAAAAXrd9w=")</f>
        <v>#REF!</v>
      </c>
      <c r="HN97" t="e">
        <f>AND(#REF!,"AAAAAAXrd90=")</f>
        <v>#REF!</v>
      </c>
      <c r="HO97" t="e">
        <f>AND(#REF!,"AAAAAAXrd94=")</f>
        <v>#REF!</v>
      </c>
      <c r="HP97" t="e">
        <f>AND(#REF!,"AAAAAAXrd98=")</f>
        <v>#REF!</v>
      </c>
      <c r="HQ97" t="e">
        <f>AND(#REF!,"AAAAAAXrd+A=")</f>
        <v>#REF!</v>
      </c>
      <c r="HR97" t="e">
        <f>AND(#REF!,"AAAAAAXrd+E=")</f>
        <v>#REF!</v>
      </c>
      <c r="HS97" t="e">
        <f>AND(#REF!,"AAAAAAXrd+I=")</f>
        <v>#REF!</v>
      </c>
      <c r="HT97" t="e">
        <f>AND(#REF!,"AAAAAAXrd+M=")</f>
        <v>#REF!</v>
      </c>
      <c r="HU97" t="e">
        <f>AND(#REF!,"AAAAAAXrd+Q=")</f>
        <v>#REF!</v>
      </c>
      <c r="HV97" t="e">
        <f>AND(#REF!,"AAAAAAXrd+U=")</f>
        <v>#REF!</v>
      </c>
      <c r="HW97" t="e">
        <f>AND(#REF!,"AAAAAAXrd+Y=")</f>
        <v>#REF!</v>
      </c>
      <c r="HX97" t="e">
        <f>AND(#REF!,"AAAAAAXrd+c=")</f>
        <v>#REF!</v>
      </c>
      <c r="HY97" t="e">
        <f>AND(#REF!,"AAAAAAXrd+g=")</f>
        <v>#REF!</v>
      </c>
      <c r="HZ97" t="e">
        <f>AND(#REF!,"AAAAAAXrd+k=")</f>
        <v>#REF!</v>
      </c>
      <c r="IA97" t="e">
        <f>AND(#REF!,"AAAAAAXrd+o=")</f>
        <v>#REF!</v>
      </c>
      <c r="IB97" t="e">
        <f>AND(#REF!,"AAAAAAXrd+s=")</f>
        <v>#REF!</v>
      </c>
      <c r="IC97" t="e">
        <f>AND(#REF!,"AAAAAAXrd+w=")</f>
        <v>#REF!</v>
      </c>
      <c r="ID97" t="e">
        <f>AND(#REF!,"AAAAAAXrd+0=")</f>
        <v>#REF!</v>
      </c>
      <c r="IE97" t="e">
        <f>IF(#REF!,"AAAAAAXrd+4=",0)</f>
        <v>#REF!</v>
      </c>
      <c r="IF97" t="e">
        <f>IF(#REF!,"AAAAAAXrd+8=",0)</f>
        <v>#REF!</v>
      </c>
      <c r="IG97" t="e">
        <f>IF(#REF!,"AAAAAAXrd/A=",0)</f>
        <v>#REF!</v>
      </c>
      <c r="IH97" t="e">
        <f>IF(#REF!,"AAAAAAXrd/E=",0)</f>
        <v>#REF!</v>
      </c>
      <c r="II97" t="e">
        <f>IF(#REF!,"AAAAAAXrd/I=",0)</f>
        <v>#REF!</v>
      </c>
      <c r="IJ97" t="e">
        <f>IF(#REF!,"AAAAAAXrd/M=",0)</f>
        <v>#REF!</v>
      </c>
      <c r="IK97" t="e">
        <f>IF(#REF!,"AAAAAAXrd/Q=",0)</f>
        <v>#REF!</v>
      </c>
      <c r="IL97" t="e">
        <f>IF(#REF!,"AAAAAAXrd/U=",0)</f>
        <v>#REF!</v>
      </c>
      <c r="IM97" t="e">
        <f>IF(#REF!,"AAAAAAXrd/Y=",0)</f>
        <v>#REF!</v>
      </c>
      <c r="IN97" t="e">
        <f>IF(#REF!,"AAAAAAXrd/c=",0)</f>
        <v>#REF!</v>
      </c>
      <c r="IO97" t="e">
        <f>IF(#REF!,"AAAAAAXrd/g=",0)</f>
        <v>#REF!</v>
      </c>
      <c r="IP97" t="e">
        <f>IF(#REF!,"AAAAAAXrd/k=",0)</f>
        <v>#REF!</v>
      </c>
      <c r="IQ97" t="e">
        <f>IF(#REF!,"AAAAAAXrd/o=",0)</f>
        <v>#REF!</v>
      </c>
      <c r="IR97" t="e">
        <f>IF(#REF!,"AAAAAAXrd/s=",0)</f>
        <v>#REF!</v>
      </c>
      <c r="IS97" t="e">
        <f>IF(#REF!,"AAAAAAXrd/w=",0)</f>
        <v>#REF!</v>
      </c>
      <c r="IT97" t="e">
        <f>IF(#REF!,"AAAAAAXrd/0=",0)</f>
        <v>#REF!</v>
      </c>
      <c r="IU97" t="e">
        <f>IF(#REF!,"AAAAAAXrd/4=",0)</f>
        <v>#REF!</v>
      </c>
      <c r="IV97" t="e">
        <f>IF(#REF!,"AAAAAAXrd/8=",0)</f>
        <v>#REF!</v>
      </c>
    </row>
    <row r="98" spans="1:256" x14ac:dyDescent="0.2">
      <c r="A98" t="e">
        <f>IF(#REF!,"AAAAAHtHvwA=",0)</f>
        <v>#REF!</v>
      </c>
      <c r="B98" t="e">
        <f>IF(#REF!,"AAAAAHtHvwE=",0)</f>
        <v>#REF!</v>
      </c>
      <c r="C98" t="e">
        <f>IF(#REF!,"AAAAAHtHvwI=",0)</f>
        <v>#REF!</v>
      </c>
      <c r="D98" t="e">
        <f>IF(#REF!,"AAAAAHtHvwM=",0)</f>
        <v>#REF!</v>
      </c>
      <c r="E98" t="e">
        <f>IF(#REF!,"AAAAAHtHvwQ=",0)</f>
        <v>#REF!</v>
      </c>
      <c r="F98" t="e">
        <f>IF(#REF!,"AAAAAHtHvwU=",0)</f>
        <v>#REF!</v>
      </c>
      <c r="G98" t="e">
        <f>IF(#REF!,"AAAAAHtHvwY=",0)</f>
        <v>#REF!</v>
      </c>
      <c r="H98" t="e">
        <f>IF(#REF!,"AAAAAHtHvwc=",0)</f>
        <v>#REF!</v>
      </c>
      <c r="I98" t="e">
        <f>IF(#REF!,"AAAAAHtHvwg=",0)</f>
        <v>#REF!</v>
      </c>
      <c r="J98" t="e">
        <f>IF(#REF!,"AAAAAHtHvwk=",0)</f>
        <v>#REF!</v>
      </c>
      <c r="K98" t="e">
        <f>IF(#REF!,"AAAAAHtHvwo=",0)</f>
        <v>#REF!</v>
      </c>
      <c r="L98" t="e">
        <f>IF(#REF!,"AAAAAHtHvws=",0)</f>
        <v>#REF!</v>
      </c>
      <c r="M98" t="e">
        <f>IF(#REF!,"AAAAAHtHvww=",0)</f>
        <v>#REF!</v>
      </c>
      <c r="N98" t="e">
        <f>IF(#REF!,"AAAAAHtHvw0=",0)</f>
        <v>#REF!</v>
      </c>
      <c r="O98" t="e">
        <f>IF(#REF!,"AAAAAHtHvw4=",0)</f>
        <v>#REF!</v>
      </c>
      <c r="P98" t="e">
        <f>IF(#REF!,"AAAAAHtHvw8=",0)</f>
        <v>#REF!</v>
      </c>
      <c r="Q98" t="e">
        <f>IF(#REF!,"AAAAAHtHvxA=",0)</f>
        <v>#REF!</v>
      </c>
      <c r="R98" t="e">
        <f>IF(#REF!,"AAAAAHtHvxE=",0)</f>
        <v>#REF!</v>
      </c>
      <c r="S98" t="e">
        <f>IF(#REF!,"AAAAAHtHvxI=",0)</f>
        <v>#REF!</v>
      </c>
      <c r="T98" t="e">
        <f>IF(#REF!,"AAAAAHtHvxM=",0)</f>
        <v>#REF!</v>
      </c>
      <c r="U98" t="e">
        <f>IF(#REF!,"AAAAAHtHvxQ=",0)</f>
        <v>#REF!</v>
      </c>
      <c r="V98" t="e">
        <f>IF(#REF!,"AAAAAHtHvxU=",0)</f>
        <v>#REF!</v>
      </c>
      <c r="W98" t="e">
        <f>IF(#REF!,"AAAAAHtHvxY=",0)</f>
        <v>#REF!</v>
      </c>
      <c r="X98" t="e">
        <f>IF(#REF!,"AAAAAHtHvxc=",0)</f>
        <v>#REF!</v>
      </c>
      <c r="Y98" t="e">
        <f>IF(#REF!,"AAAAAHtHvxg=",0)</f>
        <v>#REF!</v>
      </c>
      <c r="Z98" t="e">
        <f>IF(#REF!,"AAAAAHtHvxk=",0)</f>
        <v>#REF!</v>
      </c>
      <c r="AA98" t="e">
        <f>IF(#REF!,"AAAAAHtHvxo=",0)</f>
        <v>#REF!</v>
      </c>
      <c r="AB98" t="e">
        <f>IF(#REF!,"AAAAAHtHvxs=",0)</f>
        <v>#REF!</v>
      </c>
      <c r="AC98" t="e">
        <f>IF(#REF!,"AAAAAHtHvxw=",0)</f>
        <v>#REF!</v>
      </c>
      <c r="AD98" t="e">
        <f>IF(#REF!,"AAAAAHtHvx0=",0)</f>
        <v>#REF!</v>
      </c>
      <c r="AE98" t="e">
        <f>IF(#REF!,"AAAAAHtHvx4=",0)</f>
        <v>#REF!</v>
      </c>
      <c r="AF98" t="e">
        <f>IF(#REF!,"AAAAAHtHvx8=",0)</f>
        <v>#REF!</v>
      </c>
      <c r="AG98" t="e">
        <f>IF(#REF!,"AAAAAHtHvyA=",0)</f>
        <v>#REF!</v>
      </c>
      <c r="AH98" t="e">
        <f>IF(#REF!,"AAAAAHtHvyE=",0)</f>
        <v>#REF!</v>
      </c>
      <c r="AI98" t="e">
        <f>IF(#REF!,"AAAAAHtHvyI=",0)</f>
        <v>#REF!</v>
      </c>
      <c r="AJ98" t="e">
        <f>IF(#REF!,"AAAAAHtHvyM=",0)</f>
        <v>#REF!</v>
      </c>
      <c r="AK98" t="e">
        <f>IF(#REF!,"AAAAAHtHvyQ=",0)</f>
        <v>#REF!</v>
      </c>
      <c r="AL98" t="e">
        <f>IF(#REF!,"AAAAAHtHvyU=",0)</f>
        <v>#REF!</v>
      </c>
      <c r="AM98" t="e">
        <f>IF(#REF!,"AAAAAHtHvyY=",0)</f>
        <v>#REF!</v>
      </c>
      <c r="AN98" t="e">
        <f>IF(#REF!,"AAAAAHtHvyc=",0)</f>
        <v>#REF!</v>
      </c>
      <c r="AO98" t="e">
        <f>IF(#REF!,"AAAAAHtHvyg=",0)</f>
        <v>#REF!</v>
      </c>
      <c r="AP98" t="e">
        <f>IF(#REF!,"AAAAAHtHvyk=",0)</f>
        <v>#REF!</v>
      </c>
      <c r="AQ98" t="e">
        <f>IF(#REF!,"AAAAAHtHvyo=",0)</f>
        <v>#REF!</v>
      </c>
      <c r="AR98" t="e">
        <f>IF(#REF!,"AAAAAHtHvys=",0)</f>
        <v>#REF!</v>
      </c>
      <c r="AS98" t="e">
        <f>IF(#REF!,"AAAAAHtHvyw=",0)</f>
        <v>#REF!</v>
      </c>
      <c r="AT98" t="e">
        <f>IF(#REF!,"AAAAAHtHvy0=",0)</f>
        <v>#REF!</v>
      </c>
      <c r="AU98" t="e">
        <f>IF(#REF!,"AAAAAHtHvy4=",0)</f>
        <v>#REF!</v>
      </c>
      <c r="AV98" t="e">
        <f>IF(#REF!,"AAAAAHtHvy8=",0)</f>
        <v>#REF!</v>
      </c>
      <c r="AW98" t="e">
        <f>IF(#REF!,"AAAAAHtHvzA=",0)</f>
        <v>#REF!</v>
      </c>
      <c r="AX98" t="e">
        <f>IF(#REF!,"AAAAAHtHvzE=",0)</f>
        <v>#REF!</v>
      </c>
      <c r="AY98" t="e">
        <f>IF(#REF!,"AAAAAHtHvzI=",0)</f>
        <v>#REF!</v>
      </c>
      <c r="AZ98" t="e">
        <f>IF(#REF!,"AAAAAHtHvzM=",0)</f>
        <v>#REF!</v>
      </c>
      <c r="BA98" t="e">
        <f>IF(#REF!,"AAAAAHtHvzQ=",0)</f>
        <v>#REF!</v>
      </c>
      <c r="BB98" t="e">
        <f>IF(#REF!,"AAAAAHtHvzU=",0)</f>
        <v>#REF!</v>
      </c>
      <c r="BC98" t="e">
        <f>IF(#REF!,"AAAAAHtHvzY=",0)</f>
        <v>#REF!</v>
      </c>
      <c r="BD98" t="e">
        <f>IF(#REF!,"AAAAAHtHvzc=",0)</f>
        <v>#REF!</v>
      </c>
      <c r="BE98" t="e">
        <f>IF(#REF!,"AAAAAHtHvzg=",0)</f>
        <v>#REF!</v>
      </c>
      <c r="BF98" t="e">
        <f>IF(#REF!,"AAAAAHtHvzk=",0)</f>
        <v>#REF!</v>
      </c>
      <c r="BG98" t="e">
        <f>IF(#REF!,"AAAAAHtHvzo=",0)</f>
        <v>#REF!</v>
      </c>
      <c r="BH98" t="e">
        <f>IF(#REF!,"AAAAAHtHvzs=",0)</f>
        <v>#REF!</v>
      </c>
      <c r="BI98" t="e">
        <f>IF(#REF!,"AAAAAHtHvzw=",0)</f>
        <v>#REF!</v>
      </c>
      <c r="BJ98" t="e">
        <f>IF(#REF!,"AAAAAHtHvz0=",0)</f>
        <v>#REF!</v>
      </c>
      <c r="BK98" t="e">
        <f>IF(#REF!,"AAAAAHtHvz4=",0)</f>
        <v>#REF!</v>
      </c>
      <c r="BL98" t="e">
        <f>IF(#REF!,"AAAAAHtHvz8=",0)</f>
        <v>#REF!</v>
      </c>
      <c r="BM98" t="e">
        <f>IF(#REF!,"AAAAAHtHv0A=",0)</f>
        <v>#REF!</v>
      </c>
      <c r="BN98" t="e">
        <f>IF(#REF!,"AAAAAHtHv0E=",0)</f>
        <v>#REF!</v>
      </c>
      <c r="BO98" t="e">
        <f>IF(#REF!,"AAAAAHtHv0I=",0)</f>
        <v>#REF!</v>
      </c>
      <c r="BP98" t="e">
        <f>IF(#REF!,"AAAAAHtHv0M=",0)</f>
        <v>#REF!</v>
      </c>
      <c r="BQ98" t="e">
        <f>IF(#REF!,"AAAAAHtHv0Q=",0)</f>
        <v>#REF!</v>
      </c>
      <c r="BR98" t="e">
        <f>IF(#REF!,"AAAAAHtHv0U=",0)</f>
        <v>#REF!</v>
      </c>
      <c r="BS98" t="e">
        <f>IF(#REF!,"AAAAAHtHv0Y=",0)</f>
        <v>#REF!</v>
      </c>
      <c r="BT98" t="e">
        <f>IF(#REF!,"AAAAAHtHv0c=",0)</f>
        <v>#REF!</v>
      </c>
      <c r="BU98" t="e">
        <f>IF(#REF!,"AAAAAHtHv0g=",0)</f>
        <v>#REF!</v>
      </c>
      <c r="BV98" t="e">
        <f>IF(#REF!,"AAAAAHtHv0k=",0)</f>
        <v>#REF!</v>
      </c>
      <c r="BW98" t="e">
        <f>IF(#REF!,"AAAAAHtHv0o=",0)</f>
        <v>#REF!</v>
      </c>
      <c r="BX98" t="e">
        <f>IF(#REF!,"AAAAAHtHv0s=",0)</f>
        <v>#REF!</v>
      </c>
      <c r="BY98" t="e">
        <f>IF(#REF!,"AAAAAHtHv0w=",0)</f>
        <v>#REF!</v>
      </c>
      <c r="BZ98" t="e">
        <f>IF(#REF!,"AAAAAHtHv00=",0)</f>
        <v>#REF!</v>
      </c>
      <c r="CA98" t="e">
        <f>IF(#REF!,"AAAAAHtHv04=",0)</f>
        <v>#REF!</v>
      </c>
      <c r="CB98" t="e">
        <f>IF(#REF!,"AAAAAHtHv08=",0)</f>
        <v>#REF!</v>
      </c>
      <c r="CC98" t="e">
        <f>IF(#REF!,"AAAAAHtHv1A=",0)</f>
        <v>#REF!</v>
      </c>
      <c r="CD98" t="e">
        <f>IF(#REF!,"AAAAAHtHv1E=",0)</f>
        <v>#REF!</v>
      </c>
      <c r="CE98" t="e">
        <f>IF(#REF!,"AAAAAHtHv1I=",0)</f>
        <v>#REF!</v>
      </c>
      <c r="CF98" t="e">
        <f>IF(#REF!,"AAAAAHtHv1M=",0)</f>
        <v>#REF!</v>
      </c>
      <c r="CG98" t="e">
        <f>IF(#REF!,"AAAAAHtHv1Q=",0)</f>
        <v>#REF!</v>
      </c>
      <c r="CH98" t="e">
        <f>IF(#REF!,"AAAAAHtHv1U=",0)</f>
        <v>#REF!</v>
      </c>
      <c r="CI98" t="e">
        <f>IF(#REF!,"AAAAAHtHv1Y=",0)</f>
        <v>#REF!</v>
      </c>
      <c r="CJ98" t="e">
        <f>IF(#REF!,"AAAAAHtHv1c=",0)</f>
        <v>#REF!</v>
      </c>
      <c r="CK98" t="e">
        <f>IF(#REF!,"AAAAAHtHv1g=",0)</f>
        <v>#REF!</v>
      </c>
      <c r="CL98" t="e">
        <f>IF(#REF!,"AAAAAHtHv1k=",0)</f>
        <v>#REF!</v>
      </c>
      <c r="CM98" t="e">
        <f>IF(#REF!,"AAAAAHtHv1o=",0)</f>
        <v>#REF!</v>
      </c>
      <c r="CN98" t="e">
        <f>IF(#REF!,"AAAAAHtHv1s=",0)</f>
        <v>#REF!</v>
      </c>
      <c r="CO98" t="e">
        <f>IF(#REF!,"AAAAAHtHv1w=",0)</f>
        <v>#REF!</v>
      </c>
      <c r="CP98" t="e">
        <f>IF(#REF!,"AAAAAHtHv10=",0)</f>
        <v>#REF!</v>
      </c>
      <c r="CQ98" t="e">
        <f>IF(#REF!,"AAAAAHtHv14=",0)</f>
        <v>#REF!</v>
      </c>
      <c r="CR98" t="e">
        <f>IF(#REF!,"AAAAAHtHv18=",0)</f>
        <v>#REF!</v>
      </c>
      <c r="CS98" t="e">
        <f>IF(#REF!,"AAAAAHtHv2A=",0)</f>
        <v>#REF!</v>
      </c>
      <c r="CT98" t="e">
        <f>IF(#REF!,"AAAAAHtHv2E=",0)</f>
        <v>#REF!</v>
      </c>
      <c r="CU98" t="e">
        <f>IF(#REF!,"AAAAAHtHv2I=",0)</f>
        <v>#REF!</v>
      </c>
      <c r="CV98" t="e">
        <f>IF(#REF!,"AAAAAHtHv2M=",0)</f>
        <v>#REF!</v>
      </c>
      <c r="CW98" t="e">
        <f>IF(#REF!,"AAAAAHtHv2Q=",0)</f>
        <v>#REF!</v>
      </c>
      <c r="CX98" t="e">
        <f>IF(#REF!,"AAAAAHtHv2U=",0)</f>
        <v>#REF!</v>
      </c>
      <c r="CY98" t="e">
        <f>IF(#REF!,"AAAAAHtHv2Y=",0)</f>
        <v>#REF!</v>
      </c>
      <c r="CZ98" t="e">
        <f>IF(#REF!,"AAAAAHtHv2c=",0)</f>
        <v>#REF!</v>
      </c>
      <c r="DA98" t="e">
        <f>IF(#REF!,"AAAAAHtHv2g=",0)</f>
        <v>#REF!</v>
      </c>
      <c r="DB98" t="e">
        <f>IF(#REF!,"AAAAAHtHv2k=",0)</f>
        <v>#REF!</v>
      </c>
      <c r="DC98" t="e">
        <f>IF(#REF!,"AAAAAHtHv2o=",0)</f>
        <v>#REF!</v>
      </c>
      <c r="DD98" t="e">
        <f>IF(#REF!,"AAAAAHtHv2s=",0)</f>
        <v>#REF!</v>
      </c>
      <c r="DE98" t="e">
        <f>IF(#REF!,"AAAAAHtHv2w=",0)</f>
        <v>#REF!</v>
      </c>
      <c r="DF98" t="e">
        <f>IF(#REF!,"AAAAAHtHv20=",0)</f>
        <v>#REF!</v>
      </c>
      <c r="DG98" t="e">
        <f>IF(#REF!,"AAAAAHtHv24=",0)</f>
        <v>#REF!</v>
      </c>
      <c r="DH98" t="e">
        <f>IF(#REF!,"AAAAAHtHv28=",0)</f>
        <v>#REF!</v>
      </c>
      <c r="DI98" t="e">
        <f>IF(#REF!,"AAAAAHtHv3A=",0)</f>
        <v>#REF!</v>
      </c>
      <c r="DJ98" t="e">
        <f>IF(#REF!,"AAAAAHtHv3E=",0)</f>
        <v>#REF!</v>
      </c>
      <c r="DK98" t="e">
        <f>IF(#REF!,"AAAAAHtHv3I=",0)</f>
        <v>#REF!</v>
      </c>
      <c r="DL98" t="e">
        <f>IF(#REF!,"AAAAAHtHv3M=",0)</f>
        <v>#REF!</v>
      </c>
      <c r="DM98" t="e">
        <f>IF(#REF!,"AAAAAHtHv3Q=",0)</f>
        <v>#REF!</v>
      </c>
      <c r="DN98" t="e">
        <f>IF(#REF!,"AAAAAHtHv3U=",0)</f>
        <v>#REF!</v>
      </c>
      <c r="DO98" t="e">
        <f>IF(#REF!,"AAAAAHtHv3Y=",0)</f>
        <v>#REF!</v>
      </c>
      <c r="DP98" t="e">
        <f>IF(#REF!,"AAAAAHtHv3c=",0)</f>
        <v>#REF!</v>
      </c>
      <c r="DQ98" t="e">
        <f>IF(#REF!,"AAAAAHtHv3g=",0)</f>
        <v>#REF!</v>
      </c>
      <c r="DR98" t="e">
        <f>IF(#REF!,"AAAAAHtHv3k=",0)</f>
        <v>#REF!</v>
      </c>
      <c r="DS98" t="e">
        <f>IF(#REF!,"AAAAAHtHv3o=",0)</f>
        <v>#REF!</v>
      </c>
      <c r="DT98" t="e">
        <f>IF(#REF!,"AAAAAHtHv3s=",0)</f>
        <v>#REF!</v>
      </c>
      <c r="DU98" t="e">
        <f>IF(#REF!,"AAAAAHtHv3w=",0)</f>
        <v>#REF!</v>
      </c>
      <c r="DV98" t="e">
        <f>IF(#REF!,"AAAAAHtHv30=",0)</f>
        <v>#REF!</v>
      </c>
      <c r="DW98" t="e">
        <f>IF(#REF!,"AAAAAHtHv34=",0)</f>
        <v>#REF!</v>
      </c>
      <c r="DX98" t="e">
        <f>IF(#REF!,"AAAAAHtHv38=",0)</f>
        <v>#REF!</v>
      </c>
      <c r="DY98" t="e">
        <f>IF(#REF!,"AAAAAHtHv4A=",0)</f>
        <v>#REF!</v>
      </c>
      <c r="DZ98" t="e">
        <f>IF(#REF!,"AAAAAHtHv4E=",0)</f>
        <v>#REF!</v>
      </c>
      <c r="EA98" t="e">
        <f>IF(#REF!,"AAAAAHtHv4I=",0)</f>
        <v>#REF!</v>
      </c>
      <c r="EB98" t="e">
        <f>IF(#REF!,"AAAAAHtHv4M=",0)</f>
        <v>#REF!</v>
      </c>
      <c r="EC98" t="e">
        <f>IF(#REF!,"AAAAAHtHv4Q=",0)</f>
        <v>#REF!</v>
      </c>
      <c r="ED98" t="e">
        <f>IF(#REF!,"AAAAAHtHv4U=",0)</f>
        <v>#REF!</v>
      </c>
      <c r="EE98" t="e">
        <f>IF(#REF!,"AAAAAHtHv4Y=",0)</f>
        <v>#REF!</v>
      </c>
      <c r="EF98" t="e">
        <f>IF(#REF!,"AAAAAHtHv4c=",0)</f>
        <v>#REF!</v>
      </c>
      <c r="EG98" t="e">
        <f>IF(#REF!,"AAAAAHtHv4g=",0)</f>
        <v>#REF!</v>
      </c>
      <c r="EH98" t="e">
        <f>IF(#REF!,"AAAAAHtHv4k=",0)</f>
        <v>#REF!</v>
      </c>
      <c r="EI98" t="e">
        <f>IF(#REF!,"AAAAAHtHv4o=",0)</f>
        <v>#REF!</v>
      </c>
      <c r="EJ98" t="e">
        <f>IF(#REF!,"AAAAAHtHv4s=",0)</f>
        <v>#REF!</v>
      </c>
      <c r="EK98" t="e">
        <f>IF(#REF!,"AAAAAHtHv4w=",0)</f>
        <v>#REF!</v>
      </c>
      <c r="EL98" t="e">
        <f>IF(#REF!,"AAAAAHtHv40=",0)</f>
        <v>#REF!</v>
      </c>
      <c r="EM98" t="e">
        <f>IF(#REF!,"AAAAAHtHv44=",0)</f>
        <v>#REF!</v>
      </c>
      <c r="EN98" t="e">
        <f>IF(#REF!,"AAAAAHtHv48=",0)</f>
        <v>#REF!</v>
      </c>
      <c r="EO98" t="e">
        <f>IF(#REF!,"AAAAAHtHv5A=",0)</f>
        <v>#REF!</v>
      </c>
      <c r="EP98" t="e">
        <f>IF(#REF!,"AAAAAHtHv5E=",0)</f>
        <v>#REF!</v>
      </c>
      <c r="EQ98" t="e">
        <f>IF(#REF!,"AAAAAHtHv5I=",0)</f>
        <v>#REF!</v>
      </c>
      <c r="ER98" t="e">
        <f>IF(#REF!,"AAAAAHtHv5M=",0)</f>
        <v>#REF!</v>
      </c>
      <c r="ES98" t="e">
        <f>IF(#REF!,"AAAAAHtHv5Q=",0)</f>
        <v>#REF!</v>
      </c>
      <c r="ET98" t="e">
        <f>IF(#REF!,"AAAAAHtHv5U=",0)</f>
        <v>#REF!</v>
      </c>
      <c r="EU98" t="e">
        <f>IF(#REF!,"AAAAAHtHv5Y=",0)</f>
        <v>#REF!</v>
      </c>
      <c r="EV98" t="e">
        <f>IF(#REF!,"AAAAAHtHv5c=",0)</f>
        <v>#REF!</v>
      </c>
      <c r="EW98" t="e">
        <f>IF(#REF!,"AAAAAHtHv5g=",0)</f>
        <v>#REF!</v>
      </c>
      <c r="EX98" t="e">
        <f>IF(#REF!,"AAAAAHtHv5k=",0)</f>
        <v>#REF!</v>
      </c>
      <c r="EY98" t="e">
        <f>IF(#REF!,"AAAAAHtHv5o=",0)</f>
        <v>#REF!</v>
      </c>
      <c r="EZ98" t="e">
        <f>IF(#REF!,"AAAAAHtHv5s=",0)</f>
        <v>#REF!</v>
      </c>
      <c r="FA98" t="e">
        <f>IF(#REF!,"AAAAAHtHv5w=",0)</f>
        <v>#REF!</v>
      </c>
      <c r="FB98" t="e">
        <f>IF(#REF!,"AAAAAHtHv50=",0)</f>
        <v>#REF!</v>
      </c>
      <c r="FC98" t="e">
        <f>IF(#REF!,"AAAAAHtHv54=",0)</f>
        <v>#REF!</v>
      </c>
      <c r="FD98" t="e">
        <f>IF(#REF!,"AAAAAHtHv58=",0)</f>
        <v>#REF!</v>
      </c>
      <c r="FE98" t="e">
        <f>IF(#REF!,"AAAAAHtHv6A=",0)</f>
        <v>#REF!</v>
      </c>
      <c r="FF98" t="e">
        <f>IF(#REF!,"AAAAAHtHv6E=",0)</f>
        <v>#REF!</v>
      </c>
      <c r="FG98" t="e">
        <f>IF(#REF!,"AAAAAHtHv6I=",0)</f>
        <v>#REF!</v>
      </c>
      <c r="FH98" t="e">
        <f>IF(#REF!,"AAAAAHtHv6M=",0)</f>
        <v>#REF!</v>
      </c>
      <c r="FI98" t="e">
        <f>IF(#REF!,"AAAAAHtHv6Q=",0)</f>
        <v>#REF!</v>
      </c>
      <c r="FJ98" t="e">
        <f>IF(#REF!,"AAAAAHtHv6U=",0)</f>
        <v>#REF!</v>
      </c>
      <c r="FK98" t="e">
        <f>IF(#REF!,"AAAAAHtHv6Y=",0)</f>
        <v>#REF!</v>
      </c>
      <c r="FL98" t="e">
        <f>IF(#REF!,"AAAAAHtHv6c=",0)</f>
        <v>#REF!</v>
      </c>
      <c r="FM98" t="e">
        <f>IF(#REF!,"AAAAAHtHv6g=",0)</f>
        <v>#REF!</v>
      </c>
      <c r="FN98" t="e">
        <f>IF(#REF!,"AAAAAHtHv6k=",0)</f>
        <v>#REF!</v>
      </c>
      <c r="FO98" t="e">
        <f>IF(#REF!,"AAAAAHtHv6o=",0)</f>
        <v>#REF!</v>
      </c>
      <c r="FP98" t="e">
        <f>IF(#REF!,"AAAAAHtHv6s=",0)</f>
        <v>#REF!</v>
      </c>
      <c r="FQ98" t="e">
        <f>IF(#REF!,"AAAAAHtHv6w=",0)</f>
        <v>#REF!</v>
      </c>
      <c r="FR98" t="e">
        <f>IF(#REF!,"AAAAAHtHv60=",0)</f>
        <v>#REF!</v>
      </c>
      <c r="FS98" t="e">
        <f>IF(#REF!,"AAAAAHtHv64=",0)</f>
        <v>#REF!</v>
      </c>
      <c r="FT98" t="e">
        <f>IF(#REF!,"AAAAAHtHv68=",0)</f>
        <v>#REF!</v>
      </c>
      <c r="FU98" t="e">
        <f>IF(#REF!,"AAAAAHtHv7A=",0)</f>
        <v>#REF!</v>
      </c>
      <c r="FV98" t="e">
        <f>IF(#REF!,"AAAAAHtHv7E=",0)</f>
        <v>#REF!</v>
      </c>
      <c r="FW98" t="e">
        <f>IF(#REF!,"AAAAAHtHv7I=",0)</f>
        <v>#REF!</v>
      </c>
      <c r="FX98" t="e">
        <f>IF(#REF!,"AAAAAHtHv7M=",0)</f>
        <v>#REF!</v>
      </c>
      <c r="FY98" t="e">
        <f>IF(#REF!,"AAAAAHtHv7Q=",0)</f>
        <v>#REF!</v>
      </c>
      <c r="FZ98" t="e">
        <f>IF(#REF!,"AAAAAHtHv7U=",0)</f>
        <v>#REF!</v>
      </c>
      <c r="GA98" t="e">
        <f>IF(#REF!,"AAAAAHtHv7Y=",0)</f>
        <v>#REF!</v>
      </c>
      <c r="GB98" t="e">
        <f>IF(#REF!,"AAAAAHtHv7c=",0)</f>
        <v>#REF!</v>
      </c>
      <c r="GC98" t="e">
        <f>IF(#REF!,"AAAAAHtHv7g=",0)</f>
        <v>#REF!</v>
      </c>
      <c r="GD98" t="e">
        <f>IF(#REF!,"AAAAAHtHv7k=",0)</f>
        <v>#REF!</v>
      </c>
      <c r="GE98" t="e">
        <f>IF(#REF!,"AAAAAHtHv7o=",0)</f>
        <v>#REF!</v>
      </c>
      <c r="GF98" t="e">
        <f>IF(#REF!,"AAAAAHtHv7s=",0)</f>
        <v>#REF!</v>
      </c>
      <c r="GG98" t="e">
        <f>IF(#REF!,"AAAAAHtHv7w=",0)</f>
        <v>#REF!</v>
      </c>
      <c r="GH98" t="e">
        <f>IF(#REF!,"AAAAAHtHv70=",0)</f>
        <v>#REF!</v>
      </c>
      <c r="GI98" t="e">
        <f>IF(#REF!,"AAAAAHtHv74=",0)</f>
        <v>#REF!</v>
      </c>
      <c r="GJ98" t="e">
        <f>IF(#REF!,"AAAAAHtHv78=",0)</f>
        <v>#REF!</v>
      </c>
      <c r="GK98" t="e">
        <f>IF(#REF!,"AAAAAHtHv8A=",0)</f>
        <v>#REF!</v>
      </c>
      <c r="GL98" t="e">
        <f>IF('Test Script'!#REF!,"AAAAAHtHv8E=",0)</f>
        <v>#REF!</v>
      </c>
      <c r="GM98" t="e">
        <f>AND('Test Script'!#REF!,"AAAAAHtHv8I=")</f>
        <v>#REF!</v>
      </c>
      <c r="GN98" t="e">
        <f>AND('Test Script'!#REF!,"AAAAAHtHv8M=")</f>
        <v>#REF!</v>
      </c>
      <c r="GO98" t="e">
        <f>AND('Test Script'!#REF!,"AAAAAHtHv8Q=")</f>
        <v>#REF!</v>
      </c>
      <c r="GP98" t="e">
        <f>AND('Test Script'!#REF!,"AAAAAHtHv8U=")</f>
        <v>#REF!</v>
      </c>
      <c r="GQ98" t="e">
        <f>AND('Test Script'!#REF!,"AAAAAHtHv8Y=")</f>
        <v>#REF!</v>
      </c>
      <c r="GR98" t="e">
        <f>AND('Test Script'!#REF!,"AAAAAHtHv8c=")</f>
        <v>#REF!</v>
      </c>
      <c r="GS98" t="e">
        <f>AND('Test Script'!#REF!,"AAAAAHtHv8g=")</f>
        <v>#REF!</v>
      </c>
      <c r="GT98" t="e">
        <f>AND('Test Script'!#REF!,"AAAAAHtHv8k=")</f>
        <v>#REF!</v>
      </c>
      <c r="GU98" t="e">
        <f>AND('Test Script'!#REF!,"AAAAAHtHv8o=")</f>
        <v>#REF!</v>
      </c>
      <c r="GV98" t="e">
        <f>AND('Test Script'!#REF!,"AAAAAHtHv8s=")</f>
        <v>#REF!</v>
      </c>
      <c r="GW98" t="e">
        <f>AND('Test Script'!#REF!,"AAAAAHtHv8w=")</f>
        <v>#REF!</v>
      </c>
      <c r="GX98" t="e">
        <f>AND('Test Script'!#REF!,"AAAAAHtHv80=")</f>
        <v>#REF!</v>
      </c>
      <c r="GY98" t="e">
        <f>AND('Test Script'!#REF!,"AAAAAHtHv84=")</f>
        <v>#REF!</v>
      </c>
      <c r="GZ98" t="e">
        <f>AND('Test Script'!#REF!,"AAAAAHtHv88=")</f>
        <v>#REF!</v>
      </c>
      <c r="HA98" t="e">
        <f>AND('Test Script'!#REF!,"AAAAAHtHv9A=")</f>
        <v>#REF!</v>
      </c>
      <c r="HB98" t="e">
        <f>AND('Test Script'!#REF!,"AAAAAHtHv9E=")</f>
        <v>#REF!</v>
      </c>
      <c r="HC98" t="e">
        <f>AND('Test Script'!#REF!,"AAAAAHtHv9I=")</f>
        <v>#REF!</v>
      </c>
      <c r="HD98" t="e">
        <f>AND('Test Script'!#REF!,"AAAAAHtHv9M=")</f>
        <v>#REF!</v>
      </c>
      <c r="HE98" t="e">
        <f>AND('Test Script'!#REF!,"AAAAAHtHv9Q=")</f>
        <v>#REF!</v>
      </c>
      <c r="HF98" t="e">
        <f>AND('Test Script'!#REF!,"AAAAAHtHv9U=")</f>
        <v>#REF!</v>
      </c>
      <c r="HG98" t="e">
        <f>AND('Test Script'!#REF!,"AAAAAHtHv9Y=")</f>
        <v>#REF!</v>
      </c>
      <c r="HH98" t="e">
        <f>AND('Test Script'!#REF!,"AAAAAHtHv9c=")</f>
        <v>#REF!</v>
      </c>
      <c r="HI98" t="e">
        <f>AND('Test Script'!#REF!,"AAAAAHtHv9g=")</f>
        <v>#REF!</v>
      </c>
      <c r="HJ98" t="e">
        <f>AND('Test Script'!#REF!,"AAAAAHtHv9k=")</f>
        <v>#REF!</v>
      </c>
      <c r="HK98" t="e">
        <f>AND('Test Script'!#REF!,"AAAAAHtHv9o=")</f>
        <v>#REF!</v>
      </c>
      <c r="HL98" t="e">
        <f>AND('Test Script'!#REF!,"AAAAAHtHv9s=")</f>
        <v>#REF!</v>
      </c>
      <c r="HM98" t="e">
        <f>IF('Test Script'!#REF!,"AAAAAHtHv9w=",0)</f>
        <v>#REF!</v>
      </c>
      <c r="HN98" t="e">
        <f>AND('Test Script'!#REF!,"AAAAAHtHv90=")</f>
        <v>#REF!</v>
      </c>
      <c r="HO98" t="e">
        <f>AND('Test Script'!#REF!,"AAAAAHtHv94=")</f>
        <v>#REF!</v>
      </c>
      <c r="HP98" t="e">
        <f>AND('Test Script'!#REF!,"AAAAAHtHv98=")</f>
        <v>#REF!</v>
      </c>
      <c r="HQ98" t="e">
        <f>AND('Test Script'!#REF!,"AAAAAHtHv+A=")</f>
        <v>#REF!</v>
      </c>
      <c r="HR98" t="e">
        <f>AND('Test Script'!#REF!,"AAAAAHtHv+E=")</f>
        <v>#REF!</v>
      </c>
      <c r="HS98" t="e">
        <f>AND('Test Script'!#REF!,"AAAAAHtHv+I=")</f>
        <v>#REF!</v>
      </c>
      <c r="HT98" t="e">
        <f>AND('Test Script'!#REF!,"AAAAAHtHv+M=")</f>
        <v>#REF!</v>
      </c>
      <c r="HU98" t="e">
        <f>AND('Test Script'!#REF!,"AAAAAHtHv+Q=")</f>
        <v>#REF!</v>
      </c>
      <c r="HV98" t="e">
        <f>AND('Test Script'!#REF!,"AAAAAHtHv+U=")</f>
        <v>#REF!</v>
      </c>
      <c r="HW98" t="e">
        <f>AND('Test Script'!#REF!,"AAAAAHtHv+Y=")</f>
        <v>#REF!</v>
      </c>
      <c r="HX98" t="e">
        <f>AND('Test Script'!#REF!,"AAAAAHtHv+c=")</f>
        <v>#REF!</v>
      </c>
      <c r="HY98" t="e">
        <f>AND('Test Script'!#REF!,"AAAAAHtHv+g=")</f>
        <v>#REF!</v>
      </c>
      <c r="HZ98" t="e">
        <f>AND('Test Script'!#REF!,"AAAAAHtHv+k=")</f>
        <v>#REF!</v>
      </c>
      <c r="IA98" t="e">
        <f>AND('Test Script'!#REF!,"AAAAAHtHv+o=")</f>
        <v>#REF!</v>
      </c>
      <c r="IB98" t="e">
        <f>AND('Test Script'!#REF!,"AAAAAHtHv+s=")</f>
        <v>#REF!</v>
      </c>
      <c r="IC98" t="e">
        <f>AND('Test Script'!#REF!,"AAAAAHtHv+w=")</f>
        <v>#REF!</v>
      </c>
      <c r="ID98" t="e">
        <f>AND('Test Script'!#REF!,"AAAAAHtHv+0=")</f>
        <v>#REF!</v>
      </c>
      <c r="IE98" t="e">
        <f>AND('Test Script'!#REF!,"AAAAAHtHv+4=")</f>
        <v>#REF!</v>
      </c>
      <c r="IF98" t="e">
        <f>AND('Test Script'!#REF!,"AAAAAHtHv+8=")</f>
        <v>#REF!</v>
      </c>
      <c r="IG98" t="e">
        <f>AND('Test Script'!#REF!,"AAAAAHtHv/A=")</f>
        <v>#REF!</v>
      </c>
      <c r="IH98" t="e">
        <f>AND('Test Script'!#REF!,"AAAAAHtHv/E=")</f>
        <v>#REF!</v>
      </c>
      <c r="II98" t="e">
        <f>AND('Test Script'!#REF!,"AAAAAHtHv/I=")</f>
        <v>#REF!</v>
      </c>
      <c r="IJ98" t="e">
        <f>AND('Test Script'!#REF!,"AAAAAHtHv/M=")</f>
        <v>#REF!</v>
      </c>
      <c r="IK98" t="e">
        <f>AND('Test Script'!#REF!,"AAAAAHtHv/Q=")</f>
        <v>#REF!</v>
      </c>
      <c r="IL98" t="e">
        <f>AND('Test Script'!#REF!,"AAAAAHtHv/U=")</f>
        <v>#REF!</v>
      </c>
      <c r="IM98" t="e">
        <f>AND('Test Script'!#REF!,"AAAAAHtHv/Y=")</f>
        <v>#REF!</v>
      </c>
      <c r="IN98" t="e">
        <f>IF('Test Script'!#REF!,"AAAAAHtHv/c=",0)</f>
        <v>#REF!</v>
      </c>
      <c r="IO98" t="e">
        <f>AND('Test Script'!#REF!,"AAAAAHtHv/g=")</f>
        <v>#REF!</v>
      </c>
      <c r="IP98" t="e">
        <f>AND('Test Script'!#REF!,"AAAAAHtHv/k=")</f>
        <v>#REF!</v>
      </c>
      <c r="IQ98" t="e">
        <f>AND('Test Script'!#REF!,"AAAAAHtHv/o=")</f>
        <v>#REF!</v>
      </c>
      <c r="IR98" t="e">
        <f>AND('Test Script'!#REF!,"AAAAAHtHv/s=")</f>
        <v>#REF!</v>
      </c>
      <c r="IS98" t="e">
        <f>AND('Test Script'!#REF!,"AAAAAHtHv/w=")</f>
        <v>#REF!</v>
      </c>
      <c r="IT98" t="e">
        <f>AND('Test Script'!#REF!,"AAAAAHtHv/0=")</f>
        <v>#REF!</v>
      </c>
      <c r="IU98" t="e">
        <f>AND('Test Script'!#REF!,"AAAAAHtHv/4=")</f>
        <v>#REF!</v>
      </c>
      <c r="IV98" t="e">
        <f>AND('Test Script'!#REF!,"AAAAAHtHv/8=")</f>
        <v>#REF!</v>
      </c>
    </row>
    <row r="99" spans="1:256" x14ac:dyDescent="0.2">
      <c r="A99" t="e">
        <f>AND('Test Script'!#REF!,"AAAAAF3v7wA=")</f>
        <v>#REF!</v>
      </c>
      <c r="B99" t="e">
        <f>AND('Test Script'!#REF!,"AAAAAF3v7wE=")</f>
        <v>#REF!</v>
      </c>
      <c r="C99" t="e">
        <f>AND('Test Script'!#REF!,"AAAAAF3v7wI=")</f>
        <v>#REF!</v>
      </c>
      <c r="D99" t="e">
        <f>AND('Test Script'!#REF!,"AAAAAF3v7wM=")</f>
        <v>#REF!</v>
      </c>
      <c r="E99" t="e">
        <f>AND('Test Script'!#REF!,"AAAAAF3v7wQ=")</f>
        <v>#REF!</v>
      </c>
      <c r="F99" t="e">
        <f>AND('Test Script'!#REF!,"AAAAAF3v7wU=")</f>
        <v>#REF!</v>
      </c>
      <c r="G99" t="e">
        <f>AND('Test Script'!#REF!,"AAAAAF3v7wY=")</f>
        <v>#REF!</v>
      </c>
      <c r="H99" t="e">
        <f>AND('Test Script'!#REF!,"AAAAAF3v7wc=")</f>
        <v>#REF!</v>
      </c>
      <c r="I99" t="e">
        <f>AND('Test Script'!#REF!,"AAAAAF3v7wg=")</f>
        <v>#REF!</v>
      </c>
      <c r="J99" t="e">
        <f>AND('Test Script'!#REF!,"AAAAAF3v7wk=")</f>
        <v>#REF!</v>
      </c>
      <c r="K99" t="e">
        <f>AND('Test Script'!#REF!,"AAAAAF3v7wo=")</f>
        <v>#REF!</v>
      </c>
      <c r="L99" t="e">
        <f>AND('Test Script'!#REF!,"AAAAAF3v7ws=")</f>
        <v>#REF!</v>
      </c>
      <c r="M99" t="e">
        <f>AND('Test Script'!#REF!,"AAAAAF3v7ww=")</f>
        <v>#REF!</v>
      </c>
      <c r="N99" t="e">
        <f>AND('Test Script'!#REF!,"AAAAAF3v7w0=")</f>
        <v>#REF!</v>
      </c>
      <c r="O99" t="e">
        <f>AND('Test Script'!#REF!,"AAAAAF3v7w4=")</f>
        <v>#REF!</v>
      </c>
      <c r="P99" t="e">
        <f>AND('Test Script'!#REF!,"AAAAAF3v7w8=")</f>
        <v>#REF!</v>
      </c>
      <c r="Q99" t="e">
        <f>AND('Test Script'!#REF!,"AAAAAF3v7xA=")</f>
        <v>#REF!</v>
      </c>
      <c r="R99" t="e">
        <f>AND('Test Script'!#REF!,"AAAAAF3v7xE=")</f>
        <v>#REF!</v>
      </c>
      <c r="S99" t="e">
        <f>IF('Test Script'!#REF!,"AAAAAF3v7xI=",0)</f>
        <v>#REF!</v>
      </c>
      <c r="T99" t="e">
        <f>AND('Test Script'!#REF!,"AAAAAF3v7xM=")</f>
        <v>#REF!</v>
      </c>
      <c r="U99" t="e">
        <f>AND('Test Script'!#REF!,"AAAAAF3v7xQ=")</f>
        <v>#REF!</v>
      </c>
      <c r="V99" t="e">
        <f>AND('Test Script'!#REF!,"AAAAAF3v7xU=")</f>
        <v>#REF!</v>
      </c>
      <c r="W99" t="e">
        <f>AND('Test Script'!#REF!,"AAAAAF3v7xY=")</f>
        <v>#REF!</v>
      </c>
      <c r="X99" t="e">
        <f>AND('Test Script'!#REF!,"AAAAAF3v7xc=")</f>
        <v>#REF!</v>
      </c>
      <c r="Y99" t="e">
        <f>AND('Test Script'!#REF!,"AAAAAF3v7xg=")</f>
        <v>#REF!</v>
      </c>
      <c r="Z99" t="e">
        <f>AND('Test Script'!#REF!,"AAAAAF3v7xk=")</f>
        <v>#REF!</v>
      </c>
      <c r="AA99" t="e">
        <f>AND('Test Script'!#REF!,"AAAAAF3v7xo=")</f>
        <v>#REF!</v>
      </c>
      <c r="AB99" t="e">
        <f>AND('Test Script'!#REF!,"AAAAAF3v7xs=")</f>
        <v>#REF!</v>
      </c>
      <c r="AC99" t="e">
        <f>AND('Test Script'!#REF!,"AAAAAF3v7xw=")</f>
        <v>#REF!</v>
      </c>
      <c r="AD99" t="e">
        <f>AND('Test Script'!#REF!,"AAAAAF3v7x0=")</f>
        <v>#REF!</v>
      </c>
      <c r="AE99" t="e">
        <f>AND('Test Script'!#REF!,"AAAAAF3v7x4=")</f>
        <v>#REF!</v>
      </c>
      <c r="AF99" t="e">
        <f>AND('Test Script'!#REF!,"AAAAAF3v7x8=")</f>
        <v>#REF!</v>
      </c>
      <c r="AG99" t="e">
        <f>AND('Test Script'!#REF!,"AAAAAF3v7yA=")</f>
        <v>#REF!</v>
      </c>
      <c r="AH99" t="e">
        <f>AND('Test Script'!#REF!,"AAAAAF3v7yE=")</f>
        <v>#REF!</v>
      </c>
      <c r="AI99" t="e">
        <f>AND('Test Script'!#REF!,"AAAAAF3v7yI=")</f>
        <v>#REF!</v>
      </c>
      <c r="AJ99" t="e">
        <f>AND('Test Script'!#REF!,"AAAAAF3v7yM=")</f>
        <v>#REF!</v>
      </c>
      <c r="AK99" t="e">
        <f>AND('Test Script'!#REF!,"AAAAAF3v7yQ=")</f>
        <v>#REF!</v>
      </c>
      <c r="AL99" t="e">
        <f>AND('Test Script'!#REF!,"AAAAAF3v7yU=")</f>
        <v>#REF!</v>
      </c>
      <c r="AM99" t="e">
        <f>AND('Test Script'!#REF!,"AAAAAF3v7yY=")</f>
        <v>#REF!</v>
      </c>
      <c r="AN99" t="e">
        <f>AND('Test Script'!#REF!,"AAAAAF3v7yc=")</f>
        <v>#REF!</v>
      </c>
      <c r="AO99" t="e">
        <f>AND('Test Script'!#REF!,"AAAAAF3v7yg=")</f>
        <v>#REF!</v>
      </c>
      <c r="AP99" t="e">
        <f>AND('Test Script'!#REF!,"AAAAAF3v7yk=")</f>
        <v>#REF!</v>
      </c>
      <c r="AQ99" t="e">
        <f>AND('Test Script'!#REF!,"AAAAAF3v7yo=")</f>
        <v>#REF!</v>
      </c>
      <c r="AR99" t="e">
        <f>AND('Test Script'!#REF!,"AAAAAF3v7ys=")</f>
        <v>#REF!</v>
      </c>
      <c r="AS99" t="e">
        <f>AND('Test Script'!#REF!,"AAAAAF3v7yw=")</f>
        <v>#REF!</v>
      </c>
      <c r="AT99" t="e">
        <f>IF('Test Script'!#REF!,"AAAAAF3v7y0=",0)</f>
        <v>#REF!</v>
      </c>
      <c r="AU99" t="e">
        <f>AND('Test Script'!#REF!,"AAAAAF3v7y4=")</f>
        <v>#REF!</v>
      </c>
      <c r="AV99" t="e">
        <f>AND('Test Script'!#REF!,"AAAAAF3v7y8=")</f>
        <v>#REF!</v>
      </c>
      <c r="AW99" t="e">
        <f>AND('Test Script'!#REF!,"AAAAAF3v7zA=")</f>
        <v>#REF!</v>
      </c>
      <c r="AX99" t="e">
        <f>AND('Test Script'!#REF!,"AAAAAF3v7zE=")</f>
        <v>#REF!</v>
      </c>
      <c r="AY99" t="e">
        <f>AND('Test Script'!#REF!,"AAAAAF3v7zI=")</f>
        <v>#REF!</v>
      </c>
      <c r="AZ99" t="e">
        <f>AND('Test Script'!#REF!,"AAAAAF3v7zM=")</f>
        <v>#REF!</v>
      </c>
      <c r="BA99" t="e">
        <f>AND('Test Script'!#REF!,"AAAAAF3v7zQ=")</f>
        <v>#REF!</v>
      </c>
      <c r="BB99" t="e">
        <f>AND('Test Script'!#REF!,"AAAAAF3v7zU=")</f>
        <v>#REF!</v>
      </c>
      <c r="BC99" t="e">
        <f>AND('Test Script'!#REF!,"AAAAAF3v7zY=")</f>
        <v>#REF!</v>
      </c>
      <c r="BD99" t="e">
        <f>AND('Test Script'!#REF!,"AAAAAF3v7zc=")</f>
        <v>#REF!</v>
      </c>
      <c r="BE99" t="e">
        <f>AND('Test Script'!#REF!,"AAAAAF3v7zg=")</f>
        <v>#REF!</v>
      </c>
      <c r="BF99" t="e">
        <f>AND('Test Script'!#REF!,"AAAAAF3v7zk=")</f>
        <v>#REF!</v>
      </c>
      <c r="BG99" t="e">
        <f>AND('Test Script'!#REF!,"AAAAAF3v7zo=")</f>
        <v>#REF!</v>
      </c>
      <c r="BH99" t="e">
        <f>AND('Test Script'!#REF!,"AAAAAF3v7zs=")</f>
        <v>#REF!</v>
      </c>
      <c r="BI99" t="e">
        <f>AND('Test Script'!#REF!,"AAAAAF3v7zw=")</f>
        <v>#REF!</v>
      </c>
      <c r="BJ99" t="e">
        <f>AND('Test Script'!#REF!,"AAAAAF3v7z0=")</f>
        <v>#REF!</v>
      </c>
      <c r="BK99" t="e">
        <f>AND('Test Script'!#REF!,"AAAAAF3v7z4=")</f>
        <v>#REF!</v>
      </c>
      <c r="BL99" t="e">
        <f>AND('Test Script'!#REF!,"AAAAAF3v7z8=")</f>
        <v>#REF!</v>
      </c>
      <c r="BM99" t="e">
        <f>AND('Test Script'!#REF!,"AAAAAF3v70A=")</f>
        <v>#REF!</v>
      </c>
      <c r="BN99" t="e">
        <f>AND('Test Script'!#REF!,"AAAAAF3v70E=")</f>
        <v>#REF!</v>
      </c>
      <c r="BO99" t="e">
        <f>AND('Test Script'!#REF!,"AAAAAF3v70I=")</f>
        <v>#REF!</v>
      </c>
      <c r="BP99" t="e">
        <f>AND('Test Script'!#REF!,"AAAAAF3v70M=")</f>
        <v>#REF!</v>
      </c>
      <c r="BQ99" t="e">
        <f>AND('Test Script'!#REF!,"AAAAAF3v70Q=")</f>
        <v>#REF!</v>
      </c>
      <c r="BR99" t="e">
        <f>AND('Test Script'!#REF!,"AAAAAF3v70U=")</f>
        <v>#REF!</v>
      </c>
      <c r="BS99" t="e">
        <f>AND('Test Script'!#REF!,"AAAAAF3v70Y=")</f>
        <v>#REF!</v>
      </c>
      <c r="BT99" t="e">
        <f>AND('Test Script'!#REF!,"AAAAAF3v70c=")</f>
        <v>#REF!</v>
      </c>
      <c r="BU99" t="e">
        <f>IF('Test Script'!#REF!,"AAAAAF3v70g=",0)</f>
        <v>#REF!</v>
      </c>
      <c r="BV99" t="e">
        <f>AND('Test Script'!#REF!,"AAAAAF3v70k=")</f>
        <v>#REF!</v>
      </c>
      <c r="BW99" t="e">
        <f>AND('Test Script'!#REF!,"AAAAAF3v70o=")</f>
        <v>#REF!</v>
      </c>
      <c r="BX99" t="e">
        <f>AND('Test Script'!#REF!,"AAAAAF3v70s=")</f>
        <v>#REF!</v>
      </c>
      <c r="BY99" t="e">
        <f>AND('Test Script'!#REF!,"AAAAAF3v70w=")</f>
        <v>#REF!</v>
      </c>
      <c r="BZ99" t="e">
        <f>AND('Test Script'!#REF!,"AAAAAF3v700=")</f>
        <v>#REF!</v>
      </c>
      <c r="CA99" t="e">
        <f>AND('Test Script'!#REF!,"AAAAAF3v704=")</f>
        <v>#REF!</v>
      </c>
      <c r="CB99" t="e">
        <f>AND('Test Script'!#REF!,"AAAAAF3v708=")</f>
        <v>#REF!</v>
      </c>
      <c r="CC99" t="e">
        <f>AND('Test Script'!#REF!,"AAAAAF3v71A=")</f>
        <v>#REF!</v>
      </c>
      <c r="CD99" t="e">
        <f>AND('Test Script'!#REF!,"AAAAAF3v71E=")</f>
        <v>#REF!</v>
      </c>
      <c r="CE99" t="e">
        <f>AND('Test Script'!#REF!,"AAAAAF3v71I=")</f>
        <v>#REF!</v>
      </c>
      <c r="CF99" t="e">
        <f>AND('Test Script'!#REF!,"AAAAAF3v71M=")</f>
        <v>#REF!</v>
      </c>
      <c r="CG99" t="e">
        <f>AND('Test Script'!#REF!,"AAAAAF3v71Q=")</f>
        <v>#REF!</v>
      </c>
      <c r="CH99" t="e">
        <f>AND('Test Script'!#REF!,"AAAAAF3v71U=")</f>
        <v>#REF!</v>
      </c>
      <c r="CI99" t="e">
        <f>AND('Test Script'!#REF!,"AAAAAF3v71Y=")</f>
        <v>#REF!</v>
      </c>
      <c r="CJ99" t="e">
        <f>AND('Test Script'!#REF!,"AAAAAF3v71c=")</f>
        <v>#REF!</v>
      </c>
      <c r="CK99" t="e">
        <f>AND('Test Script'!#REF!,"AAAAAF3v71g=")</f>
        <v>#REF!</v>
      </c>
      <c r="CL99" t="e">
        <f>AND('Test Script'!#REF!,"AAAAAF3v71k=")</f>
        <v>#REF!</v>
      </c>
      <c r="CM99" t="e">
        <f>AND('Test Script'!#REF!,"AAAAAF3v71o=")</f>
        <v>#REF!</v>
      </c>
      <c r="CN99" t="e">
        <f>AND('Test Script'!#REF!,"AAAAAF3v71s=")</f>
        <v>#REF!</v>
      </c>
      <c r="CO99" t="e">
        <f>AND('Test Script'!#REF!,"AAAAAF3v71w=")</f>
        <v>#REF!</v>
      </c>
      <c r="CP99" t="e">
        <f>AND('Test Script'!#REF!,"AAAAAF3v710=")</f>
        <v>#REF!</v>
      </c>
      <c r="CQ99" t="e">
        <f>AND('Test Script'!#REF!,"AAAAAF3v714=")</f>
        <v>#REF!</v>
      </c>
      <c r="CR99" t="e">
        <f>AND('Test Script'!#REF!,"AAAAAF3v718=")</f>
        <v>#REF!</v>
      </c>
      <c r="CS99" t="e">
        <f>AND('Test Script'!#REF!,"AAAAAF3v72A=")</f>
        <v>#REF!</v>
      </c>
      <c r="CT99" t="e">
        <f>AND('Test Script'!#REF!,"AAAAAF3v72E=")</f>
        <v>#REF!</v>
      </c>
      <c r="CU99" t="e">
        <f>AND('Test Script'!#REF!,"AAAAAF3v72I=")</f>
        <v>#REF!</v>
      </c>
      <c r="CV99" t="e">
        <f>IF('Test Script'!#REF!,"AAAAAF3v72M=",0)</f>
        <v>#REF!</v>
      </c>
      <c r="CW99" t="e">
        <f>AND('Test Script'!#REF!,"AAAAAF3v72Q=")</f>
        <v>#REF!</v>
      </c>
      <c r="CX99" t="e">
        <f>AND('Test Script'!#REF!,"AAAAAF3v72U=")</f>
        <v>#REF!</v>
      </c>
      <c r="CY99" t="e">
        <f>AND('Test Script'!#REF!,"AAAAAF3v72Y=")</f>
        <v>#REF!</v>
      </c>
      <c r="CZ99" t="e">
        <f>AND('Test Script'!#REF!,"AAAAAF3v72c=")</f>
        <v>#REF!</v>
      </c>
      <c r="DA99" t="e">
        <f>AND('Test Script'!#REF!,"AAAAAF3v72g=")</f>
        <v>#REF!</v>
      </c>
      <c r="DB99" t="e">
        <f>AND('Test Script'!#REF!,"AAAAAF3v72k=")</f>
        <v>#REF!</v>
      </c>
      <c r="DC99" t="e">
        <f>AND('Test Script'!#REF!,"AAAAAF3v72o=")</f>
        <v>#REF!</v>
      </c>
      <c r="DD99" t="e">
        <f>AND('Test Script'!#REF!,"AAAAAF3v72s=")</f>
        <v>#REF!</v>
      </c>
      <c r="DE99" t="e">
        <f>AND('Test Script'!#REF!,"AAAAAF3v72w=")</f>
        <v>#REF!</v>
      </c>
      <c r="DF99" t="e">
        <f>AND('Test Script'!#REF!,"AAAAAF3v720=")</f>
        <v>#REF!</v>
      </c>
      <c r="DG99" t="e">
        <f>AND('Test Script'!#REF!,"AAAAAF3v724=")</f>
        <v>#REF!</v>
      </c>
      <c r="DH99" t="e">
        <f>AND('Test Script'!#REF!,"AAAAAF3v728=")</f>
        <v>#REF!</v>
      </c>
      <c r="DI99" t="e">
        <f>AND('Test Script'!#REF!,"AAAAAF3v73A=")</f>
        <v>#REF!</v>
      </c>
      <c r="DJ99" t="e">
        <f>AND('Test Script'!#REF!,"AAAAAF3v73E=")</f>
        <v>#REF!</v>
      </c>
      <c r="DK99" t="e">
        <f>AND('Test Script'!#REF!,"AAAAAF3v73I=")</f>
        <v>#REF!</v>
      </c>
      <c r="DL99" t="e">
        <f>AND('Test Script'!#REF!,"AAAAAF3v73M=")</f>
        <v>#REF!</v>
      </c>
      <c r="DM99" t="e">
        <f>AND('Test Script'!#REF!,"AAAAAF3v73Q=")</f>
        <v>#REF!</v>
      </c>
      <c r="DN99" t="e">
        <f>AND('Test Script'!#REF!,"AAAAAF3v73U=")</f>
        <v>#REF!</v>
      </c>
      <c r="DO99" t="e">
        <f>AND('Test Script'!#REF!,"AAAAAF3v73Y=")</f>
        <v>#REF!</v>
      </c>
      <c r="DP99" t="e">
        <f>AND('Test Script'!#REF!,"AAAAAF3v73c=")</f>
        <v>#REF!</v>
      </c>
      <c r="DQ99" t="e">
        <f>AND('Test Script'!#REF!,"AAAAAF3v73g=")</f>
        <v>#REF!</v>
      </c>
      <c r="DR99" t="e">
        <f>AND('Test Script'!#REF!,"AAAAAF3v73k=")</f>
        <v>#REF!</v>
      </c>
      <c r="DS99" t="e">
        <f>AND('Test Script'!#REF!,"AAAAAF3v73o=")</f>
        <v>#REF!</v>
      </c>
      <c r="DT99" t="e">
        <f>AND('Test Script'!#REF!,"AAAAAF3v73s=")</f>
        <v>#REF!</v>
      </c>
      <c r="DU99" t="e">
        <f>AND('Test Script'!#REF!,"AAAAAF3v73w=")</f>
        <v>#REF!</v>
      </c>
      <c r="DV99" t="e">
        <f>AND('Test Script'!#REF!,"AAAAAF3v730=")</f>
        <v>#REF!</v>
      </c>
      <c r="DW99" t="e">
        <f>IF('Test Script'!#REF!,"AAAAAF3v734=",0)</f>
        <v>#REF!</v>
      </c>
      <c r="DX99" t="e">
        <f>AND('Test Script'!#REF!,"AAAAAF3v738=")</f>
        <v>#REF!</v>
      </c>
      <c r="DY99" t="e">
        <f>AND('Test Script'!#REF!,"AAAAAF3v74A=")</f>
        <v>#REF!</v>
      </c>
      <c r="DZ99" t="e">
        <f>AND('Test Script'!#REF!,"AAAAAF3v74E=")</f>
        <v>#REF!</v>
      </c>
      <c r="EA99" t="e">
        <f>AND('Test Script'!#REF!,"AAAAAF3v74I=")</f>
        <v>#REF!</v>
      </c>
      <c r="EB99" t="e">
        <f>AND('Test Script'!#REF!,"AAAAAF3v74M=")</f>
        <v>#REF!</v>
      </c>
      <c r="EC99" t="e">
        <f>AND('Test Script'!#REF!,"AAAAAF3v74Q=")</f>
        <v>#REF!</v>
      </c>
      <c r="ED99" t="e">
        <f>AND('Test Script'!#REF!,"AAAAAF3v74U=")</f>
        <v>#REF!</v>
      </c>
      <c r="EE99" t="e">
        <f>AND('Test Script'!#REF!,"AAAAAF3v74Y=")</f>
        <v>#REF!</v>
      </c>
      <c r="EF99" t="e">
        <f>AND('Test Script'!#REF!,"AAAAAF3v74c=")</f>
        <v>#REF!</v>
      </c>
      <c r="EG99" t="e">
        <f>AND('Test Script'!#REF!,"AAAAAF3v74g=")</f>
        <v>#REF!</v>
      </c>
      <c r="EH99" t="e">
        <f>AND('Test Script'!#REF!,"AAAAAF3v74k=")</f>
        <v>#REF!</v>
      </c>
      <c r="EI99" t="e">
        <f>AND('Test Script'!#REF!,"AAAAAF3v74o=")</f>
        <v>#REF!</v>
      </c>
      <c r="EJ99" t="e">
        <f>AND('Test Script'!#REF!,"AAAAAF3v74s=")</f>
        <v>#REF!</v>
      </c>
      <c r="EK99" t="e">
        <f>AND('Test Script'!#REF!,"AAAAAF3v74w=")</f>
        <v>#REF!</v>
      </c>
      <c r="EL99" t="e">
        <f>AND('Test Script'!#REF!,"AAAAAF3v740=")</f>
        <v>#REF!</v>
      </c>
      <c r="EM99" t="e">
        <f>AND('Test Script'!#REF!,"AAAAAF3v744=")</f>
        <v>#REF!</v>
      </c>
      <c r="EN99" t="e">
        <f>AND('Test Script'!#REF!,"AAAAAF3v748=")</f>
        <v>#REF!</v>
      </c>
      <c r="EO99" t="e">
        <f>AND('Test Script'!#REF!,"AAAAAF3v75A=")</f>
        <v>#REF!</v>
      </c>
      <c r="EP99" t="e">
        <f>AND('Test Script'!#REF!,"AAAAAF3v75E=")</f>
        <v>#REF!</v>
      </c>
      <c r="EQ99" t="e">
        <f>AND('Test Script'!#REF!,"AAAAAF3v75I=")</f>
        <v>#REF!</v>
      </c>
      <c r="ER99" t="e">
        <f>AND('Test Script'!#REF!,"AAAAAF3v75M=")</f>
        <v>#REF!</v>
      </c>
      <c r="ES99" t="e">
        <f>AND('Test Script'!#REF!,"AAAAAF3v75Q=")</f>
        <v>#REF!</v>
      </c>
      <c r="ET99" t="e">
        <f>AND('Test Script'!#REF!,"AAAAAF3v75U=")</f>
        <v>#REF!</v>
      </c>
      <c r="EU99" t="e">
        <f>AND('Test Script'!#REF!,"AAAAAF3v75Y=")</f>
        <v>#REF!</v>
      </c>
      <c r="EV99" t="e">
        <f>AND('Test Script'!#REF!,"AAAAAF3v75c=")</f>
        <v>#REF!</v>
      </c>
      <c r="EW99" t="e">
        <f>AND('Test Script'!#REF!,"AAAAAF3v75g=")</f>
        <v>#REF!</v>
      </c>
      <c r="EX99" t="e">
        <f>IF('Test Script'!#REF!,"AAAAAF3v75k=",0)</f>
        <v>#REF!</v>
      </c>
      <c r="EY99" t="e">
        <f>AND('Test Script'!#REF!,"AAAAAF3v75o=")</f>
        <v>#REF!</v>
      </c>
      <c r="EZ99" t="e">
        <f>AND('Test Script'!#REF!,"AAAAAF3v75s=")</f>
        <v>#REF!</v>
      </c>
      <c r="FA99" t="e">
        <f>AND('Test Script'!#REF!,"AAAAAF3v75w=")</f>
        <v>#REF!</v>
      </c>
      <c r="FB99" t="e">
        <f>AND('Test Script'!#REF!,"AAAAAF3v750=")</f>
        <v>#REF!</v>
      </c>
      <c r="FC99" t="e">
        <f>AND('Test Script'!#REF!,"AAAAAF3v754=")</f>
        <v>#REF!</v>
      </c>
      <c r="FD99" t="e">
        <f>AND('Test Script'!#REF!,"AAAAAF3v758=")</f>
        <v>#REF!</v>
      </c>
      <c r="FE99" t="e">
        <f>AND('Test Script'!#REF!,"AAAAAF3v76A=")</f>
        <v>#REF!</v>
      </c>
      <c r="FF99" t="e">
        <f>AND('Test Script'!#REF!,"AAAAAF3v76E=")</f>
        <v>#REF!</v>
      </c>
      <c r="FG99" t="e">
        <f>AND('Test Script'!#REF!,"AAAAAF3v76I=")</f>
        <v>#REF!</v>
      </c>
      <c r="FH99" t="e">
        <f>AND('Test Script'!#REF!,"AAAAAF3v76M=")</f>
        <v>#REF!</v>
      </c>
      <c r="FI99" t="e">
        <f>AND('Test Script'!#REF!,"AAAAAF3v76Q=")</f>
        <v>#REF!</v>
      </c>
      <c r="FJ99" t="e">
        <f>AND('Test Script'!#REF!,"AAAAAF3v76U=")</f>
        <v>#REF!</v>
      </c>
      <c r="FK99" t="e">
        <f>AND('Test Script'!#REF!,"AAAAAF3v76Y=")</f>
        <v>#REF!</v>
      </c>
      <c r="FL99" t="e">
        <f>AND('Test Script'!#REF!,"AAAAAF3v76c=")</f>
        <v>#REF!</v>
      </c>
      <c r="FM99" t="e">
        <f>AND('Test Script'!#REF!,"AAAAAF3v76g=")</f>
        <v>#REF!</v>
      </c>
      <c r="FN99" t="e">
        <f>AND('Test Script'!#REF!,"AAAAAF3v76k=")</f>
        <v>#REF!</v>
      </c>
      <c r="FO99" t="e">
        <f>AND('Test Script'!#REF!,"AAAAAF3v76o=")</f>
        <v>#REF!</v>
      </c>
      <c r="FP99" t="e">
        <f>AND('Test Script'!#REF!,"AAAAAF3v76s=")</f>
        <v>#REF!</v>
      </c>
      <c r="FQ99" t="e">
        <f>AND('Test Script'!#REF!,"AAAAAF3v76w=")</f>
        <v>#REF!</v>
      </c>
      <c r="FR99" t="e">
        <f>AND('Test Script'!#REF!,"AAAAAF3v760=")</f>
        <v>#REF!</v>
      </c>
      <c r="FS99" t="e">
        <f>AND('Test Script'!#REF!,"AAAAAF3v764=")</f>
        <v>#REF!</v>
      </c>
      <c r="FT99" t="e">
        <f>AND('Test Script'!#REF!,"AAAAAF3v768=")</f>
        <v>#REF!</v>
      </c>
      <c r="FU99" t="e">
        <f>AND('Test Script'!#REF!,"AAAAAF3v77A=")</f>
        <v>#REF!</v>
      </c>
      <c r="FV99" t="e">
        <f>AND('Test Script'!#REF!,"AAAAAF3v77E=")</f>
        <v>#REF!</v>
      </c>
      <c r="FW99" t="e">
        <f>AND('Test Script'!#REF!,"AAAAAF3v77I=")</f>
        <v>#REF!</v>
      </c>
      <c r="FX99" t="e">
        <f>AND('Test Script'!#REF!,"AAAAAF3v77M=")</f>
        <v>#REF!</v>
      </c>
      <c r="FY99" t="e">
        <f>IF('Test Script'!#REF!,"AAAAAF3v77Q=",0)</f>
        <v>#REF!</v>
      </c>
      <c r="FZ99" t="e">
        <f>AND('Test Script'!#REF!,"AAAAAF3v77U=")</f>
        <v>#REF!</v>
      </c>
      <c r="GA99" t="e">
        <f>AND('Test Script'!#REF!,"AAAAAF3v77Y=")</f>
        <v>#REF!</v>
      </c>
      <c r="GB99" t="e">
        <f>AND('Test Script'!#REF!,"AAAAAF3v77c=")</f>
        <v>#REF!</v>
      </c>
      <c r="GC99" t="e">
        <f>AND('Test Script'!#REF!,"AAAAAF3v77g=")</f>
        <v>#REF!</v>
      </c>
      <c r="GD99" t="e">
        <f>AND('Test Script'!#REF!,"AAAAAF3v77k=")</f>
        <v>#REF!</v>
      </c>
      <c r="GE99" t="e">
        <f>AND('Test Script'!#REF!,"AAAAAF3v77o=")</f>
        <v>#REF!</v>
      </c>
      <c r="GF99" t="e">
        <f>AND('Test Script'!#REF!,"AAAAAF3v77s=")</f>
        <v>#REF!</v>
      </c>
      <c r="GG99" t="e">
        <f>AND('Test Script'!#REF!,"AAAAAF3v77w=")</f>
        <v>#REF!</v>
      </c>
      <c r="GH99" t="e">
        <f>AND('Test Script'!#REF!,"AAAAAF3v770=")</f>
        <v>#REF!</v>
      </c>
      <c r="GI99" t="e">
        <f>AND('Test Script'!#REF!,"AAAAAF3v774=")</f>
        <v>#REF!</v>
      </c>
      <c r="GJ99" t="e">
        <f>AND('Test Script'!#REF!,"AAAAAF3v778=")</f>
        <v>#REF!</v>
      </c>
      <c r="GK99" t="e">
        <f>AND('Test Script'!#REF!,"AAAAAF3v78A=")</f>
        <v>#REF!</v>
      </c>
      <c r="GL99" t="e">
        <f>AND('Test Script'!#REF!,"AAAAAF3v78E=")</f>
        <v>#REF!</v>
      </c>
      <c r="GM99" t="e">
        <f>AND('Test Script'!#REF!,"AAAAAF3v78I=")</f>
        <v>#REF!</v>
      </c>
      <c r="GN99" t="e">
        <f>AND('Test Script'!#REF!,"AAAAAF3v78M=")</f>
        <v>#REF!</v>
      </c>
      <c r="GO99" t="e">
        <f>AND('Test Script'!#REF!,"AAAAAF3v78Q=")</f>
        <v>#REF!</v>
      </c>
      <c r="GP99" t="e">
        <f>AND('Test Script'!#REF!,"AAAAAF3v78U=")</f>
        <v>#REF!</v>
      </c>
      <c r="GQ99" t="e">
        <f>AND('Test Script'!#REF!,"AAAAAF3v78Y=")</f>
        <v>#REF!</v>
      </c>
      <c r="GR99" t="e">
        <f>AND('Test Script'!#REF!,"AAAAAF3v78c=")</f>
        <v>#REF!</v>
      </c>
      <c r="GS99" t="e">
        <f>AND('Test Script'!#REF!,"AAAAAF3v78g=")</f>
        <v>#REF!</v>
      </c>
      <c r="GT99" t="e">
        <f>AND('Test Script'!#REF!,"AAAAAF3v78k=")</f>
        <v>#REF!</v>
      </c>
      <c r="GU99" t="e">
        <f>AND('Test Script'!#REF!,"AAAAAF3v78o=")</f>
        <v>#REF!</v>
      </c>
      <c r="GV99" t="e">
        <f>AND('Test Script'!#REF!,"AAAAAF3v78s=")</f>
        <v>#REF!</v>
      </c>
      <c r="GW99" t="e">
        <f>AND('Test Script'!#REF!,"AAAAAF3v78w=")</f>
        <v>#REF!</v>
      </c>
      <c r="GX99" t="e">
        <f>AND('Test Script'!#REF!,"AAAAAF3v780=")</f>
        <v>#REF!</v>
      </c>
      <c r="GY99" t="e">
        <f>AND('Test Script'!#REF!,"AAAAAF3v784=")</f>
        <v>#REF!</v>
      </c>
      <c r="GZ99" t="e">
        <f>IF('Test Script'!#REF!,"AAAAAF3v788=",0)</f>
        <v>#REF!</v>
      </c>
      <c r="HA99" t="e">
        <f>AND('Test Script'!#REF!,"AAAAAF3v79A=")</f>
        <v>#REF!</v>
      </c>
      <c r="HB99" t="e">
        <f>AND('Test Script'!#REF!,"AAAAAF3v79E=")</f>
        <v>#REF!</v>
      </c>
      <c r="HC99" t="e">
        <f>AND('Test Script'!#REF!,"AAAAAF3v79I=")</f>
        <v>#REF!</v>
      </c>
      <c r="HD99" t="e">
        <f>AND('Test Script'!#REF!,"AAAAAF3v79M=")</f>
        <v>#REF!</v>
      </c>
      <c r="HE99" t="e">
        <f>AND('Test Script'!#REF!,"AAAAAF3v79Q=")</f>
        <v>#REF!</v>
      </c>
      <c r="HF99" t="e">
        <f>AND('Test Script'!#REF!,"AAAAAF3v79U=")</f>
        <v>#REF!</v>
      </c>
      <c r="HG99" t="e">
        <f>AND('Test Script'!#REF!,"AAAAAF3v79Y=")</f>
        <v>#REF!</v>
      </c>
      <c r="HH99" t="e">
        <f>AND('Test Script'!#REF!,"AAAAAF3v79c=")</f>
        <v>#REF!</v>
      </c>
      <c r="HI99" t="e">
        <f>AND('Test Script'!#REF!,"AAAAAF3v79g=")</f>
        <v>#REF!</v>
      </c>
      <c r="HJ99" t="e">
        <f>AND('Test Script'!#REF!,"AAAAAF3v79k=")</f>
        <v>#REF!</v>
      </c>
      <c r="HK99" t="e">
        <f>AND('Test Script'!#REF!,"AAAAAF3v79o=")</f>
        <v>#REF!</v>
      </c>
      <c r="HL99" t="e">
        <f>AND('Test Script'!#REF!,"AAAAAF3v79s=")</f>
        <v>#REF!</v>
      </c>
      <c r="HM99" t="e">
        <f>AND('Test Script'!#REF!,"AAAAAF3v79w=")</f>
        <v>#REF!</v>
      </c>
      <c r="HN99" t="e">
        <f>AND('Test Script'!#REF!,"AAAAAF3v790=")</f>
        <v>#REF!</v>
      </c>
      <c r="HO99" t="e">
        <f>AND('Test Script'!#REF!,"AAAAAF3v794=")</f>
        <v>#REF!</v>
      </c>
      <c r="HP99" t="e">
        <f>AND('Test Script'!#REF!,"AAAAAF3v798=")</f>
        <v>#REF!</v>
      </c>
      <c r="HQ99" t="e">
        <f>AND('Test Script'!#REF!,"AAAAAF3v7+A=")</f>
        <v>#REF!</v>
      </c>
      <c r="HR99" t="e">
        <f>AND('Test Script'!#REF!,"AAAAAF3v7+E=")</f>
        <v>#REF!</v>
      </c>
      <c r="HS99" t="e">
        <f>AND('Test Script'!#REF!,"AAAAAF3v7+I=")</f>
        <v>#REF!</v>
      </c>
      <c r="HT99" t="e">
        <f>AND('Test Script'!#REF!,"AAAAAF3v7+M=")</f>
        <v>#REF!</v>
      </c>
      <c r="HU99" t="e">
        <f>AND('Test Script'!#REF!,"AAAAAF3v7+Q=")</f>
        <v>#REF!</v>
      </c>
      <c r="HV99" t="e">
        <f>AND('Test Script'!#REF!,"AAAAAF3v7+U=")</f>
        <v>#REF!</v>
      </c>
      <c r="HW99" t="e">
        <f>AND('Test Script'!#REF!,"AAAAAF3v7+Y=")</f>
        <v>#REF!</v>
      </c>
      <c r="HX99" t="e">
        <f>AND('Test Script'!#REF!,"AAAAAF3v7+c=")</f>
        <v>#REF!</v>
      </c>
      <c r="HY99" t="e">
        <f>AND('Test Script'!#REF!,"AAAAAF3v7+g=")</f>
        <v>#REF!</v>
      </c>
      <c r="HZ99" t="e">
        <f>AND('Test Script'!#REF!,"AAAAAF3v7+k=")</f>
        <v>#REF!</v>
      </c>
      <c r="IA99" t="e">
        <f>IF('Test Script'!#REF!,"AAAAAF3v7+o=",0)</f>
        <v>#REF!</v>
      </c>
      <c r="IB99" t="e">
        <f>AND('Test Script'!#REF!,"AAAAAF3v7+s=")</f>
        <v>#REF!</v>
      </c>
      <c r="IC99" t="e">
        <f>AND('Test Script'!#REF!,"AAAAAF3v7+w=")</f>
        <v>#REF!</v>
      </c>
      <c r="ID99" t="e">
        <f>AND('Test Script'!#REF!,"AAAAAF3v7+0=")</f>
        <v>#REF!</v>
      </c>
      <c r="IE99" t="e">
        <f>AND('Test Script'!#REF!,"AAAAAF3v7+4=")</f>
        <v>#REF!</v>
      </c>
      <c r="IF99" t="e">
        <f>AND('Test Script'!#REF!,"AAAAAF3v7+8=")</f>
        <v>#REF!</v>
      </c>
      <c r="IG99" t="e">
        <f>AND('Test Script'!#REF!,"AAAAAF3v7/A=")</f>
        <v>#REF!</v>
      </c>
      <c r="IH99" t="e">
        <f>AND('Test Script'!#REF!,"AAAAAF3v7/E=")</f>
        <v>#REF!</v>
      </c>
      <c r="II99" t="e">
        <f>AND('Test Script'!#REF!,"AAAAAF3v7/I=")</f>
        <v>#REF!</v>
      </c>
      <c r="IJ99" t="e">
        <f>AND('Test Script'!#REF!,"AAAAAF3v7/M=")</f>
        <v>#REF!</v>
      </c>
      <c r="IK99" t="e">
        <f>AND('Test Script'!#REF!,"AAAAAF3v7/Q=")</f>
        <v>#REF!</v>
      </c>
      <c r="IL99" t="e">
        <f>AND('Test Script'!#REF!,"AAAAAF3v7/U=")</f>
        <v>#REF!</v>
      </c>
      <c r="IM99" t="e">
        <f>AND('Test Script'!#REF!,"AAAAAF3v7/Y=")</f>
        <v>#REF!</v>
      </c>
      <c r="IN99" t="e">
        <f>AND('Test Script'!#REF!,"AAAAAF3v7/c=")</f>
        <v>#REF!</v>
      </c>
      <c r="IO99" t="e">
        <f>AND('Test Script'!#REF!,"AAAAAF3v7/g=")</f>
        <v>#REF!</v>
      </c>
      <c r="IP99" t="e">
        <f>AND('Test Script'!#REF!,"AAAAAF3v7/k=")</f>
        <v>#REF!</v>
      </c>
      <c r="IQ99" t="e">
        <f>AND('Test Script'!#REF!,"AAAAAF3v7/o=")</f>
        <v>#REF!</v>
      </c>
      <c r="IR99" t="e">
        <f>AND('Test Script'!#REF!,"AAAAAF3v7/s=")</f>
        <v>#REF!</v>
      </c>
      <c r="IS99" t="e">
        <f>AND('Test Script'!#REF!,"AAAAAF3v7/w=")</f>
        <v>#REF!</v>
      </c>
      <c r="IT99" t="e">
        <f>AND('Test Script'!#REF!,"AAAAAF3v7/0=")</f>
        <v>#REF!</v>
      </c>
      <c r="IU99" t="e">
        <f>AND('Test Script'!#REF!,"AAAAAF3v7/4=")</f>
        <v>#REF!</v>
      </c>
      <c r="IV99" t="e">
        <f>AND('Test Script'!#REF!,"AAAAAF3v7/8=")</f>
        <v>#REF!</v>
      </c>
    </row>
    <row r="100" spans="1:256" x14ac:dyDescent="0.2">
      <c r="A100" t="e">
        <f>AND('Test Script'!#REF!,"AAAAACb+fwA=")</f>
        <v>#REF!</v>
      </c>
      <c r="B100" t="e">
        <f>AND('Test Script'!#REF!,"AAAAACb+fwE=")</f>
        <v>#REF!</v>
      </c>
      <c r="C100" t="e">
        <f>AND('Test Script'!#REF!,"AAAAACb+fwI=")</f>
        <v>#REF!</v>
      </c>
      <c r="D100" t="e">
        <f>AND('Test Script'!#REF!,"AAAAACb+fwM=")</f>
        <v>#REF!</v>
      </c>
      <c r="E100" t="e">
        <f>AND('Test Script'!#REF!,"AAAAACb+fwQ=")</f>
        <v>#REF!</v>
      </c>
      <c r="F100" t="e">
        <f>IF('Test Script'!#REF!,"AAAAACb+fwU=",0)</f>
        <v>#REF!</v>
      </c>
      <c r="G100" t="e">
        <f>AND('Test Script'!#REF!,"AAAAACb+fwY=")</f>
        <v>#REF!</v>
      </c>
      <c r="H100" t="e">
        <f>AND('Test Script'!#REF!,"AAAAACb+fwc=")</f>
        <v>#REF!</v>
      </c>
      <c r="I100" t="e">
        <f>AND('Test Script'!#REF!,"AAAAACb+fwg=")</f>
        <v>#REF!</v>
      </c>
      <c r="J100" t="e">
        <f>AND('Test Script'!#REF!,"AAAAACb+fwk=")</f>
        <v>#REF!</v>
      </c>
      <c r="K100" t="e">
        <f>AND('Test Script'!#REF!,"AAAAACb+fwo=")</f>
        <v>#REF!</v>
      </c>
      <c r="L100" t="e">
        <f>AND('Test Script'!#REF!,"AAAAACb+fws=")</f>
        <v>#REF!</v>
      </c>
      <c r="M100" t="e">
        <f>AND('Test Script'!#REF!,"AAAAACb+fww=")</f>
        <v>#REF!</v>
      </c>
      <c r="N100" t="e">
        <f>AND('Test Script'!#REF!,"AAAAACb+fw0=")</f>
        <v>#REF!</v>
      </c>
      <c r="O100" t="e">
        <f>AND('Test Script'!#REF!,"AAAAACb+fw4=")</f>
        <v>#REF!</v>
      </c>
      <c r="P100" t="e">
        <f>AND('Test Script'!#REF!,"AAAAACb+fw8=")</f>
        <v>#REF!</v>
      </c>
      <c r="Q100" t="e">
        <f>AND('Test Script'!#REF!,"AAAAACb+fxA=")</f>
        <v>#REF!</v>
      </c>
      <c r="R100" t="e">
        <f>AND('Test Script'!#REF!,"AAAAACb+fxE=")</f>
        <v>#REF!</v>
      </c>
      <c r="S100" t="e">
        <f>AND('Test Script'!#REF!,"AAAAACb+fxI=")</f>
        <v>#REF!</v>
      </c>
      <c r="T100" t="e">
        <f>AND('Test Script'!#REF!,"AAAAACb+fxM=")</f>
        <v>#REF!</v>
      </c>
      <c r="U100" t="e">
        <f>AND('Test Script'!#REF!,"AAAAACb+fxQ=")</f>
        <v>#REF!</v>
      </c>
      <c r="V100" t="e">
        <f>AND('Test Script'!#REF!,"AAAAACb+fxU=")</f>
        <v>#REF!</v>
      </c>
      <c r="W100" t="e">
        <f>AND('Test Script'!#REF!,"AAAAACb+fxY=")</f>
        <v>#REF!</v>
      </c>
      <c r="X100" t="e">
        <f>AND('Test Script'!#REF!,"AAAAACb+fxc=")</f>
        <v>#REF!</v>
      </c>
      <c r="Y100" t="e">
        <f>AND('Test Script'!#REF!,"AAAAACb+fxg=")</f>
        <v>#REF!</v>
      </c>
      <c r="Z100" t="e">
        <f>AND('Test Script'!#REF!,"AAAAACb+fxk=")</f>
        <v>#REF!</v>
      </c>
      <c r="AA100" t="e">
        <f>AND('Test Script'!#REF!,"AAAAACb+fxo=")</f>
        <v>#REF!</v>
      </c>
      <c r="AB100" t="e">
        <f>AND('Test Script'!#REF!,"AAAAACb+fxs=")</f>
        <v>#REF!</v>
      </c>
      <c r="AC100" t="e">
        <f>AND('Test Script'!#REF!,"AAAAACb+fxw=")</f>
        <v>#REF!</v>
      </c>
      <c r="AD100" t="e">
        <f>AND('Test Script'!#REF!,"AAAAACb+fx0=")</f>
        <v>#REF!</v>
      </c>
      <c r="AE100" t="e">
        <f>AND('Test Script'!#REF!,"AAAAACb+fx4=")</f>
        <v>#REF!</v>
      </c>
      <c r="AF100" t="e">
        <f>AND('Test Script'!#REF!,"AAAAACb+fx8=")</f>
        <v>#REF!</v>
      </c>
      <c r="AG100" t="e">
        <f>IF('Test Script'!#REF!,"AAAAACb+fyA=",0)</f>
        <v>#REF!</v>
      </c>
      <c r="AH100" t="e">
        <f>AND('Test Script'!#REF!,"AAAAACb+fyE=")</f>
        <v>#REF!</v>
      </c>
      <c r="AI100" t="e">
        <f>AND('Test Script'!#REF!,"AAAAACb+fyI=")</f>
        <v>#REF!</v>
      </c>
      <c r="AJ100" t="e">
        <f>AND('Test Script'!#REF!,"AAAAACb+fyM=")</f>
        <v>#REF!</v>
      </c>
      <c r="AK100" t="e">
        <f>AND('Test Script'!#REF!,"AAAAACb+fyQ=")</f>
        <v>#REF!</v>
      </c>
      <c r="AL100" t="e">
        <f>AND('Test Script'!#REF!,"AAAAACb+fyU=")</f>
        <v>#REF!</v>
      </c>
      <c r="AM100" t="e">
        <f>AND('Test Script'!#REF!,"AAAAACb+fyY=")</f>
        <v>#REF!</v>
      </c>
      <c r="AN100" t="e">
        <f>AND('Test Script'!#REF!,"AAAAACb+fyc=")</f>
        <v>#REF!</v>
      </c>
      <c r="AO100" t="e">
        <f>AND('Test Script'!#REF!,"AAAAACb+fyg=")</f>
        <v>#REF!</v>
      </c>
      <c r="AP100" t="e">
        <f>AND('Test Script'!#REF!,"AAAAACb+fyk=")</f>
        <v>#REF!</v>
      </c>
      <c r="AQ100" t="e">
        <f>AND('Test Script'!#REF!,"AAAAACb+fyo=")</f>
        <v>#REF!</v>
      </c>
      <c r="AR100" t="e">
        <f>AND('Test Script'!#REF!,"AAAAACb+fys=")</f>
        <v>#REF!</v>
      </c>
      <c r="AS100" t="e">
        <f>AND('Test Script'!#REF!,"AAAAACb+fyw=")</f>
        <v>#REF!</v>
      </c>
      <c r="AT100" t="e">
        <f>AND('Test Script'!#REF!,"AAAAACb+fy0=")</f>
        <v>#REF!</v>
      </c>
      <c r="AU100" t="e">
        <f>AND('Test Script'!#REF!,"AAAAACb+fy4=")</f>
        <v>#REF!</v>
      </c>
      <c r="AV100" t="e">
        <f>AND('Test Script'!#REF!,"AAAAACb+fy8=")</f>
        <v>#REF!</v>
      </c>
      <c r="AW100" t="e">
        <f>AND('Test Script'!#REF!,"AAAAACb+fzA=")</f>
        <v>#REF!</v>
      </c>
      <c r="AX100" t="e">
        <f>AND('Test Script'!#REF!,"AAAAACb+fzE=")</f>
        <v>#REF!</v>
      </c>
      <c r="AY100" t="e">
        <f>AND('Test Script'!#REF!,"AAAAACb+fzI=")</f>
        <v>#REF!</v>
      </c>
      <c r="AZ100" t="e">
        <f>AND('Test Script'!#REF!,"AAAAACb+fzM=")</f>
        <v>#REF!</v>
      </c>
      <c r="BA100" t="e">
        <f>AND('Test Script'!#REF!,"AAAAACb+fzQ=")</f>
        <v>#REF!</v>
      </c>
      <c r="BB100" t="e">
        <f>AND('Test Script'!#REF!,"AAAAACb+fzU=")</f>
        <v>#REF!</v>
      </c>
      <c r="BC100" t="e">
        <f>AND('Test Script'!#REF!,"AAAAACb+fzY=")</f>
        <v>#REF!</v>
      </c>
      <c r="BD100" t="e">
        <f>AND('Test Script'!#REF!,"AAAAACb+fzc=")</f>
        <v>#REF!</v>
      </c>
      <c r="BE100" t="e">
        <f>AND('Test Script'!#REF!,"AAAAACb+fzg=")</f>
        <v>#REF!</v>
      </c>
      <c r="BF100" t="e">
        <f>AND('Test Script'!#REF!,"AAAAACb+fzk=")</f>
        <v>#REF!</v>
      </c>
      <c r="BG100" t="e">
        <f>AND('Test Script'!#REF!,"AAAAACb+fzo=")</f>
        <v>#REF!</v>
      </c>
      <c r="BH100" t="e">
        <f>IF('Test Script'!#REF!,"AAAAACb+fzs=",0)</f>
        <v>#REF!</v>
      </c>
      <c r="BI100" t="e">
        <f>AND('Test Script'!#REF!,"AAAAACb+fzw=")</f>
        <v>#REF!</v>
      </c>
      <c r="BJ100" t="e">
        <f>AND('Test Script'!#REF!,"AAAAACb+fz0=")</f>
        <v>#REF!</v>
      </c>
      <c r="BK100" t="e">
        <f>AND('Test Script'!#REF!,"AAAAACb+fz4=")</f>
        <v>#REF!</v>
      </c>
      <c r="BL100" t="e">
        <f>AND('Test Script'!#REF!,"AAAAACb+fz8=")</f>
        <v>#REF!</v>
      </c>
      <c r="BM100" t="e">
        <f>AND('Test Script'!#REF!,"AAAAACb+f0A=")</f>
        <v>#REF!</v>
      </c>
      <c r="BN100" t="e">
        <f>AND('Test Script'!#REF!,"AAAAACb+f0E=")</f>
        <v>#REF!</v>
      </c>
      <c r="BO100" t="e">
        <f>AND('Test Script'!#REF!,"AAAAACb+f0I=")</f>
        <v>#REF!</v>
      </c>
      <c r="BP100" t="e">
        <f>AND('Test Script'!#REF!,"AAAAACb+f0M=")</f>
        <v>#REF!</v>
      </c>
      <c r="BQ100" t="e">
        <f>AND('Test Script'!#REF!,"AAAAACb+f0Q=")</f>
        <v>#REF!</v>
      </c>
      <c r="BR100" t="e">
        <f>AND('Test Script'!#REF!,"AAAAACb+f0U=")</f>
        <v>#REF!</v>
      </c>
      <c r="BS100" t="e">
        <f>AND('Test Script'!#REF!,"AAAAACb+f0Y=")</f>
        <v>#REF!</v>
      </c>
      <c r="BT100" t="e">
        <f>AND('Test Script'!#REF!,"AAAAACb+f0c=")</f>
        <v>#REF!</v>
      </c>
      <c r="BU100" t="e">
        <f>AND('Test Script'!#REF!,"AAAAACb+f0g=")</f>
        <v>#REF!</v>
      </c>
      <c r="BV100" t="e">
        <f>AND('Test Script'!#REF!,"AAAAACb+f0k=")</f>
        <v>#REF!</v>
      </c>
      <c r="BW100" t="e">
        <f>AND('Test Script'!#REF!,"AAAAACb+f0o=")</f>
        <v>#REF!</v>
      </c>
      <c r="BX100" t="e">
        <f>AND('Test Script'!#REF!,"AAAAACb+f0s=")</f>
        <v>#REF!</v>
      </c>
      <c r="BY100" t="e">
        <f>AND('Test Script'!#REF!,"AAAAACb+f0w=")</f>
        <v>#REF!</v>
      </c>
      <c r="BZ100" t="e">
        <f>AND('Test Script'!#REF!,"AAAAACb+f00=")</f>
        <v>#REF!</v>
      </c>
      <c r="CA100" t="e">
        <f>AND('Test Script'!#REF!,"AAAAACb+f04=")</f>
        <v>#REF!</v>
      </c>
      <c r="CB100" t="e">
        <f>AND('Test Script'!#REF!,"AAAAACb+f08=")</f>
        <v>#REF!</v>
      </c>
      <c r="CC100" t="e">
        <f>AND('Test Script'!#REF!,"AAAAACb+f1A=")</f>
        <v>#REF!</v>
      </c>
      <c r="CD100" t="e">
        <f>AND('Test Script'!#REF!,"AAAAACb+f1E=")</f>
        <v>#REF!</v>
      </c>
      <c r="CE100" t="e">
        <f>AND('Test Script'!#REF!,"AAAAACb+f1I=")</f>
        <v>#REF!</v>
      </c>
      <c r="CF100" t="e">
        <f>AND('Test Script'!#REF!,"AAAAACb+f1M=")</f>
        <v>#REF!</v>
      </c>
      <c r="CG100" t="e">
        <f>AND('Test Script'!#REF!,"AAAAACb+f1Q=")</f>
        <v>#REF!</v>
      </c>
      <c r="CH100" t="e">
        <f>AND('Test Script'!#REF!,"AAAAACb+f1U=")</f>
        <v>#REF!</v>
      </c>
      <c r="CI100" t="e">
        <f>IF('Test Script'!#REF!,"AAAAACb+f1Y=",0)</f>
        <v>#REF!</v>
      </c>
      <c r="CJ100" t="e">
        <f>AND('Test Script'!#REF!,"AAAAACb+f1c=")</f>
        <v>#REF!</v>
      </c>
      <c r="CK100" t="e">
        <f>AND('Test Script'!#REF!,"AAAAACb+f1g=")</f>
        <v>#REF!</v>
      </c>
      <c r="CL100" t="e">
        <f>AND('Test Script'!#REF!,"AAAAACb+f1k=")</f>
        <v>#REF!</v>
      </c>
      <c r="CM100" t="e">
        <f>AND('Test Script'!#REF!,"AAAAACb+f1o=")</f>
        <v>#REF!</v>
      </c>
      <c r="CN100" t="e">
        <f>AND('Test Script'!#REF!,"AAAAACb+f1s=")</f>
        <v>#REF!</v>
      </c>
      <c r="CO100" t="e">
        <f>AND('Test Script'!#REF!,"AAAAACb+f1w=")</f>
        <v>#REF!</v>
      </c>
      <c r="CP100" t="e">
        <f>AND('Test Script'!#REF!,"AAAAACb+f10=")</f>
        <v>#REF!</v>
      </c>
      <c r="CQ100" t="e">
        <f>AND('Test Script'!#REF!,"AAAAACb+f14=")</f>
        <v>#REF!</v>
      </c>
      <c r="CR100" t="e">
        <f>AND('Test Script'!#REF!,"AAAAACb+f18=")</f>
        <v>#REF!</v>
      </c>
      <c r="CS100" t="e">
        <f>AND('Test Script'!#REF!,"AAAAACb+f2A=")</f>
        <v>#REF!</v>
      </c>
      <c r="CT100" t="e">
        <f>AND('Test Script'!#REF!,"AAAAACb+f2E=")</f>
        <v>#REF!</v>
      </c>
      <c r="CU100" t="e">
        <f>AND('Test Script'!#REF!,"AAAAACb+f2I=")</f>
        <v>#REF!</v>
      </c>
      <c r="CV100" t="e">
        <f>AND('Test Script'!#REF!,"AAAAACb+f2M=")</f>
        <v>#REF!</v>
      </c>
      <c r="CW100" t="e">
        <f>AND('Test Script'!#REF!,"AAAAACb+f2Q=")</f>
        <v>#REF!</v>
      </c>
      <c r="CX100" t="e">
        <f>AND('Test Script'!#REF!,"AAAAACb+f2U=")</f>
        <v>#REF!</v>
      </c>
      <c r="CY100" t="e">
        <f>AND('Test Script'!#REF!,"AAAAACb+f2Y=")</f>
        <v>#REF!</v>
      </c>
      <c r="CZ100" t="e">
        <f>AND('Test Script'!#REF!,"AAAAACb+f2c=")</f>
        <v>#REF!</v>
      </c>
      <c r="DA100" t="e">
        <f>AND('Test Script'!#REF!,"AAAAACb+f2g=")</f>
        <v>#REF!</v>
      </c>
      <c r="DB100" t="e">
        <f>AND('Test Script'!#REF!,"AAAAACb+f2k=")</f>
        <v>#REF!</v>
      </c>
      <c r="DC100" t="e">
        <f>AND('Test Script'!#REF!,"AAAAACb+f2o=")</f>
        <v>#REF!</v>
      </c>
      <c r="DD100" t="e">
        <f>AND('Test Script'!#REF!,"AAAAACb+f2s=")</f>
        <v>#REF!</v>
      </c>
      <c r="DE100" t="e">
        <f>AND('Test Script'!#REF!,"AAAAACb+f2w=")</f>
        <v>#REF!</v>
      </c>
      <c r="DF100" t="e">
        <f>AND('Test Script'!#REF!,"AAAAACb+f20=")</f>
        <v>#REF!</v>
      </c>
      <c r="DG100" t="e">
        <f>AND('Test Script'!#REF!,"AAAAACb+f24=")</f>
        <v>#REF!</v>
      </c>
      <c r="DH100" t="e">
        <f>AND('Test Script'!#REF!,"AAAAACb+f28=")</f>
        <v>#REF!</v>
      </c>
      <c r="DI100" t="e">
        <f>AND('Test Script'!#REF!,"AAAAACb+f3A=")</f>
        <v>#REF!</v>
      </c>
      <c r="DJ100" t="e">
        <f>IF('Test Script'!#REF!,"AAAAACb+f3E=",0)</f>
        <v>#REF!</v>
      </c>
      <c r="DK100" t="e">
        <f>AND('Test Script'!#REF!,"AAAAACb+f3I=")</f>
        <v>#REF!</v>
      </c>
      <c r="DL100" t="e">
        <f>AND('Test Script'!#REF!,"AAAAACb+f3M=")</f>
        <v>#REF!</v>
      </c>
      <c r="DM100" t="e">
        <f>AND('Test Script'!#REF!,"AAAAACb+f3Q=")</f>
        <v>#REF!</v>
      </c>
      <c r="DN100" t="e">
        <f>AND('Test Script'!#REF!,"AAAAACb+f3U=")</f>
        <v>#REF!</v>
      </c>
      <c r="DO100" t="e">
        <f>AND('Test Script'!#REF!,"AAAAACb+f3Y=")</f>
        <v>#REF!</v>
      </c>
      <c r="DP100" t="e">
        <f>AND('Test Script'!#REF!,"AAAAACb+f3c=")</f>
        <v>#REF!</v>
      </c>
      <c r="DQ100" t="e">
        <f>AND('Test Script'!#REF!,"AAAAACb+f3g=")</f>
        <v>#REF!</v>
      </c>
      <c r="DR100" t="e">
        <f>AND('Test Script'!#REF!,"AAAAACb+f3k=")</f>
        <v>#REF!</v>
      </c>
      <c r="DS100" t="e">
        <f>AND('Test Script'!#REF!,"AAAAACb+f3o=")</f>
        <v>#REF!</v>
      </c>
      <c r="DT100" t="e">
        <f>AND('Test Script'!#REF!,"AAAAACb+f3s=")</f>
        <v>#REF!</v>
      </c>
      <c r="DU100" t="e">
        <f>AND('Test Script'!#REF!,"AAAAACb+f3w=")</f>
        <v>#REF!</v>
      </c>
      <c r="DV100" t="e">
        <f>AND('Test Script'!#REF!,"AAAAACb+f30=")</f>
        <v>#REF!</v>
      </c>
      <c r="DW100" t="e">
        <f>AND('Test Script'!#REF!,"AAAAACb+f34=")</f>
        <v>#REF!</v>
      </c>
      <c r="DX100" t="e">
        <f>AND('Test Script'!#REF!,"AAAAACb+f38=")</f>
        <v>#REF!</v>
      </c>
      <c r="DY100" t="e">
        <f>AND('Test Script'!#REF!,"AAAAACb+f4A=")</f>
        <v>#REF!</v>
      </c>
      <c r="DZ100" t="e">
        <f>AND('Test Script'!#REF!,"AAAAACb+f4E=")</f>
        <v>#REF!</v>
      </c>
      <c r="EA100" t="e">
        <f>AND('Test Script'!#REF!,"AAAAACb+f4I=")</f>
        <v>#REF!</v>
      </c>
      <c r="EB100" t="e">
        <f>AND('Test Script'!#REF!,"AAAAACb+f4M=")</f>
        <v>#REF!</v>
      </c>
      <c r="EC100" t="e">
        <f>AND('Test Script'!#REF!,"AAAAACb+f4Q=")</f>
        <v>#REF!</v>
      </c>
      <c r="ED100" t="e">
        <f>AND('Test Script'!#REF!,"AAAAACb+f4U=")</f>
        <v>#REF!</v>
      </c>
      <c r="EE100" t="e">
        <f>AND('Test Script'!#REF!,"AAAAACb+f4Y=")</f>
        <v>#REF!</v>
      </c>
      <c r="EF100" t="e">
        <f>AND('Test Script'!#REF!,"AAAAACb+f4c=")</f>
        <v>#REF!</v>
      </c>
      <c r="EG100" t="e">
        <f>AND('Test Script'!#REF!,"AAAAACb+f4g=")</f>
        <v>#REF!</v>
      </c>
      <c r="EH100" t="e">
        <f>AND('Test Script'!#REF!,"AAAAACb+f4k=")</f>
        <v>#REF!</v>
      </c>
      <c r="EI100" t="e">
        <f>AND('Test Script'!#REF!,"AAAAACb+f4o=")</f>
        <v>#REF!</v>
      </c>
      <c r="EJ100" t="e">
        <f>AND('Test Script'!#REF!,"AAAAACb+f4s=")</f>
        <v>#REF!</v>
      </c>
      <c r="EK100" t="e">
        <f>IF('Test Script'!#REF!,"AAAAACb+f4w=",0)</f>
        <v>#REF!</v>
      </c>
      <c r="EL100" t="e">
        <f>AND('Test Script'!#REF!,"AAAAACb+f40=")</f>
        <v>#REF!</v>
      </c>
      <c r="EM100" t="e">
        <f>AND('Test Script'!#REF!,"AAAAACb+f44=")</f>
        <v>#REF!</v>
      </c>
      <c r="EN100" t="e">
        <f>AND('Test Script'!#REF!,"AAAAACb+f48=")</f>
        <v>#REF!</v>
      </c>
      <c r="EO100" t="e">
        <f>AND('Test Script'!#REF!,"AAAAACb+f5A=")</f>
        <v>#REF!</v>
      </c>
      <c r="EP100" t="e">
        <f>AND('Test Script'!#REF!,"AAAAACb+f5E=")</f>
        <v>#REF!</v>
      </c>
      <c r="EQ100" t="e">
        <f>AND('Test Script'!#REF!,"AAAAACb+f5I=")</f>
        <v>#REF!</v>
      </c>
      <c r="ER100" t="e">
        <f>AND('Test Script'!#REF!,"AAAAACb+f5M=")</f>
        <v>#REF!</v>
      </c>
      <c r="ES100" t="e">
        <f>AND('Test Script'!#REF!,"AAAAACb+f5Q=")</f>
        <v>#REF!</v>
      </c>
      <c r="ET100" t="e">
        <f>AND('Test Script'!#REF!,"AAAAACb+f5U=")</f>
        <v>#REF!</v>
      </c>
      <c r="EU100" t="e">
        <f>AND('Test Script'!#REF!,"AAAAACb+f5Y=")</f>
        <v>#REF!</v>
      </c>
      <c r="EV100" t="e">
        <f>AND('Test Script'!#REF!,"AAAAACb+f5c=")</f>
        <v>#REF!</v>
      </c>
      <c r="EW100" t="e">
        <f>AND('Test Script'!#REF!,"AAAAACb+f5g=")</f>
        <v>#REF!</v>
      </c>
      <c r="EX100" t="e">
        <f>AND('Test Script'!#REF!,"AAAAACb+f5k=")</f>
        <v>#REF!</v>
      </c>
      <c r="EY100" t="e">
        <f>AND('Test Script'!#REF!,"AAAAACb+f5o=")</f>
        <v>#REF!</v>
      </c>
      <c r="EZ100" t="e">
        <f>AND('Test Script'!#REF!,"AAAAACb+f5s=")</f>
        <v>#REF!</v>
      </c>
      <c r="FA100" t="e">
        <f>AND('Test Script'!#REF!,"AAAAACb+f5w=")</f>
        <v>#REF!</v>
      </c>
      <c r="FB100" t="e">
        <f>AND('Test Script'!#REF!,"AAAAACb+f50=")</f>
        <v>#REF!</v>
      </c>
      <c r="FC100" t="e">
        <f>AND('Test Script'!#REF!,"AAAAACb+f54=")</f>
        <v>#REF!</v>
      </c>
      <c r="FD100" t="e">
        <f>AND('Test Script'!#REF!,"AAAAACb+f58=")</f>
        <v>#REF!</v>
      </c>
      <c r="FE100" t="e">
        <f>AND('Test Script'!#REF!,"AAAAACb+f6A=")</f>
        <v>#REF!</v>
      </c>
      <c r="FF100" t="e">
        <f>AND('Test Script'!#REF!,"AAAAACb+f6E=")</f>
        <v>#REF!</v>
      </c>
      <c r="FG100" t="e">
        <f>AND('Test Script'!#REF!,"AAAAACb+f6I=")</f>
        <v>#REF!</v>
      </c>
      <c r="FH100" t="e">
        <f>AND('Test Script'!#REF!,"AAAAACb+f6M=")</f>
        <v>#REF!</v>
      </c>
      <c r="FI100" t="e">
        <f>AND('Test Script'!#REF!,"AAAAACb+f6Q=")</f>
        <v>#REF!</v>
      </c>
      <c r="FJ100" t="e">
        <f>AND('Test Script'!#REF!,"AAAAACb+f6U=")</f>
        <v>#REF!</v>
      </c>
      <c r="FK100" t="e">
        <f>AND('Test Script'!#REF!,"AAAAACb+f6Y=")</f>
        <v>#REF!</v>
      </c>
      <c r="FL100" t="e">
        <f>IF('Test Script'!#REF!,"AAAAACb+f6c=",0)</f>
        <v>#REF!</v>
      </c>
      <c r="FM100" t="e">
        <f>AND('Test Script'!#REF!,"AAAAACb+f6g=")</f>
        <v>#REF!</v>
      </c>
      <c r="FN100" t="e">
        <f>AND('Test Script'!#REF!,"AAAAACb+f6k=")</f>
        <v>#REF!</v>
      </c>
      <c r="FO100" t="e">
        <f>AND('Test Script'!#REF!,"AAAAACb+f6o=")</f>
        <v>#REF!</v>
      </c>
      <c r="FP100" t="e">
        <f>AND('Test Script'!#REF!,"AAAAACb+f6s=")</f>
        <v>#REF!</v>
      </c>
      <c r="FQ100" t="e">
        <f>AND('Test Script'!#REF!,"AAAAACb+f6w=")</f>
        <v>#REF!</v>
      </c>
      <c r="FR100" t="e">
        <f>AND('Test Script'!#REF!,"AAAAACb+f60=")</f>
        <v>#REF!</v>
      </c>
      <c r="FS100" t="e">
        <f>AND('Test Script'!#REF!,"AAAAACb+f64=")</f>
        <v>#REF!</v>
      </c>
      <c r="FT100" t="e">
        <f>AND('Test Script'!#REF!,"AAAAACb+f68=")</f>
        <v>#REF!</v>
      </c>
      <c r="FU100" t="e">
        <f>AND('Test Script'!#REF!,"AAAAACb+f7A=")</f>
        <v>#REF!</v>
      </c>
      <c r="FV100" t="e">
        <f>AND('Test Script'!#REF!,"AAAAACb+f7E=")</f>
        <v>#REF!</v>
      </c>
      <c r="FW100" t="e">
        <f>AND('Test Script'!#REF!,"AAAAACb+f7I=")</f>
        <v>#REF!</v>
      </c>
      <c r="FX100" t="e">
        <f>AND('Test Script'!#REF!,"AAAAACb+f7M=")</f>
        <v>#REF!</v>
      </c>
      <c r="FY100" t="e">
        <f>AND('Test Script'!#REF!,"AAAAACb+f7Q=")</f>
        <v>#REF!</v>
      </c>
      <c r="FZ100" t="e">
        <f>AND('Test Script'!#REF!,"AAAAACb+f7U=")</f>
        <v>#REF!</v>
      </c>
      <c r="GA100" t="e">
        <f>AND('Test Script'!#REF!,"AAAAACb+f7Y=")</f>
        <v>#REF!</v>
      </c>
      <c r="GB100" t="e">
        <f>AND('Test Script'!#REF!,"AAAAACb+f7c=")</f>
        <v>#REF!</v>
      </c>
      <c r="GC100" t="e">
        <f>AND('Test Script'!#REF!,"AAAAACb+f7g=")</f>
        <v>#REF!</v>
      </c>
      <c r="GD100" t="e">
        <f>AND('Test Script'!#REF!,"AAAAACb+f7k=")</f>
        <v>#REF!</v>
      </c>
      <c r="GE100" t="e">
        <f>AND('Test Script'!#REF!,"AAAAACb+f7o=")</f>
        <v>#REF!</v>
      </c>
      <c r="GF100" t="e">
        <f>AND('Test Script'!#REF!,"AAAAACb+f7s=")</f>
        <v>#REF!</v>
      </c>
      <c r="GG100" t="e">
        <f>AND('Test Script'!#REF!,"AAAAACb+f7w=")</f>
        <v>#REF!</v>
      </c>
      <c r="GH100" t="e">
        <f>AND('Test Script'!#REF!,"AAAAACb+f70=")</f>
        <v>#REF!</v>
      </c>
      <c r="GI100" t="e">
        <f>AND('Test Script'!#REF!,"AAAAACb+f74=")</f>
        <v>#REF!</v>
      </c>
      <c r="GJ100" t="e">
        <f>AND('Test Script'!#REF!,"AAAAACb+f78=")</f>
        <v>#REF!</v>
      </c>
      <c r="GK100" t="e">
        <f>AND('Test Script'!#REF!,"AAAAACb+f8A=")</f>
        <v>#REF!</v>
      </c>
      <c r="GL100" t="e">
        <f>AND('Test Script'!#REF!,"AAAAACb+f8E=")</f>
        <v>#REF!</v>
      </c>
      <c r="GM100" t="e">
        <f>IF('Test Script'!#REF!,"AAAAACb+f8I=",0)</f>
        <v>#REF!</v>
      </c>
      <c r="GN100" t="e">
        <f>AND('Test Script'!#REF!,"AAAAACb+f8M=")</f>
        <v>#REF!</v>
      </c>
      <c r="GO100" t="e">
        <f>AND('Test Script'!#REF!,"AAAAACb+f8Q=")</f>
        <v>#REF!</v>
      </c>
      <c r="GP100" t="e">
        <f>AND('Test Script'!#REF!,"AAAAACb+f8U=")</f>
        <v>#REF!</v>
      </c>
      <c r="GQ100" t="e">
        <f>AND('Test Script'!#REF!,"AAAAACb+f8Y=")</f>
        <v>#REF!</v>
      </c>
      <c r="GR100" t="e">
        <f>AND('Test Script'!#REF!,"AAAAACb+f8c=")</f>
        <v>#REF!</v>
      </c>
      <c r="GS100" t="e">
        <f>AND('Test Script'!#REF!,"AAAAACb+f8g=")</f>
        <v>#REF!</v>
      </c>
      <c r="GT100" t="e">
        <f>AND('Test Script'!#REF!,"AAAAACb+f8k=")</f>
        <v>#REF!</v>
      </c>
      <c r="GU100" t="e">
        <f>AND('Test Script'!#REF!,"AAAAACb+f8o=")</f>
        <v>#REF!</v>
      </c>
      <c r="GV100" t="e">
        <f>AND('Test Script'!#REF!,"AAAAACb+f8s=")</f>
        <v>#REF!</v>
      </c>
      <c r="GW100" t="e">
        <f>AND('Test Script'!#REF!,"AAAAACb+f8w=")</f>
        <v>#REF!</v>
      </c>
      <c r="GX100" t="e">
        <f>AND('Test Script'!#REF!,"AAAAACb+f80=")</f>
        <v>#REF!</v>
      </c>
      <c r="GY100" t="e">
        <f>AND('Test Script'!#REF!,"AAAAACb+f84=")</f>
        <v>#REF!</v>
      </c>
      <c r="GZ100" t="e">
        <f>AND('Test Script'!#REF!,"AAAAACb+f88=")</f>
        <v>#REF!</v>
      </c>
      <c r="HA100" t="e">
        <f>AND('Test Script'!#REF!,"AAAAACb+f9A=")</f>
        <v>#REF!</v>
      </c>
      <c r="HB100" t="e">
        <f>AND('Test Script'!#REF!,"AAAAACb+f9E=")</f>
        <v>#REF!</v>
      </c>
      <c r="HC100" t="e">
        <f>AND('Test Script'!#REF!,"AAAAACb+f9I=")</f>
        <v>#REF!</v>
      </c>
      <c r="HD100" t="e">
        <f>AND('Test Script'!#REF!,"AAAAACb+f9M=")</f>
        <v>#REF!</v>
      </c>
      <c r="HE100" t="e">
        <f>AND('Test Script'!#REF!,"AAAAACb+f9Q=")</f>
        <v>#REF!</v>
      </c>
      <c r="HF100" t="e">
        <f>AND('Test Script'!#REF!,"AAAAACb+f9U=")</f>
        <v>#REF!</v>
      </c>
      <c r="HG100" t="e">
        <f>AND('Test Script'!#REF!,"AAAAACb+f9Y=")</f>
        <v>#REF!</v>
      </c>
      <c r="HH100" t="e">
        <f>AND('Test Script'!#REF!,"AAAAACb+f9c=")</f>
        <v>#REF!</v>
      </c>
      <c r="HI100" t="e">
        <f>AND('Test Script'!#REF!,"AAAAACb+f9g=")</f>
        <v>#REF!</v>
      </c>
      <c r="HJ100" t="e">
        <f>AND('Test Script'!#REF!,"AAAAACb+f9k=")</f>
        <v>#REF!</v>
      </c>
      <c r="HK100" t="e">
        <f>AND('Test Script'!#REF!,"AAAAACb+f9o=")</f>
        <v>#REF!</v>
      </c>
      <c r="HL100" t="e">
        <f>AND('Test Script'!#REF!,"AAAAACb+f9s=")</f>
        <v>#REF!</v>
      </c>
      <c r="HM100" t="e">
        <f>AND('Test Script'!#REF!,"AAAAACb+f9w=")</f>
        <v>#REF!</v>
      </c>
      <c r="HN100" t="e">
        <f>IF('Test Script'!#REF!,"AAAAACb+f90=",0)</f>
        <v>#REF!</v>
      </c>
      <c r="HO100" t="e">
        <f>AND('Test Script'!#REF!,"AAAAACb+f94=")</f>
        <v>#REF!</v>
      </c>
      <c r="HP100" t="e">
        <f>AND('Test Script'!#REF!,"AAAAACb+f98=")</f>
        <v>#REF!</v>
      </c>
      <c r="HQ100" t="e">
        <f>AND('Test Script'!#REF!,"AAAAACb+f+A=")</f>
        <v>#REF!</v>
      </c>
      <c r="HR100" t="e">
        <f>AND('Test Script'!#REF!,"AAAAACb+f+E=")</f>
        <v>#REF!</v>
      </c>
      <c r="HS100" t="e">
        <f>AND('Test Script'!#REF!,"AAAAACb+f+I=")</f>
        <v>#REF!</v>
      </c>
      <c r="HT100" t="e">
        <f>AND('Test Script'!#REF!,"AAAAACb+f+M=")</f>
        <v>#REF!</v>
      </c>
      <c r="HU100" t="e">
        <f>AND('Test Script'!#REF!,"AAAAACb+f+Q=")</f>
        <v>#REF!</v>
      </c>
      <c r="HV100" t="e">
        <f>AND('Test Script'!#REF!,"AAAAACb+f+U=")</f>
        <v>#REF!</v>
      </c>
      <c r="HW100" t="e">
        <f>AND('Test Script'!#REF!,"AAAAACb+f+Y=")</f>
        <v>#REF!</v>
      </c>
      <c r="HX100" t="e">
        <f>AND('Test Script'!#REF!,"AAAAACb+f+c=")</f>
        <v>#REF!</v>
      </c>
      <c r="HY100" t="e">
        <f>AND('Test Script'!#REF!,"AAAAACb+f+g=")</f>
        <v>#REF!</v>
      </c>
      <c r="HZ100" t="e">
        <f>AND('Test Script'!#REF!,"AAAAACb+f+k=")</f>
        <v>#REF!</v>
      </c>
      <c r="IA100" t="e">
        <f>AND('Test Script'!#REF!,"AAAAACb+f+o=")</f>
        <v>#REF!</v>
      </c>
      <c r="IB100" t="e">
        <f>AND('Test Script'!#REF!,"AAAAACb+f+s=")</f>
        <v>#REF!</v>
      </c>
      <c r="IC100" t="e">
        <f>AND('Test Script'!#REF!,"AAAAACb+f+w=")</f>
        <v>#REF!</v>
      </c>
      <c r="ID100" t="e">
        <f>AND('Test Script'!#REF!,"AAAAACb+f+0=")</f>
        <v>#REF!</v>
      </c>
      <c r="IE100" t="e">
        <f>AND('Test Script'!#REF!,"AAAAACb+f+4=")</f>
        <v>#REF!</v>
      </c>
      <c r="IF100" t="e">
        <f>AND('Test Script'!#REF!,"AAAAACb+f+8=")</f>
        <v>#REF!</v>
      </c>
      <c r="IG100" t="e">
        <f>AND('Test Script'!#REF!,"AAAAACb+f/A=")</f>
        <v>#REF!</v>
      </c>
      <c r="IH100" t="e">
        <f>AND('Test Script'!#REF!,"AAAAACb+f/E=")</f>
        <v>#REF!</v>
      </c>
      <c r="II100" t="e">
        <f>AND('Test Script'!#REF!,"AAAAACb+f/I=")</f>
        <v>#REF!</v>
      </c>
      <c r="IJ100" t="e">
        <f>AND('Test Script'!#REF!,"AAAAACb+f/M=")</f>
        <v>#REF!</v>
      </c>
      <c r="IK100" t="e">
        <f>AND('Test Script'!#REF!,"AAAAACb+f/Q=")</f>
        <v>#REF!</v>
      </c>
      <c r="IL100" t="e">
        <f>AND('Test Script'!#REF!,"AAAAACb+f/U=")</f>
        <v>#REF!</v>
      </c>
      <c r="IM100" t="e">
        <f>AND('Test Script'!#REF!,"AAAAACb+f/Y=")</f>
        <v>#REF!</v>
      </c>
      <c r="IN100" t="e">
        <f>AND('Test Script'!#REF!,"AAAAACb+f/c=")</f>
        <v>#REF!</v>
      </c>
      <c r="IO100" t="e">
        <f>IF('Test Script'!#REF!,"AAAAACb+f/g=",0)</f>
        <v>#REF!</v>
      </c>
      <c r="IP100" t="e">
        <f>AND('Test Script'!#REF!,"AAAAACb+f/k=")</f>
        <v>#REF!</v>
      </c>
      <c r="IQ100" t="e">
        <f>AND('Test Script'!#REF!,"AAAAACb+f/o=")</f>
        <v>#REF!</v>
      </c>
      <c r="IR100" t="e">
        <f>AND('Test Script'!#REF!,"AAAAACb+f/s=")</f>
        <v>#REF!</v>
      </c>
      <c r="IS100" t="e">
        <f>AND('Test Script'!#REF!,"AAAAACb+f/w=")</f>
        <v>#REF!</v>
      </c>
      <c r="IT100" t="e">
        <f>AND('Test Script'!#REF!,"AAAAACb+f/0=")</f>
        <v>#REF!</v>
      </c>
      <c r="IU100" t="e">
        <f>AND('Test Script'!#REF!,"AAAAACb+f/4=")</f>
        <v>#REF!</v>
      </c>
      <c r="IV100" t="e">
        <f>AND('Test Script'!#REF!,"AAAAACb+f/8=")</f>
        <v>#REF!</v>
      </c>
    </row>
    <row r="101" spans="1:256" x14ac:dyDescent="0.2">
      <c r="A101" t="e">
        <f>AND('Test Script'!#REF!,"AAAAAF//9AA=")</f>
        <v>#REF!</v>
      </c>
      <c r="B101" t="e">
        <f>AND('Test Script'!#REF!,"AAAAAF//9AE=")</f>
        <v>#REF!</v>
      </c>
      <c r="C101" t="e">
        <f>AND('Test Script'!#REF!,"AAAAAF//9AI=")</f>
        <v>#REF!</v>
      </c>
      <c r="D101" t="e">
        <f>AND('Test Script'!#REF!,"AAAAAF//9AM=")</f>
        <v>#REF!</v>
      </c>
      <c r="E101" t="e">
        <f>AND('Test Script'!#REF!,"AAAAAF//9AQ=")</f>
        <v>#REF!</v>
      </c>
      <c r="F101" t="e">
        <f>AND('Test Script'!#REF!,"AAAAAF//9AU=")</f>
        <v>#REF!</v>
      </c>
      <c r="G101" t="e">
        <f>AND('Test Script'!#REF!,"AAAAAF//9AY=")</f>
        <v>#REF!</v>
      </c>
      <c r="H101" t="e">
        <f>AND('Test Script'!#REF!,"AAAAAF//9Ac=")</f>
        <v>#REF!</v>
      </c>
      <c r="I101" t="e">
        <f>AND('Test Script'!#REF!,"AAAAAF//9Ag=")</f>
        <v>#REF!</v>
      </c>
      <c r="J101" t="e">
        <f>AND('Test Script'!#REF!,"AAAAAF//9Ak=")</f>
        <v>#REF!</v>
      </c>
      <c r="K101" t="e">
        <f>AND('Test Script'!#REF!,"AAAAAF//9Ao=")</f>
        <v>#REF!</v>
      </c>
      <c r="L101" t="e">
        <f>AND('Test Script'!#REF!,"AAAAAF//9As=")</f>
        <v>#REF!</v>
      </c>
      <c r="M101" t="e">
        <f>AND('Test Script'!#REF!,"AAAAAF//9Aw=")</f>
        <v>#REF!</v>
      </c>
      <c r="N101" t="e">
        <f>AND('Test Script'!#REF!,"AAAAAF//9A0=")</f>
        <v>#REF!</v>
      </c>
      <c r="O101" t="e">
        <f>AND('Test Script'!#REF!,"AAAAAF//9A4=")</f>
        <v>#REF!</v>
      </c>
      <c r="P101" t="e">
        <f>AND('Test Script'!#REF!,"AAAAAF//9A8=")</f>
        <v>#REF!</v>
      </c>
      <c r="Q101" t="e">
        <f>AND('Test Script'!#REF!,"AAAAAF//9BA=")</f>
        <v>#REF!</v>
      </c>
      <c r="R101" t="e">
        <f>AND('Test Script'!#REF!,"AAAAAF//9BE=")</f>
        <v>#REF!</v>
      </c>
      <c r="S101" t="e">
        <f>AND('Test Script'!#REF!,"AAAAAF//9BI=")</f>
        <v>#REF!</v>
      </c>
      <c r="T101" t="e">
        <f>IF('Test Script'!#REF!,"AAAAAF//9BM=",0)</f>
        <v>#REF!</v>
      </c>
      <c r="U101" t="e">
        <f>AND('Test Script'!#REF!,"AAAAAF//9BQ=")</f>
        <v>#REF!</v>
      </c>
      <c r="V101" t="e">
        <f>AND('Test Script'!#REF!,"AAAAAF//9BU=")</f>
        <v>#REF!</v>
      </c>
      <c r="W101" t="e">
        <f>AND('Test Script'!#REF!,"AAAAAF//9BY=")</f>
        <v>#REF!</v>
      </c>
      <c r="X101" t="e">
        <f>AND('Test Script'!#REF!,"AAAAAF//9Bc=")</f>
        <v>#REF!</v>
      </c>
      <c r="Y101" t="e">
        <f>AND('Test Script'!#REF!,"AAAAAF//9Bg=")</f>
        <v>#REF!</v>
      </c>
      <c r="Z101" t="e">
        <f>AND('Test Script'!#REF!,"AAAAAF//9Bk=")</f>
        <v>#REF!</v>
      </c>
      <c r="AA101" t="e">
        <f>AND('Test Script'!#REF!,"AAAAAF//9Bo=")</f>
        <v>#REF!</v>
      </c>
      <c r="AB101" t="e">
        <f>AND('Test Script'!#REF!,"AAAAAF//9Bs=")</f>
        <v>#REF!</v>
      </c>
      <c r="AC101" t="e">
        <f>AND('Test Script'!#REF!,"AAAAAF//9Bw=")</f>
        <v>#REF!</v>
      </c>
      <c r="AD101" t="e">
        <f>AND('Test Script'!#REF!,"AAAAAF//9B0=")</f>
        <v>#REF!</v>
      </c>
      <c r="AE101" t="e">
        <f>AND('Test Script'!#REF!,"AAAAAF//9B4=")</f>
        <v>#REF!</v>
      </c>
      <c r="AF101" t="e">
        <f>AND('Test Script'!#REF!,"AAAAAF//9B8=")</f>
        <v>#REF!</v>
      </c>
      <c r="AG101" t="e">
        <f>AND('Test Script'!#REF!,"AAAAAF//9CA=")</f>
        <v>#REF!</v>
      </c>
      <c r="AH101" t="e">
        <f>AND('Test Script'!#REF!,"AAAAAF//9CE=")</f>
        <v>#REF!</v>
      </c>
      <c r="AI101" t="e">
        <f>AND('Test Script'!#REF!,"AAAAAF//9CI=")</f>
        <v>#REF!</v>
      </c>
      <c r="AJ101" t="e">
        <f>AND('Test Script'!#REF!,"AAAAAF//9CM=")</f>
        <v>#REF!</v>
      </c>
      <c r="AK101" t="e">
        <f>AND('Test Script'!#REF!,"AAAAAF//9CQ=")</f>
        <v>#REF!</v>
      </c>
      <c r="AL101" t="e">
        <f>AND('Test Script'!#REF!,"AAAAAF//9CU=")</f>
        <v>#REF!</v>
      </c>
      <c r="AM101" t="e">
        <f>AND('Test Script'!#REF!,"AAAAAF//9CY=")</f>
        <v>#REF!</v>
      </c>
      <c r="AN101" t="e">
        <f>AND('Test Script'!#REF!,"AAAAAF//9Cc=")</f>
        <v>#REF!</v>
      </c>
      <c r="AO101" t="e">
        <f>AND('Test Script'!#REF!,"AAAAAF//9Cg=")</f>
        <v>#REF!</v>
      </c>
      <c r="AP101" t="e">
        <f>AND('Test Script'!#REF!,"AAAAAF//9Ck=")</f>
        <v>#REF!</v>
      </c>
      <c r="AQ101" t="e">
        <f>AND('Test Script'!#REF!,"AAAAAF//9Co=")</f>
        <v>#REF!</v>
      </c>
      <c r="AR101" t="e">
        <f>AND('Test Script'!#REF!,"AAAAAF//9Cs=")</f>
        <v>#REF!</v>
      </c>
      <c r="AS101" t="e">
        <f>AND('Test Script'!#REF!,"AAAAAF//9Cw=")</f>
        <v>#REF!</v>
      </c>
      <c r="AT101" t="e">
        <f>AND('Test Script'!#REF!,"AAAAAF//9C0=")</f>
        <v>#REF!</v>
      </c>
      <c r="AU101" t="e">
        <f>IF('Test Script'!#REF!,"AAAAAF//9C4=",0)</f>
        <v>#REF!</v>
      </c>
      <c r="AV101" t="e">
        <f>AND('Test Script'!#REF!,"AAAAAF//9C8=")</f>
        <v>#REF!</v>
      </c>
      <c r="AW101" t="e">
        <f>AND('Test Script'!#REF!,"AAAAAF//9DA=")</f>
        <v>#REF!</v>
      </c>
      <c r="AX101" t="e">
        <f>AND('Test Script'!#REF!,"AAAAAF//9DE=")</f>
        <v>#REF!</v>
      </c>
      <c r="AY101" t="e">
        <f>AND('Test Script'!#REF!,"AAAAAF//9DI=")</f>
        <v>#REF!</v>
      </c>
      <c r="AZ101" t="e">
        <f>AND('Test Script'!#REF!,"AAAAAF//9DM=")</f>
        <v>#REF!</v>
      </c>
      <c r="BA101" t="e">
        <f>AND('Test Script'!#REF!,"AAAAAF//9DQ=")</f>
        <v>#REF!</v>
      </c>
      <c r="BB101" t="e">
        <f>AND('Test Script'!#REF!,"AAAAAF//9DU=")</f>
        <v>#REF!</v>
      </c>
      <c r="BC101" t="e">
        <f>AND('Test Script'!#REF!,"AAAAAF//9DY=")</f>
        <v>#REF!</v>
      </c>
      <c r="BD101" t="e">
        <f>AND('Test Script'!#REF!,"AAAAAF//9Dc=")</f>
        <v>#REF!</v>
      </c>
      <c r="BE101" t="e">
        <f>AND('Test Script'!#REF!,"AAAAAF//9Dg=")</f>
        <v>#REF!</v>
      </c>
      <c r="BF101" t="e">
        <f>AND('Test Script'!#REF!,"AAAAAF//9Dk=")</f>
        <v>#REF!</v>
      </c>
      <c r="BG101" t="e">
        <f>AND('Test Script'!#REF!,"AAAAAF//9Do=")</f>
        <v>#REF!</v>
      </c>
      <c r="BH101" t="e">
        <f>AND('Test Script'!#REF!,"AAAAAF//9Ds=")</f>
        <v>#REF!</v>
      </c>
      <c r="BI101" t="e">
        <f>AND('Test Script'!#REF!,"AAAAAF//9Dw=")</f>
        <v>#REF!</v>
      </c>
      <c r="BJ101" t="e">
        <f>AND('Test Script'!#REF!,"AAAAAF//9D0=")</f>
        <v>#REF!</v>
      </c>
      <c r="BK101" t="e">
        <f>AND('Test Script'!#REF!,"AAAAAF//9D4=")</f>
        <v>#REF!</v>
      </c>
      <c r="BL101" t="e">
        <f>AND('Test Script'!#REF!,"AAAAAF//9D8=")</f>
        <v>#REF!</v>
      </c>
      <c r="BM101" t="e">
        <f>AND('Test Script'!#REF!,"AAAAAF//9EA=")</f>
        <v>#REF!</v>
      </c>
      <c r="BN101" t="e">
        <f>AND('Test Script'!#REF!,"AAAAAF//9EE=")</f>
        <v>#REF!</v>
      </c>
      <c r="BO101" t="e">
        <f>AND('Test Script'!#REF!,"AAAAAF//9EI=")</f>
        <v>#REF!</v>
      </c>
      <c r="BP101" t="e">
        <f>AND('Test Script'!#REF!,"AAAAAF//9EM=")</f>
        <v>#REF!</v>
      </c>
      <c r="BQ101" t="e">
        <f>AND('Test Script'!#REF!,"AAAAAF//9EQ=")</f>
        <v>#REF!</v>
      </c>
      <c r="BR101" t="e">
        <f>AND('Test Script'!#REF!,"AAAAAF//9EU=")</f>
        <v>#REF!</v>
      </c>
      <c r="BS101" t="e">
        <f>AND('Test Script'!#REF!,"AAAAAF//9EY=")</f>
        <v>#REF!</v>
      </c>
      <c r="BT101" t="e">
        <f>AND('Test Script'!#REF!,"AAAAAF//9Ec=")</f>
        <v>#REF!</v>
      </c>
      <c r="BU101" t="e">
        <f>AND('Test Script'!#REF!,"AAAAAF//9Eg=")</f>
        <v>#REF!</v>
      </c>
      <c r="BV101" t="e">
        <f>IF('Test Script'!#REF!,"AAAAAF//9Ek=",0)</f>
        <v>#REF!</v>
      </c>
      <c r="BW101" t="e">
        <f>AND('Test Script'!#REF!,"AAAAAF//9Eo=")</f>
        <v>#REF!</v>
      </c>
      <c r="BX101" t="e">
        <f>AND('Test Script'!#REF!,"AAAAAF//9Es=")</f>
        <v>#REF!</v>
      </c>
      <c r="BY101" t="e">
        <f>AND('Test Script'!#REF!,"AAAAAF//9Ew=")</f>
        <v>#REF!</v>
      </c>
      <c r="BZ101" t="e">
        <f>AND('Test Script'!#REF!,"AAAAAF//9E0=")</f>
        <v>#REF!</v>
      </c>
      <c r="CA101" t="e">
        <f>AND('Test Script'!#REF!,"AAAAAF//9E4=")</f>
        <v>#REF!</v>
      </c>
      <c r="CB101" t="e">
        <f>AND('Test Script'!#REF!,"AAAAAF//9E8=")</f>
        <v>#REF!</v>
      </c>
      <c r="CC101" t="e">
        <f>AND('Test Script'!#REF!,"AAAAAF//9FA=")</f>
        <v>#REF!</v>
      </c>
      <c r="CD101" t="e">
        <f>AND('Test Script'!#REF!,"AAAAAF//9FE=")</f>
        <v>#REF!</v>
      </c>
      <c r="CE101" t="e">
        <f>AND('Test Script'!#REF!,"AAAAAF//9FI=")</f>
        <v>#REF!</v>
      </c>
      <c r="CF101" t="e">
        <f>AND('Test Script'!#REF!,"AAAAAF//9FM=")</f>
        <v>#REF!</v>
      </c>
      <c r="CG101" t="e">
        <f>AND('Test Script'!#REF!,"AAAAAF//9FQ=")</f>
        <v>#REF!</v>
      </c>
      <c r="CH101" t="e">
        <f>AND('Test Script'!#REF!,"AAAAAF//9FU=")</f>
        <v>#REF!</v>
      </c>
      <c r="CI101" t="e">
        <f>AND('Test Script'!#REF!,"AAAAAF//9FY=")</f>
        <v>#REF!</v>
      </c>
      <c r="CJ101" t="e">
        <f>AND('Test Script'!#REF!,"AAAAAF//9Fc=")</f>
        <v>#REF!</v>
      </c>
      <c r="CK101" t="e">
        <f>AND('Test Script'!#REF!,"AAAAAF//9Fg=")</f>
        <v>#REF!</v>
      </c>
      <c r="CL101" t="e">
        <f>AND('Test Script'!#REF!,"AAAAAF//9Fk=")</f>
        <v>#REF!</v>
      </c>
      <c r="CM101" t="e">
        <f>AND('Test Script'!#REF!,"AAAAAF//9Fo=")</f>
        <v>#REF!</v>
      </c>
      <c r="CN101" t="e">
        <f>AND('Test Script'!#REF!,"AAAAAF//9Fs=")</f>
        <v>#REF!</v>
      </c>
      <c r="CO101" t="e">
        <f>AND('Test Script'!#REF!,"AAAAAF//9Fw=")</f>
        <v>#REF!</v>
      </c>
      <c r="CP101" t="e">
        <f>AND('Test Script'!#REF!,"AAAAAF//9F0=")</f>
        <v>#REF!</v>
      </c>
      <c r="CQ101" t="e">
        <f>AND('Test Script'!#REF!,"AAAAAF//9F4=")</f>
        <v>#REF!</v>
      </c>
      <c r="CR101" t="e">
        <f>AND('Test Script'!#REF!,"AAAAAF//9F8=")</f>
        <v>#REF!</v>
      </c>
      <c r="CS101" t="e">
        <f>AND('Test Script'!#REF!,"AAAAAF//9GA=")</f>
        <v>#REF!</v>
      </c>
      <c r="CT101" t="e">
        <f>AND('Test Script'!#REF!,"AAAAAF//9GE=")</f>
        <v>#REF!</v>
      </c>
      <c r="CU101" t="e">
        <f>AND('Test Script'!#REF!,"AAAAAF//9GI=")</f>
        <v>#REF!</v>
      </c>
      <c r="CV101" t="e">
        <f>AND('Test Script'!#REF!,"AAAAAF//9GM=")</f>
        <v>#REF!</v>
      </c>
      <c r="CW101" t="e">
        <f>IF('Test Script'!#REF!,"AAAAAF//9GQ=",0)</f>
        <v>#REF!</v>
      </c>
      <c r="CX101" t="e">
        <f>AND('Test Script'!#REF!,"AAAAAF//9GU=")</f>
        <v>#REF!</v>
      </c>
      <c r="CY101" t="e">
        <f>AND('Test Script'!#REF!,"AAAAAF//9GY=")</f>
        <v>#REF!</v>
      </c>
      <c r="CZ101" t="e">
        <f>AND('Test Script'!#REF!,"AAAAAF//9Gc=")</f>
        <v>#REF!</v>
      </c>
      <c r="DA101" t="e">
        <f>AND('Test Script'!#REF!,"AAAAAF//9Gg=")</f>
        <v>#REF!</v>
      </c>
      <c r="DB101" t="e">
        <f>AND('Test Script'!#REF!,"AAAAAF//9Gk=")</f>
        <v>#REF!</v>
      </c>
      <c r="DC101" t="e">
        <f>AND('Test Script'!#REF!,"AAAAAF//9Go=")</f>
        <v>#REF!</v>
      </c>
      <c r="DD101" t="e">
        <f>AND('Test Script'!#REF!,"AAAAAF//9Gs=")</f>
        <v>#REF!</v>
      </c>
      <c r="DE101" t="e">
        <f>AND('Test Script'!#REF!,"AAAAAF//9Gw=")</f>
        <v>#REF!</v>
      </c>
      <c r="DF101" t="e">
        <f>AND('Test Script'!#REF!,"AAAAAF//9G0=")</f>
        <v>#REF!</v>
      </c>
      <c r="DG101" t="e">
        <f>AND('Test Script'!#REF!,"AAAAAF//9G4=")</f>
        <v>#REF!</v>
      </c>
      <c r="DH101" t="e">
        <f>AND('Test Script'!#REF!,"AAAAAF//9G8=")</f>
        <v>#REF!</v>
      </c>
      <c r="DI101" t="e">
        <f>AND('Test Script'!#REF!,"AAAAAF//9HA=")</f>
        <v>#REF!</v>
      </c>
      <c r="DJ101" t="e">
        <f>AND('Test Script'!#REF!,"AAAAAF//9HE=")</f>
        <v>#REF!</v>
      </c>
      <c r="DK101" t="e">
        <f>AND('Test Script'!#REF!,"AAAAAF//9HI=")</f>
        <v>#REF!</v>
      </c>
      <c r="DL101" t="e">
        <f>AND('Test Script'!#REF!,"AAAAAF//9HM=")</f>
        <v>#REF!</v>
      </c>
      <c r="DM101" t="e">
        <f>AND('Test Script'!#REF!,"AAAAAF//9HQ=")</f>
        <v>#REF!</v>
      </c>
      <c r="DN101" t="e">
        <f>AND('Test Script'!#REF!,"AAAAAF//9HU=")</f>
        <v>#REF!</v>
      </c>
      <c r="DO101" t="e">
        <f>AND('Test Script'!#REF!,"AAAAAF//9HY=")</f>
        <v>#REF!</v>
      </c>
      <c r="DP101" t="e">
        <f>AND('Test Script'!#REF!,"AAAAAF//9Hc=")</f>
        <v>#REF!</v>
      </c>
      <c r="DQ101" t="e">
        <f>AND('Test Script'!#REF!,"AAAAAF//9Hg=")</f>
        <v>#REF!</v>
      </c>
      <c r="DR101" t="e">
        <f>AND('Test Script'!#REF!,"AAAAAF//9Hk=")</f>
        <v>#REF!</v>
      </c>
      <c r="DS101" t="e">
        <f>AND('Test Script'!#REF!,"AAAAAF//9Ho=")</f>
        <v>#REF!</v>
      </c>
      <c r="DT101" t="e">
        <f>AND('Test Script'!#REF!,"AAAAAF//9Hs=")</f>
        <v>#REF!</v>
      </c>
      <c r="DU101" t="e">
        <f>AND('Test Script'!#REF!,"AAAAAF//9Hw=")</f>
        <v>#REF!</v>
      </c>
      <c r="DV101" t="e">
        <f>AND('Test Script'!#REF!,"AAAAAF//9H0=")</f>
        <v>#REF!</v>
      </c>
      <c r="DW101" t="e">
        <f>AND('Test Script'!#REF!,"AAAAAF//9H4=")</f>
        <v>#REF!</v>
      </c>
      <c r="DX101">
        <f>IF('Test Script'!25:25,"AAAAAF//9H8=",0)</f>
        <v>0</v>
      </c>
      <c r="DY101" t="e">
        <f>AND('Test Script'!B25,"AAAAAF//9IA=")</f>
        <v>#VALUE!</v>
      </c>
      <c r="DZ101" t="e">
        <f>AND('Test Script'!#REF!,"AAAAAF//9IE=")</f>
        <v>#REF!</v>
      </c>
      <c r="EA101" t="e">
        <f>AND('Test Script'!#REF!,"AAAAAF//9II=")</f>
        <v>#REF!</v>
      </c>
      <c r="EB101" t="e">
        <f>AND('Test Script'!#REF!,"AAAAAF//9IM=")</f>
        <v>#REF!</v>
      </c>
      <c r="EC101" t="e">
        <f>AND('Test Script'!#REF!,"AAAAAF//9IQ=")</f>
        <v>#REF!</v>
      </c>
      <c r="ED101" t="e">
        <f>AND('Test Script'!C25,"AAAAAF//9IU=")</f>
        <v>#VALUE!</v>
      </c>
      <c r="EE101" t="e">
        <f>AND('Test Script'!D25,"AAAAAF//9IY=")</f>
        <v>#VALUE!</v>
      </c>
      <c r="EF101" t="e">
        <f>AND('Test Script'!E25,"AAAAAF//9Ic=")</f>
        <v>#VALUE!</v>
      </c>
      <c r="EG101" t="e">
        <f>AND('Test Script'!F25,"AAAAAF//9Ig=")</f>
        <v>#VALUE!</v>
      </c>
      <c r="EH101" t="e">
        <f>AND('Test Script'!G25,"AAAAAF//9Ik=")</f>
        <v>#VALUE!</v>
      </c>
      <c r="EI101" t="e">
        <f>AND('Test Script'!H25,"AAAAAF//9Io=")</f>
        <v>#VALUE!</v>
      </c>
      <c r="EJ101" t="e">
        <f>AND('Test Script'!I25,"AAAAAF//9Is=")</f>
        <v>#VALUE!</v>
      </c>
      <c r="EK101" t="e">
        <f>AND('Test Script'!J25,"AAAAAF//9Iw=")</f>
        <v>#VALUE!</v>
      </c>
      <c r="EL101" t="e">
        <f>AND('Test Script'!K25,"AAAAAF//9I0=")</f>
        <v>#VALUE!</v>
      </c>
      <c r="EM101" t="e">
        <f>AND('Test Script'!L25,"AAAAAF//9I4=")</f>
        <v>#VALUE!</v>
      </c>
      <c r="EN101" t="e">
        <f>AND('Test Script'!M25,"AAAAAF//9I8=")</f>
        <v>#VALUE!</v>
      </c>
      <c r="EO101" t="e">
        <f>AND('Test Script'!N25,"AAAAAF//9JA=")</f>
        <v>#VALUE!</v>
      </c>
      <c r="EP101" t="e">
        <f>AND('Test Script'!O25,"AAAAAF//9JE=")</f>
        <v>#VALUE!</v>
      </c>
      <c r="EQ101" t="e">
        <f>AND('Test Script'!#REF!,"AAAAAF//9JI=")</f>
        <v>#REF!</v>
      </c>
      <c r="ER101" t="e">
        <f>AND('Test Script'!#REF!,"AAAAAF//9JM=")</f>
        <v>#REF!</v>
      </c>
      <c r="ES101" t="e">
        <f>AND('Test Script'!#REF!,"AAAAAF//9JQ=")</f>
        <v>#REF!</v>
      </c>
      <c r="ET101" t="e">
        <f>AND('Test Script'!#REF!,"AAAAAF//9JU=")</f>
        <v>#REF!</v>
      </c>
      <c r="EU101" t="e">
        <f>AND('Test Script'!#REF!,"AAAAAF//9JY=")</f>
        <v>#REF!</v>
      </c>
      <c r="EV101" t="e">
        <f>AND('Test Script'!#REF!,"AAAAAF//9Jc=")</f>
        <v>#REF!</v>
      </c>
      <c r="EW101" t="e">
        <f>AND('Test Script'!P25,"AAAAAF//9Jg=")</f>
        <v>#VALUE!</v>
      </c>
      <c r="EX101" t="e">
        <f>AND('Test Script'!Q25,"AAAAAF//9Jk=")</f>
        <v>#VALUE!</v>
      </c>
      <c r="EY101">
        <f>IF('Test Script'!26:26,"AAAAAF//9Jo=",0)</f>
        <v>0</v>
      </c>
      <c r="EZ101" t="e">
        <f>AND('Test Script'!B26,"AAAAAF//9Js=")</f>
        <v>#VALUE!</v>
      </c>
      <c r="FA101" t="e">
        <f>AND('Test Script'!#REF!,"AAAAAF//9Jw=")</f>
        <v>#REF!</v>
      </c>
      <c r="FB101" t="e">
        <f>AND('Test Script'!#REF!,"AAAAAF//9J0=")</f>
        <v>#REF!</v>
      </c>
      <c r="FC101" t="e">
        <f>AND('Test Script'!#REF!,"AAAAAF//9J4=")</f>
        <v>#REF!</v>
      </c>
      <c r="FD101" t="e">
        <f>AND('Test Script'!#REF!,"AAAAAF//9J8=")</f>
        <v>#REF!</v>
      </c>
      <c r="FE101" t="e">
        <f>AND('Test Script'!C26,"AAAAAF//9KA=")</f>
        <v>#VALUE!</v>
      </c>
      <c r="FF101" t="e">
        <f>AND('Test Script'!D26,"AAAAAF//9KE=")</f>
        <v>#VALUE!</v>
      </c>
      <c r="FG101" t="e">
        <f>AND('Test Script'!E26,"AAAAAF//9KI=")</f>
        <v>#VALUE!</v>
      </c>
      <c r="FH101" t="e">
        <f>AND('Test Script'!F26,"AAAAAF//9KM=")</f>
        <v>#VALUE!</v>
      </c>
      <c r="FI101" t="e">
        <f>AND('Test Script'!G26,"AAAAAF//9KQ=")</f>
        <v>#VALUE!</v>
      </c>
      <c r="FJ101" t="e">
        <f>AND('Test Script'!H26,"AAAAAF//9KU=")</f>
        <v>#VALUE!</v>
      </c>
      <c r="FK101" t="e">
        <f>AND('Test Script'!I26,"AAAAAF//9KY=")</f>
        <v>#VALUE!</v>
      </c>
      <c r="FL101" t="e">
        <f>AND('Test Script'!J26,"AAAAAF//9Kc=")</f>
        <v>#VALUE!</v>
      </c>
      <c r="FM101" t="e">
        <f>AND('Test Script'!K26,"AAAAAF//9Kg=")</f>
        <v>#VALUE!</v>
      </c>
      <c r="FN101" t="e">
        <f>AND('Test Script'!L26,"AAAAAF//9Kk=")</f>
        <v>#VALUE!</v>
      </c>
      <c r="FO101" t="e">
        <f>AND('Test Script'!M26,"AAAAAF//9Ko=")</f>
        <v>#VALUE!</v>
      </c>
      <c r="FP101" t="e">
        <f>AND('Test Script'!N26,"AAAAAF//9Ks=")</f>
        <v>#VALUE!</v>
      </c>
      <c r="FQ101" t="e">
        <f>AND('Test Script'!O26,"AAAAAF//9Kw=")</f>
        <v>#VALUE!</v>
      </c>
      <c r="FR101" t="e">
        <f>AND('Test Script'!#REF!,"AAAAAF//9K0=")</f>
        <v>#REF!</v>
      </c>
      <c r="FS101" t="e">
        <f>AND('Test Script'!#REF!,"AAAAAF//9K4=")</f>
        <v>#REF!</v>
      </c>
      <c r="FT101" t="e">
        <f>AND('Test Script'!#REF!,"AAAAAF//9K8=")</f>
        <v>#REF!</v>
      </c>
      <c r="FU101" t="e">
        <f>AND('Test Script'!#REF!,"AAAAAF//9LA=")</f>
        <v>#REF!</v>
      </c>
      <c r="FV101" t="e">
        <f>AND('Test Script'!#REF!,"AAAAAF//9LE=")</f>
        <v>#REF!</v>
      </c>
      <c r="FW101" t="e">
        <f>AND('Test Script'!#REF!,"AAAAAF//9LI=")</f>
        <v>#REF!</v>
      </c>
      <c r="FX101" t="e">
        <f>AND('Test Script'!P26,"AAAAAF//9LM=")</f>
        <v>#VALUE!</v>
      </c>
      <c r="FY101" t="e">
        <f>AND('Test Script'!Q26,"AAAAAF//9LQ=")</f>
        <v>#VALUE!</v>
      </c>
      <c r="FZ101">
        <f>IF('Test Script'!27:27,"AAAAAF//9LU=",0)</f>
        <v>0</v>
      </c>
      <c r="GA101" t="e">
        <f>AND('Test Script'!B27,"AAAAAF//9LY=")</f>
        <v>#VALUE!</v>
      </c>
      <c r="GB101" t="e">
        <f>AND('Test Script'!#REF!,"AAAAAF//9Lc=")</f>
        <v>#REF!</v>
      </c>
      <c r="GC101" t="e">
        <f>AND('Test Script'!#REF!,"AAAAAF//9Lg=")</f>
        <v>#REF!</v>
      </c>
      <c r="GD101" t="e">
        <f>AND('Test Script'!#REF!,"AAAAAF//9Lk=")</f>
        <v>#REF!</v>
      </c>
      <c r="GE101" t="e">
        <f>AND('Test Script'!#REF!,"AAAAAF//9Lo=")</f>
        <v>#REF!</v>
      </c>
      <c r="GF101" t="e">
        <f>AND('Test Script'!C27,"AAAAAF//9Ls=")</f>
        <v>#VALUE!</v>
      </c>
      <c r="GG101" t="e">
        <f>AND('Test Script'!D27,"AAAAAF//9Lw=")</f>
        <v>#VALUE!</v>
      </c>
      <c r="GH101" t="e">
        <f>AND('Test Script'!E27,"AAAAAF//9L0=")</f>
        <v>#VALUE!</v>
      </c>
      <c r="GI101" t="e">
        <f>AND('Test Script'!F27,"AAAAAF//9L4=")</f>
        <v>#VALUE!</v>
      </c>
      <c r="GJ101" t="e">
        <f>AND('Test Script'!G27,"AAAAAF//9L8=")</f>
        <v>#VALUE!</v>
      </c>
      <c r="GK101" t="e">
        <f>AND('Test Script'!H27,"AAAAAF//9MA=")</f>
        <v>#VALUE!</v>
      </c>
      <c r="GL101" t="e">
        <f>AND('Test Script'!I27,"AAAAAF//9ME=")</f>
        <v>#VALUE!</v>
      </c>
      <c r="GM101" t="e">
        <f>AND('Test Script'!J27,"AAAAAF//9MI=")</f>
        <v>#VALUE!</v>
      </c>
      <c r="GN101" t="e">
        <f>AND('Test Script'!K27,"AAAAAF//9MM=")</f>
        <v>#VALUE!</v>
      </c>
      <c r="GO101" t="e">
        <f>AND('Test Script'!L27,"AAAAAF//9MQ=")</f>
        <v>#VALUE!</v>
      </c>
      <c r="GP101" t="e">
        <f>AND('Test Script'!M27,"AAAAAF//9MU=")</f>
        <v>#VALUE!</v>
      </c>
      <c r="GQ101" t="e">
        <f>AND('Test Script'!N27,"AAAAAF//9MY=")</f>
        <v>#VALUE!</v>
      </c>
      <c r="GR101" t="e">
        <f>AND('Test Script'!O27,"AAAAAF//9Mc=")</f>
        <v>#VALUE!</v>
      </c>
      <c r="GS101" t="e">
        <f>AND('Test Script'!#REF!,"AAAAAF//9Mg=")</f>
        <v>#REF!</v>
      </c>
      <c r="GT101" t="e">
        <f>AND('Test Script'!#REF!,"AAAAAF//9Mk=")</f>
        <v>#REF!</v>
      </c>
      <c r="GU101" t="e">
        <f>AND('Test Script'!#REF!,"AAAAAF//9Mo=")</f>
        <v>#REF!</v>
      </c>
      <c r="GV101" t="e">
        <f>AND('Test Script'!#REF!,"AAAAAF//9Ms=")</f>
        <v>#REF!</v>
      </c>
      <c r="GW101" t="e">
        <f>AND('Test Script'!#REF!,"AAAAAF//9Mw=")</f>
        <v>#REF!</v>
      </c>
      <c r="GX101" t="e">
        <f>AND('Test Script'!#REF!,"AAAAAF//9M0=")</f>
        <v>#REF!</v>
      </c>
      <c r="GY101" t="e">
        <f>AND('Test Script'!P27,"AAAAAF//9M4=")</f>
        <v>#VALUE!</v>
      </c>
      <c r="GZ101" t="e">
        <f>AND('Test Script'!Q27,"AAAAAF//9M8=")</f>
        <v>#VALUE!</v>
      </c>
      <c r="HA101">
        <f>IF('Test Script'!28:28,"AAAAAF//9NA=",0)</f>
        <v>0</v>
      </c>
      <c r="HB101" t="e">
        <f>AND('Test Script'!B28,"AAAAAF//9NE=")</f>
        <v>#VALUE!</v>
      </c>
      <c r="HC101" t="e">
        <f>AND('Test Script'!#REF!,"AAAAAF//9NI=")</f>
        <v>#REF!</v>
      </c>
      <c r="HD101" t="e">
        <f>AND('Test Script'!#REF!,"AAAAAF//9NM=")</f>
        <v>#REF!</v>
      </c>
      <c r="HE101" t="e">
        <f>AND('Test Script'!#REF!,"AAAAAF//9NQ=")</f>
        <v>#REF!</v>
      </c>
      <c r="HF101" t="e">
        <f>AND('Test Script'!#REF!,"AAAAAF//9NU=")</f>
        <v>#REF!</v>
      </c>
      <c r="HG101" t="e">
        <f>AND('Test Script'!C28,"AAAAAF//9NY=")</f>
        <v>#VALUE!</v>
      </c>
      <c r="HH101" t="e">
        <f>AND('Test Script'!D28,"AAAAAF//9Nc=")</f>
        <v>#VALUE!</v>
      </c>
      <c r="HI101" t="e">
        <f>AND('Test Script'!E28,"AAAAAF//9Ng=")</f>
        <v>#VALUE!</v>
      </c>
      <c r="HJ101" t="e">
        <f>AND('Test Script'!F28,"AAAAAF//9Nk=")</f>
        <v>#VALUE!</v>
      </c>
      <c r="HK101" t="e">
        <f>AND('Test Script'!G28,"AAAAAF//9No=")</f>
        <v>#VALUE!</v>
      </c>
      <c r="HL101" t="e">
        <f>AND('Test Script'!H28,"AAAAAF//9Ns=")</f>
        <v>#VALUE!</v>
      </c>
      <c r="HM101" t="e">
        <f>AND('Test Script'!I28,"AAAAAF//9Nw=")</f>
        <v>#VALUE!</v>
      </c>
      <c r="HN101" t="e">
        <f>AND('Test Script'!J28,"AAAAAF//9N0=")</f>
        <v>#VALUE!</v>
      </c>
      <c r="HO101" t="e">
        <f>AND('Test Script'!K28,"AAAAAF//9N4=")</f>
        <v>#VALUE!</v>
      </c>
      <c r="HP101" t="e">
        <f>AND('Test Script'!L28,"AAAAAF//9N8=")</f>
        <v>#VALUE!</v>
      </c>
      <c r="HQ101" t="e">
        <f>AND('Test Script'!M28,"AAAAAF//9OA=")</f>
        <v>#VALUE!</v>
      </c>
      <c r="HR101" t="e">
        <f>AND('Test Script'!N28,"AAAAAF//9OE=")</f>
        <v>#VALUE!</v>
      </c>
      <c r="HS101" t="e">
        <f>AND('Test Script'!O28,"AAAAAF//9OI=")</f>
        <v>#VALUE!</v>
      </c>
      <c r="HT101" t="e">
        <f>AND('Test Script'!#REF!,"AAAAAF//9OM=")</f>
        <v>#REF!</v>
      </c>
      <c r="HU101" t="e">
        <f>AND('Test Script'!#REF!,"AAAAAF//9OQ=")</f>
        <v>#REF!</v>
      </c>
      <c r="HV101" t="e">
        <f>AND('Test Script'!#REF!,"AAAAAF//9OU=")</f>
        <v>#REF!</v>
      </c>
      <c r="HW101" t="e">
        <f>AND('Test Script'!#REF!,"AAAAAF//9OY=")</f>
        <v>#REF!</v>
      </c>
      <c r="HX101" t="e">
        <f>AND('Test Script'!#REF!,"AAAAAF//9Oc=")</f>
        <v>#REF!</v>
      </c>
      <c r="HY101" t="e">
        <f>AND('Test Script'!#REF!,"AAAAAF//9Og=")</f>
        <v>#REF!</v>
      </c>
      <c r="HZ101" t="e">
        <f>AND('Test Script'!P28,"AAAAAF//9Ok=")</f>
        <v>#VALUE!</v>
      </c>
      <c r="IA101" t="e">
        <f>AND('Test Script'!Q28,"AAAAAF//9Oo=")</f>
        <v>#VALUE!</v>
      </c>
      <c r="IB101">
        <f>IF('Test Script'!29:29,"AAAAAF//9Os=",0)</f>
        <v>0</v>
      </c>
      <c r="IC101" t="e">
        <f>AND('Test Script'!B29,"AAAAAF//9Ow=")</f>
        <v>#VALUE!</v>
      </c>
      <c r="ID101" t="e">
        <f>AND('Test Script'!#REF!,"AAAAAF//9O0=")</f>
        <v>#REF!</v>
      </c>
      <c r="IE101" t="e">
        <f>AND('Test Script'!#REF!,"AAAAAF//9O4=")</f>
        <v>#REF!</v>
      </c>
      <c r="IF101" t="e">
        <f>AND('Test Script'!#REF!,"AAAAAF//9O8=")</f>
        <v>#REF!</v>
      </c>
      <c r="IG101" t="e">
        <f>AND('Test Script'!#REF!,"AAAAAF//9PA=")</f>
        <v>#REF!</v>
      </c>
      <c r="IH101" t="e">
        <f>AND('Test Script'!C29,"AAAAAF//9PE=")</f>
        <v>#VALUE!</v>
      </c>
      <c r="II101" t="e">
        <f>AND('Test Script'!D29,"AAAAAF//9PI=")</f>
        <v>#VALUE!</v>
      </c>
      <c r="IJ101" t="e">
        <f>AND('Test Script'!E29,"AAAAAF//9PM=")</f>
        <v>#VALUE!</v>
      </c>
      <c r="IK101" t="e">
        <f>AND('Test Script'!F29,"AAAAAF//9PQ=")</f>
        <v>#VALUE!</v>
      </c>
      <c r="IL101" t="e">
        <f>AND('Test Script'!G29,"AAAAAF//9PU=")</f>
        <v>#VALUE!</v>
      </c>
      <c r="IM101" t="e">
        <f>AND('Test Script'!H29,"AAAAAF//9PY=")</f>
        <v>#VALUE!</v>
      </c>
      <c r="IN101" t="e">
        <f>AND('Test Script'!I29,"AAAAAF//9Pc=")</f>
        <v>#VALUE!</v>
      </c>
      <c r="IO101" t="e">
        <f>AND('Test Script'!J29,"AAAAAF//9Pg=")</f>
        <v>#VALUE!</v>
      </c>
      <c r="IP101" t="e">
        <f>AND('Test Script'!K29,"AAAAAF//9Pk=")</f>
        <v>#VALUE!</v>
      </c>
      <c r="IQ101" t="e">
        <f>AND('Test Script'!L29,"AAAAAF//9Po=")</f>
        <v>#VALUE!</v>
      </c>
      <c r="IR101" t="e">
        <f>AND('Test Script'!M29,"AAAAAF//9Ps=")</f>
        <v>#VALUE!</v>
      </c>
      <c r="IS101" t="e">
        <f>AND('Test Script'!N29,"AAAAAF//9Pw=")</f>
        <v>#VALUE!</v>
      </c>
      <c r="IT101" t="e">
        <f>AND('Test Script'!O29,"AAAAAF//9P0=")</f>
        <v>#VALUE!</v>
      </c>
      <c r="IU101" t="e">
        <f>AND('Test Script'!#REF!,"AAAAAF//9P4=")</f>
        <v>#REF!</v>
      </c>
      <c r="IV101" t="e">
        <f>AND('Test Script'!#REF!,"AAAAAF//9P8=")</f>
        <v>#REF!</v>
      </c>
    </row>
    <row r="102" spans="1:256" x14ac:dyDescent="0.2">
      <c r="A102" t="e">
        <f>AND('Test Script'!#REF!,"AAAAAG7v9wA=")</f>
        <v>#REF!</v>
      </c>
      <c r="B102" t="e">
        <f>AND('Test Script'!#REF!,"AAAAAG7v9wE=")</f>
        <v>#REF!</v>
      </c>
      <c r="C102" t="e">
        <f>AND('Test Script'!#REF!,"AAAAAG7v9wI=")</f>
        <v>#REF!</v>
      </c>
      <c r="D102" t="e">
        <f>AND('Test Script'!#REF!,"AAAAAG7v9wM=")</f>
        <v>#REF!</v>
      </c>
      <c r="E102" t="e">
        <f>AND('Test Script'!P29,"AAAAAG7v9wQ=")</f>
        <v>#VALUE!</v>
      </c>
      <c r="F102" t="e">
        <f>AND('Test Script'!Q29,"AAAAAG7v9wU=")</f>
        <v>#VALUE!</v>
      </c>
      <c r="G102" t="e">
        <f>IF('Test Script'!#REF!,"AAAAAG7v9wY=",0)</f>
        <v>#REF!</v>
      </c>
      <c r="H102" t="e">
        <f>AND('Test Script'!#REF!,"AAAAAG7v9wc=")</f>
        <v>#REF!</v>
      </c>
      <c r="I102" t="e">
        <f>AND('Test Script'!#REF!,"AAAAAG7v9wg=")</f>
        <v>#REF!</v>
      </c>
      <c r="J102" t="e">
        <f>AND('Test Script'!#REF!,"AAAAAG7v9wk=")</f>
        <v>#REF!</v>
      </c>
      <c r="K102" t="e">
        <f>AND('Test Script'!#REF!,"AAAAAG7v9wo=")</f>
        <v>#REF!</v>
      </c>
      <c r="L102" t="e">
        <f>AND('Test Script'!#REF!,"AAAAAG7v9ws=")</f>
        <v>#REF!</v>
      </c>
      <c r="M102" t="e">
        <f>AND('Test Script'!#REF!,"AAAAAG7v9ww=")</f>
        <v>#REF!</v>
      </c>
      <c r="N102" t="e">
        <f>AND('Test Script'!#REF!,"AAAAAG7v9w0=")</f>
        <v>#REF!</v>
      </c>
      <c r="O102" t="e">
        <f>AND('Test Script'!#REF!,"AAAAAG7v9w4=")</f>
        <v>#REF!</v>
      </c>
      <c r="P102" t="e">
        <f>AND('Test Script'!#REF!,"AAAAAG7v9w8=")</f>
        <v>#REF!</v>
      </c>
      <c r="Q102" t="e">
        <f>AND('Test Script'!#REF!,"AAAAAG7v9xA=")</f>
        <v>#REF!</v>
      </c>
      <c r="R102" t="e">
        <f>AND('Test Script'!#REF!,"AAAAAG7v9xE=")</f>
        <v>#REF!</v>
      </c>
      <c r="S102" t="e">
        <f>AND('Test Script'!#REF!,"AAAAAG7v9xI=")</f>
        <v>#REF!</v>
      </c>
      <c r="T102" t="e">
        <f>AND('Test Script'!#REF!,"AAAAAG7v9xM=")</f>
        <v>#REF!</v>
      </c>
      <c r="U102" t="e">
        <f>AND('Test Script'!#REF!,"AAAAAG7v9xQ=")</f>
        <v>#REF!</v>
      </c>
      <c r="V102" t="e">
        <f>AND('Test Script'!#REF!,"AAAAAG7v9xU=")</f>
        <v>#REF!</v>
      </c>
      <c r="W102" t="e">
        <f>AND('Test Script'!#REF!,"AAAAAG7v9xY=")</f>
        <v>#REF!</v>
      </c>
      <c r="X102" t="e">
        <f>AND('Test Script'!#REF!,"AAAAAG7v9xc=")</f>
        <v>#REF!</v>
      </c>
      <c r="Y102" t="e">
        <f>AND('Test Script'!#REF!,"AAAAAG7v9xg=")</f>
        <v>#REF!</v>
      </c>
      <c r="Z102" t="e">
        <f>AND('Test Script'!#REF!,"AAAAAG7v9xk=")</f>
        <v>#REF!</v>
      </c>
      <c r="AA102" t="e">
        <f>AND('Test Script'!#REF!,"AAAAAG7v9xo=")</f>
        <v>#REF!</v>
      </c>
      <c r="AB102" t="e">
        <f>AND('Test Script'!#REF!,"AAAAAG7v9xs=")</f>
        <v>#REF!</v>
      </c>
      <c r="AC102" t="e">
        <f>AND('Test Script'!#REF!,"AAAAAG7v9xw=")</f>
        <v>#REF!</v>
      </c>
      <c r="AD102" t="e">
        <f>AND('Test Script'!#REF!,"AAAAAG7v9x0=")</f>
        <v>#REF!</v>
      </c>
      <c r="AE102" t="e">
        <f>AND('Test Script'!#REF!,"AAAAAG7v9x4=")</f>
        <v>#REF!</v>
      </c>
      <c r="AF102" t="e">
        <f>AND('Test Script'!#REF!,"AAAAAG7v9x8=")</f>
        <v>#REF!</v>
      </c>
      <c r="AG102" t="e">
        <f>AND('Test Script'!#REF!,"AAAAAG7v9yA=")</f>
        <v>#REF!</v>
      </c>
      <c r="AH102">
        <f>IF('Test Script'!30:30,"AAAAAG7v9yE=",0)</f>
        <v>0</v>
      </c>
      <c r="AI102" t="e">
        <f>AND('Test Script'!B30,"AAAAAG7v9yI=")</f>
        <v>#VALUE!</v>
      </c>
      <c r="AJ102" t="e">
        <f>AND('Test Script'!#REF!,"AAAAAG7v9yM=")</f>
        <v>#REF!</v>
      </c>
      <c r="AK102" t="e">
        <f>AND('Test Script'!#REF!,"AAAAAG7v9yQ=")</f>
        <v>#REF!</v>
      </c>
      <c r="AL102" t="e">
        <f>AND('Test Script'!#REF!,"AAAAAG7v9yU=")</f>
        <v>#REF!</v>
      </c>
      <c r="AM102" t="e">
        <f>AND('Test Script'!#REF!,"AAAAAG7v9yY=")</f>
        <v>#REF!</v>
      </c>
      <c r="AN102" t="e">
        <f>AND('Test Script'!C30,"AAAAAG7v9yc=")</f>
        <v>#VALUE!</v>
      </c>
      <c r="AO102" t="e">
        <f>AND('Test Script'!D30,"AAAAAG7v9yg=")</f>
        <v>#VALUE!</v>
      </c>
      <c r="AP102" t="e">
        <f>AND('Test Script'!E30,"AAAAAG7v9yk=")</f>
        <v>#VALUE!</v>
      </c>
      <c r="AQ102" t="e">
        <f>AND('Test Script'!F30,"AAAAAG7v9yo=")</f>
        <v>#VALUE!</v>
      </c>
      <c r="AR102" t="e">
        <f>AND('Test Script'!G30,"AAAAAG7v9ys=")</f>
        <v>#VALUE!</v>
      </c>
      <c r="AS102" t="e">
        <f>AND('Test Script'!H30,"AAAAAG7v9yw=")</f>
        <v>#VALUE!</v>
      </c>
      <c r="AT102" t="e">
        <f>AND('Test Script'!I30,"AAAAAG7v9y0=")</f>
        <v>#VALUE!</v>
      </c>
      <c r="AU102" t="e">
        <f>AND('Test Script'!J30,"AAAAAG7v9y4=")</f>
        <v>#VALUE!</v>
      </c>
      <c r="AV102" t="e">
        <f>AND('Test Script'!K30,"AAAAAG7v9y8=")</f>
        <v>#VALUE!</v>
      </c>
      <c r="AW102" t="e">
        <f>AND('Test Script'!L30,"AAAAAG7v9zA=")</f>
        <v>#VALUE!</v>
      </c>
      <c r="AX102" t="e">
        <f>AND('Test Script'!M30,"AAAAAG7v9zE=")</f>
        <v>#VALUE!</v>
      </c>
      <c r="AY102" t="e">
        <f>AND('Test Script'!N30,"AAAAAG7v9zI=")</f>
        <v>#VALUE!</v>
      </c>
      <c r="AZ102" t="e">
        <f>AND('Test Script'!O30,"AAAAAG7v9zM=")</f>
        <v>#VALUE!</v>
      </c>
      <c r="BA102" t="e">
        <f>AND('Test Script'!#REF!,"AAAAAG7v9zQ=")</f>
        <v>#REF!</v>
      </c>
      <c r="BB102" t="e">
        <f>AND('Test Script'!#REF!,"AAAAAG7v9zU=")</f>
        <v>#REF!</v>
      </c>
      <c r="BC102" t="e">
        <f>AND('Test Script'!#REF!,"AAAAAG7v9zY=")</f>
        <v>#REF!</v>
      </c>
      <c r="BD102" t="e">
        <f>AND('Test Script'!#REF!,"AAAAAG7v9zc=")</f>
        <v>#REF!</v>
      </c>
      <c r="BE102" t="e">
        <f>AND('Test Script'!#REF!,"AAAAAG7v9zg=")</f>
        <v>#REF!</v>
      </c>
      <c r="BF102" t="e">
        <f>AND('Test Script'!#REF!,"AAAAAG7v9zk=")</f>
        <v>#REF!</v>
      </c>
      <c r="BG102" t="e">
        <f>AND('Test Script'!P30,"AAAAAG7v9zo=")</f>
        <v>#VALUE!</v>
      </c>
      <c r="BH102" t="e">
        <f>AND('Test Script'!Q30,"AAAAAG7v9zs=")</f>
        <v>#VALUE!</v>
      </c>
      <c r="BI102">
        <f>IF('Test Script'!31:31,"AAAAAG7v9zw=",0)</f>
        <v>0</v>
      </c>
      <c r="BJ102" t="e">
        <f>AND('Test Script'!B31,"AAAAAG7v9z0=")</f>
        <v>#VALUE!</v>
      </c>
      <c r="BK102" t="e">
        <f>AND('Test Script'!#REF!,"AAAAAG7v9z4=")</f>
        <v>#REF!</v>
      </c>
      <c r="BL102" t="e">
        <f>AND('Test Script'!#REF!,"AAAAAG7v9z8=")</f>
        <v>#REF!</v>
      </c>
      <c r="BM102" t="e">
        <f>AND('Test Script'!#REF!,"AAAAAG7v90A=")</f>
        <v>#REF!</v>
      </c>
      <c r="BN102" t="e">
        <f>AND('Test Script'!#REF!,"AAAAAG7v90E=")</f>
        <v>#REF!</v>
      </c>
      <c r="BO102" t="e">
        <f>AND('Test Script'!C31,"AAAAAG7v90I=")</f>
        <v>#VALUE!</v>
      </c>
      <c r="BP102" t="e">
        <f>AND('Test Script'!D31,"AAAAAG7v90M=")</f>
        <v>#VALUE!</v>
      </c>
      <c r="BQ102" t="e">
        <f>AND('Test Script'!E31,"AAAAAG7v90Q=")</f>
        <v>#VALUE!</v>
      </c>
      <c r="BR102" t="e">
        <f>AND('Test Script'!F31,"AAAAAG7v90U=")</f>
        <v>#VALUE!</v>
      </c>
      <c r="BS102" t="e">
        <f>AND('Test Script'!G31,"AAAAAG7v90Y=")</f>
        <v>#VALUE!</v>
      </c>
      <c r="BT102" t="e">
        <f>AND('Test Script'!H31,"AAAAAG7v90c=")</f>
        <v>#VALUE!</v>
      </c>
      <c r="BU102" t="e">
        <f>AND('Test Script'!I31,"AAAAAG7v90g=")</f>
        <v>#VALUE!</v>
      </c>
      <c r="BV102" t="e">
        <f>AND('Test Script'!J31,"AAAAAG7v90k=")</f>
        <v>#VALUE!</v>
      </c>
      <c r="BW102" t="e">
        <f>AND('Test Script'!K31,"AAAAAG7v90o=")</f>
        <v>#VALUE!</v>
      </c>
      <c r="BX102" t="e">
        <f>AND('Test Script'!L31,"AAAAAG7v90s=")</f>
        <v>#VALUE!</v>
      </c>
      <c r="BY102" t="e">
        <f>AND('Test Script'!M31,"AAAAAG7v90w=")</f>
        <v>#VALUE!</v>
      </c>
      <c r="BZ102" t="e">
        <f>AND('Test Script'!N31,"AAAAAG7v900=")</f>
        <v>#VALUE!</v>
      </c>
      <c r="CA102" t="e">
        <f>AND('Test Script'!O31,"AAAAAG7v904=")</f>
        <v>#VALUE!</v>
      </c>
      <c r="CB102" t="e">
        <f>AND('Test Script'!#REF!,"AAAAAG7v908=")</f>
        <v>#REF!</v>
      </c>
      <c r="CC102" t="e">
        <f>AND('Test Script'!#REF!,"AAAAAG7v91A=")</f>
        <v>#REF!</v>
      </c>
      <c r="CD102" t="e">
        <f>AND('Test Script'!#REF!,"AAAAAG7v91E=")</f>
        <v>#REF!</v>
      </c>
      <c r="CE102" t="e">
        <f>AND('Test Script'!#REF!,"AAAAAG7v91I=")</f>
        <v>#REF!</v>
      </c>
      <c r="CF102" t="e">
        <f>AND('Test Script'!#REF!,"AAAAAG7v91M=")</f>
        <v>#REF!</v>
      </c>
      <c r="CG102" t="e">
        <f>AND('Test Script'!#REF!,"AAAAAG7v91Q=")</f>
        <v>#REF!</v>
      </c>
      <c r="CH102" t="e">
        <f>AND('Test Script'!P31,"AAAAAG7v91U=")</f>
        <v>#VALUE!</v>
      </c>
      <c r="CI102" t="e">
        <f>AND('Test Script'!Q31,"AAAAAG7v91Y=")</f>
        <v>#VALUE!</v>
      </c>
      <c r="CJ102" t="e">
        <f>IF('Test Script'!#REF!,"AAAAAG7v91c=",0)</f>
        <v>#REF!</v>
      </c>
      <c r="CK102" t="e">
        <f>AND('Test Script'!#REF!,"AAAAAG7v91g=")</f>
        <v>#REF!</v>
      </c>
      <c r="CL102" t="e">
        <f>AND('Test Script'!#REF!,"AAAAAG7v91k=")</f>
        <v>#REF!</v>
      </c>
      <c r="CM102" t="e">
        <f>AND('Test Script'!#REF!,"AAAAAG7v91o=")</f>
        <v>#REF!</v>
      </c>
      <c r="CN102" t="e">
        <f>AND('Test Script'!#REF!,"AAAAAG7v91s=")</f>
        <v>#REF!</v>
      </c>
      <c r="CO102" t="e">
        <f>AND('Test Script'!#REF!,"AAAAAG7v91w=")</f>
        <v>#REF!</v>
      </c>
      <c r="CP102" t="e">
        <f>AND('Test Script'!#REF!,"AAAAAG7v910=")</f>
        <v>#REF!</v>
      </c>
      <c r="CQ102" t="e">
        <f>AND('Test Script'!#REF!,"AAAAAG7v914=")</f>
        <v>#REF!</v>
      </c>
      <c r="CR102" t="e">
        <f>AND('Test Script'!#REF!,"AAAAAG7v918=")</f>
        <v>#REF!</v>
      </c>
      <c r="CS102" t="e">
        <f>AND('Test Script'!#REF!,"AAAAAG7v92A=")</f>
        <v>#REF!</v>
      </c>
      <c r="CT102" t="e">
        <f>AND('Test Script'!#REF!,"AAAAAG7v92E=")</f>
        <v>#REF!</v>
      </c>
      <c r="CU102" t="e">
        <f>AND('Test Script'!#REF!,"AAAAAG7v92I=")</f>
        <v>#REF!</v>
      </c>
      <c r="CV102" t="e">
        <f>AND('Test Script'!#REF!,"AAAAAG7v92M=")</f>
        <v>#REF!</v>
      </c>
      <c r="CW102" t="e">
        <f>AND('Test Script'!#REF!,"AAAAAG7v92Q=")</f>
        <v>#REF!</v>
      </c>
      <c r="CX102" t="e">
        <f>AND('Test Script'!#REF!,"AAAAAG7v92U=")</f>
        <v>#REF!</v>
      </c>
      <c r="CY102" t="e">
        <f>AND('Test Script'!#REF!,"AAAAAG7v92Y=")</f>
        <v>#REF!</v>
      </c>
      <c r="CZ102" t="e">
        <f>AND('Test Script'!#REF!,"AAAAAG7v92c=")</f>
        <v>#REF!</v>
      </c>
      <c r="DA102" t="e">
        <f>AND('Test Script'!#REF!,"AAAAAG7v92g=")</f>
        <v>#REF!</v>
      </c>
      <c r="DB102" t="e">
        <f>AND('Test Script'!#REF!,"AAAAAG7v92k=")</f>
        <v>#REF!</v>
      </c>
      <c r="DC102" t="e">
        <f>AND('Test Script'!#REF!,"AAAAAG7v92o=")</f>
        <v>#REF!</v>
      </c>
      <c r="DD102" t="e">
        <f>AND('Test Script'!#REF!,"AAAAAG7v92s=")</f>
        <v>#REF!</v>
      </c>
      <c r="DE102" t="e">
        <f>AND('Test Script'!#REF!,"AAAAAG7v92w=")</f>
        <v>#REF!</v>
      </c>
      <c r="DF102" t="e">
        <f>AND('Test Script'!#REF!,"AAAAAG7v920=")</f>
        <v>#REF!</v>
      </c>
      <c r="DG102" t="e">
        <f>AND('Test Script'!#REF!,"AAAAAG7v924=")</f>
        <v>#REF!</v>
      </c>
      <c r="DH102" t="e">
        <f>AND('Test Script'!#REF!,"AAAAAG7v928=")</f>
        <v>#REF!</v>
      </c>
      <c r="DI102" t="e">
        <f>AND('Test Script'!#REF!,"AAAAAG7v93A=")</f>
        <v>#REF!</v>
      </c>
      <c r="DJ102" t="e">
        <f>AND('Test Script'!#REF!,"AAAAAG7v93E=")</f>
        <v>#REF!</v>
      </c>
      <c r="DK102" t="e">
        <f>IF('Test Script'!#REF!,"AAAAAG7v93I=",0)</f>
        <v>#REF!</v>
      </c>
      <c r="DL102" t="e">
        <f>AND('Test Script'!#REF!,"AAAAAG7v93M=")</f>
        <v>#REF!</v>
      </c>
      <c r="DM102" t="e">
        <f>AND('Test Script'!#REF!,"AAAAAG7v93Q=")</f>
        <v>#REF!</v>
      </c>
      <c r="DN102" t="e">
        <f>AND('Test Script'!#REF!,"AAAAAG7v93U=")</f>
        <v>#REF!</v>
      </c>
      <c r="DO102" t="e">
        <f>AND('Test Script'!#REF!,"AAAAAG7v93Y=")</f>
        <v>#REF!</v>
      </c>
      <c r="DP102" t="e">
        <f>AND('Test Script'!#REF!,"AAAAAG7v93c=")</f>
        <v>#REF!</v>
      </c>
      <c r="DQ102" t="e">
        <f>AND('Test Script'!#REF!,"AAAAAG7v93g=")</f>
        <v>#REF!</v>
      </c>
      <c r="DR102" t="e">
        <f>AND('Test Script'!#REF!,"AAAAAG7v93k=")</f>
        <v>#REF!</v>
      </c>
      <c r="DS102" t="e">
        <f>AND('Test Script'!#REF!,"AAAAAG7v93o=")</f>
        <v>#REF!</v>
      </c>
      <c r="DT102" t="e">
        <f>AND('Test Script'!#REF!,"AAAAAG7v93s=")</f>
        <v>#REF!</v>
      </c>
      <c r="DU102" t="e">
        <f>AND('Test Script'!#REF!,"AAAAAG7v93w=")</f>
        <v>#REF!</v>
      </c>
      <c r="DV102" t="e">
        <f>AND('Test Script'!#REF!,"AAAAAG7v930=")</f>
        <v>#REF!</v>
      </c>
      <c r="DW102" t="e">
        <f>AND('Test Script'!#REF!,"AAAAAG7v934=")</f>
        <v>#REF!</v>
      </c>
      <c r="DX102" t="e">
        <f>AND('Test Script'!#REF!,"AAAAAG7v938=")</f>
        <v>#REF!</v>
      </c>
      <c r="DY102" t="e">
        <f>AND('Test Script'!#REF!,"AAAAAG7v94A=")</f>
        <v>#REF!</v>
      </c>
      <c r="DZ102" t="e">
        <f>AND('Test Script'!#REF!,"AAAAAG7v94E=")</f>
        <v>#REF!</v>
      </c>
      <c r="EA102" t="e">
        <f>AND('Test Script'!#REF!,"AAAAAG7v94I=")</f>
        <v>#REF!</v>
      </c>
      <c r="EB102" t="e">
        <f>AND('Test Script'!#REF!,"AAAAAG7v94M=")</f>
        <v>#REF!</v>
      </c>
      <c r="EC102" t="e">
        <f>AND('Test Script'!#REF!,"AAAAAG7v94Q=")</f>
        <v>#REF!</v>
      </c>
      <c r="ED102" t="e">
        <f>AND('Test Script'!#REF!,"AAAAAG7v94U=")</f>
        <v>#REF!</v>
      </c>
      <c r="EE102" t="e">
        <f>AND('Test Script'!#REF!,"AAAAAG7v94Y=")</f>
        <v>#REF!</v>
      </c>
      <c r="EF102" t="e">
        <f>AND('Test Script'!#REF!,"AAAAAG7v94c=")</f>
        <v>#REF!</v>
      </c>
      <c r="EG102" t="e">
        <f>AND('Test Script'!#REF!,"AAAAAG7v94g=")</f>
        <v>#REF!</v>
      </c>
      <c r="EH102" t="e">
        <f>AND('Test Script'!#REF!,"AAAAAG7v94k=")</f>
        <v>#REF!</v>
      </c>
      <c r="EI102" t="e">
        <f>AND('Test Script'!#REF!,"AAAAAG7v94o=")</f>
        <v>#REF!</v>
      </c>
      <c r="EJ102" t="e">
        <f>AND('Test Script'!#REF!,"AAAAAG7v94s=")</f>
        <v>#REF!</v>
      </c>
      <c r="EK102" t="e">
        <f>AND('Test Script'!#REF!,"AAAAAG7v94w=")</f>
        <v>#REF!</v>
      </c>
      <c r="EL102" t="e">
        <f>IF('Test Script'!#REF!,"AAAAAG7v940=",0)</f>
        <v>#REF!</v>
      </c>
      <c r="EM102" t="e">
        <f>AND('Test Script'!#REF!,"AAAAAG7v944=")</f>
        <v>#REF!</v>
      </c>
      <c r="EN102" t="e">
        <f>AND('Test Script'!#REF!,"AAAAAG7v948=")</f>
        <v>#REF!</v>
      </c>
      <c r="EO102" t="e">
        <f>AND('Test Script'!#REF!,"AAAAAG7v95A=")</f>
        <v>#REF!</v>
      </c>
      <c r="EP102" t="e">
        <f>AND('Test Script'!#REF!,"AAAAAG7v95E=")</f>
        <v>#REF!</v>
      </c>
      <c r="EQ102" t="e">
        <f>AND('Test Script'!#REF!,"AAAAAG7v95I=")</f>
        <v>#REF!</v>
      </c>
      <c r="ER102" t="e">
        <f>AND('Test Script'!#REF!,"AAAAAG7v95M=")</f>
        <v>#REF!</v>
      </c>
      <c r="ES102" t="e">
        <f>AND('Test Script'!#REF!,"AAAAAG7v95Q=")</f>
        <v>#REF!</v>
      </c>
      <c r="ET102" t="e">
        <f>AND('Test Script'!#REF!,"AAAAAG7v95U=")</f>
        <v>#REF!</v>
      </c>
      <c r="EU102" t="e">
        <f>AND('Test Script'!#REF!,"AAAAAG7v95Y=")</f>
        <v>#REF!</v>
      </c>
      <c r="EV102" t="e">
        <f>AND('Test Script'!#REF!,"AAAAAG7v95c=")</f>
        <v>#REF!</v>
      </c>
      <c r="EW102" t="e">
        <f>AND('Test Script'!#REF!,"AAAAAG7v95g=")</f>
        <v>#REF!</v>
      </c>
      <c r="EX102" t="e">
        <f>AND('Test Script'!#REF!,"AAAAAG7v95k=")</f>
        <v>#REF!</v>
      </c>
      <c r="EY102" t="e">
        <f>AND('Test Script'!#REF!,"AAAAAG7v95o=")</f>
        <v>#REF!</v>
      </c>
      <c r="EZ102" t="e">
        <f>AND('Test Script'!#REF!,"AAAAAG7v95s=")</f>
        <v>#REF!</v>
      </c>
      <c r="FA102" t="e">
        <f>AND('Test Script'!#REF!,"AAAAAG7v95w=")</f>
        <v>#REF!</v>
      </c>
      <c r="FB102" t="e">
        <f>AND('Test Script'!#REF!,"AAAAAG7v950=")</f>
        <v>#REF!</v>
      </c>
      <c r="FC102" t="e">
        <f>AND('Test Script'!#REF!,"AAAAAG7v954=")</f>
        <v>#REF!</v>
      </c>
      <c r="FD102" t="e">
        <f>AND('Test Script'!#REF!,"AAAAAG7v958=")</f>
        <v>#REF!</v>
      </c>
      <c r="FE102" t="e">
        <f>AND('Test Script'!#REF!,"AAAAAG7v96A=")</f>
        <v>#REF!</v>
      </c>
      <c r="FF102" t="e">
        <f>AND('Test Script'!#REF!,"AAAAAG7v96E=")</f>
        <v>#REF!</v>
      </c>
      <c r="FG102" t="e">
        <f>AND('Test Script'!#REF!,"AAAAAG7v96I=")</f>
        <v>#REF!</v>
      </c>
      <c r="FH102" t="e">
        <f>AND('Test Script'!#REF!,"AAAAAG7v96M=")</f>
        <v>#REF!</v>
      </c>
      <c r="FI102" t="e">
        <f>AND('Test Script'!#REF!,"AAAAAG7v96Q=")</f>
        <v>#REF!</v>
      </c>
      <c r="FJ102" t="e">
        <f>AND('Test Script'!#REF!,"AAAAAG7v96U=")</f>
        <v>#REF!</v>
      </c>
      <c r="FK102" t="e">
        <f>AND('Test Script'!#REF!,"AAAAAG7v96Y=")</f>
        <v>#REF!</v>
      </c>
      <c r="FL102" t="e">
        <f>AND('Test Script'!#REF!,"AAAAAG7v96c=")</f>
        <v>#REF!</v>
      </c>
      <c r="FM102" t="e">
        <f>IF('Test Script'!#REF!,"AAAAAG7v96g=",0)</f>
        <v>#REF!</v>
      </c>
      <c r="FN102" t="e">
        <f>AND('Test Script'!#REF!,"AAAAAG7v96k=")</f>
        <v>#REF!</v>
      </c>
      <c r="FO102" t="e">
        <f>AND('Test Script'!#REF!,"AAAAAG7v96o=")</f>
        <v>#REF!</v>
      </c>
      <c r="FP102" t="e">
        <f>AND('Test Script'!#REF!,"AAAAAG7v96s=")</f>
        <v>#REF!</v>
      </c>
      <c r="FQ102" t="e">
        <f>AND('Test Script'!#REF!,"AAAAAG7v96w=")</f>
        <v>#REF!</v>
      </c>
      <c r="FR102" t="e">
        <f>AND('Test Script'!#REF!,"AAAAAG7v960=")</f>
        <v>#REF!</v>
      </c>
      <c r="FS102" t="e">
        <f>AND('Test Script'!#REF!,"AAAAAG7v964=")</f>
        <v>#REF!</v>
      </c>
      <c r="FT102" t="e">
        <f>AND('Test Script'!#REF!,"AAAAAG7v968=")</f>
        <v>#REF!</v>
      </c>
      <c r="FU102" t="e">
        <f>AND('Test Script'!#REF!,"AAAAAG7v97A=")</f>
        <v>#REF!</v>
      </c>
      <c r="FV102" t="e">
        <f>AND('Test Script'!#REF!,"AAAAAG7v97E=")</f>
        <v>#REF!</v>
      </c>
      <c r="FW102" t="e">
        <f>AND('Test Script'!#REF!,"AAAAAG7v97I=")</f>
        <v>#REF!</v>
      </c>
      <c r="FX102" t="e">
        <f>AND('Test Script'!#REF!,"AAAAAG7v97M=")</f>
        <v>#REF!</v>
      </c>
      <c r="FY102" t="e">
        <f>AND('Test Script'!#REF!,"AAAAAG7v97Q=")</f>
        <v>#REF!</v>
      </c>
      <c r="FZ102" t="e">
        <f>AND('Test Script'!#REF!,"AAAAAG7v97U=")</f>
        <v>#REF!</v>
      </c>
      <c r="GA102" t="e">
        <f>AND('Test Script'!#REF!,"AAAAAG7v97Y=")</f>
        <v>#REF!</v>
      </c>
      <c r="GB102" t="e">
        <f>AND('Test Script'!#REF!,"AAAAAG7v97c=")</f>
        <v>#REF!</v>
      </c>
      <c r="GC102" t="e">
        <f>AND('Test Script'!#REF!,"AAAAAG7v97g=")</f>
        <v>#REF!</v>
      </c>
      <c r="GD102" t="e">
        <f>AND('Test Script'!#REF!,"AAAAAG7v97k=")</f>
        <v>#REF!</v>
      </c>
      <c r="GE102" t="e">
        <f>AND('Test Script'!#REF!,"AAAAAG7v97o=")</f>
        <v>#REF!</v>
      </c>
      <c r="GF102" t="e">
        <f>AND('Test Script'!#REF!,"AAAAAG7v97s=")</f>
        <v>#REF!</v>
      </c>
      <c r="GG102" t="e">
        <f>AND('Test Script'!#REF!,"AAAAAG7v97w=")</f>
        <v>#REF!</v>
      </c>
      <c r="GH102" t="e">
        <f>AND('Test Script'!#REF!,"AAAAAG7v970=")</f>
        <v>#REF!</v>
      </c>
      <c r="GI102" t="e">
        <f>AND('Test Script'!#REF!,"AAAAAG7v974=")</f>
        <v>#REF!</v>
      </c>
      <c r="GJ102" t="e">
        <f>AND('Test Script'!#REF!,"AAAAAG7v978=")</f>
        <v>#REF!</v>
      </c>
      <c r="GK102" t="e">
        <f>AND('Test Script'!#REF!,"AAAAAG7v98A=")</f>
        <v>#REF!</v>
      </c>
      <c r="GL102" t="e">
        <f>AND('Test Script'!#REF!,"AAAAAG7v98E=")</f>
        <v>#REF!</v>
      </c>
      <c r="GM102" t="e">
        <f>AND('Test Script'!#REF!,"AAAAAG7v98I=")</f>
        <v>#REF!</v>
      </c>
      <c r="GN102" t="e">
        <f>IF('Test Script'!#REF!,"AAAAAG7v98M=",0)</f>
        <v>#REF!</v>
      </c>
      <c r="GO102" t="e">
        <f>AND('Test Script'!#REF!,"AAAAAG7v98Q=")</f>
        <v>#REF!</v>
      </c>
      <c r="GP102" t="e">
        <f>AND('Test Script'!#REF!,"AAAAAG7v98U=")</f>
        <v>#REF!</v>
      </c>
      <c r="GQ102" t="e">
        <f>AND('Test Script'!#REF!,"AAAAAG7v98Y=")</f>
        <v>#REF!</v>
      </c>
      <c r="GR102" t="e">
        <f>AND('Test Script'!#REF!,"AAAAAG7v98c=")</f>
        <v>#REF!</v>
      </c>
      <c r="GS102" t="e">
        <f>AND('Test Script'!#REF!,"AAAAAG7v98g=")</f>
        <v>#REF!</v>
      </c>
      <c r="GT102" t="e">
        <f>AND('Test Script'!#REF!,"AAAAAG7v98k=")</f>
        <v>#REF!</v>
      </c>
      <c r="GU102" t="e">
        <f>AND('Test Script'!#REF!,"AAAAAG7v98o=")</f>
        <v>#REF!</v>
      </c>
      <c r="GV102" t="e">
        <f>AND('Test Script'!#REF!,"AAAAAG7v98s=")</f>
        <v>#REF!</v>
      </c>
      <c r="GW102" t="e">
        <f>AND('Test Script'!#REF!,"AAAAAG7v98w=")</f>
        <v>#REF!</v>
      </c>
      <c r="GX102" t="e">
        <f>AND('Test Script'!#REF!,"AAAAAG7v980=")</f>
        <v>#REF!</v>
      </c>
      <c r="GY102" t="e">
        <f>AND('Test Script'!#REF!,"AAAAAG7v984=")</f>
        <v>#REF!</v>
      </c>
      <c r="GZ102" t="e">
        <f>AND('Test Script'!#REF!,"AAAAAG7v988=")</f>
        <v>#REF!</v>
      </c>
      <c r="HA102" t="e">
        <f>AND('Test Script'!#REF!,"AAAAAG7v99A=")</f>
        <v>#REF!</v>
      </c>
      <c r="HB102" t="e">
        <f>AND('Test Script'!#REF!,"AAAAAG7v99E=")</f>
        <v>#REF!</v>
      </c>
      <c r="HC102" t="e">
        <f>AND('Test Script'!#REF!,"AAAAAG7v99I=")</f>
        <v>#REF!</v>
      </c>
      <c r="HD102" t="e">
        <f>AND('Test Script'!#REF!,"AAAAAG7v99M=")</f>
        <v>#REF!</v>
      </c>
      <c r="HE102" t="e">
        <f>AND('Test Script'!#REF!,"AAAAAG7v99Q=")</f>
        <v>#REF!</v>
      </c>
      <c r="HF102" t="e">
        <f>AND('Test Script'!#REF!,"AAAAAG7v99U=")</f>
        <v>#REF!</v>
      </c>
      <c r="HG102" t="e">
        <f>AND('Test Script'!#REF!,"AAAAAG7v99Y=")</f>
        <v>#REF!</v>
      </c>
      <c r="HH102" t="e">
        <f>AND('Test Script'!#REF!,"AAAAAG7v99c=")</f>
        <v>#REF!</v>
      </c>
      <c r="HI102" t="e">
        <f>AND('Test Script'!#REF!,"AAAAAG7v99g=")</f>
        <v>#REF!</v>
      </c>
      <c r="HJ102" t="e">
        <f>AND('Test Script'!#REF!,"AAAAAG7v99k=")</f>
        <v>#REF!</v>
      </c>
      <c r="HK102" t="e">
        <f>AND('Test Script'!#REF!,"AAAAAG7v99o=")</f>
        <v>#REF!</v>
      </c>
      <c r="HL102" t="e">
        <f>AND('Test Script'!#REF!,"AAAAAG7v99s=")</f>
        <v>#REF!</v>
      </c>
      <c r="HM102" t="e">
        <f>AND('Test Script'!#REF!,"AAAAAG7v99w=")</f>
        <v>#REF!</v>
      </c>
      <c r="HN102" t="e">
        <f>AND('Test Script'!#REF!,"AAAAAG7v990=")</f>
        <v>#REF!</v>
      </c>
      <c r="HO102" t="e">
        <f>IF('Test Script'!#REF!,"AAAAAG7v994=",0)</f>
        <v>#REF!</v>
      </c>
      <c r="HP102" t="e">
        <f>AND('Test Script'!#REF!,"AAAAAG7v998=")</f>
        <v>#REF!</v>
      </c>
      <c r="HQ102" t="e">
        <f>AND('Test Script'!#REF!,"AAAAAG7v9+A=")</f>
        <v>#REF!</v>
      </c>
      <c r="HR102" t="e">
        <f>AND('Test Script'!#REF!,"AAAAAG7v9+E=")</f>
        <v>#REF!</v>
      </c>
      <c r="HS102" t="e">
        <f>AND('Test Script'!#REF!,"AAAAAG7v9+I=")</f>
        <v>#REF!</v>
      </c>
      <c r="HT102" t="e">
        <f>AND('Test Script'!#REF!,"AAAAAG7v9+M=")</f>
        <v>#REF!</v>
      </c>
      <c r="HU102" t="e">
        <f>AND('Test Script'!#REF!,"AAAAAG7v9+Q=")</f>
        <v>#REF!</v>
      </c>
      <c r="HV102" t="e">
        <f>AND('Test Script'!#REF!,"AAAAAG7v9+U=")</f>
        <v>#REF!</v>
      </c>
      <c r="HW102" t="e">
        <f>AND('Test Script'!#REF!,"AAAAAG7v9+Y=")</f>
        <v>#REF!</v>
      </c>
      <c r="HX102" t="e">
        <f>AND('Test Script'!#REF!,"AAAAAG7v9+c=")</f>
        <v>#REF!</v>
      </c>
      <c r="HY102" t="e">
        <f>AND('Test Script'!#REF!,"AAAAAG7v9+g=")</f>
        <v>#REF!</v>
      </c>
      <c r="HZ102" t="e">
        <f>AND('Test Script'!#REF!,"AAAAAG7v9+k=")</f>
        <v>#REF!</v>
      </c>
      <c r="IA102" t="e">
        <f>AND('Test Script'!#REF!,"AAAAAG7v9+o=")</f>
        <v>#REF!</v>
      </c>
      <c r="IB102" t="e">
        <f>AND('Test Script'!#REF!,"AAAAAG7v9+s=")</f>
        <v>#REF!</v>
      </c>
      <c r="IC102" t="e">
        <f>AND('Test Script'!#REF!,"AAAAAG7v9+w=")</f>
        <v>#REF!</v>
      </c>
      <c r="ID102" t="e">
        <f>AND('Test Script'!#REF!,"AAAAAG7v9+0=")</f>
        <v>#REF!</v>
      </c>
      <c r="IE102" t="e">
        <f>AND('Test Script'!#REF!,"AAAAAG7v9+4=")</f>
        <v>#REF!</v>
      </c>
      <c r="IF102" t="e">
        <f>AND('Test Script'!#REF!,"AAAAAG7v9+8=")</f>
        <v>#REF!</v>
      </c>
      <c r="IG102" t="e">
        <f>AND('Test Script'!#REF!,"AAAAAG7v9/A=")</f>
        <v>#REF!</v>
      </c>
      <c r="IH102" t="e">
        <f>AND('Test Script'!#REF!,"AAAAAG7v9/E=")</f>
        <v>#REF!</v>
      </c>
      <c r="II102" t="e">
        <f>AND('Test Script'!#REF!,"AAAAAG7v9/I=")</f>
        <v>#REF!</v>
      </c>
      <c r="IJ102" t="e">
        <f>AND('Test Script'!#REF!,"AAAAAG7v9/M=")</f>
        <v>#REF!</v>
      </c>
      <c r="IK102" t="e">
        <f>AND('Test Script'!#REF!,"AAAAAG7v9/Q=")</f>
        <v>#REF!</v>
      </c>
      <c r="IL102" t="e">
        <f>AND('Test Script'!#REF!,"AAAAAG7v9/U=")</f>
        <v>#REF!</v>
      </c>
      <c r="IM102" t="e">
        <f>AND('Test Script'!#REF!,"AAAAAG7v9/Y=")</f>
        <v>#REF!</v>
      </c>
      <c r="IN102" t="e">
        <f>AND('Test Script'!#REF!,"AAAAAG7v9/c=")</f>
        <v>#REF!</v>
      </c>
      <c r="IO102" t="e">
        <f>AND('Test Script'!#REF!,"AAAAAG7v9/g=")</f>
        <v>#REF!</v>
      </c>
      <c r="IP102" t="e">
        <f>IF('Test Script'!#REF!,"AAAAAG7v9/k=",0)</f>
        <v>#REF!</v>
      </c>
      <c r="IQ102" t="e">
        <f>AND('Test Script'!#REF!,"AAAAAG7v9/o=")</f>
        <v>#REF!</v>
      </c>
      <c r="IR102" t="e">
        <f>AND('Test Script'!#REF!,"AAAAAG7v9/s=")</f>
        <v>#REF!</v>
      </c>
      <c r="IS102" t="e">
        <f>AND('Test Script'!#REF!,"AAAAAG7v9/w=")</f>
        <v>#REF!</v>
      </c>
      <c r="IT102" t="e">
        <f>AND('Test Script'!#REF!,"AAAAAG7v9/0=")</f>
        <v>#REF!</v>
      </c>
      <c r="IU102" t="e">
        <f>AND('Test Script'!#REF!,"AAAAAG7v9/4=")</f>
        <v>#REF!</v>
      </c>
      <c r="IV102" t="e">
        <f>AND('Test Script'!#REF!,"AAAAAG7v9/8=")</f>
        <v>#REF!</v>
      </c>
    </row>
    <row r="103" spans="1:256" x14ac:dyDescent="0.2">
      <c r="A103" t="e">
        <f>AND('Test Script'!#REF!,"AAAAAD7PvQA=")</f>
        <v>#REF!</v>
      </c>
      <c r="B103" t="e">
        <f>AND('Test Script'!#REF!,"AAAAAD7PvQE=")</f>
        <v>#REF!</v>
      </c>
      <c r="C103" t="e">
        <f>AND('Test Script'!#REF!,"AAAAAD7PvQI=")</f>
        <v>#REF!</v>
      </c>
      <c r="D103" t="e">
        <f>AND('Test Script'!#REF!,"AAAAAD7PvQM=")</f>
        <v>#REF!</v>
      </c>
      <c r="E103" t="e">
        <f>AND('Test Script'!#REF!,"AAAAAD7PvQQ=")</f>
        <v>#REF!</v>
      </c>
      <c r="F103" t="e">
        <f>AND('Test Script'!#REF!,"AAAAAD7PvQU=")</f>
        <v>#REF!</v>
      </c>
      <c r="G103" t="e">
        <f>AND('Test Script'!#REF!,"AAAAAD7PvQY=")</f>
        <v>#REF!</v>
      </c>
      <c r="H103" t="e">
        <f>AND('Test Script'!#REF!,"AAAAAD7PvQc=")</f>
        <v>#REF!</v>
      </c>
      <c r="I103" t="e">
        <f>AND('Test Script'!#REF!,"AAAAAD7PvQg=")</f>
        <v>#REF!</v>
      </c>
      <c r="J103" t="e">
        <f>AND('Test Script'!#REF!,"AAAAAD7PvQk=")</f>
        <v>#REF!</v>
      </c>
      <c r="K103" t="e">
        <f>AND('Test Script'!#REF!,"AAAAAD7PvQo=")</f>
        <v>#REF!</v>
      </c>
      <c r="L103" t="e">
        <f>AND('Test Script'!#REF!,"AAAAAD7PvQs=")</f>
        <v>#REF!</v>
      </c>
      <c r="M103" t="e">
        <f>AND('Test Script'!#REF!,"AAAAAD7PvQw=")</f>
        <v>#REF!</v>
      </c>
      <c r="N103" t="e">
        <f>AND('Test Script'!#REF!,"AAAAAD7PvQ0=")</f>
        <v>#REF!</v>
      </c>
      <c r="O103" t="e">
        <f>AND('Test Script'!#REF!,"AAAAAD7PvQ4=")</f>
        <v>#REF!</v>
      </c>
      <c r="P103" t="e">
        <f>AND('Test Script'!#REF!,"AAAAAD7PvQ8=")</f>
        <v>#REF!</v>
      </c>
      <c r="Q103" t="e">
        <f>AND('Test Script'!#REF!,"AAAAAD7PvRA=")</f>
        <v>#REF!</v>
      </c>
      <c r="R103" t="e">
        <f>AND('Test Script'!#REF!,"AAAAAD7PvRE=")</f>
        <v>#REF!</v>
      </c>
      <c r="S103" t="e">
        <f>AND('Test Script'!#REF!,"AAAAAD7PvRI=")</f>
        <v>#REF!</v>
      </c>
      <c r="T103" t="e">
        <f>AND('Test Script'!#REF!,"AAAAAD7PvRM=")</f>
        <v>#REF!</v>
      </c>
      <c r="U103" t="e">
        <f>IF('Test Script'!#REF!,"AAAAAD7PvRQ=",0)</f>
        <v>#REF!</v>
      </c>
      <c r="V103" t="e">
        <f>AND('Test Script'!#REF!,"AAAAAD7PvRU=")</f>
        <v>#REF!</v>
      </c>
      <c r="W103" t="e">
        <f>AND('Test Script'!#REF!,"AAAAAD7PvRY=")</f>
        <v>#REF!</v>
      </c>
      <c r="X103" t="e">
        <f>AND('Test Script'!#REF!,"AAAAAD7PvRc=")</f>
        <v>#REF!</v>
      </c>
      <c r="Y103" t="e">
        <f>AND('Test Script'!#REF!,"AAAAAD7PvRg=")</f>
        <v>#REF!</v>
      </c>
      <c r="Z103" t="e">
        <f>AND('Test Script'!#REF!,"AAAAAD7PvRk=")</f>
        <v>#REF!</v>
      </c>
      <c r="AA103" t="e">
        <f>AND('Test Script'!#REF!,"AAAAAD7PvRo=")</f>
        <v>#REF!</v>
      </c>
      <c r="AB103" t="e">
        <f>AND('Test Script'!#REF!,"AAAAAD7PvRs=")</f>
        <v>#REF!</v>
      </c>
      <c r="AC103" t="e">
        <f>AND('Test Script'!#REF!,"AAAAAD7PvRw=")</f>
        <v>#REF!</v>
      </c>
      <c r="AD103" t="e">
        <f>AND('Test Script'!#REF!,"AAAAAD7PvR0=")</f>
        <v>#REF!</v>
      </c>
      <c r="AE103" t="e">
        <f>AND('Test Script'!#REF!,"AAAAAD7PvR4=")</f>
        <v>#REF!</v>
      </c>
      <c r="AF103" t="e">
        <f>AND('Test Script'!#REF!,"AAAAAD7PvR8=")</f>
        <v>#REF!</v>
      </c>
      <c r="AG103" t="e">
        <f>AND('Test Script'!#REF!,"AAAAAD7PvSA=")</f>
        <v>#REF!</v>
      </c>
      <c r="AH103" t="e">
        <f>AND('Test Script'!#REF!,"AAAAAD7PvSE=")</f>
        <v>#REF!</v>
      </c>
      <c r="AI103" t="e">
        <f>AND('Test Script'!#REF!,"AAAAAD7PvSI=")</f>
        <v>#REF!</v>
      </c>
      <c r="AJ103" t="e">
        <f>AND('Test Script'!#REF!,"AAAAAD7PvSM=")</f>
        <v>#REF!</v>
      </c>
      <c r="AK103" t="e">
        <f>AND('Test Script'!#REF!,"AAAAAD7PvSQ=")</f>
        <v>#REF!</v>
      </c>
      <c r="AL103" t="e">
        <f>AND('Test Script'!#REF!,"AAAAAD7PvSU=")</f>
        <v>#REF!</v>
      </c>
      <c r="AM103" t="e">
        <f>AND('Test Script'!#REF!,"AAAAAD7PvSY=")</f>
        <v>#REF!</v>
      </c>
      <c r="AN103" t="e">
        <f>AND('Test Script'!#REF!,"AAAAAD7PvSc=")</f>
        <v>#REF!</v>
      </c>
      <c r="AO103" t="e">
        <f>AND('Test Script'!#REF!,"AAAAAD7PvSg=")</f>
        <v>#REF!</v>
      </c>
      <c r="AP103" t="e">
        <f>AND('Test Script'!#REF!,"AAAAAD7PvSk=")</f>
        <v>#REF!</v>
      </c>
      <c r="AQ103" t="e">
        <f>AND('Test Script'!#REF!,"AAAAAD7PvSo=")</f>
        <v>#REF!</v>
      </c>
      <c r="AR103" t="e">
        <f>AND('Test Script'!#REF!,"AAAAAD7PvSs=")</f>
        <v>#REF!</v>
      </c>
      <c r="AS103" t="e">
        <f>AND('Test Script'!#REF!,"AAAAAD7PvSw=")</f>
        <v>#REF!</v>
      </c>
      <c r="AT103" t="e">
        <f>AND('Test Script'!#REF!,"AAAAAD7PvS0=")</f>
        <v>#REF!</v>
      </c>
      <c r="AU103" t="e">
        <f>AND('Test Script'!#REF!,"AAAAAD7PvS4=")</f>
        <v>#REF!</v>
      </c>
      <c r="AV103" t="e">
        <f>IF('Test Script'!#REF!,"AAAAAD7PvS8=",0)</f>
        <v>#REF!</v>
      </c>
      <c r="AW103" t="e">
        <f>AND('Test Script'!#REF!,"AAAAAD7PvTA=")</f>
        <v>#REF!</v>
      </c>
      <c r="AX103" t="e">
        <f>AND('Test Script'!#REF!,"AAAAAD7PvTE=")</f>
        <v>#REF!</v>
      </c>
      <c r="AY103" t="e">
        <f>AND('Test Script'!#REF!,"AAAAAD7PvTI=")</f>
        <v>#REF!</v>
      </c>
      <c r="AZ103" t="e">
        <f>AND('Test Script'!#REF!,"AAAAAD7PvTM=")</f>
        <v>#REF!</v>
      </c>
      <c r="BA103" t="e">
        <f>AND('Test Script'!#REF!,"AAAAAD7PvTQ=")</f>
        <v>#REF!</v>
      </c>
      <c r="BB103" t="e">
        <f>AND('Test Script'!#REF!,"AAAAAD7PvTU=")</f>
        <v>#REF!</v>
      </c>
      <c r="BC103" t="e">
        <f>AND('Test Script'!#REF!,"AAAAAD7PvTY=")</f>
        <v>#REF!</v>
      </c>
      <c r="BD103" t="e">
        <f>AND('Test Script'!#REF!,"AAAAAD7PvTc=")</f>
        <v>#REF!</v>
      </c>
      <c r="BE103" t="e">
        <f>AND('Test Script'!#REF!,"AAAAAD7PvTg=")</f>
        <v>#REF!</v>
      </c>
      <c r="BF103" t="e">
        <f>AND('Test Script'!#REF!,"AAAAAD7PvTk=")</f>
        <v>#REF!</v>
      </c>
      <c r="BG103" t="e">
        <f>AND('Test Script'!#REF!,"AAAAAD7PvTo=")</f>
        <v>#REF!</v>
      </c>
      <c r="BH103" t="e">
        <f>AND('Test Script'!#REF!,"AAAAAD7PvTs=")</f>
        <v>#REF!</v>
      </c>
      <c r="BI103" t="e">
        <f>AND('Test Script'!#REF!,"AAAAAD7PvTw=")</f>
        <v>#REF!</v>
      </c>
      <c r="BJ103" t="e">
        <f>AND('Test Script'!#REF!,"AAAAAD7PvT0=")</f>
        <v>#REF!</v>
      </c>
      <c r="BK103" t="e">
        <f>AND('Test Script'!#REF!,"AAAAAD7PvT4=")</f>
        <v>#REF!</v>
      </c>
      <c r="BL103" t="e">
        <f>AND('Test Script'!#REF!,"AAAAAD7PvT8=")</f>
        <v>#REF!</v>
      </c>
      <c r="BM103" t="e">
        <f>AND('Test Script'!#REF!,"AAAAAD7PvUA=")</f>
        <v>#REF!</v>
      </c>
      <c r="BN103" t="e">
        <f>AND('Test Script'!#REF!,"AAAAAD7PvUE=")</f>
        <v>#REF!</v>
      </c>
      <c r="BO103" t="e">
        <f>AND('Test Script'!#REF!,"AAAAAD7PvUI=")</f>
        <v>#REF!</v>
      </c>
      <c r="BP103" t="e">
        <f>AND('Test Script'!#REF!,"AAAAAD7PvUM=")</f>
        <v>#REF!</v>
      </c>
      <c r="BQ103" t="e">
        <f>AND('Test Script'!#REF!,"AAAAAD7PvUQ=")</f>
        <v>#REF!</v>
      </c>
      <c r="BR103" t="e">
        <f>AND('Test Script'!#REF!,"AAAAAD7PvUU=")</f>
        <v>#REF!</v>
      </c>
      <c r="BS103" t="e">
        <f>AND('Test Script'!#REF!,"AAAAAD7PvUY=")</f>
        <v>#REF!</v>
      </c>
      <c r="BT103" t="e">
        <f>AND('Test Script'!#REF!,"AAAAAD7PvUc=")</f>
        <v>#REF!</v>
      </c>
      <c r="BU103" t="e">
        <f>AND('Test Script'!#REF!,"AAAAAD7PvUg=")</f>
        <v>#REF!</v>
      </c>
      <c r="BV103" t="e">
        <f>AND('Test Script'!#REF!,"AAAAAD7PvUk=")</f>
        <v>#REF!</v>
      </c>
      <c r="BW103" t="e">
        <f>IF('Test Script'!#REF!,"AAAAAD7PvUo=",0)</f>
        <v>#REF!</v>
      </c>
      <c r="BX103" t="e">
        <f>AND('Test Script'!#REF!,"AAAAAD7PvUs=")</f>
        <v>#REF!</v>
      </c>
      <c r="BY103" t="e">
        <f>AND('Test Script'!#REF!,"AAAAAD7PvUw=")</f>
        <v>#REF!</v>
      </c>
      <c r="BZ103" t="e">
        <f>AND('Test Script'!#REF!,"AAAAAD7PvU0=")</f>
        <v>#REF!</v>
      </c>
      <c r="CA103" t="e">
        <f>AND('Test Script'!#REF!,"AAAAAD7PvU4=")</f>
        <v>#REF!</v>
      </c>
      <c r="CB103" t="e">
        <f>AND('Test Script'!#REF!,"AAAAAD7PvU8=")</f>
        <v>#REF!</v>
      </c>
      <c r="CC103" t="e">
        <f>AND('Test Script'!#REF!,"AAAAAD7PvVA=")</f>
        <v>#REF!</v>
      </c>
      <c r="CD103" t="e">
        <f>AND('Test Script'!#REF!,"AAAAAD7PvVE=")</f>
        <v>#REF!</v>
      </c>
      <c r="CE103" t="e">
        <f>AND('Test Script'!#REF!,"AAAAAD7PvVI=")</f>
        <v>#REF!</v>
      </c>
      <c r="CF103" t="e">
        <f>AND('Test Script'!#REF!,"AAAAAD7PvVM=")</f>
        <v>#REF!</v>
      </c>
      <c r="CG103" t="e">
        <f>AND('Test Script'!#REF!,"AAAAAD7PvVQ=")</f>
        <v>#REF!</v>
      </c>
      <c r="CH103" t="e">
        <f>AND('Test Script'!#REF!,"AAAAAD7PvVU=")</f>
        <v>#REF!</v>
      </c>
      <c r="CI103" t="e">
        <f>AND('Test Script'!#REF!,"AAAAAD7PvVY=")</f>
        <v>#REF!</v>
      </c>
      <c r="CJ103" t="e">
        <f>AND('Test Script'!#REF!,"AAAAAD7PvVc=")</f>
        <v>#REF!</v>
      </c>
      <c r="CK103" t="e">
        <f>AND('Test Script'!#REF!,"AAAAAD7PvVg=")</f>
        <v>#REF!</v>
      </c>
      <c r="CL103" t="e">
        <f>AND('Test Script'!#REF!,"AAAAAD7PvVk=")</f>
        <v>#REF!</v>
      </c>
      <c r="CM103" t="e">
        <f>AND('Test Script'!#REF!,"AAAAAD7PvVo=")</f>
        <v>#REF!</v>
      </c>
      <c r="CN103" t="e">
        <f>AND('Test Script'!#REF!,"AAAAAD7PvVs=")</f>
        <v>#REF!</v>
      </c>
      <c r="CO103" t="e">
        <f>AND('Test Script'!#REF!,"AAAAAD7PvVw=")</f>
        <v>#REF!</v>
      </c>
      <c r="CP103" t="e">
        <f>AND('Test Script'!#REF!,"AAAAAD7PvV0=")</f>
        <v>#REF!</v>
      </c>
      <c r="CQ103" t="e">
        <f>AND('Test Script'!#REF!,"AAAAAD7PvV4=")</f>
        <v>#REF!</v>
      </c>
      <c r="CR103" t="e">
        <f>AND('Test Script'!#REF!,"AAAAAD7PvV8=")</f>
        <v>#REF!</v>
      </c>
      <c r="CS103" t="e">
        <f>AND('Test Script'!#REF!,"AAAAAD7PvWA=")</f>
        <v>#REF!</v>
      </c>
      <c r="CT103" t="e">
        <f>AND('Test Script'!#REF!,"AAAAAD7PvWE=")</f>
        <v>#REF!</v>
      </c>
      <c r="CU103" t="e">
        <f>AND('Test Script'!#REF!,"AAAAAD7PvWI=")</f>
        <v>#REF!</v>
      </c>
      <c r="CV103" t="e">
        <f>AND('Test Script'!#REF!,"AAAAAD7PvWM=")</f>
        <v>#REF!</v>
      </c>
      <c r="CW103" t="e">
        <f>AND('Test Script'!#REF!,"AAAAAD7PvWQ=")</f>
        <v>#REF!</v>
      </c>
      <c r="CX103" t="e">
        <f>IF('Test Script'!#REF!,"AAAAAD7PvWU=",0)</f>
        <v>#REF!</v>
      </c>
      <c r="CY103" t="e">
        <f>AND('Test Script'!#REF!,"AAAAAD7PvWY=")</f>
        <v>#REF!</v>
      </c>
      <c r="CZ103" t="e">
        <f>AND('Test Script'!#REF!,"AAAAAD7PvWc=")</f>
        <v>#REF!</v>
      </c>
      <c r="DA103" t="e">
        <f>AND('Test Script'!#REF!,"AAAAAD7PvWg=")</f>
        <v>#REF!</v>
      </c>
      <c r="DB103" t="e">
        <f>AND('Test Script'!#REF!,"AAAAAD7PvWk=")</f>
        <v>#REF!</v>
      </c>
      <c r="DC103" t="e">
        <f>AND('Test Script'!#REF!,"AAAAAD7PvWo=")</f>
        <v>#REF!</v>
      </c>
      <c r="DD103" t="e">
        <f>AND('Test Script'!#REF!,"AAAAAD7PvWs=")</f>
        <v>#REF!</v>
      </c>
      <c r="DE103" t="e">
        <f>AND('Test Script'!#REF!,"AAAAAD7PvWw=")</f>
        <v>#REF!</v>
      </c>
      <c r="DF103" t="e">
        <f>AND('Test Script'!#REF!,"AAAAAD7PvW0=")</f>
        <v>#REF!</v>
      </c>
      <c r="DG103" t="e">
        <f>AND('Test Script'!#REF!,"AAAAAD7PvW4=")</f>
        <v>#REF!</v>
      </c>
      <c r="DH103" t="e">
        <f>AND('Test Script'!#REF!,"AAAAAD7PvW8=")</f>
        <v>#REF!</v>
      </c>
      <c r="DI103" t="e">
        <f>AND('Test Script'!#REF!,"AAAAAD7PvXA=")</f>
        <v>#REF!</v>
      </c>
      <c r="DJ103" t="e">
        <f>AND('Test Script'!#REF!,"AAAAAD7PvXE=")</f>
        <v>#REF!</v>
      </c>
      <c r="DK103" t="e">
        <f>AND('Test Script'!#REF!,"AAAAAD7PvXI=")</f>
        <v>#REF!</v>
      </c>
      <c r="DL103" t="e">
        <f>AND('Test Script'!#REF!,"AAAAAD7PvXM=")</f>
        <v>#REF!</v>
      </c>
      <c r="DM103" t="e">
        <f>AND('Test Script'!#REF!,"AAAAAD7PvXQ=")</f>
        <v>#REF!</v>
      </c>
      <c r="DN103" t="e">
        <f>AND('Test Script'!#REF!,"AAAAAD7PvXU=")</f>
        <v>#REF!</v>
      </c>
      <c r="DO103" t="e">
        <f>AND('Test Script'!#REF!,"AAAAAD7PvXY=")</f>
        <v>#REF!</v>
      </c>
      <c r="DP103" t="e">
        <f>AND('Test Script'!#REF!,"AAAAAD7PvXc=")</f>
        <v>#REF!</v>
      </c>
      <c r="DQ103" t="e">
        <f>AND('Test Script'!#REF!,"AAAAAD7PvXg=")</f>
        <v>#REF!</v>
      </c>
      <c r="DR103" t="e">
        <f>AND('Test Script'!#REF!,"AAAAAD7PvXk=")</f>
        <v>#REF!</v>
      </c>
      <c r="DS103" t="e">
        <f>AND('Test Script'!#REF!,"AAAAAD7PvXo=")</f>
        <v>#REF!</v>
      </c>
      <c r="DT103" t="e">
        <f>AND('Test Script'!#REF!,"AAAAAD7PvXs=")</f>
        <v>#REF!</v>
      </c>
      <c r="DU103" t="e">
        <f>AND('Test Script'!#REF!,"AAAAAD7PvXw=")</f>
        <v>#REF!</v>
      </c>
      <c r="DV103" t="e">
        <f>AND('Test Script'!#REF!,"AAAAAD7PvX0=")</f>
        <v>#REF!</v>
      </c>
      <c r="DW103" t="e">
        <f>AND('Test Script'!#REF!,"AAAAAD7PvX4=")</f>
        <v>#REF!</v>
      </c>
      <c r="DX103" t="e">
        <f>AND('Test Script'!#REF!,"AAAAAD7PvX8=")</f>
        <v>#REF!</v>
      </c>
      <c r="DY103" t="e">
        <f>IF('Test Script'!#REF!,"AAAAAD7PvYA=",0)</f>
        <v>#REF!</v>
      </c>
      <c r="DZ103" t="e">
        <f>AND('Test Script'!#REF!,"AAAAAD7PvYE=")</f>
        <v>#REF!</v>
      </c>
      <c r="EA103" t="e">
        <f>AND('Test Script'!#REF!,"AAAAAD7PvYI=")</f>
        <v>#REF!</v>
      </c>
      <c r="EB103" t="e">
        <f>AND('Test Script'!#REF!,"AAAAAD7PvYM=")</f>
        <v>#REF!</v>
      </c>
      <c r="EC103" t="e">
        <f>AND('Test Script'!#REF!,"AAAAAD7PvYQ=")</f>
        <v>#REF!</v>
      </c>
      <c r="ED103" t="e">
        <f>AND('Test Script'!#REF!,"AAAAAD7PvYU=")</f>
        <v>#REF!</v>
      </c>
      <c r="EE103" t="e">
        <f>AND('Test Script'!#REF!,"AAAAAD7PvYY=")</f>
        <v>#REF!</v>
      </c>
      <c r="EF103" t="e">
        <f>AND('Test Script'!#REF!,"AAAAAD7PvYc=")</f>
        <v>#REF!</v>
      </c>
      <c r="EG103" t="e">
        <f>AND('Test Script'!#REF!,"AAAAAD7PvYg=")</f>
        <v>#REF!</v>
      </c>
      <c r="EH103" t="e">
        <f>AND('Test Script'!#REF!,"AAAAAD7PvYk=")</f>
        <v>#REF!</v>
      </c>
      <c r="EI103" t="e">
        <f>AND('Test Script'!#REF!,"AAAAAD7PvYo=")</f>
        <v>#REF!</v>
      </c>
      <c r="EJ103" t="e">
        <f>AND('Test Script'!#REF!,"AAAAAD7PvYs=")</f>
        <v>#REF!</v>
      </c>
      <c r="EK103" t="e">
        <f>AND('Test Script'!#REF!,"AAAAAD7PvYw=")</f>
        <v>#REF!</v>
      </c>
      <c r="EL103" t="e">
        <f>AND('Test Script'!#REF!,"AAAAAD7PvY0=")</f>
        <v>#REF!</v>
      </c>
      <c r="EM103" t="e">
        <f>AND('Test Script'!#REF!,"AAAAAD7PvY4=")</f>
        <v>#REF!</v>
      </c>
      <c r="EN103" t="e">
        <f>AND('Test Script'!#REF!,"AAAAAD7PvY8=")</f>
        <v>#REF!</v>
      </c>
      <c r="EO103" t="e">
        <f>AND('Test Script'!#REF!,"AAAAAD7PvZA=")</f>
        <v>#REF!</v>
      </c>
      <c r="EP103" t="e">
        <f>AND('Test Script'!#REF!,"AAAAAD7PvZE=")</f>
        <v>#REF!</v>
      </c>
      <c r="EQ103" t="e">
        <f>AND('Test Script'!#REF!,"AAAAAD7PvZI=")</f>
        <v>#REF!</v>
      </c>
      <c r="ER103" t="e">
        <f>AND('Test Script'!#REF!,"AAAAAD7PvZM=")</f>
        <v>#REF!</v>
      </c>
      <c r="ES103" t="e">
        <f>AND('Test Script'!#REF!,"AAAAAD7PvZQ=")</f>
        <v>#REF!</v>
      </c>
      <c r="ET103" t="e">
        <f>AND('Test Script'!#REF!,"AAAAAD7PvZU=")</f>
        <v>#REF!</v>
      </c>
      <c r="EU103" t="e">
        <f>AND('Test Script'!#REF!,"AAAAAD7PvZY=")</f>
        <v>#REF!</v>
      </c>
      <c r="EV103" t="e">
        <f>AND('Test Script'!#REF!,"AAAAAD7PvZc=")</f>
        <v>#REF!</v>
      </c>
      <c r="EW103" t="e">
        <f>AND('Test Script'!#REF!,"AAAAAD7PvZg=")</f>
        <v>#REF!</v>
      </c>
      <c r="EX103" t="e">
        <f>AND('Test Script'!#REF!,"AAAAAD7PvZk=")</f>
        <v>#REF!</v>
      </c>
      <c r="EY103" t="e">
        <f>AND('Test Script'!#REF!,"AAAAAD7PvZo=")</f>
        <v>#REF!</v>
      </c>
      <c r="EZ103" t="e">
        <f>IF('Test Script'!#REF!,"AAAAAD7PvZs=",0)</f>
        <v>#REF!</v>
      </c>
      <c r="FA103" t="e">
        <f>AND('Test Script'!#REF!,"AAAAAD7PvZw=")</f>
        <v>#REF!</v>
      </c>
      <c r="FB103" t="e">
        <f>AND('Test Script'!#REF!,"AAAAAD7PvZ0=")</f>
        <v>#REF!</v>
      </c>
      <c r="FC103" t="e">
        <f>AND('Test Script'!#REF!,"AAAAAD7PvZ4=")</f>
        <v>#REF!</v>
      </c>
      <c r="FD103" t="e">
        <f>AND('Test Script'!#REF!,"AAAAAD7PvZ8=")</f>
        <v>#REF!</v>
      </c>
      <c r="FE103" t="e">
        <f>AND('Test Script'!#REF!,"AAAAAD7PvaA=")</f>
        <v>#REF!</v>
      </c>
      <c r="FF103" t="e">
        <f>AND('Test Script'!#REF!,"AAAAAD7PvaE=")</f>
        <v>#REF!</v>
      </c>
      <c r="FG103" t="e">
        <f>AND('Test Script'!#REF!,"AAAAAD7PvaI=")</f>
        <v>#REF!</v>
      </c>
      <c r="FH103" t="e">
        <f>AND('Test Script'!#REF!,"AAAAAD7PvaM=")</f>
        <v>#REF!</v>
      </c>
      <c r="FI103" t="e">
        <f>AND('Test Script'!#REF!,"AAAAAD7PvaQ=")</f>
        <v>#REF!</v>
      </c>
      <c r="FJ103" t="e">
        <f>AND('Test Script'!#REF!,"AAAAAD7PvaU=")</f>
        <v>#REF!</v>
      </c>
      <c r="FK103" t="e">
        <f>AND('Test Script'!#REF!,"AAAAAD7PvaY=")</f>
        <v>#REF!</v>
      </c>
      <c r="FL103" t="e">
        <f>AND('Test Script'!#REF!,"AAAAAD7Pvac=")</f>
        <v>#REF!</v>
      </c>
      <c r="FM103" t="e">
        <f>AND('Test Script'!#REF!,"AAAAAD7Pvag=")</f>
        <v>#REF!</v>
      </c>
      <c r="FN103" t="e">
        <f>AND('Test Script'!#REF!,"AAAAAD7Pvak=")</f>
        <v>#REF!</v>
      </c>
      <c r="FO103" t="e">
        <f>AND('Test Script'!#REF!,"AAAAAD7Pvao=")</f>
        <v>#REF!</v>
      </c>
      <c r="FP103" t="e">
        <f>AND('Test Script'!#REF!,"AAAAAD7Pvas=")</f>
        <v>#REF!</v>
      </c>
      <c r="FQ103" t="e">
        <f>AND('Test Script'!#REF!,"AAAAAD7Pvaw=")</f>
        <v>#REF!</v>
      </c>
      <c r="FR103" t="e">
        <f>AND('Test Script'!#REF!,"AAAAAD7Pva0=")</f>
        <v>#REF!</v>
      </c>
      <c r="FS103" t="e">
        <f>AND('Test Script'!#REF!,"AAAAAD7Pva4=")</f>
        <v>#REF!</v>
      </c>
      <c r="FT103" t="e">
        <f>AND('Test Script'!#REF!,"AAAAAD7Pva8=")</f>
        <v>#REF!</v>
      </c>
      <c r="FU103" t="e">
        <f>AND('Test Script'!#REF!,"AAAAAD7PvbA=")</f>
        <v>#REF!</v>
      </c>
      <c r="FV103" t="e">
        <f>AND('Test Script'!#REF!,"AAAAAD7PvbE=")</f>
        <v>#REF!</v>
      </c>
      <c r="FW103" t="e">
        <f>AND('Test Script'!#REF!,"AAAAAD7PvbI=")</f>
        <v>#REF!</v>
      </c>
      <c r="FX103" t="e">
        <f>AND('Test Script'!#REF!,"AAAAAD7PvbM=")</f>
        <v>#REF!</v>
      </c>
      <c r="FY103" t="e">
        <f>AND('Test Script'!#REF!,"AAAAAD7PvbQ=")</f>
        <v>#REF!</v>
      </c>
      <c r="FZ103" t="e">
        <f>AND('Test Script'!#REF!,"AAAAAD7PvbU=")</f>
        <v>#REF!</v>
      </c>
      <c r="GA103" t="e">
        <f>IF('Test Script'!#REF!,"AAAAAD7PvbY=",0)</f>
        <v>#REF!</v>
      </c>
      <c r="GB103" t="e">
        <f>AND('Test Script'!#REF!,"AAAAAD7Pvbc=")</f>
        <v>#REF!</v>
      </c>
      <c r="GC103" t="e">
        <f>AND('Test Script'!#REF!,"AAAAAD7Pvbg=")</f>
        <v>#REF!</v>
      </c>
      <c r="GD103" t="e">
        <f>AND('Test Script'!#REF!,"AAAAAD7Pvbk=")</f>
        <v>#REF!</v>
      </c>
      <c r="GE103" t="e">
        <f>AND('Test Script'!#REF!,"AAAAAD7Pvbo=")</f>
        <v>#REF!</v>
      </c>
      <c r="GF103" t="e">
        <f>AND('Test Script'!#REF!,"AAAAAD7Pvbs=")</f>
        <v>#REF!</v>
      </c>
      <c r="GG103" t="e">
        <f>AND('Test Script'!#REF!,"AAAAAD7Pvbw=")</f>
        <v>#REF!</v>
      </c>
      <c r="GH103" t="e">
        <f>AND('Test Script'!#REF!,"AAAAAD7Pvb0=")</f>
        <v>#REF!</v>
      </c>
      <c r="GI103" t="e">
        <f>AND('Test Script'!#REF!,"AAAAAD7Pvb4=")</f>
        <v>#REF!</v>
      </c>
      <c r="GJ103" t="e">
        <f>AND('Test Script'!#REF!,"AAAAAD7Pvb8=")</f>
        <v>#REF!</v>
      </c>
      <c r="GK103" t="e">
        <f>AND('Test Script'!#REF!,"AAAAAD7PvcA=")</f>
        <v>#REF!</v>
      </c>
      <c r="GL103" t="e">
        <f>AND('Test Script'!#REF!,"AAAAAD7PvcE=")</f>
        <v>#REF!</v>
      </c>
      <c r="GM103" t="e">
        <f>AND('Test Script'!#REF!,"AAAAAD7PvcI=")</f>
        <v>#REF!</v>
      </c>
      <c r="GN103" t="e">
        <f>AND('Test Script'!#REF!,"AAAAAD7PvcM=")</f>
        <v>#REF!</v>
      </c>
      <c r="GO103" t="e">
        <f>AND('Test Script'!#REF!,"AAAAAD7PvcQ=")</f>
        <v>#REF!</v>
      </c>
      <c r="GP103" t="e">
        <f>AND('Test Script'!#REF!,"AAAAAD7PvcU=")</f>
        <v>#REF!</v>
      </c>
      <c r="GQ103" t="e">
        <f>AND('Test Script'!#REF!,"AAAAAD7PvcY=")</f>
        <v>#REF!</v>
      </c>
      <c r="GR103" t="e">
        <f>AND('Test Script'!#REF!,"AAAAAD7Pvcc=")</f>
        <v>#REF!</v>
      </c>
      <c r="GS103" t="e">
        <f>AND('Test Script'!#REF!,"AAAAAD7Pvcg=")</f>
        <v>#REF!</v>
      </c>
      <c r="GT103" t="e">
        <f>AND('Test Script'!#REF!,"AAAAAD7Pvck=")</f>
        <v>#REF!</v>
      </c>
      <c r="GU103" t="e">
        <f>AND('Test Script'!#REF!,"AAAAAD7Pvco=")</f>
        <v>#REF!</v>
      </c>
      <c r="GV103" t="e">
        <f>AND('Test Script'!#REF!,"AAAAAD7Pvcs=")</f>
        <v>#REF!</v>
      </c>
      <c r="GW103" t="e">
        <f>AND('Test Script'!#REF!,"AAAAAD7Pvcw=")</f>
        <v>#REF!</v>
      </c>
      <c r="GX103" t="e">
        <f>AND('Test Script'!#REF!,"AAAAAD7Pvc0=")</f>
        <v>#REF!</v>
      </c>
      <c r="GY103" t="e">
        <f>AND('Test Script'!#REF!,"AAAAAD7Pvc4=")</f>
        <v>#REF!</v>
      </c>
      <c r="GZ103" t="e">
        <f>AND('Test Script'!#REF!,"AAAAAD7Pvc8=")</f>
        <v>#REF!</v>
      </c>
      <c r="HA103" t="e">
        <f>AND('Test Script'!#REF!,"AAAAAD7PvdA=")</f>
        <v>#REF!</v>
      </c>
      <c r="HB103" t="e">
        <f>IF('Test Script'!#REF!,"AAAAAD7PvdE=",0)</f>
        <v>#REF!</v>
      </c>
      <c r="HC103" t="e">
        <f>AND('Test Script'!#REF!,"AAAAAD7PvdI=")</f>
        <v>#REF!</v>
      </c>
      <c r="HD103" t="e">
        <f>AND('Test Script'!#REF!,"AAAAAD7PvdM=")</f>
        <v>#REF!</v>
      </c>
      <c r="HE103" t="e">
        <f>AND('Test Script'!#REF!,"AAAAAD7PvdQ=")</f>
        <v>#REF!</v>
      </c>
      <c r="HF103" t="e">
        <f>AND('Test Script'!#REF!,"AAAAAD7PvdU=")</f>
        <v>#REF!</v>
      </c>
      <c r="HG103" t="e">
        <f>AND('Test Script'!#REF!,"AAAAAD7PvdY=")</f>
        <v>#REF!</v>
      </c>
      <c r="HH103" t="e">
        <f>AND('Test Script'!#REF!,"AAAAAD7Pvdc=")</f>
        <v>#REF!</v>
      </c>
      <c r="HI103" t="e">
        <f>AND('Test Script'!#REF!,"AAAAAD7Pvdg=")</f>
        <v>#REF!</v>
      </c>
      <c r="HJ103" t="e">
        <f>AND('Test Script'!#REF!,"AAAAAD7Pvdk=")</f>
        <v>#REF!</v>
      </c>
      <c r="HK103" t="e">
        <f>AND('Test Script'!#REF!,"AAAAAD7Pvdo=")</f>
        <v>#REF!</v>
      </c>
      <c r="HL103" t="e">
        <f>AND('Test Script'!#REF!,"AAAAAD7Pvds=")</f>
        <v>#REF!</v>
      </c>
      <c r="HM103" t="e">
        <f>AND('Test Script'!#REF!,"AAAAAD7Pvdw=")</f>
        <v>#REF!</v>
      </c>
      <c r="HN103" t="e">
        <f>AND('Test Script'!#REF!,"AAAAAD7Pvd0=")</f>
        <v>#REF!</v>
      </c>
      <c r="HO103" t="e">
        <f>AND('Test Script'!#REF!,"AAAAAD7Pvd4=")</f>
        <v>#REF!</v>
      </c>
      <c r="HP103" t="e">
        <f>AND('Test Script'!#REF!,"AAAAAD7Pvd8=")</f>
        <v>#REF!</v>
      </c>
      <c r="HQ103" t="e">
        <f>AND('Test Script'!#REF!,"AAAAAD7PveA=")</f>
        <v>#REF!</v>
      </c>
      <c r="HR103" t="e">
        <f>AND('Test Script'!#REF!,"AAAAAD7PveE=")</f>
        <v>#REF!</v>
      </c>
      <c r="HS103" t="e">
        <f>AND('Test Script'!#REF!,"AAAAAD7PveI=")</f>
        <v>#REF!</v>
      </c>
      <c r="HT103" t="e">
        <f>AND('Test Script'!#REF!,"AAAAAD7PveM=")</f>
        <v>#REF!</v>
      </c>
      <c r="HU103" t="e">
        <f>AND('Test Script'!#REF!,"AAAAAD7PveQ=")</f>
        <v>#REF!</v>
      </c>
      <c r="HV103" t="e">
        <f>AND('Test Script'!#REF!,"AAAAAD7PveU=")</f>
        <v>#REF!</v>
      </c>
      <c r="HW103" t="e">
        <f>AND('Test Script'!#REF!,"AAAAAD7PveY=")</f>
        <v>#REF!</v>
      </c>
      <c r="HX103" t="e">
        <f>AND('Test Script'!#REF!,"AAAAAD7Pvec=")</f>
        <v>#REF!</v>
      </c>
      <c r="HY103" t="e">
        <f>AND('Test Script'!#REF!,"AAAAAD7Pveg=")</f>
        <v>#REF!</v>
      </c>
      <c r="HZ103" t="e">
        <f>AND('Test Script'!#REF!,"AAAAAD7Pvek=")</f>
        <v>#REF!</v>
      </c>
      <c r="IA103" t="e">
        <f>AND('Test Script'!#REF!,"AAAAAD7Pveo=")</f>
        <v>#REF!</v>
      </c>
      <c r="IB103" t="e">
        <f>AND('Test Script'!#REF!,"AAAAAD7Pves=")</f>
        <v>#REF!</v>
      </c>
      <c r="IC103" t="e">
        <f>IF('Test Script'!#REF!,"AAAAAD7Pvew=",0)</f>
        <v>#REF!</v>
      </c>
      <c r="ID103" t="e">
        <f>AND('Test Script'!#REF!,"AAAAAD7Pve0=")</f>
        <v>#REF!</v>
      </c>
      <c r="IE103" t="e">
        <f>AND('Test Script'!#REF!,"AAAAAD7Pve4=")</f>
        <v>#REF!</v>
      </c>
      <c r="IF103" t="e">
        <f>AND('Test Script'!#REF!,"AAAAAD7Pve8=")</f>
        <v>#REF!</v>
      </c>
      <c r="IG103" t="e">
        <f>AND('Test Script'!#REF!,"AAAAAD7PvfA=")</f>
        <v>#REF!</v>
      </c>
      <c r="IH103" t="e">
        <f>AND('Test Script'!#REF!,"AAAAAD7PvfE=")</f>
        <v>#REF!</v>
      </c>
      <c r="II103" t="e">
        <f>AND('Test Script'!#REF!,"AAAAAD7PvfI=")</f>
        <v>#REF!</v>
      </c>
      <c r="IJ103" t="e">
        <f>AND('Test Script'!#REF!,"AAAAAD7PvfM=")</f>
        <v>#REF!</v>
      </c>
      <c r="IK103" t="e">
        <f>AND('Test Script'!#REF!,"AAAAAD7PvfQ=")</f>
        <v>#REF!</v>
      </c>
      <c r="IL103" t="e">
        <f>AND('Test Script'!#REF!,"AAAAAD7PvfU=")</f>
        <v>#REF!</v>
      </c>
      <c r="IM103" t="e">
        <f>AND('Test Script'!#REF!,"AAAAAD7PvfY=")</f>
        <v>#REF!</v>
      </c>
      <c r="IN103" t="e">
        <f>AND('Test Script'!#REF!,"AAAAAD7Pvfc=")</f>
        <v>#REF!</v>
      </c>
      <c r="IO103" t="e">
        <f>AND('Test Script'!#REF!,"AAAAAD7Pvfg=")</f>
        <v>#REF!</v>
      </c>
      <c r="IP103" t="e">
        <f>AND('Test Script'!#REF!,"AAAAAD7Pvfk=")</f>
        <v>#REF!</v>
      </c>
      <c r="IQ103" t="e">
        <f>AND('Test Script'!#REF!,"AAAAAD7Pvfo=")</f>
        <v>#REF!</v>
      </c>
      <c r="IR103" t="e">
        <f>AND('Test Script'!#REF!,"AAAAAD7Pvfs=")</f>
        <v>#REF!</v>
      </c>
      <c r="IS103" t="e">
        <f>AND('Test Script'!#REF!,"AAAAAD7Pvfw=")</f>
        <v>#REF!</v>
      </c>
      <c r="IT103" t="e">
        <f>AND('Test Script'!#REF!,"AAAAAD7Pvf0=")</f>
        <v>#REF!</v>
      </c>
      <c r="IU103" t="e">
        <f>AND('Test Script'!#REF!,"AAAAAD7Pvf4=")</f>
        <v>#REF!</v>
      </c>
      <c r="IV103" t="e">
        <f>AND('Test Script'!#REF!,"AAAAAD7Pvf8=")</f>
        <v>#REF!</v>
      </c>
    </row>
    <row r="104" spans="1:256" x14ac:dyDescent="0.2">
      <c r="A104" t="e">
        <f>AND('Test Script'!#REF!,"AAAAAH858gA=")</f>
        <v>#REF!</v>
      </c>
      <c r="B104" t="e">
        <f>AND('Test Script'!#REF!,"AAAAAH858gE=")</f>
        <v>#REF!</v>
      </c>
      <c r="C104" t="e">
        <f>AND('Test Script'!#REF!,"AAAAAH858gI=")</f>
        <v>#REF!</v>
      </c>
      <c r="D104" t="e">
        <f>AND('Test Script'!#REF!,"AAAAAH858gM=")</f>
        <v>#REF!</v>
      </c>
      <c r="E104" t="e">
        <f>AND('Test Script'!#REF!,"AAAAAH858gQ=")</f>
        <v>#REF!</v>
      </c>
      <c r="F104" t="e">
        <f>AND('Test Script'!#REF!,"AAAAAH858gU=")</f>
        <v>#REF!</v>
      </c>
      <c r="G104" t="e">
        <f>AND('Test Script'!#REF!,"AAAAAH858gY=")</f>
        <v>#REF!</v>
      </c>
      <c r="H104" t="e">
        <f>IF('Test Script'!#REF!,"AAAAAH858gc=",0)</f>
        <v>#REF!</v>
      </c>
      <c r="I104" t="e">
        <f>AND('Test Script'!#REF!,"AAAAAH858gg=")</f>
        <v>#REF!</v>
      </c>
      <c r="J104" t="e">
        <f>AND('Test Script'!#REF!,"AAAAAH858gk=")</f>
        <v>#REF!</v>
      </c>
      <c r="K104" t="e">
        <f>AND('Test Script'!#REF!,"AAAAAH858go=")</f>
        <v>#REF!</v>
      </c>
      <c r="L104" t="e">
        <f>AND('Test Script'!#REF!,"AAAAAH858gs=")</f>
        <v>#REF!</v>
      </c>
      <c r="M104" t="e">
        <f>AND('Test Script'!#REF!,"AAAAAH858gw=")</f>
        <v>#REF!</v>
      </c>
      <c r="N104" t="e">
        <f>AND('Test Script'!#REF!,"AAAAAH858g0=")</f>
        <v>#REF!</v>
      </c>
      <c r="O104" t="e">
        <f>AND('Test Script'!#REF!,"AAAAAH858g4=")</f>
        <v>#REF!</v>
      </c>
      <c r="P104" t="e">
        <f>AND('Test Script'!#REF!,"AAAAAH858g8=")</f>
        <v>#REF!</v>
      </c>
      <c r="Q104" t="e">
        <f>AND('Test Script'!#REF!,"AAAAAH858hA=")</f>
        <v>#REF!</v>
      </c>
      <c r="R104" t="e">
        <f>AND('Test Script'!#REF!,"AAAAAH858hE=")</f>
        <v>#REF!</v>
      </c>
      <c r="S104" t="e">
        <f>AND('Test Script'!#REF!,"AAAAAH858hI=")</f>
        <v>#REF!</v>
      </c>
      <c r="T104" t="e">
        <f>AND('Test Script'!#REF!,"AAAAAH858hM=")</f>
        <v>#REF!</v>
      </c>
      <c r="U104" t="e">
        <f>AND('Test Script'!#REF!,"AAAAAH858hQ=")</f>
        <v>#REF!</v>
      </c>
      <c r="V104" t="e">
        <f>AND('Test Script'!#REF!,"AAAAAH858hU=")</f>
        <v>#REF!</v>
      </c>
      <c r="W104" t="e">
        <f>AND('Test Script'!#REF!,"AAAAAH858hY=")</f>
        <v>#REF!</v>
      </c>
      <c r="X104" t="e">
        <f>AND('Test Script'!#REF!,"AAAAAH858hc=")</f>
        <v>#REF!</v>
      </c>
      <c r="Y104" t="e">
        <f>AND('Test Script'!#REF!,"AAAAAH858hg=")</f>
        <v>#REF!</v>
      </c>
      <c r="Z104" t="e">
        <f>AND('Test Script'!#REF!,"AAAAAH858hk=")</f>
        <v>#REF!</v>
      </c>
      <c r="AA104" t="e">
        <f>AND('Test Script'!#REF!,"AAAAAH858ho=")</f>
        <v>#REF!</v>
      </c>
      <c r="AB104" t="e">
        <f>AND('Test Script'!#REF!,"AAAAAH858hs=")</f>
        <v>#REF!</v>
      </c>
      <c r="AC104" t="e">
        <f>AND('Test Script'!#REF!,"AAAAAH858hw=")</f>
        <v>#REF!</v>
      </c>
      <c r="AD104" t="e">
        <f>AND('Test Script'!#REF!,"AAAAAH858h0=")</f>
        <v>#REF!</v>
      </c>
      <c r="AE104" t="e">
        <f>AND('Test Script'!#REF!,"AAAAAH858h4=")</f>
        <v>#REF!</v>
      </c>
      <c r="AF104" t="e">
        <f>AND('Test Script'!#REF!,"AAAAAH858h8=")</f>
        <v>#REF!</v>
      </c>
      <c r="AG104" t="e">
        <f>AND('Test Script'!#REF!,"AAAAAH858iA=")</f>
        <v>#REF!</v>
      </c>
      <c r="AH104" t="e">
        <f>AND('Test Script'!#REF!,"AAAAAH858iE=")</f>
        <v>#REF!</v>
      </c>
      <c r="AI104" t="e">
        <f>IF('Test Script'!#REF!,"AAAAAH858iI=",0)</f>
        <v>#REF!</v>
      </c>
      <c r="AJ104" t="e">
        <f>AND('Test Script'!#REF!,"AAAAAH858iM=")</f>
        <v>#REF!</v>
      </c>
      <c r="AK104" t="e">
        <f>AND('Test Script'!#REF!,"AAAAAH858iQ=")</f>
        <v>#REF!</v>
      </c>
      <c r="AL104" t="e">
        <f>AND('Test Script'!#REF!,"AAAAAH858iU=")</f>
        <v>#REF!</v>
      </c>
      <c r="AM104" t="e">
        <f>AND('Test Script'!#REF!,"AAAAAH858iY=")</f>
        <v>#REF!</v>
      </c>
      <c r="AN104" t="e">
        <f>AND('Test Script'!#REF!,"AAAAAH858ic=")</f>
        <v>#REF!</v>
      </c>
      <c r="AO104" t="e">
        <f>AND('Test Script'!#REF!,"AAAAAH858ig=")</f>
        <v>#REF!</v>
      </c>
      <c r="AP104" t="e">
        <f>AND('Test Script'!#REF!,"AAAAAH858ik=")</f>
        <v>#REF!</v>
      </c>
      <c r="AQ104" t="e">
        <f>AND('Test Script'!#REF!,"AAAAAH858io=")</f>
        <v>#REF!</v>
      </c>
      <c r="AR104" t="e">
        <f>AND('Test Script'!#REF!,"AAAAAH858is=")</f>
        <v>#REF!</v>
      </c>
      <c r="AS104" t="e">
        <f>AND('Test Script'!#REF!,"AAAAAH858iw=")</f>
        <v>#REF!</v>
      </c>
      <c r="AT104" t="e">
        <f>AND('Test Script'!#REF!,"AAAAAH858i0=")</f>
        <v>#REF!</v>
      </c>
      <c r="AU104" t="e">
        <f>AND('Test Script'!#REF!,"AAAAAH858i4=")</f>
        <v>#REF!</v>
      </c>
      <c r="AV104" t="e">
        <f>AND('Test Script'!#REF!,"AAAAAH858i8=")</f>
        <v>#REF!</v>
      </c>
      <c r="AW104" t="e">
        <f>AND('Test Script'!#REF!,"AAAAAH858jA=")</f>
        <v>#REF!</v>
      </c>
      <c r="AX104" t="e">
        <f>AND('Test Script'!#REF!,"AAAAAH858jE=")</f>
        <v>#REF!</v>
      </c>
      <c r="AY104" t="e">
        <f>AND('Test Script'!#REF!,"AAAAAH858jI=")</f>
        <v>#REF!</v>
      </c>
      <c r="AZ104" t="e">
        <f>AND('Test Script'!#REF!,"AAAAAH858jM=")</f>
        <v>#REF!</v>
      </c>
      <c r="BA104" t="e">
        <f>AND('Test Script'!#REF!,"AAAAAH858jQ=")</f>
        <v>#REF!</v>
      </c>
      <c r="BB104" t="e">
        <f>AND('Test Script'!#REF!,"AAAAAH858jU=")</f>
        <v>#REF!</v>
      </c>
      <c r="BC104" t="e">
        <f>AND('Test Script'!#REF!,"AAAAAH858jY=")</f>
        <v>#REF!</v>
      </c>
      <c r="BD104" t="e">
        <f>AND('Test Script'!#REF!,"AAAAAH858jc=")</f>
        <v>#REF!</v>
      </c>
      <c r="BE104" t="e">
        <f>AND('Test Script'!#REF!,"AAAAAH858jg=")</f>
        <v>#REF!</v>
      </c>
      <c r="BF104" t="e">
        <f>AND('Test Script'!#REF!,"AAAAAH858jk=")</f>
        <v>#REF!</v>
      </c>
      <c r="BG104" t="e">
        <f>AND('Test Script'!#REF!,"AAAAAH858jo=")</f>
        <v>#REF!</v>
      </c>
      <c r="BH104" t="e">
        <f>AND('Test Script'!#REF!,"AAAAAH858js=")</f>
        <v>#REF!</v>
      </c>
      <c r="BI104" t="e">
        <f>AND('Test Script'!#REF!,"AAAAAH858jw=")</f>
        <v>#REF!</v>
      </c>
      <c r="BJ104" t="e">
        <f>IF('Test Script'!#REF!,"AAAAAH858j0=",0)</f>
        <v>#REF!</v>
      </c>
      <c r="BK104" t="e">
        <f>AND('Test Script'!#REF!,"AAAAAH858j4=")</f>
        <v>#REF!</v>
      </c>
      <c r="BL104" t="e">
        <f>AND('Test Script'!#REF!,"AAAAAH858j8=")</f>
        <v>#REF!</v>
      </c>
      <c r="BM104" t="e">
        <f>AND('Test Script'!#REF!,"AAAAAH858kA=")</f>
        <v>#REF!</v>
      </c>
      <c r="BN104" t="e">
        <f>AND('Test Script'!#REF!,"AAAAAH858kE=")</f>
        <v>#REF!</v>
      </c>
      <c r="BO104" t="e">
        <f>AND('Test Script'!#REF!,"AAAAAH858kI=")</f>
        <v>#REF!</v>
      </c>
      <c r="BP104" t="e">
        <f>AND('Test Script'!#REF!,"AAAAAH858kM=")</f>
        <v>#REF!</v>
      </c>
      <c r="BQ104" t="e">
        <f>AND('Test Script'!#REF!,"AAAAAH858kQ=")</f>
        <v>#REF!</v>
      </c>
      <c r="BR104" t="e">
        <f>AND('Test Script'!#REF!,"AAAAAH858kU=")</f>
        <v>#REF!</v>
      </c>
      <c r="BS104" t="e">
        <f>AND('Test Script'!#REF!,"AAAAAH858kY=")</f>
        <v>#REF!</v>
      </c>
      <c r="BT104" t="e">
        <f>AND('Test Script'!#REF!,"AAAAAH858kc=")</f>
        <v>#REF!</v>
      </c>
      <c r="BU104" t="e">
        <f>AND('Test Script'!#REF!,"AAAAAH858kg=")</f>
        <v>#REF!</v>
      </c>
      <c r="BV104" t="e">
        <f>AND('Test Script'!#REF!,"AAAAAH858kk=")</f>
        <v>#REF!</v>
      </c>
      <c r="BW104" t="e">
        <f>AND('Test Script'!#REF!,"AAAAAH858ko=")</f>
        <v>#REF!</v>
      </c>
      <c r="BX104" t="e">
        <f>AND('Test Script'!#REF!,"AAAAAH858ks=")</f>
        <v>#REF!</v>
      </c>
      <c r="BY104" t="e">
        <f>AND('Test Script'!#REF!,"AAAAAH858kw=")</f>
        <v>#REF!</v>
      </c>
      <c r="BZ104" t="e">
        <f>AND('Test Script'!#REF!,"AAAAAH858k0=")</f>
        <v>#REF!</v>
      </c>
      <c r="CA104" t="e">
        <f>AND('Test Script'!#REF!,"AAAAAH858k4=")</f>
        <v>#REF!</v>
      </c>
      <c r="CB104" t="e">
        <f>AND('Test Script'!#REF!,"AAAAAH858k8=")</f>
        <v>#REF!</v>
      </c>
      <c r="CC104" t="e">
        <f>AND('Test Script'!#REF!,"AAAAAH858lA=")</f>
        <v>#REF!</v>
      </c>
      <c r="CD104" t="e">
        <f>AND('Test Script'!#REF!,"AAAAAH858lE=")</f>
        <v>#REF!</v>
      </c>
      <c r="CE104" t="e">
        <f>AND('Test Script'!#REF!,"AAAAAH858lI=")</f>
        <v>#REF!</v>
      </c>
      <c r="CF104" t="e">
        <f>AND('Test Script'!#REF!,"AAAAAH858lM=")</f>
        <v>#REF!</v>
      </c>
      <c r="CG104" t="e">
        <f>AND('Test Script'!#REF!,"AAAAAH858lQ=")</f>
        <v>#REF!</v>
      </c>
      <c r="CH104" t="e">
        <f>AND('Test Script'!#REF!,"AAAAAH858lU=")</f>
        <v>#REF!</v>
      </c>
      <c r="CI104" t="e">
        <f>AND('Test Script'!#REF!,"AAAAAH858lY=")</f>
        <v>#REF!</v>
      </c>
      <c r="CJ104" t="e">
        <f>AND('Test Script'!#REF!,"AAAAAH858lc=")</f>
        <v>#REF!</v>
      </c>
      <c r="CK104" t="e">
        <f>IF('Test Script'!#REF!,"AAAAAH858lg=",0)</f>
        <v>#REF!</v>
      </c>
      <c r="CL104" t="e">
        <f>AND('Test Script'!#REF!,"AAAAAH858lk=")</f>
        <v>#REF!</v>
      </c>
      <c r="CM104" t="e">
        <f>AND('Test Script'!#REF!,"AAAAAH858lo=")</f>
        <v>#REF!</v>
      </c>
      <c r="CN104" t="e">
        <f>AND('Test Script'!#REF!,"AAAAAH858ls=")</f>
        <v>#REF!</v>
      </c>
      <c r="CO104" t="e">
        <f>AND('Test Script'!#REF!,"AAAAAH858lw=")</f>
        <v>#REF!</v>
      </c>
      <c r="CP104" t="e">
        <f>AND('Test Script'!#REF!,"AAAAAH858l0=")</f>
        <v>#REF!</v>
      </c>
      <c r="CQ104" t="e">
        <f>AND('Test Script'!#REF!,"AAAAAH858l4=")</f>
        <v>#REF!</v>
      </c>
      <c r="CR104" t="e">
        <f>AND('Test Script'!#REF!,"AAAAAH858l8=")</f>
        <v>#REF!</v>
      </c>
      <c r="CS104" t="e">
        <f>AND('Test Script'!#REF!,"AAAAAH858mA=")</f>
        <v>#REF!</v>
      </c>
      <c r="CT104" t="e">
        <f>AND('Test Script'!#REF!,"AAAAAH858mE=")</f>
        <v>#REF!</v>
      </c>
      <c r="CU104" t="e">
        <f>AND('Test Script'!#REF!,"AAAAAH858mI=")</f>
        <v>#REF!</v>
      </c>
      <c r="CV104" t="e">
        <f>AND('Test Script'!#REF!,"AAAAAH858mM=")</f>
        <v>#REF!</v>
      </c>
      <c r="CW104" t="e">
        <f>AND('Test Script'!#REF!,"AAAAAH858mQ=")</f>
        <v>#REF!</v>
      </c>
      <c r="CX104" t="e">
        <f>AND('Test Script'!#REF!,"AAAAAH858mU=")</f>
        <v>#REF!</v>
      </c>
      <c r="CY104" t="e">
        <f>AND('Test Script'!#REF!,"AAAAAH858mY=")</f>
        <v>#REF!</v>
      </c>
      <c r="CZ104" t="e">
        <f>AND('Test Script'!#REF!,"AAAAAH858mc=")</f>
        <v>#REF!</v>
      </c>
      <c r="DA104" t="e">
        <f>AND('Test Script'!#REF!,"AAAAAH858mg=")</f>
        <v>#REF!</v>
      </c>
      <c r="DB104" t="e">
        <f>AND('Test Script'!#REF!,"AAAAAH858mk=")</f>
        <v>#REF!</v>
      </c>
      <c r="DC104" t="e">
        <f>AND('Test Script'!#REF!,"AAAAAH858mo=")</f>
        <v>#REF!</v>
      </c>
      <c r="DD104" t="e">
        <f>AND('Test Script'!#REF!,"AAAAAH858ms=")</f>
        <v>#REF!</v>
      </c>
      <c r="DE104" t="e">
        <f>AND('Test Script'!#REF!,"AAAAAH858mw=")</f>
        <v>#REF!</v>
      </c>
      <c r="DF104" t="e">
        <f>AND('Test Script'!#REF!,"AAAAAH858m0=")</f>
        <v>#REF!</v>
      </c>
      <c r="DG104" t="e">
        <f>AND('Test Script'!#REF!,"AAAAAH858m4=")</f>
        <v>#REF!</v>
      </c>
      <c r="DH104" t="e">
        <f>AND('Test Script'!#REF!,"AAAAAH858m8=")</f>
        <v>#REF!</v>
      </c>
      <c r="DI104" t="e">
        <f>AND('Test Script'!#REF!,"AAAAAH858nA=")</f>
        <v>#REF!</v>
      </c>
      <c r="DJ104" t="e">
        <f>AND('Test Script'!#REF!,"AAAAAH858nE=")</f>
        <v>#REF!</v>
      </c>
      <c r="DK104" t="e">
        <f>AND('Test Script'!#REF!,"AAAAAH858nI=")</f>
        <v>#REF!</v>
      </c>
      <c r="DL104" t="e">
        <f>IF('Test Script'!#REF!,"AAAAAH858nM=",0)</f>
        <v>#REF!</v>
      </c>
      <c r="DM104" t="e">
        <f>AND('Test Script'!#REF!,"AAAAAH858nQ=")</f>
        <v>#REF!</v>
      </c>
      <c r="DN104" t="e">
        <f>AND('Test Script'!#REF!,"AAAAAH858nU=")</f>
        <v>#REF!</v>
      </c>
      <c r="DO104" t="e">
        <f>AND('Test Script'!#REF!,"AAAAAH858nY=")</f>
        <v>#REF!</v>
      </c>
      <c r="DP104" t="e">
        <f>AND('Test Script'!#REF!,"AAAAAH858nc=")</f>
        <v>#REF!</v>
      </c>
      <c r="DQ104" t="e">
        <f>AND('Test Script'!#REF!,"AAAAAH858ng=")</f>
        <v>#REF!</v>
      </c>
      <c r="DR104" t="e">
        <f>AND('Test Script'!#REF!,"AAAAAH858nk=")</f>
        <v>#REF!</v>
      </c>
      <c r="DS104" t="e">
        <f>AND('Test Script'!#REF!,"AAAAAH858no=")</f>
        <v>#REF!</v>
      </c>
      <c r="DT104" t="e">
        <f>AND('Test Script'!#REF!,"AAAAAH858ns=")</f>
        <v>#REF!</v>
      </c>
      <c r="DU104" t="e">
        <f>AND('Test Script'!#REF!,"AAAAAH858nw=")</f>
        <v>#REF!</v>
      </c>
      <c r="DV104" t="e">
        <f>AND('Test Script'!#REF!,"AAAAAH858n0=")</f>
        <v>#REF!</v>
      </c>
      <c r="DW104" t="e">
        <f>AND('Test Script'!#REF!,"AAAAAH858n4=")</f>
        <v>#REF!</v>
      </c>
      <c r="DX104" t="e">
        <f>AND('Test Script'!#REF!,"AAAAAH858n8=")</f>
        <v>#REF!</v>
      </c>
      <c r="DY104" t="e">
        <f>AND('Test Script'!#REF!,"AAAAAH858oA=")</f>
        <v>#REF!</v>
      </c>
      <c r="DZ104" t="e">
        <f>AND('Test Script'!#REF!,"AAAAAH858oE=")</f>
        <v>#REF!</v>
      </c>
      <c r="EA104" t="e">
        <f>AND('Test Script'!#REF!,"AAAAAH858oI=")</f>
        <v>#REF!</v>
      </c>
      <c r="EB104" t="e">
        <f>AND('Test Script'!#REF!,"AAAAAH858oM=")</f>
        <v>#REF!</v>
      </c>
      <c r="EC104" t="e">
        <f>AND('Test Script'!#REF!,"AAAAAH858oQ=")</f>
        <v>#REF!</v>
      </c>
      <c r="ED104" t="e">
        <f>AND('Test Script'!#REF!,"AAAAAH858oU=")</f>
        <v>#REF!</v>
      </c>
      <c r="EE104" t="e">
        <f>AND('Test Script'!#REF!,"AAAAAH858oY=")</f>
        <v>#REF!</v>
      </c>
      <c r="EF104" t="e">
        <f>AND('Test Script'!#REF!,"AAAAAH858oc=")</f>
        <v>#REF!</v>
      </c>
      <c r="EG104" t="e">
        <f>AND('Test Script'!#REF!,"AAAAAH858og=")</f>
        <v>#REF!</v>
      </c>
      <c r="EH104" t="e">
        <f>AND('Test Script'!#REF!,"AAAAAH858ok=")</f>
        <v>#REF!</v>
      </c>
      <c r="EI104" t="e">
        <f>AND('Test Script'!#REF!,"AAAAAH858oo=")</f>
        <v>#REF!</v>
      </c>
      <c r="EJ104" t="e">
        <f>AND('Test Script'!#REF!,"AAAAAH858os=")</f>
        <v>#REF!</v>
      </c>
      <c r="EK104" t="e">
        <f>AND('Test Script'!#REF!,"AAAAAH858ow=")</f>
        <v>#REF!</v>
      </c>
      <c r="EL104" t="e">
        <f>AND('Test Script'!#REF!,"AAAAAH858o0=")</f>
        <v>#REF!</v>
      </c>
      <c r="EM104" t="e">
        <f>IF('Test Script'!#REF!,"AAAAAH858o4=",0)</f>
        <v>#REF!</v>
      </c>
      <c r="EN104" t="e">
        <f>AND('Test Script'!#REF!,"AAAAAH858o8=")</f>
        <v>#REF!</v>
      </c>
      <c r="EO104" t="e">
        <f>AND('Test Script'!#REF!,"AAAAAH858pA=")</f>
        <v>#REF!</v>
      </c>
      <c r="EP104" t="e">
        <f>AND('Test Script'!#REF!,"AAAAAH858pE=")</f>
        <v>#REF!</v>
      </c>
      <c r="EQ104" t="e">
        <f>AND('Test Script'!#REF!,"AAAAAH858pI=")</f>
        <v>#REF!</v>
      </c>
      <c r="ER104" t="e">
        <f>AND('Test Script'!#REF!,"AAAAAH858pM=")</f>
        <v>#REF!</v>
      </c>
      <c r="ES104" t="e">
        <f>AND('Test Script'!#REF!,"AAAAAH858pQ=")</f>
        <v>#REF!</v>
      </c>
      <c r="ET104" t="e">
        <f>AND('Test Script'!#REF!,"AAAAAH858pU=")</f>
        <v>#REF!</v>
      </c>
      <c r="EU104" t="e">
        <f>AND('Test Script'!#REF!,"AAAAAH858pY=")</f>
        <v>#REF!</v>
      </c>
      <c r="EV104" t="e">
        <f>AND('Test Script'!#REF!,"AAAAAH858pc=")</f>
        <v>#REF!</v>
      </c>
      <c r="EW104" t="e">
        <f>AND('Test Script'!#REF!,"AAAAAH858pg=")</f>
        <v>#REF!</v>
      </c>
      <c r="EX104" t="e">
        <f>AND('Test Script'!#REF!,"AAAAAH858pk=")</f>
        <v>#REF!</v>
      </c>
      <c r="EY104" t="e">
        <f>AND('Test Script'!#REF!,"AAAAAH858po=")</f>
        <v>#REF!</v>
      </c>
      <c r="EZ104" t="e">
        <f>AND('Test Script'!#REF!,"AAAAAH858ps=")</f>
        <v>#REF!</v>
      </c>
      <c r="FA104" t="e">
        <f>AND('Test Script'!#REF!,"AAAAAH858pw=")</f>
        <v>#REF!</v>
      </c>
      <c r="FB104" t="e">
        <f>AND('Test Script'!#REF!,"AAAAAH858p0=")</f>
        <v>#REF!</v>
      </c>
      <c r="FC104" t="e">
        <f>AND('Test Script'!#REF!,"AAAAAH858p4=")</f>
        <v>#REF!</v>
      </c>
      <c r="FD104" t="e">
        <f>AND('Test Script'!#REF!,"AAAAAH858p8=")</f>
        <v>#REF!</v>
      </c>
      <c r="FE104" t="e">
        <f>AND('Test Script'!#REF!,"AAAAAH858qA=")</f>
        <v>#REF!</v>
      </c>
      <c r="FF104" t="e">
        <f>AND('Test Script'!#REF!,"AAAAAH858qE=")</f>
        <v>#REF!</v>
      </c>
      <c r="FG104" t="e">
        <f>AND('Test Script'!#REF!,"AAAAAH858qI=")</f>
        <v>#REF!</v>
      </c>
      <c r="FH104" t="e">
        <f>AND('Test Script'!#REF!,"AAAAAH858qM=")</f>
        <v>#REF!</v>
      </c>
      <c r="FI104" t="e">
        <f>AND('Test Script'!#REF!,"AAAAAH858qQ=")</f>
        <v>#REF!</v>
      </c>
      <c r="FJ104" t="e">
        <f>AND('Test Script'!#REF!,"AAAAAH858qU=")</f>
        <v>#REF!</v>
      </c>
      <c r="FK104" t="e">
        <f>AND('Test Script'!#REF!,"AAAAAH858qY=")</f>
        <v>#REF!</v>
      </c>
      <c r="FL104" t="e">
        <f>AND('Test Script'!#REF!,"AAAAAH858qc=")</f>
        <v>#REF!</v>
      </c>
      <c r="FM104" t="e">
        <f>AND('Test Script'!#REF!,"AAAAAH858qg=")</f>
        <v>#REF!</v>
      </c>
      <c r="FN104" t="e">
        <f>IF('Test Script'!#REF!,"AAAAAH858qk=",0)</f>
        <v>#REF!</v>
      </c>
      <c r="FO104" t="e">
        <f>AND('Test Script'!#REF!,"AAAAAH858qo=")</f>
        <v>#REF!</v>
      </c>
      <c r="FP104" t="e">
        <f>AND('Test Script'!#REF!,"AAAAAH858qs=")</f>
        <v>#REF!</v>
      </c>
      <c r="FQ104" t="e">
        <f>AND('Test Script'!#REF!,"AAAAAH858qw=")</f>
        <v>#REF!</v>
      </c>
      <c r="FR104" t="e">
        <f>AND('Test Script'!#REF!,"AAAAAH858q0=")</f>
        <v>#REF!</v>
      </c>
      <c r="FS104" t="e">
        <f>AND('Test Script'!#REF!,"AAAAAH858q4=")</f>
        <v>#REF!</v>
      </c>
      <c r="FT104" t="e">
        <f>AND('Test Script'!#REF!,"AAAAAH858q8=")</f>
        <v>#REF!</v>
      </c>
      <c r="FU104" t="e">
        <f>AND('Test Script'!#REF!,"AAAAAH858rA=")</f>
        <v>#REF!</v>
      </c>
      <c r="FV104" t="e">
        <f>AND('Test Script'!#REF!,"AAAAAH858rE=")</f>
        <v>#REF!</v>
      </c>
      <c r="FW104" t="e">
        <f>AND('Test Script'!#REF!,"AAAAAH858rI=")</f>
        <v>#REF!</v>
      </c>
      <c r="FX104" t="e">
        <f>AND('Test Script'!#REF!,"AAAAAH858rM=")</f>
        <v>#REF!</v>
      </c>
      <c r="FY104" t="e">
        <f>AND('Test Script'!#REF!,"AAAAAH858rQ=")</f>
        <v>#REF!</v>
      </c>
      <c r="FZ104" t="e">
        <f>AND('Test Script'!#REF!,"AAAAAH858rU=")</f>
        <v>#REF!</v>
      </c>
      <c r="GA104" t="e">
        <f>AND('Test Script'!#REF!,"AAAAAH858rY=")</f>
        <v>#REF!</v>
      </c>
      <c r="GB104" t="e">
        <f>AND('Test Script'!#REF!,"AAAAAH858rc=")</f>
        <v>#REF!</v>
      </c>
      <c r="GC104" t="e">
        <f>AND('Test Script'!#REF!,"AAAAAH858rg=")</f>
        <v>#REF!</v>
      </c>
      <c r="GD104" t="e">
        <f>AND('Test Script'!#REF!,"AAAAAH858rk=")</f>
        <v>#REF!</v>
      </c>
      <c r="GE104" t="e">
        <f>AND('Test Script'!#REF!,"AAAAAH858ro=")</f>
        <v>#REF!</v>
      </c>
      <c r="GF104" t="e">
        <f>AND('Test Script'!#REF!,"AAAAAH858rs=")</f>
        <v>#REF!</v>
      </c>
      <c r="GG104" t="e">
        <f>AND('Test Script'!#REF!,"AAAAAH858rw=")</f>
        <v>#REF!</v>
      </c>
      <c r="GH104" t="e">
        <f>AND('Test Script'!#REF!,"AAAAAH858r0=")</f>
        <v>#REF!</v>
      </c>
      <c r="GI104" t="e">
        <f>AND('Test Script'!#REF!,"AAAAAH858r4=")</f>
        <v>#REF!</v>
      </c>
      <c r="GJ104" t="e">
        <f>AND('Test Script'!#REF!,"AAAAAH858r8=")</f>
        <v>#REF!</v>
      </c>
      <c r="GK104" t="e">
        <f>AND('Test Script'!#REF!,"AAAAAH858sA=")</f>
        <v>#REF!</v>
      </c>
      <c r="GL104" t="e">
        <f>AND('Test Script'!#REF!,"AAAAAH858sE=")</f>
        <v>#REF!</v>
      </c>
      <c r="GM104" t="e">
        <f>AND('Test Script'!#REF!,"AAAAAH858sI=")</f>
        <v>#REF!</v>
      </c>
      <c r="GN104" t="e">
        <f>AND('Test Script'!#REF!,"AAAAAH858sM=")</f>
        <v>#REF!</v>
      </c>
      <c r="GO104" t="e">
        <f>IF('Test Script'!#REF!,"AAAAAH858sQ=",0)</f>
        <v>#REF!</v>
      </c>
      <c r="GP104" t="e">
        <f>AND('Test Script'!#REF!,"AAAAAH858sU=")</f>
        <v>#REF!</v>
      </c>
      <c r="GQ104" t="e">
        <f>AND('Test Script'!#REF!,"AAAAAH858sY=")</f>
        <v>#REF!</v>
      </c>
      <c r="GR104" t="e">
        <f>AND('Test Script'!#REF!,"AAAAAH858sc=")</f>
        <v>#REF!</v>
      </c>
      <c r="GS104" t="e">
        <f>AND('Test Script'!#REF!,"AAAAAH858sg=")</f>
        <v>#REF!</v>
      </c>
      <c r="GT104" t="e">
        <f>AND('Test Script'!#REF!,"AAAAAH858sk=")</f>
        <v>#REF!</v>
      </c>
      <c r="GU104" t="e">
        <f>AND('Test Script'!#REF!,"AAAAAH858so=")</f>
        <v>#REF!</v>
      </c>
      <c r="GV104" t="e">
        <f>AND('Test Script'!#REF!,"AAAAAH858ss=")</f>
        <v>#REF!</v>
      </c>
      <c r="GW104" t="e">
        <f>AND('Test Script'!#REF!,"AAAAAH858sw=")</f>
        <v>#REF!</v>
      </c>
      <c r="GX104" t="e">
        <f>AND('Test Script'!#REF!,"AAAAAH858s0=")</f>
        <v>#REF!</v>
      </c>
      <c r="GY104" t="e">
        <f>AND('Test Script'!#REF!,"AAAAAH858s4=")</f>
        <v>#REF!</v>
      </c>
      <c r="GZ104" t="e">
        <f>AND('Test Script'!#REF!,"AAAAAH858s8=")</f>
        <v>#REF!</v>
      </c>
      <c r="HA104" t="e">
        <f>AND('Test Script'!#REF!,"AAAAAH858tA=")</f>
        <v>#REF!</v>
      </c>
      <c r="HB104" t="e">
        <f>AND('Test Script'!#REF!,"AAAAAH858tE=")</f>
        <v>#REF!</v>
      </c>
      <c r="HC104" t="e">
        <f>AND('Test Script'!#REF!,"AAAAAH858tI=")</f>
        <v>#REF!</v>
      </c>
      <c r="HD104" t="e">
        <f>AND('Test Script'!#REF!,"AAAAAH858tM=")</f>
        <v>#REF!</v>
      </c>
      <c r="HE104" t="e">
        <f>AND('Test Script'!#REF!,"AAAAAH858tQ=")</f>
        <v>#REF!</v>
      </c>
      <c r="HF104" t="e">
        <f>AND('Test Script'!#REF!,"AAAAAH858tU=")</f>
        <v>#REF!</v>
      </c>
      <c r="HG104" t="e">
        <f>AND('Test Script'!#REF!,"AAAAAH858tY=")</f>
        <v>#REF!</v>
      </c>
      <c r="HH104" t="e">
        <f>AND('Test Script'!#REF!,"AAAAAH858tc=")</f>
        <v>#REF!</v>
      </c>
      <c r="HI104" t="e">
        <f>AND('Test Script'!#REF!,"AAAAAH858tg=")</f>
        <v>#REF!</v>
      </c>
      <c r="HJ104" t="e">
        <f>AND('Test Script'!#REF!,"AAAAAH858tk=")</f>
        <v>#REF!</v>
      </c>
      <c r="HK104" t="e">
        <f>AND('Test Script'!#REF!,"AAAAAH858to=")</f>
        <v>#REF!</v>
      </c>
      <c r="HL104" t="e">
        <f>AND('Test Script'!#REF!,"AAAAAH858ts=")</f>
        <v>#REF!</v>
      </c>
      <c r="HM104" t="e">
        <f>AND('Test Script'!#REF!,"AAAAAH858tw=")</f>
        <v>#REF!</v>
      </c>
      <c r="HN104" t="e">
        <f>AND('Test Script'!#REF!,"AAAAAH858t0=")</f>
        <v>#REF!</v>
      </c>
      <c r="HO104" t="e">
        <f>AND('Test Script'!#REF!,"AAAAAH858t4=")</f>
        <v>#REF!</v>
      </c>
      <c r="HP104" t="e">
        <f>IF('Test Script'!#REF!,"AAAAAH858t8=",0)</f>
        <v>#REF!</v>
      </c>
      <c r="HQ104" t="e">
        <f>AND('Test Script'!#REF!,"AAAAAH858uA=")</f>
        <v>#REF!</v>
      </c>
      <c r="HR104" t="e">
        <f>AND('Test Script'!#REF!,"AAAAAH858uE=")</f>
        <v>#REF!</v>
      </c>
      <c r="HS104" t="e">
        <f>AND('Test Script'!#REF!,"AAAAAH858uI=")</f>
        <v>#REF!</v>
      </c>
      <c r="HT104" t="e">
        <f>AND('Test Script'!#REF!,"AAAAAH858uM=")</f>
        <v>#REF!</v>
      </c>
      <c r="HU104" t="e">
        <f>AND('Test Script'!#REF!,"AAAAAH858uQ=")</f>
        <v>#REF!</v>
      </c>
      <c r="HV104" t="e">
        <f>AND('Test Script'!#REF!,"AAAAAH858uU=")</f>
        <v>#REF!</v>
      </c>
      <c r="HW104" t="e">
        <f>AND('Test Script'!#REF!,"AAAAAH858uY=")</f>
        <v>#REF!</v>
      </c>
      <c r="HX104" t="e">
        <f>AND('Test Script'!#REF!,"AAAAAH858uc=")</f>
        <v>#REF!</v>
      </c>
      <c r="HY104" t="e">
        <f>AND('Test Script'!#REF!,"AAAAAH858ug=")</f>
        <v>#REF!</v>
      </c>
      <c r="HZ104" t="e">
        <f>AND('Test Script'!#REF!,"AAAAAH858uk=")</f>
        <v>#REF!</v>
      </c>
      <c r="IA104" t="e">
        <f>AND('Test Script'!#REF!,"AAAAAH858uo=")</f>
        <v>#REF!</v>
      </c>
      <c r="IB104" t="e">
        <f>AND('Test Script'!#REF!,"AAAAAH858us=")</f>
        <v>#REF!</v>
      </c>
      <c r="IC104" t="e">
        <f>AND('Test Script'!#REF!,"AAAAAH858uw=")</f>
        <v>#REF!</v>
      </c>
      <c r="ID104" t="e">
        <f>AND('Test Script'!#REF!,"AAAAAH858u0=")</f>
        <v>#REF!</v>
      </c>
      <c r="IE104" t="e">
        <f>AND('Test Script'!#REF!,"AAAAAH858u4=")</f>
        <v>#REF!</v>
      </c>
      <c r="IF104" t="e">
        <f>AND('Test Script'!#REF!,"AAAAAH858u8=")</f>
        <v>#REF!</v>
      </c>
      <c r="IG104" t="e">
        <f>AND('Test Script'!#REF!,"AAAAAH858vA=")</f>
        <v>#REF!</v>
      </c>
      <c r="IH104" t="e">
        <f>AND('Test Script'!#REF!,"AAAAAH858vE=")</f>
        <v>#REF!</v>
      </c>
      <c r="II104" t="e">
        <f>AND('Test Script'!#REF!,"AAAAAH858vI=")</f>
        <v>#REF!</v>
      </c>
      <c r="IJ104" t="e">
        <f>AND('Test Script'!#REF!,"AAAAAH858vM=")</f>
        <v>#REF!</v>
      </c>
      <c r="IK104" t="e">
        <f>AND('Test Script'!#REF!,"AAAAAH858vQ=")</f>
        <v>#REF!</v>
      </c>
      <c r="IL104" t="e">
        <f>AND('Test Script'!#REF!,"AAAAAH858vU=")</f>
        <v>#REF!</v>
      </c>
      <c r="IM104" t="e">
        <f>AND('Test Script'!#REF!,"AAAAAH858vY=")</f>
        <v>#REF!</v>
      </c>
      <c r="IN104" t="e">
        <f>AND('Test Script'!#REF!,"AAAAAH858vc=")</f>
        <v>#REF!</v>
      </c>
      <c r="IO104" t="e">
        <f>AND('Test Script'!#REF!,"AAAAAH858vg=")</f>
        <v>#REF!</v>
      </c>
      <c r="IP104" t="e">
        <f>AND('Test Script'!#REF!,"AAAAAH858vk=")</f>
        <v>#REF!</v>
      </c>
      <c r="IQ104" t="e">
        <f>IF('Test Script'!#REF!,"AAAAAH858vo=",0)</f>
        <v>#REF!</v>
      </c>
      <c r="IR104" t="e">
        <f>AND('Test Script'!#REF!,"AAAAAH858vs=")</f>
        <v>#REF!</v>
      </c>
      <c r="IS104" t="e">
        <f>AND('Test Script'!#REF!,"AAAAAH858vw=")</f>
        <v>#REF!</v>
      </c>
      <c r="IT104" t="e">
        <f>AND('Test Script'!#REF!,"AAAAAH858v0=")</f>
        <v>#REF!</v>
      </c>
      <c r="IU104" t="e">
        <f>AND('Test Script'!#REF!,"AAAAAH858v4=")</f>
        <v>#REF!</v>
      </c>
      <c r="IV104" t="e">
        <f>AND('Test Script'!#REF!,"AAAAAH858v8=")</f>
        <v>#REF!</v>
      </c>
    </row>
    <row r="105" spans="1:256" x14ac:dyDescent="0.2">
      <c r="A105" t="e">
        <f>AND('Test Script'!#REF!,"AAAAAG7V/wA=")</f>
        <v>#REF!</v>
      </c>
      <c r="B105" t="e">
        <f>AND('Test Script'!#REF!,"AAAAAG7V/wE=")</f>
        <v>#REF!</v>
      </c>
      <c r="C105" t="e">
        <f>AND('Test Script'!#REF!,"AAAAAG7V/wI=")</f>
        <v>#REF!</v>
      </c>
      <c r="D105" t="e">
        <f>AND('Test Script'!#REF!,"AAAAAG7V/wM=")</f>
        <v>#REF!</v>
      </c>
      <c r="E105" t="e">
        <f>AND('Test Script'!#REF!,"AAAAAG7V/wQ=")</f>
        <v>#REF!</v>
      </c>
      <c r="F105" t="e">
        <f>AND('Test Script'!#REF!,"AAAAAG7V/wU=")</f>
        <v>#REF!</v>
      </c>
      <c r="G105" t="e">
        <f>AND('Test Script'!#REF!,"AAAAAG7V/wY=")</f>
        <v>#REF!</v>
      </c>
      <c r="H105" t="e">
        <f>AND('Test Script'!#REF!,"AAAAAG7V/wc=")</f>
        <v>#REF!</v>
      </c>
      <c r="I105" t="e">
        <f>AND('Test Script'!#REF!,"AAAAAG7V/wg=")</f>
        <v>#REF!</v>
      </c>
      <c r="J105" t="e">
        <f>AND('Test Script'!#REF!,"AAAAAG7V/wk=")</f>
        <v>#REF!</v>
      </c>
      <c r="K105" t="e">
        <f>AND('Test Script'!#REF!,"AAAAAG7V/wo=")</f>
        <v>#REF!</v>
      </c>
      <c r="L105" t="e">
        <f>AND('Test Script'!#REF!,"AAAAAG7V/ws=")</f>
        <v>#REF!</v>
      </c>
      <c r="M105" t="e">
        <f>AND('Test Script'!#REF!,"AAAAAG7V/ww=")</f>
        <v>#REF!</v>
      </c>
      <c r="N105" t="e">
        <f>AND('Test Script'!#REF!,"AAAAAG7V/w0=")</f>
        <v>#REF!</v>
      </c>
      <c r="O105" t="e">
        <f>AND('Test Script'!#REF!,"AAAAAG7V/w4=")</f>
        <v>#REF!</v>
      </c>
      <c r="P105" t="e">
        <f>AND('Test Script'!#REF!,"AAAAAG7V/w8=")</f>
        <v>#REF!</v>
      </c>
      <c r="Q105" t="e">
        <f>AND('Test Script'!#REF!,"AAAAAG7V/xA=")</f>
        <v>#REF!</v>
      </c>
      <c r="R105" t="e">
        <f>AND('Test Script'!#REF!,"AAAAAG7V/xE=")</f>
        <v>#REF!</v>
      </c>
      <c r="S105" t="e">
        <f>AND('Test Script'!#REF!,"AAAAAG7V/xI=")</f>
        <v>#REF!</v>
      </c>
      <c r="T105" t="e">
        <f>AND('Test Script'!#REF!,"AAAAAG7V/xM=")</f>
        <v>#REF!</v>
      </c>
      <c r="U105" t="e">
        <f>AND('Test Script'!#REF!,"AAAAAG7V/xQ=")</f>
        <v>#REF!</v>
      </c>
      <c r="V105" t="e">
        <f>IF('Test Script'!#REF!,"AAAAAG7V/xU=",0)</f>
        <v>#REF!</v>
      </c>
      <c r="W105" t="e">
        <f>AND('Test Script'!#REF!,"AAAAAG7V/xY=")</f>
        <v>#REF!</v>
      </c>
      <c r="X105" t="e">
        <f>AND('Test Script'!#REF!,"AAAAAG7V/xc=")</f>
        <v>#REF!</v>
      </c>
      <c r="Y105" t="e">
        <f>AND('Test Script'!#REF!,"AAAAAG7V/xg=")</f>
        <v>#REF!</v>
      </c>
      <c r="Z105" t="e">
        <f>AND('Test Script'!#REF!,"AAAAAG7V/xk=")</f>
        <v>#REF!</v>
      </c>
      <c r="AA105" t="e">
        <f>AND('Test Script'!#REF!,"AAAAAG7V/xo=")</f>
        <v>#REF!</v>
      </c>
      <c r="AB105" t="e">
        <f>AND('Test Script'!#REF!,"AAAAAG7V/xs=")</f>
        <v>#REF!</v>
      </c>
      <c r="AC105" t="e">
        <f>AND('Test Script'!#REF!,"AAAAAG7V/xw=")</f>
        <v>#REF!</v>
      </c>
      <c r="AD105" t="e">
        <f>AND('Test Script'!#REF!,"AAAAAG7V/x0=")</f>
        <v>#REF!</v>
      </c>
      <c r="AE105" t="e">
        <f>AND('Test Script'!#REF!,"AAAAAG7V/x4=")</f>
        <v>#REF!</v>
      </c>
      <c r="AF105" t="e">
        <f>AND('Test Script'!#REF!,"AAAAAG7V/x8=")</f>
        <v>#REF!</v>
      </c>
      <c r="AG105" t="e">
        <f>AND('Test Script'!#REF!,"AAAAAG7V/yA=")</f>
        <v>#REF!</v>
      </c>
      <c r="AH105" t="e">
        <f>AND('Test Script'!#REF!,"AAAAAG7V/yE=")</f>
        <v>#REF!</v>
      </c>
      <c r="AI105" t="e">
        <f>AND('Test Script'!#REF!,"AAAAAG7V/yI=")</f>
        <v>#REF!</v>
      </c>
      <c r="AJ105" t="e">
        <f>AND('Test Script'!#REF!,"AAAAAG7V/yM=")</f>
        <v>#REF!</v>
      </c>
      <c r="AK105" t="e">
        <f>AND('Test Script'!#REF!,"AAAAAG7V/yQ=")</f>
        <v>#REF!</v>
      </c>
      <c r="AL105" t="e">
        <f>AND('Test Script'!#REF!,"AAAAAG7V/yU=")</f>
        <v>#REF!</v>
      </c>
      <c r="AM105" t="e">
        <f>AND('Test Script'!#REF!,"AAAAAG7V/yY=")</f>
        <v>#REF!</v>
      </c>
      <c r="AN105" t="e">
        <f>AND('Test Script'!#REF!,"AAAAAG7V/yc=")</f>
        <v>#REF!</v>
      </c>
      <c r="AO105" t="e">
        <f>AND('Test Script'!#REF!,"AAAAAG7V/yg=")</f>
        <v>#REF!</v>
      </c>
      <c r="AP105" t="e">
        <f>AND('Test Script'!#REF!,"AAAAAG7V/yk=")</f>
        <v>#REF!</v>
      </c>
      <c r="AQ105" t="e">
        <f>AND('Test Script'!#REF!,"AAAAAG7V/yo=")</f>
        <v>#REF!</v>
      </c>
      <c r="AR105" t="e">
        <f>AND('Test Script'!#REF!,"AAAAAG7V/ys=")</f>
        <v>#REF!</v>
      </c>
      <c r="AS105" t="e">
        <f>AND('Test Script'!#REF!,"AAAAAG7V/yw=")</f>
        <v>#REF!</v>
      </c>
      <c r="AT105" t="e">
        <f>AND('Test Script'!#REF!,"AAAAAG7V/y0=")</f>
        <v>#REF!</v>
      </c>
      <c r="AU105" t="e">
        <f>AND('Test Script'!#REF!,"AAAAAG7V/y4=")</f>
        <v>#REF!</v>
      </c>
      <c r="AV105" t="e">
        <f>AND('Test Script'!#REF!,"AAAAAG7V/y8=")</f>
        <v>#REF!</v>
      </c>
      <c r="AW105" t="e">
        <f>IF('Test Script'!#REF!,"AAAAAG7V/zA=",0)</f>
        <v>#REF!</v>
      </c>
      <c r="AX105" t="e">
        <f>AND('Test Script'!#REF!,"AAAAAG7V/zE=")</f>
        <v>#REF!</v>
      </c>
      <c r="AY105" t="e">
        <f>AND('Test Script'!#REF!,"AAAAAG7V/zI=")</f>
        <v>#REF!</v>
      </c>
      <c r="AZ105" t="e">
        <f>AND('Test Script'!#REF!,"AAAAAG7V/zM=")</f>
        <v>#REF!</v>
      </c>
      <c r="BA105" t="e">
        <f>AND('Test Script'!#REF!,"AAAAAG7V/zQ=")</f>
        <v>#REF!</v>
      </c>
      <c r="BB105" t="e">
        <f>AND('Test Script'!#REF!,"AAAAAG7V/zU=")</f>
        <v>#REF!</v>
      </c>
      <c r="BC105" t="e">
        <f>AND('Test Script'!#REF!,"AAAAAG7V/zY=")</f>
        <v>#REF!</v>
      </c>
      <c r="BD105" t="e">
        <f>AND('Test Script'!#REF!,"AAAAAG7V/zc=")</f>
        <v>#REF!</v>
      </c>
      <c r="BE105" t="e">
        <f>AND('Test Script'!#REF!,"AAAAAG7V/zg=")</f>
        <v>#REF!</v>
      </c>
      <c r="BF105" t="e">
        <f>AND('Test Script'!#REF!,"AAAAAG7V/zk=")</f>
        <v>#REF!</v>
      </c>
      <c r="BG105" t="e">
        <f>AND('Test Script'!#REF!,"AAAAAG7V/zo=")</f>
        <v>#REF!</v>
      </c>
      <c r="BH105" t="e">
        <f>AND('Test Script'!#REF!,"AAAAAG7V/zs=")</f>
        <v>#REF!</v>
      </c>
      <c r="BI105" t="e">
        <f>AND('Test Script'!#REF!,"AAAAAG7V/zw=")</f>
        <v>#REF!</v>
      </c>
      <c r="BJ105" t="e">
        <f>AND('Test Script'!#REF!,"AAAAAG7V/z0=")</f>
        <v>#REF!</v>
      </c>
      <c r="BK105" t="e">
        <f>AND('Test Script'!#REF!,"AAAAAG7V/z4=")</f>
        <v>#REF!</v>
      </c>
      <c r="BL105" t="e">
        <f>AND('Test Script'!#REF!,"AAAAAG7V/z8=")</f>
        <v>#REF!</v>
      </c>
      <c r="BM105" t="e">
        <f>AND('Test Script'!#REF!,"AAAAAG7V/0A=")</f>
        <v>#REF!</v>
      </c>
      <c r="BN105" t="e">
        <f>AND('Test Script'!#REF!,"AAAAAG7V/0E=")</f>
        <v>#REF!</v>
      </c>
      <c r="BO105" t="e">
        <f>AND('Test Script'!#REF!,"AAAAAG7V/0I=")</f>
        <v>#REF!</v>
      </c>
      <c r="BP105" t="e">
        <f>AND('Test Script'!#REF!,"AAAAAG7V/0M=")</f>
        <v>#REF!</v>
      </c>
      <c r="BQ105" t="e">
        <f>AND('Test Script'!#REF!,"AAAAAG7V/0Q=")</f>
        <v>#REF!</v>
      </c>
      <c r="BR105" t="e">
        <f>AND('Test Script'!#REF!,"AAAAAG7V/0U=")</f>
        <v>#REF!</v>
      </c>
      <c r="BS105" t="e">
        <f>AND('Test Script'!#REF!,"AAAAAG7V/0Y=")</f>
        <v>#REF!</v>
      </c>
      <c r="BT105" t="e">
        <f>AND('Test Script'!#REF!,"AAAAAG7V/0c=")</f>
        <v>#REF!</v>
      </c>
      <c r="BU105" t="e">
        <f>AND('Test Script'!#REF!,"AAAAAG7V/0g=")</f>
        <v>#REF!</v>
      </c>
      <c r="BV105" t="e">
        <f>AND('Test Script'!#REF!,"AAAAAG7V/0k=")</f>
        <v>#REF!</v>
      </c>
      <c r="BW105" t="e">
        <f>AND('Test Script'!#REF!,"AAAAAG7V/0o=")</f>
        <v>#REF!</v>
      </c>
      <c r="BX105" t="e">
        <f>IF('Test Script'!#REF!,"AAAAAG7V/0s=",0)</f>
        <v>#REF!</v>
      </c>
      <c r="BY105" t="e">
        <f>AND('Test Script'!#REF!,"AAAAAG7V/0w=")</f>
        <v>#REF!</v>
      </c>
      <c r="BZ105" t="e">
        <f>AND('Test Script'!#REF!,"AAAAAG7V/00=")</f>
        <v>#REF!</v>
      </c>
      <c r="CA105" t="e">
        <f>AND('Test Script'!#REF!,"AAAAAG7V/04=")</f>
        <v>#REF!</v>
      </c>
      <c r="CB105" t="e">
        <f>AND('Test Script'!#REF!,"AAAAAG7V/08=")</f>
        <v>#REF!</v>
      </c>
      <c r="CC105" t="e">
        <f>AND('Test Script'!#REF!,"AAAAAG7V/1A=")</f>
        <v>#REF!</v>
      </c>
      <c r="CD105" t="e">
        <f>AND('Test Script'!#REF!,"AAAAAG7V/1E=")</f>
        <v>#REF!</v>
      </c>
      <c r="CE105" t="e">
        <f>AND('Test Script'!#REF!,"AAAAAG7V/1I=")</f>
        <v>#REF!</v>
      </c>
      <c r="CF105" t="e">
        <f>AND('Test Script'!#REF!,"AAAAAG7V/1M=")</f>
        <v>#REF!</v>
      </c>
      <c r="CG105" t="e">
        <f>AND('Test Script'!#REF!,"AAAAAG7V/1Q=")</f>
        <v>#REF!</v>
      </c>
      <c r="CH105" t="e">
        <f>AND('Test Script'!#REF!,"AAAAAG7V/1U=")</f>
        <v>#REF!</v>
      </c>
      <c r="CI105" t="e">
        <f>AND('Test Script'!#REF!,"AAAAAG7V/1Y=")</f>
        <v>#REF!</v>
      </c>
      <c r="CJ105" t="e">
        <f>AND('Test Script'!#REF!,"AAAAAG7V/1c=")</f>
        <v>#REF!</v>
      </c>
      <c r="CK105" t="e">
        <f>AND('Test Script'!#REF!,"AAAAAG7V/1g=")</f>
        <v>#REF!</v>
      </c>
      <c r="CL105" t="e">
        <f>AND('Test Script'!#REF!,"AAAAAG7V/1k=")</f>
        <v>#REF!</v>
      </c>
      <c r="CM105" t="e">
        <f>AND('Test Script'!#REF!,"AAAAAG7V/1o=")</f>
        <v>#REF!</v>
      </c>
      <c r="CN105" t="e">
        <f>AND('Test Script'!#REF!,"AAAAAG7V/1s=")</f>
        <v>#REF!</v>
      </c>
      <c r="CO105" t="e">
        <f>AND('Test Script'!#REF!,"AAAAAG7V/1w=")</f>
        <v>#REF!</v>
      </c>
      <c r="CP105" t="e">
        <f>AND('Test Script'!#REF!,"AAAAAG7V/10=")</f>
        <v>#REF!</v>
      </c>
      <c r="CQ105" t="e">
        <f>AND('Test Script'!#REF!,"AAAAAG7V/14=")</f>
        <v>#REF!</v>
      </c>
      <c r="CR105" t="e">
        <f>AND('Test Script'!#REF!,"AAAAAG7V/18=")</f>
        <v>#REF!</v>
      </c>
      <c r="CS105" t="e">
        <f>AND('Test Script'!#REF!,"AAAAAG7V/2A=")</f>
        <v>#REF!</v>
      </c>
      <c r="CT105" t="e">
        <f>AND('Test Script'!#REF!,"AAAAAG7V/2E=")</f>
        <v>#REF!</v>
      </c>
      <c r="CU105" t="e">
        <f>AND('Test Script'!#REF!,"AAAAAG7V/2I=")</f>
        <v>#REF!</v>
      </c>
      <c r="CV105" t="e">
        <f>AND('Test Script'!#REF!,"AAAAAG7V/2M=")</f>
        <v>#REF!</v>
      </c>
      <c r="CW105" t="e">
        <f>AND('Test Script'!#REF!,"AAAAAG7V/2Q=")</f>
        <v>#REF!</v>
      </c>
      <c r="CX105" t="e">
        <f>AND('Test Script'!#REF!,"AAAAAG7V/2U=")</f>
        <v>#REF!</v>
      </c>
      <c r="CY105" t="e">
        <f>IF('Test Script'!#REF!,"AAAAAG7V/2Y=",0)</f>
        <v>#REF!</v>
      </c>
      <c r="CZ105" t="e">
        <f>AND('Test Script'!#REF!,"AAAAAG7V/2c=")</f>
        <v>#REF!</v>
      </c>
      <c r="DA105" t="e">
        <f>AND('Test Script'!#REF!,"AAAAAG7V/2g=")</f>
        <v>#REF!</v>
      </c>
      <c r="DB105" t="e">
        <f>AND('Test Script'!#REF!,"AAAAAG7V/2k=")</f>
        <v>#REF!</v>
      </c>
      <c r="DC105" t="e">
        <f>AND('Test Script'!#REF!,"AAAAAG7V/2o=")</f>
        <v>#REF!</v>
      </c>
      <c r="DD105" t="e">
        <f>AND('Test Script'!#REF!,"AAAAAG7V/2s=")</f>
        <v>#REF!</v>
      </c>
      <c r="DE105" t="e">
        <f>AND('Test Script'!#REF!,"AAAAAG7V/2w=")</f>
        <v>#REF!</v>
      </c>
      <c r="DF105" t="e">
        <f>AND('Test Script'!#REF!,"AAAAAG7V/20=")</f>
        <v>#REF!</v>
      </c>
      <c r="DG105" t="e">
        <f>AND('Test Script'!#REF!,"AAAAAG7V/24=")</f>
        <v>#REF!</v>
      </c>
      <c r="DH105" t="e">
        <f>AND('Test Script'!#REF!,"AAAAAG7V/28=")</f>
        <v>#REF!</v>
      </c>
      <c r="DI105" t="e">
        <f>AND('Test Script'!#REF!,"AAAAAG7V/3A=")</f>
        <v>#REF!</v>
      </c>
      <c r="DJ105" t="e">
        <f>AND('Test Script'!#REF!,"AAAAAG7V/3E=")</f>
        <v>#REF!</v>
      </c>
      <c r="DK105" t="e">
        <f>AND('Test Script'!#REF!,"AAAAAG7V/3I=")</f>
        <v>#REF!</v>
      </c>
      <c r="DL105" t="e">
        <f>AND('Test Script'!#REF!,"AAAAAG7V/3M=")</f>
        <v>#REF!</v>
      </c>
      <c r="DM105" t="e">
        <f>AND('Test Script'!#REF!,"AAAAAG7V/3Q=")</f>
        <v>#REF!</v>
      </c>
      <c r="DN105" t="e">
        <f>AND('Test Script'!#REF!,"AAAAAG7V/3U=")</f>
        <v>#REF!</v>
      </c>
      <c r="DO105" t="e">
        <f>AND('Test Script'!#REF!,"AAAAAG7V/3Y=")</f>
        <v>#REF!</v>
      </c>
      <c r="DP105" t="e">
        <f>AND('Test Script'!#REF!,"AAAAAG7V/3c=")</f>
        <v>#REF!</v>
      </c>
      <c r="DQ105" t="e">
        <f>AND('Test Script'!#REF!,"AAAAAG7V/3g=")</f>
        <v>#REF!</v>
      </c>
      <c r="DR105" t="e">
        <f>AND('Test Script'!#REF!,"AAAAAG7V/3k=")</f>
        <v>#REF!</v>
      </c>
      <c r="DS105" t="e">
        <f>AND('Test Script'!#REF!,"AAAAAG7V/3o=")</f>
        <v>#REF!</v>
      </c>
      <c r="DT105" t="e">
        <f>AND('Test Script'!#REF!,"AAAAAG7V/3s=")</f>
        <v>#REF!</v>
      </c>
      <c r="DU105" t="e">
        <f>AND('Test Script'!#REF!,"AAAAAG7V/3w=")</f>
        <v>#REF!</v>
      </c>
      <c r="DV105" t="e">
        <f>AND('Test Script'!#REF!,"AAAAAG7V/30=")</f>
        <v>#REF!</v>
      </c>
      <c r="DW105" t="e">
        <f>AND('Test Script'!#REF!,"AAAAAG7V/34=")</f>
        <v>#REF!</v>
      </c>
      <c r="DX105" t="e">
        <f>AND('Test Script'!#REF!,"AAAAAG7V/38=")</f>
        <v>#REF!</v>
      </c>
      <c r="DY105" t="e">
        <f>AND('Test Script'!#REF!,"AAAAAG7V/4A=")</f>
        <v>#REF!</v>
      </c>
      <c r="DZ105" t="e">
        <f>IF('Test Script'!#REF!,"AAAAAG7V/4E=",0)</f>
        <v>#REF!</v>
      </c>
      <c r="EA105" t="e">
        <f>AND('Test Script'!#REF!,"AAAAAG7V/4I=")</f>
        <v>#REF!</v>
      </c>
      <c r="EB105" t="e">
        <f>AND('Test Script'!#REF!,"AAAAAG7V/4M=")</f>
        <v>#REF!</v>
      </c>
      <c r="EC105" t="e">
        <f>AND('Test Script'!#REF!,"AAAAAG7V/4Q=")</f>
        <v>#REF!</v>
      </c>
      <c r="ED105" t="e">
        <f>AND('Test Script'!#REF!,"AAAAAG7V/4U=")</f>
        <v>#REF!</v>
      </c>
      <c r="EE105" t="e">
        <f>AND('Test Script'!#REF!,"AAAAAG7V/4Y=")</f>
        <v>#REF!</v>
      </c>
      <c r="EF105" t="e">
        <f>AND('Test Script'!#REF!,"AAAAAG7V/4c=")</f>
        <v>#REF!</v>
      </c>
      <c r="EG105" t="e">
        <f>AND('Test Script'!#REF!,"AAAAAG7V/4g=")</f>
        <v>#REF!</v>
      </c>
      <c r="EH105" t="e">
        <f>AND('Test Script'!#REF!,"AAAAAG7V/4k=")</f>
        <v>#REF!</v>
      </c>
      <c r="EI105" t="e">
        <f>AND('Test Script'!#REF!,"AAAAAG7V/4o=")</f>
        <v>#REF!</v>
      </c>
      <c r="EJ105" t="e">
        <f>AND('Test Script'!#REF!,"AAAAAG7V/4s=")</f>
        <v>#REF!</v>
      </c>
      <c r="EK105" t="e">
        <f>AND('Test Script'!#REF!,"AAAAAG7V/4w=")</f>
        <v>#REF!</v>
      </c>
      <c r="EL105" t="e">
        <f>AND('Test Script'!#REF!,"AAAAAG7V/40=")</f>
        <v>#REF!</v>
      </c>
      <c r="EM105" t="e">
        <f>AND('Test Script'!#REF!,"AAAAAG7V/44=")</f>
        <v>#REF!</v>
      </c>
      <c r="EN105" t="e">
        <f>AND('Test Script'!#REF!,"AAAAAG7V/48=")</f>
        <v>#REF!</v>
      </c>
      <c r="EO105" t="e">
        <f>AND('Test Script'!#REF!,"AAAAAG7V/5A=")</f>
        <v>#REF!</v>
      </c>
      <c r="EP105" t="e">
        <f>AND('Test Script'!#REF!,"AAAAAG7V/5E=")</f>
        <v>#REF!</v>
      </c>
      <c r="EQ105" t="e">
        <f>AND('Test Script'!#REF!,"AAAAAG7V/5I=")</f>
        <v>#REF!</v>
      </c>
      <c r="ER105" t="e">
        <f>AND('Test Script'!#REF!,"AAAAAG7V/5M=")</f>
        <v>#REF!</v>
      </c>
      <c r="ES105" t="e">
        <f>AND('Test Script'!#REF!,"AAAAAG7V/5Q=")</f>
        <v>#REF!</v>
      </c>
      <c r="ET105" t="e">
        <f>AND('Test Script'!#REF!,"AAAAAG7V/5U=")</f>
        <v>#REF!</v>
      </c>
      <c r="EU105" t="e">
        <f>AND('Test Script'!#REF!,"AAAAAG7V/5Y=")</f>
        <v>#REF!</v>
      </c>
      <c r="EV105" t="e">
        <f>AND('Test Script'!#REF!,"AAAAAG7V/5c=")</f>
        <v>#REF!</v>
      </c>
      <c r="EW105" t="e">
        <f>AND('Test Script'!#REF!,"AAAAAG7V/5g=")</f>
        <v>#REF!</v>
      </c>
      <c r="EX105" t="e">
        <f>AND('Test Script'!#REF!,"AAAAAG7V/5k=")</f>
        <v>#REF!</v>
      </c>
      <c r="EY105" t="e">
        <f>AND('Test Script'!#REF!,"AAAAAG7V/5o=")</f>
        <v>#REF!</v>
      </c>
      <c r="EZ105" t="e">
        <f>AND('Test Script'!#REF!,"AAAAAG7V/5s=")</f>
        <v>#REF!</v>
      </c>
      <c r="FA105" t="e">
        <f>IF('Test Script'!#REF!,"AAAAAG7V/5w=",0)</f>
        <v>#REF!</v>
      </c>
      <c r="FB105" t="e">
        <f>AND('Test Script'!#REF!,"AAAAAG7V/50=")</f>
        <v>#REF!</v>
      </c>
      <c r="FC105" t="e">
        <f>AND('Test Script'!#REF!,"AAAAAG7V/54=")</f>
        <v>#REF!</v>
      </c>
      <c r="FD105" t="e">
        <f>AND('Test Script'!#REF!,"AAAAAG7V/58=")</f>
        <v>#REF!</v>
      </c>
      <c r="FE105" t="e">
        <f>AND('Test Script'!#REF!,"AAAAAG7V/6A=")</f>
        <v>#REF!</v>
      </c>
      <c r="FF105" t="e">
        <f>AND('Test Script'!#REF!,"AAAAAG7V/6E=")</f>
        <v>#REF!</v>
      </c>
      <c r="FG105" t="e">
        <f>AND('Test Script'!#REF!,"AAAAAG7V/6I=")</f>
        <v>#REF!</v>
      </c>
      <c r="FH105" t="e">
        <f>AND('Test Script'!#REF!,"AAAAAG7V/6M=")</f>
        <v>#REF!</v>
      </c>
      <c r="FI105" t="e">
        <f>AND('Test Script'!#REF!,"AAAAAG7V/6Q=")</f>
        <v>#REF!</v>
      </c>
      <c r="FJ105" t="e">
        <f>AND('Test Script'!#REF!,"AAAAAG7V/6U=")</f>
        <v>#REF!</v>
      </c>
      <c r="FK105" t="e">
        <f>AND('Test Script'!#REF!,"AAAAAG7V/6Y=")</f>
        <v>#REF!</v>
      </c>
      <c r="FL105" t="e">
        <f>AND('Test Script'!#REF!,"AAAAAG7V/6c=")</f>
        <v>#REF!</v>
      </c>
      <c r="FM105" t="e">
        <f>AND('Test Script'!#REF!,"AAAAAG7V/6g=")</f>
        <v>#REF!</v>
      </c>
      <c r="FN105" t="e">
        <f>AND('Test Script'!#REF!,"AAAAAG7V/6k=")</f>
        <v>#REF!</v>
      </c>
      <c r="FO105" t="e">
        <f>AND('Test Script'!#REF!,"AAAAAG7V/6o=")</f>
        <v>#REF!</v>
      </c>
      <c r="FP105" t="e">
        <f>AND('Test Script'!#REF!,"AAAAAG7V/6s=")</f>
        <v>#REF!</v>
      </c>
      <c r="FQ105" t="e">
        <f>AND('Test Script'!#REF!,"AAAAAG7V/6w=")</f>
        <v>#REF!</v>
      </c>
      <c r="FR105" t="e">
        <f>AND('Test Script'!#REF!,"AAAAAG7V/60=")</f>
        <v>#REF!</v>
      </c>
      <c r="FS105" t="e">
        <f>AND('Test Script'!#REF!,"AAAAAG7V/64=")</f>
        <v>#REF!</v>
      </c>
      <c r="FT105" t="e">
        <f>AND('Test Script'!#REF!,"AAAAAG7V/68=")</f>
        <v>#REF!</v>
      </c>
      <c r="FU105" t="e">
        <f>AND('Test Script'!#REF!,"AAAAAG7V/7A=")</f>
        <v>#REF!</v>
      </c>
      <c r="FV105" t="e">
        <f>AND('Test Script'!#REF!,"AAAAAG7V/7E=")</f>
        <v>#REF!</v>
      </c>
      <c r="FW105" t="e">
        <f>AND('Test Script'!#REF!,"AAAAAG7V/7I=")</f>
        <v>#REF!</v>
      </c>
      <c r="FX105" t="e">
        <f>AND('Test Script'!#REF!,"AAAAAG7V/7M=")</f>
        <v>#REF!</v>
      </c>
      <c r="FY105" t="e">
        <f>AND('Test Script'!#REF!,"AAAAAG7V/7Q=")</f>
        <v>#REF!</v>
      </c>
      <c r="FZ105" t="e">
        <f>AND('Test Script'!#REF!,"AAAAAG7V/7U=")</f>
        <v>#REF!</v>
      </c>
      <c r="GA105" t="e">
        <f>AND('Test Script'!#REF!,"AAAAAG7V/7Y=")</f>
        <v>#REF!</v>
      </c>
      <c r="GB105" t="e">
        <f>IF('Test Script'!#REF!,"AAAAAG7V/7c=",0)</f>
        <v>#REF!</v>
      </c>
      <c r="GC105" t="e">
        <f>AND('Test Script'!#REF!,"AAAAAG7V/7g=")</f>
        <v>#REF!</v>
      </c>
      <c r="GD105" t="e">
        <f>AND('Test Script'!#REF!,"AAAAAG7V/7k=")</f>
        <v>#REF!</v>
      </c>
      <c r="GE105" t="e">
        <f>AND('Test Script'!#REF!,"AAAAAG7V/7o=")</f>
        <v>#REF!</v>
      </c>
      <c r="GF105" t="e">
        <f>AND('Test Script'!#REF!,"AAAAAG7V/7s=")</f>
        <v>#REF!</v>
      </c>
      <c r="GG105" t="e">
        <f>AND('Test Script'!#REF!,"AAAAAG7V/7w=")</f>
        <v>#REF!</v>
      </c>
      <c r="GH105" t="e">
        <f>AND('Test Script'!#REF!,"AAAAAG7V/70=")</f>
        <v>#REF!</v>
      </c>
      <c r="GI105" t="e">
        <f>AND('Test Script'!#REF!,"AAAAAG7V/74=")</f>
        <v>#REF!</v>
      </c>
      <c r="GJ105" t="e">
        <f>AND('Test Script'!#REF!,"AAAAAG7V/78=")</f>
        <v>#REF!</v>
      </c>
      <c r="GK105" t="e">
        <f>AND('Test Script'!#REF!,"AAAAAG7V/8A=")</f>
        <v>#REF!</v>
      </c>
      <c r="GL105" t="e">
        <f>AND('Test Script'!#REF!,"AAAAAG7V/8E=")</f>
        <v>#REF!</v>
      </c>
      <c r="GM105" t="e">
        <f>AND('Test Script'!#REF!,"AAAAAG7V/8I=")</f>
        <v>#REF!</v>
      </c>
      <c r="GN105" t="e">
        <f>AND('Test Script'!#REF!,"AAAAAG7V/8M=")</f>
        <v>#REF!</v>
      </c>
      <c r="GO105" t="e">
        <f>AND('Test Script'!#REF!,"AAAAAG7V/8Q=")</f>
        <v>#REF!</v>
      </c>
      <c r="GP105" t="e">
        <f>AND('Test Script'!#REF!,"AAAAAG7V/8U=")</f>
        <v>#REF!</v>
      </c>
      <c r="GQ105" t="e">
        <f>AND('Test Script'!#REF!,"AAAAAG7V/8Y=")</f>
        <v>#REF!</v>
      </c>
      <c r="GR105" t="e">
        <f>AND('Test Script'!#REF!,"AAAAAG7V/8c=")</f>
        <v>#REF!</v>
      </c>
      <c r="GS105" t="e">
        <f>AND('Test Script'!#REF!,"AAAAAG7V/8g=")</f>
        <v>#REF!</v>
      </c>
      <c r="GT105" t="e">
        <f>AND('Test Script'!#REF!,"AAAAAG7V/8k=")</f>
        <v>#REF!</v>
      </c>
      <c r="GU105" t="e">
        <f>AND('Test Script'!#REF!,"AAAAAG7V/8o=")</f>
        <v>#REF!</v>
      </c>
      <c r="GV105" t="e">
        <f>AND('Test Script'!#REF!,"AAAAAG7V/8s=")</f>
        <v>#REF!</v>
      </c>
      <c r="GW105" t="e">
        <f>AND('Test Script'!#REF!,"AAAAAG7V/8w=")</f>
        <v>#REF!</v>
      </c>
      <c r="GX105" t="e">
        <f>AND('Test Script'!#REF!,"AAAAAG7V/80=")</f>
        <v>#REF!</v>
      </c>
      <c r="GY105" t="e">
        <f>AND('Test Script'!#REF!,"AAAAAG7V/84=")</f>
        <v>#REF!</v>
      </c>
      <c r="GZ105" t="e">
        <f>AND('Test Script'!#REF!,"AAAAAG7V/88=")</f>
        <v>#REF!</v>
      </c>
      <c r="HA105" t="e">
        <f>AND('Test Script'!#REF!,"AAAAAG7V/9A=")</f>
        <v>#REF!</v>
      </c>
      <c r="HB105" t="e">
        <f>AND('Test Script'!#REF!,"AAAAAG7V/9E=")</f>
        <v>#REF!</v>
      </c>
      <c r="HC105" t="e">
        <f>IF('Test Script'!#REF!,"AAAAAG7V/9I=",0)</f>
        <v>#REF!</v>
      </c>
      <c r="HD105" t="e">
        <f>AND('Test Script'!#REF!,"AAAAAG7V/9M=")</f>
        <v>#REF!</v>
      </c>
      <c r="HE105" t="e">
        <f>AND('Test Script'!#REF!,"AAAAAG7V/9Q=")</f>
        <v>#REF!</v>
      </c>
      <c r="HF105" t="e">
        <f>AND('Test Script'!#REF!,"AAAAAG7V/9U=")</f>
        <v>#REF!</v>
      </c>
      <c r="HG105" t="e">
        <f>AND('Test Script'!#REF!,"AAAAAG7V/9Y=")</f>
        <v>#REF!</v>
      </c>
      <c r="HH105" t="e">
        <f>AND('Test Script'!#REF!,"AAAAAG7V/9c=")</f>
        <v>#REF!</v>
      </c>
      <c r="HI105" t="e">
        <f>AND('Test Script'!#REF!,"AAAAAG7V/9g=")</f>
        <v>#REF!</v>
      </c>
      <c r="HJ105" t="e">
        <f>AND('Test Script'!#REF!,"AAAAAG7V/9k=")</f>
        <v>#REF!</v>
      </c>
      <c r="HK105" t="e">
        <f>AND('Test Script'!#REF!,"AAAAAG7V/9o=")</f>
        <v>#REF!</v>
      </c>
      <c r="HL105" t="e">
        <f>AND('Test Script'!#REF!,"AAAAAG7V/9s=")</f>
        <v>#REF!</v>
      </c>
      <c r="HM105" t="e">
        <f>AND('Test Script'!#REF!,"AAAAAG7V/9w=")</f>
        <v>#REF!</v>
      </c>
      <c r="HN105" t="e">
        <f>AND('Test Script'!#REF!,"AAAAAG7V/90=")</f>
        <v>#REF!</v>
      </c>
      <c r="HO105" t="e">
        <f>AND('Test Script'!#REF!,"AAAAAG7V/94=")</f>
        <v>#REF!</v>
      </c>
      <c r="HP105" t="e">
        <f>AND('Test Script'!#REF!,"AAAAAG7V/98=")</f>
        <v>#REF!</v>
      </c>
      <c r="HQ105" t="e">
        <f>AND('Test Script'!#REF!,"AAAAAG7V/+A=")</f>
        <v>#REF!</v>
      </c>
      <c r="HR105" t="e">
        <f>AND('Test Script'!#REF!,"AAAAAG7V/+E=")</f>
        <v>#REF!</v>
      </c>
      <c r="HS105" t="e">
        <f>AND('Test Script'!#REF!,"AAAAAG7V/+I=")</f>
        <v>#REF!</v>
      </c>
      <c r="HT105" t="e">
        <f>AND('Test Script'!#REF!,"AAAAAG7V/+M=")</f>
        <v>#REF!</v>
      </c>
      <c r="HU105" t="e">
        <f>AND('Test Script'!#REF!,"AAAAAG7V/+Q=")</f>
        <v>#REF!</v>
      </c>
      <c r="HV105" t="e">
        <f>AND('Test Script'!#REF!,"AAAAAG7V/+U=")</f>
        <v>#REF!</v>
      </c>
      <c r="HW105" t="e">
        <f>AND('Test Script'!#REF!,"AAAAAG7V/+Y=")</f>
        <v>#REF!</v>
      </c>
      <c r="HX105" t="e">
        <f>AND('Test Script'!#REF!,"AAAAAG7V/+c=")</f>
        <v>#REF!</v>
      </c>
      <c r="HY105" t="e">
        <f>AND('Test Script'!#REF!,"AAAAAG7V/+g=")</f>
        <v>#REF!</v>
      </c>
      <c r="HZ105" t="e">
        <f>AND('Test Script'!#REF!,"AAAAAG7V/+k=")</f>
        <v>#REF!</v>
      </c>
      <c r="IA105" t="e">
        <f>AND('Test Script'!#REF!,"AAAAAG7V/+o=")</f>
        <v>#REF!</v>
      </c>
      <c r="IB105" t="e">
        <f>AND('Test Script'!#REF!,"AAAAAG7V/+s=")</f>
        <v>#REF!</v>
      </c>
      <c r="IC105" t="e">
        <f>AND('Test Script'!#REF!,"AAAAAG7V/+w=")</f>
        <v>#REF!</v>
      </c>
      <c r="ID105" t="e">
        <f>IF('Test Script'!#REF!,"AAAAAG7V/+0=",0)</f>
        <v>#REF!</v>
      </c>
      <c r="IE105" t="e">
        <f>AND('Test Script'!#REF!,"AAAAAG7V/+4=")</f>
        <v>#REF!</v>
      </c>
      <c r="IF105" t="e">
        <f>AND('Test Script'!#REF!,"AAAAAG7V/+8=")</f>
        <v>#REF!</v>
      </c>
      <c r="IG105" t="e">
        <f>AND('Test Script'!#REF!,"AAAAAG7V//A=")</f>
        <v>#REF!</v>
      </c>
      <c r="IH105" t="e">
        <f>AND('Test Script'!#REF!,"AAAAAG7V//E=")</f>
        <v>#REF!</v>
      </c>
      <c r="II105" t="e">
        <f>AND('Test Script'!#REF!,"AAAAAG7V//I=")</f>
        <v>#REF!</v>
      </c>
      <c r="IJ105" t="e">
        <f>AND('Test Script'!#REF!,"AAAAAG7V//M=")</f>
        <v>#REF!</v>
      </c>
      <c r="IK105" t="e">
        <f>AND('Test Script'!#REF!,"AAAAAG7V//Q=")</f>
        <v>#REF!</v>
      </c>
      <c r="IL105" t="e">
        <f>AND('Test Script'!#REF!,"AAAAAG7V//U=")</f>
        <v>#REF!</v>
      </c>
      <c r="IM105" t="e">
        <f>AND('Test Script'!#REF!,"AAAAAG7V//Y=")</f>
        <v>#REF!</v>
      </c>
      <c r="IN105" t="e">
        <f>AND('Test Script'!#REF!,"AAAAAG7V//c=")</f>
        <v>#REF!</v>
      </c>
      <c r="IO105" t="e">
        <f>AND('Test Script'!#REF!,"AAAAAG7V//g=")</f>
        <v>#REF!</v>
      </c>
      <c r="IP105" t="e">
        <f>AND('Test Script'!#REF!,"AAAAAG7V//k=")</f>
        <v>#REF!</v>
      </c>
      <c r="IQ105" t="e">
        <f>AND('Test Script'!#REF!,"AAAAAG7V//o=")</f>
        <v>#REF!</v>
      </c>
      <c r="IR105" t="e">
        <f>AND('Test Script'!#REF!,"AAAAAG7V//s=")</f>
        <v>#REF!</v>
      </c>
      <c r="IS105" t="e">
        <f>AND('Test Script'!#REF!,"AAAAAG7V//w=")</f>
        <v>#REF!</v>
      </c>
      <c r="IT105" t="e">
        <f>AND('Test Script'!#REF!,"AAAAAG7V//0=")</f>
        <v>#REF!</v>
      </c>
      <c r="IU105" t="e">
        <f>AND('Test Script'!#REF!,"AAAAAG7V//4=")</f>
        <v>#REF!</v>
      </c>
      <c r="IV105" t="e">
        <f>AND('Test Script'!#REF!,"AAAAAG7V//8=")</f>
        <v>#REF!</v>
      </c>
    </row>
    <row r="106" spans="1:256" x14ac:dyDescent="0.2">
      <c r="A106" t="e">
        <f>AND('Test Script'!#REF!,"AAAAAH/+PwA=")</f>
        <v>#REF!</v>
      </c>
      <c r="B106" t="e">
        <f>AND('Test Script'!#REF!,"AAAAAH/+PwE=")</f>
        <v>#REF!</v>
      </c>
      <c r="C106" t="e">
        <f>AND('Test Script'!#REF!,"AAAAAH/+PwI=")</f>
        <v>#REF!</v>
      </c>
      <c r="D106" t="e">
        <f>AND('Test Script'!#REF!,"AAAAAH/+PwM=")</f>
        <v>#REF!</v>
      </c>
      <c r="E106" t="e">
        <f>AND('Test Script'!#REF!,"AAAAAH/+PwQ=")</f>
        <v>#REF!</v>
      </c>
      <c r="F106" t="e">
        <f>AND('Test Script'!#REF!,"AAAAAH/+PwU=")</f>
        <v>#REF!</v>
      </c>
      <c r="G106" t="e">
        <f>AND('Test Script'!#REF!,"AAAAAH/+PwY=")</f>
        <v>#REF!</v>
      </c>
      <c r="H106" t="e">
        <f>AND('Test Script'!#REF!,"AAAAAH/+Pwc=")</f>
        <v>#REF!</v>
      </c>
      <c r="I106" t="e">
        <f>IF('Test Script'!#REF!,"AAAAAH/+Pwg=",0)</f>
        <v>#REF!</v>
      </c>
      <c r="J106" t="e">
        <f>AND('Test Script'!#REF!,"AAAAAH/+Pwk=")</f>
        <v>#REF!</v>
      </c>
      <c r="K106" t="e">
        <f>AND('Test Script'!#REF!,"AAAAAH/+Pwo=")</f>
        <v>#REF!</v>
      </c>
      <c r="L106" t="e">
        <f>AND('Test Script'!#REF!,"AAAAAH/+Pws=")</f>
        <v>#REF!</v>
      </c>
      <c r="M106" t="e">
        <f>AND('Test Script'!#REF!,"AAAAAH/+Pww=")</f>
        <v>#REF!</v>
      </c>
      <c r="N106" t="e">
        <f>AND('Test Script'!#REF!,"AAAAAH/+Pw0=")</f>
        <v>#REF!</v>
      </c>
      <c r="O106" t="e">
        <f>AND('Test Script'!#REF!,"AAAAAH/+Pw4=")</f>
        <v>#REF!</v>
      </c>
      <c r="P106" t="e">
        <f>AND('Test Script'!#REF!,"AAAAAH/+Pw8=")</f>
        <v>#REF!</v>
      </c>
      <c r="Q106" t="e">
        <f>AND('Test Script'!#REF!,"AAAAAH/+PxA=")</f>
        <v>#REF!</v>
      </c>
      <c r="R106" t="e">
        <f>AND('Test Script'!#REF!,"AAAAAH/+PxE=")</f>
        <v>#REF!</v>
      </c>
      <c r="S106" t="e">
        <f>AND('Test Script'!#REF!,"AAAAAH/+PxI=")</f>
        <v>#REF!</v>
      </c>
      <c r="T106" t="e">
        <f>AND('Test Script'!#REF!,"AAAAAH/+PxM=")</f>
        <v>#REF!</v>
      </c>
      <c r="U106" t="e">
        <f>AND('Test Script'!#REF!,"AAAAAH/+PxQ=")</f>
        <v>#REF!</v>
      </c>
      <c r="V106" t="e">
        <f>AND('Test Script'!#REF!,"AAAAAH/+PxU=")</f>
        <v>#REF!</v>
      </c>
      <c r="W106" t="e">
        <f>AND('Test Script'!#REF!,"AAAAAH/+PxY=")</f>
        <v>#REF!</v>
      </c>
      <c r="X106" t="e">
        <f>AND('Test Script'!#REF!,"AAAAAH/+Pxc=")</f>
        <v>#REF!</v>
      </c>
      <c r="Y106" t="e">
        <f>AND('Test Script'!#REF!,"AAAAAH/+Pxg=")</f>
        <v>#REF!</v>
      </c>
      <c r="Z106" t="e">
        <f>AND('Test Script'!#REF!,"AAAAAH/+Pxk=")</f>
        <v>#REF!</v>
      </c>
      <c r="AA106" t="e">
        <f>AND('Test Script'!#REF!,"AAAAAH/+Pxo=")</f>
        <v>#REF!</v>
      </c>
      <c r="AB106" t="e">
        <f>AND('Test Script'!#REF!,"AAAAAH/+Pxs=")</f>
        <v>#REF!</v>
      </c>
      <c r="AC106" t="e">
        <f>AND('Test Script'!#REF!,"AAAAAH/+Pxw=")</f>
        <v>#REF!</v>
      </c>
      <c r="AD106" t="e">
        <f>AND('Test Script'!#REF!,"AAAAAH/+Px0=")</f>
        <v>#REF!</v>
      </c>
      <c r="AE106" t="e">
        <f>AND('Test Script'!#REF!,"AAAAAH/+Px4=")</f>
        <v>#REF!</v>
      </c>
      <c r="AF106" t="e">
        <f>AND('Test Script'!#REF!,"AAAAAH/+Px8=")</f>
        <v>#REF!</v>
      </c>
      <c r="AG106" t="e">
        <f>AND('Test Script'!#REF!,"AAAAAH/+PyA=")</f>
        <v>#REF!</v>
      </c>
      <c r="AH106" t="e">
        <f>AND('Test Script'!#REF!,"AAAAAH/+PyE=")</f>
        <v>#REF!</v>
      </c>
      <c r="AI106" t="e">
        <f>AND('Test Script'!#REF!,"AAAAAH/+PyI=")</f>
        <v>#REF!</v>
      </c>
      <c r="AJ106" t="e">
        <f>IF('Test Script'!#REF!,"AAAAAH/+PyM=",0)</f>
        <v>#REF!</v>
      </c>
      <c r="AK106" t="e">
        <f>AND('Test Script'!#REF!,"AAAAAH/+PyQ=")</f>
        <v>#REF!</v>
      </c>
      <c r="AL106" t="e">
        <f>AND('Test Script'!#REF!,"AAAAAH/+PyU=")</f>
        <v>#REF!</v>
      </c>
      <c r="AM106" t="e">
        <f>AND('Test Script'!#REF!,"AAAAAH/+PyY=")</f>
        <v>#REF!</v>
      </c>
      <c r="AN106" t="e">
        <f>AND('Test Script'!#REF!,"AAAAAH/+Pyc=")</f>
        <v>#REF!</v>
      </c>
      <c r="AO106" t="e">
        <f>AND('Test Script'!#REF!,"AAAAAH/+Pyg=")</f>
        <v>#REF!</v>
      </c>
      <c r="AP106" t="e">
        <f>AND('Test Script'!#REF!,"AAAAAH/+Pyk=")</f>
        <v>#REF!</v>
      </c>
      <c r="AQ106" t="e">
        <f>AND('Test Script'!#REF!,"AAAAAH/+Pyo=")</f>
        <v>#REF!</v>
      </c>
      <c r="AR106" t="e">
        <f>AND('Test Script'!#REF!,"AAAAAH/+Pys=")</f>
        <v>#REF!</v>
      </c>
      <c r="AS106" t="e">
        <f>AND('Test Script'!#REF!,"AAAAAH/+Pyw=")</f>
        <v>#REF!</v>
      </c>
      <c r="AT106" t="e">
        <f>AND('Test Script'!#REF!,"AAAAAH/+Py0=")</f>
        <v>#REF!</v>
      </c>
      <c r="AU106" t="e">
        <f>AND('Test Script'!#REF!,"AAAAAH/+Py4=")</f>
        <v>#REF!</v>
      </c>
      <c r="AV106" t="e">
        <f>AND('Test Script'!#REF!,"AAAAAH/+Py8=")</f>
        <v>#REF!</v>
      </c>
      <c r="AW106" t="e">
        <f>AND('Test Script'!#REF!,"AAAAAH/+PzA=")</f>
        <v>#REF!</v>
      </c>
      <c r="AX106" t="e">
        <f>AND('Test Script'!#REF!,"AAAAAH/+PzE=")</f>
        <v>#REF!</v>
      </c>
      <c r="AY106" t="e">
        <f>AND('Test Script'!#REF!,"AAAAAH/+PzI=")</f>
        <v>#REF!</v>
      </c>
      <c r="AZ106" t="e">
        <f>AND('Test Script'!#REF!,"AAAAAH/+PzM=")</f>
        <v>#REF!</v>
      </c>
      <c r="BA106" t="e">
        <f>AND('Test Script'!#REF!,"AAAAAH/+PzQ=")</f>
        <v>#REF!</v>
      </c>
      <c r="BB106" t="e">
        <f>AND('Test Script'!#REF!,"AAAAAH/+PzU=")</f>
        <v>#REF!</v>
      </c>
      <c r="BC106" t="e">
        <f>AND('Test Script'!#REF!,"AAAAAH/+PzY=")</f>
        <v>#REF!</v>
      </c>
      <c r="BD106" t="e">
        <f>AND('Test Script'!#REF!,"AAAAAH/+Pzc=")</f>
        <v>#REF!</v>
      </c>
      <c r="BE106" t="e">
        <f>AND('Test Script'!#REF!,"AAAAAH/+Pzg=")</f>
        <v>#REF!</v>
      </c>
      <c r="BF106" t="e">
        <f>AND('Test Script'!#REF!,"AAAAAH/+Pzk=")</f>
        <v>#REF!</v>
      </c>
      <c r="BG106" t="e">
        <f>AND('Test Script'!#REF!,"AAAAAH/+Pzo=")</f>
        <v>#REF!</v>
      </c>
      <c r="BH106" t="e">
        <f>AND('Test Script'!#REF!,"AAAAAH/+Pzs=")</f>
        <v>#REF!</v>
      </c>
      <c r="BI106" t="e">
        <f>AND('Test Script'!#REF!,"AAAAAH/+Pzw=")</f>
        <v>#REF!</v>
      </c>
      <c r="BJ106" t="e">
        <f>AND('Test Script'!#REF!,"AAAAAH/+Pz0=")</f>
        <v>#REF!</v>
      </c>
      <c r="BK106" t="e">
        <f>IF('Test Script'!#REF!,"AAAAAH/+Pz4=",0)</f>
        <v>#REF!</v>
      </c>
      <c r="BL106" t="e">
        <f>AND('Test Script'!#REF!,"AAAAAH/+Pz8=")</f>
        <v>#REF!</v>
      </c>
      <c r="BM106" t="e">
        <f>AND('Test Script'!#REF!,"AAAAAH/+P0A=")</f>
        <v>#REF!</v>
      </c>
      <c r="BN106" t="e">
        <f>AND('Test Script'!#REF!,"AAAAAH/+P0E=")</f>
        <v>#REF!</v>
      </c>
      <c r="BO106" t="e">
        <f>AND('Test Script'!#REF!,"AAAAAH/+P0I=")</f>
        <v>#REF!</v>
      </c>
      <c r="BP106" t="e">
        <f>AND('Test Script'!#REF!,"AAAAAH/+P0M=")</f>
        <v>#REF!</v>
      </c>
      <c r="BQ106" t="e">
        <f>AND('Test Script'!#REF!,"AAAAAH/+P0Q=")</f>
        <v>#REF!</v>
      </c>
      <c r="BR106" t="e">
        <f>AND('Test Script'!#REF!,"AAAAAH/+P0U=")</f>
        <v>#REF!</v>
      </c>
      <c r="BS106" t="e">
        <f>AND('Test Script'!#REF!,"AAAAAH/+P0Y=")</f>
        <v>#REF!</v>
      </c>
      <c r="BT106" t="e">
        <f>AND('Test Script'!#REF!,"AAAAAH/+P0c=")</f>
        <v>#REF!</v>
      </c>
      <c r="BU106" t="e">
        <f>AND('Test Script'!#REF!,"AAAAAH/+P0g=")</f>
        <v>#REF!</v>
      </c>
      <c r="BV106" t="e">
        <f>AND('Test Script'!#REF!,"AAAAAH/+P0k=")</f>
        <v>#REF!</v>
      </c>
      <c r="BW106" t="e">
        <f>AND('Test Script'!#REF!,"AAAAAH/+P0o=")</f>
        <v>#REF!</v>
      </c>
      <c r="BX106" t="e">
        <f>AND('Test Script'!#REF!,"AAAAAH/+P0s=")</f>
        <v>#REF!</v>
      </c>
      <c r="BY106" t="e">
        <f>AND('Test Script'!#REF!,"AAAAAH/+P0w=")</f>
        <v>#REF!</v>
      </c>
      <c r="BZ106" t="e">
        <f>AND('Test Script'!#REF!,"AAAAAH/+P00=")</f>
        <v>#REF!</v>
      </c>
      <c r="CA106" t="e">
        <f>AND('Test Script'!#REF!,"AAAAAH/+P04=")</f>
        <v>#REF!</v>
      </c>
      <c r="CB106" t="e">
        <f>AND('Test Script'!#REF!,"AAAAAH/+P08=")</f>
        <v>#REF!</v>
      </c>
      <c r="CC106" t="e">
        <f>AND('Test Script'!#REF!,"AAAAAH/+P1A=")</f>
        <v>#REF!</v>
      </c>
      <c r="CD106" t="e">
        <f>AND('Test Script'!#REF!,"AAAAAH/+P1E=")</f>
        <v>#REF!</v>
      </c>
      <c r="CE106" t="e">
        <f>AND('Test Script'!#REF!,"AAAAAH/+P1I=")</f>
        <v>#REF!</v>
      </c>
      <c r="CF106" t="e">
        <f>AND('Test Script'!#REF!,"AAAAAH/+P1M=")</f>
        <v>#REF!</v>
      </c>
      <c r="CG106" t="e">
        <f>AND('Test Script'!#REF!,"AAAAAH/+P1Q=")</f>
        <v>#REF!</v>
      </c>
      <c r="CH106" t="e">
        <f>AND('Test Script'!#REF!,"AAAAAH/+P1U=")</f>
        <v>#REF!</v>
      </c>
      <c r="CI106" t="e">
        <f>AND('Test Script'!#REF!,"AAAAAH/+P1Y=")</f>
        <v>#REF!</v>
      </c>
      <c r="CJ106" t="e">
        <f>AND('Test Script'!#REF!,"AAAAAH/+P1c=")</f>
        <v>#REF!</v>
      </c>
      <c r="CK106" t="e">
        <f>AND('Test Script'!#REF!,"AAAAAH/+P1g=")</f>
        <v>#REF!</v>
      </c>
      <c r="CL106" t="e">
        <f>IF('Test Script'!#REF!,"AAAAAH/+P1k=",0)</f>
        <v>#REF!</v>
      </c>
      <c r="CM106" t="e">
        <f>AND('Test Script'!#REF!,"AAAAAH/+P1o=")</f>
        <v>#REF!</v>
      </c>
      <c r="CN106" t="e">
        <f>AND('Test Script'!#REF!,"AAAAAH/+P1s=")</f>
        <v>#REF!</v>
      </c>
      <c r="CO106" t="e">
        <f>AND('Test Script'!#REF!,"AAAAAH/+P1w=")</f>
        <v>#REF!</v>
      </c>
      <c r="CP106" t="e">
        <f>AND('Test Script'!#REF!,"AAAAAH/+P10=")</f>
        <v>#REF!</v>
      </c>
      <c r="CQ106" t="e">
        <f>AND('Test Script'!#REF!,"AAAAAH/+P14=")</f>
        <v>#REF!</v>
      </c>
      <c r="CR106" t="e">
        <f>AND('Test Script'!#REF!,"AAAAAH/+P18=")</f>
        <v>#REF!</v>
      </c>
      <c r="CS106" t="e">
        <f>AND('Test Script'!#REF!,"AAAAAH/+P2A=")</f>
        <v>#REF!</v>
      </c>
      <c r="CT106" t="e">
        <f>AND('Test Script'!#REF!,"AAAAAH/+P2E=")</f>
        <v>#REF!</v>
      </c>
      <c r="CU106" t="e">
        <f>AND('Test Script'!#REF!,"AAAAAH/+P2I=")</f>
        <v>#REF!</v>
      </c>
      <c r="CV106" t="e">
        <f>AND('Test Script'!#REF!,"AAAAAH/+P2M=")</f>
        <v>#REF!</v>
      </c>
      <c r="CW106" t="e">
        <f>AND('Test Script'!#REF!,"AAAAAH/+P2Q=")</f>
        <v>#REF!</v>
      </c>
      <c r="CX106" t="e">
        <f>AND('Test Script'!#REF!,"AAAAAH/+P2U=")</f>
        <v>#REF!</v>
      </c>
      <c r="CY106" t="e">
        <f>AND('Test Script'!#REF!,"AAAAAH/+P2Y=")</f>
        <v>#REF!</v>
      </c>
      <c r="CZ106" t="e">
        <f>AND('Test Script'!#REF!,"AAAAAH/+P2c=")</f>
        <v>#REF!</v>
      </c>
      <c r="DA106" t="e">
        <f>AND('Test Script'!#REF!,"AAAAAH/+P2g=")</f>
        <v>#REF!</v>
      </c>
      <c r="DB106" t="e">
        <f>AND('Test Script'!#REF!,"AAAAAH/+P2k=")</f>
        <v>#REF!</v>
      </c>
      <c r="DC106" t="e">
        <f>AND('Test Script'!#REF!,"AAAAAH/+P2o=")</f>
        <v>#REF!</v>
      </c>
      <c r="DD106" t="e">
        <f>AND('Test Script'!#REF!,"AAAAAH/+P2s=")</f>
        <v>#REF!</v>
      </c>
      <c r="DE106" t="e">
        <f>AND('Test Script'!#REF!,"AAAAAH/+P2w=")</f>
        <v>#REF!</v>
      </c>
      <c r="DF106" t="e">
        <f>AND('Test Script'!#REF!,"AAAAAH/+P20=")</f>
        <v>#REF!</v>
      </c>
      <c r="DG106" t="e">
        <f>AND('Test Script'!#REF!,"AAAAAH/+P24=")</f>
        <v>#REF!</v>
      </c>
      <c r="DH106" t="e">
        <f>AND('Test Script'!#REF!,"AAAAAH/+P28=")</f>
        <v>#REF!</v>
      </c>
      <c r="DI106" t="e">
        <f>AND('Test Script'!#REF!,"AAAAAH/+P3A=")</f>
        <v>#REF!</v>
      </c>
      <c r="DJ106" t="e">
        <f>AND('Test Script'!#REF!,"AAAAAH/+P3E=")</f>
        <v>#REF!</v>
      </c>
      <c r="DK106" t="e">
        <f>AND('Test Script'!#REF!,"AAAAAH/+P3I=")</f>
        <v>#REF!</v>
      </c>
      <c r="DL106" t="e">
        <f>AND('Test Script'!#REF!,"AAAAAH/+P3M=")</f>
        <v>#REF!</v>
      </c>
      <c r="DM106" t="e">
        <f>IF('Test Script'!#REF!,"AAAAAH/+P3Q=",0)</f>
        <v>#REF!</v>
      </c>
      <c r="DN106" t="e">
        <f>AND('Test Script'!#REF!,"AAAAAH/+P3U=")</f>
        <v>#REF!</v>
      </c>
      <c r="DO106" t="e">
        <f>AND('Test Script'!#REF!,"AAAAAH/+P3Y=")</f>
        <v>#REF!</v>
      </c>
      <c r="DP106" t="e">
        <f>AND('Test Script'!#REF!,"AAAAAH/+P3c=")</f>
        <v>#REF!</v>
      </c>
      <c r="DQ106" t="e">
        <f>AND('Test Script'!#REF!,"AAAAAH/+P3g=")</f>
        <v>#REF!</v>
      </c>
      <c r="DR106" t="e">
        <f>AND('Test Script'!#REF!,"AAAAAH/+P3k=")</f>
        <v>#REF!</v>
      </c>
      <c r="DS106" t="e">
        <f>AND('Test Script'!#REF!,"AAAAAH/+P3o=")</f>
        <v>#REF!</v>
      </c>
      <c r="DT106" t="e">
        <f>AND('Test Script'!#REF!,"AAAAAH/+P3s=")</f>
        <v>#REF!</v>
      </c>
      <c r="DU106" t="e">
        <f>AND('Test Script'!#REF!,"AAAAAH/+P3w=")</f>
        <v>#REF!</v>
      </c>
      <c r="DV106" t="e">
        <f>AND('Test Script'!#REF!,"AAAAAH/+P30=")</f>
        <v>#REF!</v>
      </c>
      <c r="DW106" t="e">
        <f>AND('Test Script'!#REF!,"AAAAAH/+P34=")</f>
        <v>#REF!</v>
      </c>
      <c r="DX106" t="e">
        <f>AND('Test Script'!#REF!,"AAAAAH/+P38=")</f>
        <v>#REF!</v>
      </c>
      <c r="DY106" t="e">
        <f>AND('Test Script'!#REF!,"AAAAAH/+P4A=")</f>
        <v>#REF!</v>
      </c>
      <c r="DZ106" t="e">
        <f>AND('Test Script'!#REF!,"AAAAAH/+P4E=")</f>
        <v>#REF!</v>
      </c>
      <c r="EA106" t="e">
        <f>AND('Test Script'!#REF!,"AAAAAH/+P4I=")</f>
        <v>#REF!</v>
      </c>
      <c r="EB106" t="e">
        <f>AND('Test Script'!#REF!,"AAAAAH/+P4M=")</f>
        <v>#REF!</v>
      </c>
      <c r="EC106" t="e">
        <f>AND('Test Script'!#REF!,"AAAAAH/+P4Q=")</f>
        <v>#REF!</v>
      </c>
      <c r="ED106" t="e">
        <f>AND('Test Script'!#REF!,"AAAAAH/+P4U=")</f>
        <v>#REF!</v>
      </c>
      <c r="EE106" t="e">
        <f>AND('Test Script'!#REF!,"AAAAAH/+P4Y=")</f>
        <v>#REF!</v>
      </c>
      <c r="EF106" t="e">
        <f>AND('Test Script'!#REF!,"AAAAAH/+P4c=")</f>
        <v>#REF!</v>
      </c>
      <c r="EG106" t="e">
        <f>AND('Test Script'!#REF!,"AAAAAH/+P4g=")</f>
        <v>#REF!</v>
      </c>
      <c r="EH106" t="e">
        <f>AND('Test Script'!#REF!,"AAAAAH/+P4k=")</f>
        <v>#REF!</v>
      </c>
      <c r="EI106" t="e">
        <f>AND('Test Script'!#REF!,"AAAAAH/+P4o=")</f>
        <v>#REF!</v>
      </c>
      <c r="EJ106" t="e">
        <f>AND('Test Script'!#REF!,"AAAAAH/+P4s=")</f>
        <v>#REF!</v>
      </c>
      <c r="EK106" t="e">
        <f>AND('Test Script'!#REF!,"AAAAAH/+P4w=")</f>
        <v>#REF!</v>
      </c>
      <c r="EL106" t="e">
        <f>AND('Test Script'!#REF!,"AAAAAH/+P40=")</f>
        <v>#REF!</v>
      </c>
      <c r="EM106" t="e">
        <f>AND('Test Script'!#REF!,"AAAAAH/+P44=")</f>
        <v>#REF!</v>
      </c>
      <c r="EN106" t="e">
        <f>IF('Test Script'!#REF!,"AAAAAH/+P48=",0)</f>
        <v>#REF!</v>
      </c>
      <c r="EO106" t="e">
        <f>AND('Test Script'!#REF!,"AAAAAH/+P5A=")</f>
        <v>#REF!</v>
      </c>
      <c r="EP106" t="e">
        <f>AND('Test Script'!#REF!,"AAAAAH/+P5E=")</f>
        <v>#REF!</v>
      </c>
      <c r="EQ106" t="e">
        <f>AND('Test Script'!#REF!,"AAAAAH/+P5I=")</f>
        <v>#REF!</v>
      </c>
      <c r="ER106" t="e">
        <f>AND('Test Script'!#REF!,"AAAAAH/+P5M=")</f>
        <v>#REF!</v>
      </c>
      <c r="ES106" t="e">
        <f>AND('Test Script'!#REF!,"AAAAAH/+P5Q=")</f>
        <v>#REF!</v>
      </c>
      <c r="ET106" t="e">
        <f>AND('Test Script'!#REF!,"AAAAAH/+P5U=")</f>
        <v>#REF!</v>
      </c>
      <c r="EU106" t="e">
        <f>AND('Test Script'!#REF!,"AAAAAH/+P5Y=")</f>
        <v>#REF!</v>
      </c>
      <c r="EV106" t="e">
        <f>AND('Test Script'!#REF!,"AAAAAH/+P5c=")</f>
        <v>#REF!</v>
      </c>
      <c r="EW106" t="e">
        <f>AND('Test Script'!#REF!,"AAAAAH/+P5g=")</f>
        <v>#REF!</v>
      </c>
      <c r="EX106" t="e">
        <f>AND('Test Script'!#REF!,"AAAAAH/+P5k=")</f>
        <v>#REF!</v>
      </c>
      <c r="EY106" t="e">
        <f>AND('Test Script'!#REF!,"AAAAAH/+P5o=")</f>
        <v>#REF!</v>
      </c>
      <c r="EZ106" t="e">
        <f>AND('Test Script'!#REF!,"AAAAAH/+P5s=")</f>
        <v>#REF!</v>
      </c>
      <c r="FA106" t="e">
        <f>AND('Test Script'!#REF!,"AAAAAH/+P5w=")</f>
        <v>#REF!</v>
      </c>
      <c r="FB106" t="e">
        <f>AND('Test Script'!#REF!,"AAAAAH/+P50=")</f>
        <v>#REF!</v>
      </c>
      <c r="FC106" t="e">
        <f>AND('Test Script'!#REF!,"AAAAAH/+P54=")</f>
        <v>#REF!</v>
      </c>
      <c r="FD106" t="e">
        <f>AND('Test Script'!#REF!,"AAAAAH/+P58=")</f>
        <v>#REF!</v>
      </c>
      <c r="FE106" t="e">
        <f>AND('Test Script'!#REF!,"AAAAAH/+P6A=")</f>
        <v>#REF!</v>
      </c>
      <c r="FF106" t="e">
        <f>AND('Test Script'!#REF!,"AAAAAH/+P6E=")</f>
        <v>#REF!</v>
      </c>
      <c r="FG106" t="e">
        <f>AND('Test Script'!#REF!,"AAAAAH/+P6I=")</f>
        <v>#REF!</v>
      </c>
      <c r="FH106" t="e">
        <f>AND('Test Script'!#REF!,"AAAAAH/+P6M=")</f>
        <v>#REF!</v>
      </c>
      <c r="FI106" t="e">
        <f>AND('Test Script'!#REF!,"AAAAAH/+P6Q=")</f>
        <v>#REF!</v>
      </c>
      <c r="FJ106" t="e">
        <f>AND('Test Script'!#REF!,"AAAAAH/+P6U=")</f>
        <v>#REF!</v>
      </c>
      <c r="FK106" t="e">
        <f>AND('Test Script'!#REF!,"AAAAAH/+P6Y=")</f>
        <v>#REF!</v>
      </c>
      <c r="FL106" t="e">
        <f>AND('Test Script'!#REF!,"AAAAAH/+P6c=")</f>
        <v>#REF!</v>
      </c>
      <c r="FM106" t="e">
        <f>AND('Test Script'!#REF!,"AAAAAH/+P6g=")</f>
        <v>#REF!</v>
      </c>
      <c r="FN106" t="e">
        <f>AND('Test Script'!#REF!,"AAAAAH/+P6k=")</f>
        <v>#REF!</v>
      </c>
      <c r="FO106" t="e">
        <f>IF('Test Script'!#REF!,"AAAAAH/+P6o=",0)</f>
        <v>#REF!</v>
      </c>
      <c r="FP106" t="e">
        <f>AND('Test Script'!#REF!,"AAAAAH/+P6s=")</f>
        <v>#REF!</v>
      </c>
      <c r="FQ106" t="e">
        <f>AND('Test Script'!#REF!,"AAAAAH/+P6w=")</f>
        <v>#REF!</v>
      </c>
      <c r="FR106" t="e">
        <f>AND('Test Script'!#REF!,"AAAAAH/+P60=")</f>
        <v>#REF!</v>
      </c>
      <c r="FS106" t="e">
        <f>AND('Test Script'!#REF!,"AAAAAH/+P64=")</f>
        <v>#REF!</v>
      </c>
      <c r="FT106" t="e">
        <f>AND('Test Script'!#REF!,"AAAAAH/+P68=")</f>
        <v>#REF!</v>
      </c>
      <c r="FU106" t="e">
        <f>AND('Test Script'!#REF!,"AAAAAH/+P7A=")</f>
        <v>#REF!</v>
      </c>
      <c r="FV106" t="e">
        <f>AND('Test Script'!#REF!,"AAAAAH/+P7E=")</f>
        <v>#REF!</v>
      </c>
      <c r="FW106" t="e">
        <f>AND('Test Script'!#REF!,"AAAAAH/+P7I=")</f>
        <v>#REF!</v>
      </c>
      <c r="FX106" t="e">
        <f>AND('Test Script'!#REF!,"AAAAAH/+P7M=")</f>
        <v>#REF!</v>
      </c>
      <c r="FY106" t="e">
        <f>AND('Test Script'!#REF!,"AAAAAH/+P7Q=")</f>
        <v>#REF!</v>
      </c>
      <c r="FZ106" t="e">
        <f>AND('Test Script'!#REF!,"AAAAAH/+P7U=")</f>
        <v>#REF!</v>
      </c>
      <c r="GA106" t="e">
        <f>AND('Test Script'!#REF!,"AAAAAH/+P7Y=")</f>
        <v>#REF!</v>
      </c>
      <c r="GB106" t="e">
        <f>AND('Test Script'!#REF!,"AAAAAH/+P7c=")</f>
        <v>#REF!</v>
      </c>
      <c r="GC106" t="e">
        <f>AND('Test Script'!#REF!,"AAAAAH/+P7g=")</f>
        <v>#REF!</v>
      </c>
      <c r="GD106" t="e">
        <f>AND('Test Script'!#REF!,"AAAAAH/+P7k=")</f>
        <v>#REF!</v>
      </c>
      <c r="GE106" t="e">
        <f>AND('Test Script'!#REF!,"AAAAAH/+P7o=")</f>
        <v>#REF!</v>
      </c>
      <c r="GF106" t="e">
        <f>AND('Test Script'!#REF!,"AAAAAH/+P7s=")</f>
        <v>#REF!</v>
      </c>
      <c r="GG106" t="e">
        <f>AND('Test Script'!#REF!,"AAAAAH/+P7w=")</f>
        <v>#REF!</v>
      </c>
      <c r="GH106" t="e">
        <f>AND('Test Script'!#REF!,"AAAAAH/+P70=")</f>
        <v>#REF!</v>
      </c>
      <c r="GI106" t="e">
        <f>AND('Test Script'!#REF!,"AAAAAH/+P74=")</f>
        <v>#REF!</v>
      </c>
      <c r="GJ106" t="e">
        <f>AND('Test Script'!#REF!,"AAAAAH/+P78=")</f>
        <v>#REF!</v>
      </c>
      <c r="GK106" t="e">
        <f>AND('Test Script'!#REF!,"AAAAAH/+P8A=")</f>
        <v>#REF!</v>
      </c>
      <c r="GL106" t="e">
        <f>AND('Test Script'!#REF!,"AAAAAH/+P8E=")</f>
        <v>#REF!</v>
      </c>
      <c r="GM106" t="e">
        <f>AND('Test Script'!#REF!,"AAAAAH/+P8I=")</f>
        <v>#REF!</v>
      </c>
      <c r="GN106" t="e">
        <f>AND('Test Script'!#REF!,"AAAAAH/+P8M=")</f>
        <v>#REF!</v>
      </c>
      <c r="GO106" t="e">
        <f>AND('Test Script'!#REF!,"AAAAAH/+P8Q=")</f>
        <v>#REF!</v>
      </c>
      <c r="GP106" t="e">
        <f>IF('Test Script'!#REF!,"AAAAAH/+P8U=",0)</f>
        <v>#REF!</v>
      </c>
      <c r="GQ106" t="e">
        <f>AND('Test Script'!#REF!,"AAAAAH/+P8Y=")</f>
        <v>#REF!</v>
      </c>
      <c r="GR106" t="e">
        <f>AND('Test Script'!#REF!,"AAAAAH/+P8c=")</f>
        <v>#REF!</v>
      </c>
      <c r="GS106" t="e">
        <f>AND('Test Script'!#REF!,"AAAAAH/+P8g=")</f>
        <v>#REF!</v>
      </c>
      <c r="GT106" t="e">
        <f>AND('Test Script'!#REF!,"AAAAAH/+P8k=")</f>
        <v>#REF!</v>
      </c>
      <c r="GU106" t="e">
        <f>AND('Test Script'!#REF!,"AAAAAH/+P8o=")</f>
        <v>#REF!</v>
      </c>
      <c r="GV106" t="e">
        <f>AND('Test Script'!#REF!,"AAAAAH/+P8s=")</f>
        <v>#REF!</v>
      </c>
      <c r="GW106" t="e">
        <f>AND('Test Script'!#REF!,"AAAAAH/+P8w=")</f>
        <v>#REF!</v>
      </c>
      <c r="GX106" t="e">
        <f>AND('Test Script'!#REF!,"AAAAAH/+P80=")</f>
        <v>#REF!</v>
      </c>
      <c r="GY106" t="e">
        <f>AND('Test Script'!#REF!,"AAAAAH/+P84=")</f>
        <v>#REF!</v>
      </c>
      <c r="GZ106" t="e">
        <f>AND('Test Script'!#REF!,"AAAAAH/+P88=")</f>
        <v>#REF!</v>
      </c>
      <c r="HA106" t="e">
        <f>AND('Test Script'!#REF!,"AAAAAH/+P9A=")</f>
        <v>#REF!</v>
      </c>
      <c r="HB106" t="e">
        <f>AND('Test Script'!#REF!,"AAAAAH/+P9E=")</f>
        <v>#REF!</v>
      </c>
      <c r="HC106" t="e">
        <f>AND('Test Script'!#REF!,"AAAAAH/+P9I=")</f>
        <v>#REF!</v>
      </c>
      <c r="HD106" t="e">
        <f>AND('Test Script'!#REF!,"AAAAAH/+P9M=")</f>
        <v>#REF!</v>
      </c>
      <c r="HE106" t="e">
        <f>AND('Test Script'!#REF!,"AAAAAH/+P9Q=")</f>
        <v>#REF!</v>
      </c>
      <c r="HF106" t="e">
        <f>AND('Test Script'!#REF!,"AAAAAH/+P9U=")</f>
        <v>#REF!</v>
      </c>
      <c r="HG106" t="e">
        <f>AND('Test Script'!#REF!,"AAAAAH/+P9Y=")</f>
        <v>#REF!</v>
      </c>
      <c r="HH106" t="e">
        <f>AND('Test Script'!#REF!,"AAAAAH/+P9c=")</f>
        <v>#REF!</v>
      </c>
      <c r="HI106" t="e">
        <f>AND('Test Script'!#REF!,"AAAAAH/+P9g=")</f>
        <v>#REF!</v>
      </c>
      <c r="HJ106" t="e">
        <f>AND('Test Script'!#REF!,"AAAAAH/+P9k=")</f>
        <v>#REF!</v>
      </c>
      <c r="HK106" t="e">
        <f>AND('Test Script'!#REF!,"AAAAAH/+P9o=")</f>
        <v>#REF!</v>
      </c>
      <c r="HL106" t="e">
        <f>AND('Test Script'!#REF!,"AAAAAH/+P9s=")</f>
        <v>#REF!</v>
      </c>
      <c r="HM106" t="e">
        <f>AND('Test Script'!#REF!,"AAAAAH/+P9w=")</f>
        <v>#REF!</v>
      </c>
      <c r="HN106" t="e">
        <f>AND('Test Script'!#REF!,"AAAAAH/+P90=")</f>
        <v>#REF!</v>
      </c>
      <c r="HO106" t="e">
        <f>AND('Test Script'!#REF!,"AAAAAH/+P94=")</f>
        <v>#REF!</v>
      </c>
      <c r="HP106" t="e">
        <f>AND('Test Script'!#REF!,"AAAAAH/+P98=")</f>
        <v>#REF!</v>
      </c>
      <c r="HQ106" t="e">
        <f>IF('Test Script'!#REF!,"AAAAAH/+P+A=",0)</f>
        <v>#REF!</v>
      </c>
      <c r="HR106" t="e">
        <f>AND('Test Script'!#REF!,"AAAAAH/+P+E=")</f>
        <v>#REF!</v>
      </c>
      <c r="HS106" t="e">
        <f>AND('Test Script'!#REF!,"AAAAAH/+P+I=")</f>
        <v>#REF!</v>
      </c>
      <c r="HT106" t="e">
        <f>AND('Test Script'!#REF!,"AAAAAH/+P+M=")</f>
        <v>#REF!</v>
      </c>
      <c r="HU106" t="e">
        <f>AND('Test Script'!#REF!,"AAAAAH/+P+Q=")</f>
        <v>#REF!</v>
      </c>
      <c r="HV106" t="e">
        <f>AND('Test Script'!#REF!,"AAAAAH/+P+U=")</f>
        <v>#REF!</v>
      </c>
      <c r="HW106" t="e">
        <f>AND('Test Script'!#REF!,"AAAAAH/+P+Y=")</f>
        <v>#REF!</v>
      </c>
      <c r="HX106" t="e">
        <f>AND('Test Script'!#REF!,"AAAAAH/+P+c=")</f>
        <v>#REF!</v>
      </c>
      <c r="HY106" t="e">
        <f>AND('Test Script'!#REF!,"AAAAAH/+P+g=")</f>
        <v>#REF!</v>
      </c>
      <c r="HZ106" t="e">
        <f>AND('Test Script'!#REF!,"AAAAAH/+P+k=")</f>
        <v>#REF!</v>
      </c>
      <c r="IA106" t="e">
        <f>AND('Test Script'!#REF!,"AAAAAH/+P+o=")</f>
        <v>#REF!</v>
      </c>
      <c r="IB106" t="e">
        <f>AND('Test Script'!#REF!,"AAAAAH/+P+s=")</f>
        <v>#REF!</v>
      </c>
      <c r="IC106" t="e">
        <f>AND('Test Script'!#REF!,"AAAAAH/+P+w=")</f>
        <v>#REF!</v>
      </c>
      <c r="ID106" t="e">
        <f>AND('Test Script'!#REF!,"AAAAAH/+P+0=")</f>
        <v>#REF!</v>
      </c>
      <c r="IE106" t="e">
        <f>AND('Test Script'!#REF!,"AAAAAH/+P+4=")</f>
        <v>#REF!</v>
      </c>
      <c r="IF106" t="e">
        <f>AND('Test Script'!#REF!,"AAAAAH/+P+8=")</f>
        <v>#REF!</v>
      </c>
      <c r="IG106" t="e">
        <f>AND('Test Script'!#REF!,"AAAAAH/+P/A=")</f>
        <v>#REF!</v>
      </c>
      <c r="IH106" t="e">
        <f>AND('Test Script'!#REF!,"AAAAAH/+P/E=")</f>
        <v>#REF!</v>
      </c>
      <c r="II106" t="e">
        <f>AND('Test Script'!#REF!,"AAAAAH/+P/I=")</f>
        <v>#REF!</v>
      </c>
      <c r="IJ106" t="e">
        <f>AND('Test Script'!#REF!,"AAAAAH/+P/M=")</f>
        <v>#REF!</v>
      </c>
      <c r="IK106" t="e">
        <f>AND('Test Script'!#REF!,"AAAAAH/+P/Q=")</f>
        <v>#REF!</v>
      </c>
      <c r="IL106" t="e">
        <f>AND('Test Script'!#REF!,"AAAAAH/+P/U=")</f>
        <v>#REF!</v>
      </c>
      <c r="IM106" t="e">
        <f>AND('Test Script'!#REF!,"AAAAAH/+P/Y=")</f>
        <v>#REF!</v>
      </c>
      <c r="IN106" t="e">
        <f>AND('Test Script'!#REF!,"AAAAAH/+P/c=")</f>
        <v>#REF!</v>
      </c>
      <c r="IO106" t="e">
        <f>AND('Test Script'!#REF!,"AAAAAH/+P/g=")</f>
        <v>#REF!</v>
      </c>
      <c r="IP106" t="e">
        <f>AND('Test Script'!#REF!,"AAAAAH/+P/k=")</f>
        <v>#REF!</v>
      </c>
      <c r="IQ106" t="e">
        <f>AND('Test Script'!#REF!,"AAAAAH/+P/o=")</f>
        <v>#REF!</v>
      </c>
      <c r="IR106" t="e">
        <f>IF('Test Script'!#REF!,"AAAAAH/+P/s=",0)</f>
        <v>#REF!</v>
      </c>
      <c r="IS106" t="e">
        <f>AND('Test Script'!#REF!,"AAAAAH/+P/w=")</f>
        <v>#REF!</v>
      </c>
      <c r="IT106" t="e">
        <f>AND('Test Script'!#REF!,"AAAAAH/+P/0=")</f>
        <v>#REF!</v>
      </c>
      <c r="IU106" t="e">
        <f>AND('Test Script'!#REF!,"AAAAAH/+P/4=")</f>
        <v>#REF!</v>
      </c>
      <c r="IV106" t="e">
        <f>AND('Test Script'!#REF!,"AAAAAH/+P/8=")</f>
        <v>#REF!</v>
      </c>
    </row>
    <row r="107" spans="1:256" x14ac:dyDescent="0.2">
      <c r="A107" t="e">
        <f>AND('Test Script'!#REF!,"AAAAAH+d6wA=")</f>
        <v>#REF!</v>
      </c>
      <c r="B107" t="e">
        <f>AND('Test Script'!#REF!,"AAAAAH+d6wE=")</f>
        <v>#REF!</v>
      </c>
      <c r="C107" t="e">
        <f>AND('Test Script'!#REF!,"AAAAAH+d6wI=")</f>
        <v>#REF!</v>
      </c>
      <c r="D107" t="e">
        <f>AND('Test Script'!#REF!,"AAAAAH+d6wM=")</f>
        <v>#REF!</v>
      </c>
      <c r="E107" t="e">
        <f>AND('Test Script'!#REF!,"AAAAAH+d6wQ=")</f>
        <v>#REF!</v>
      </c>
      <c r="F107" t="e">
        <f>AND('Test Script'!#REF!,"AAAAAH+d6wU=")</f>
        <v>#REF!</v>
      </c>
      <c r="G107" t="e">
        <f>AND('Test Script'!#REF!,"AAAAAH+d6wY=")</f>
        <v>#REF!</v>
      </c>
      <c r="H107" t="e">
        <f>AND('Test Script'!#REF!,"AAAAAH+d6wc=")</f>
        <v>#REF!</v>
      </c>
      <c r="I107" t="e">
        <f>AND('Test Script'!#REF!,"AAAAAH+d6wg=")</f>
        <v>#REF!</v>
      </c>
      <c r="J107" t="e">
        <f>AND('Test Script'!#REF!,"AAAAAH+d6wk=")</f>
        <v>#REF!</v>
      </c>
      <c r="K107" t="e">
        <f>AND('Test Script'!#REF!,"AAAAAH+d6wo=")</f>
        <v>#REF!</v>
      </c>
      <c r="L107" t="e">
        <f>AND('Test Script'!#REF!,"AAAAAH+d6ws=")</f>
        <v>#REF!</v>
      </c>
      <c r="M107" t="e">
        <f>AND('Test Script'!#REF!,"AAAAAH+d6ww=")</f>
        <v>#REF!</v>
      </c>
      <c r="N107" t="e">
        <f>AND('Test Script'!#REF!,"AAAAAH+d6w0=")</f>
        <v>#REF!</v>
      </c>
      <c r="O107" t="e">
        <f>AND('Test Script'!#REF!,"AAAAAH+d6w4=")</f>
        <v>#REF!</v>
      </c>
      <c r="P107" t="e">
        <f>AND('Test Script'!#REF!,"AAAAAH+d6w8=")</f>
        <v>#REF!</v>
      </c>
      <c r="Q107" t="e">
        <f>AND('Test Script'!#REF!,"AAAAAH+d6xA=")</f>
        <v>#REF!</v>
      </c>
      <c r="R107" t="e">
        <f>AND('Test Script'!#REF!,"AAAAAH+d6xE=")</f>
        <v>#REF!</v>
      </c>
      <c r="S107" t="e">
        <f>AND('Test Script'!#REF!,"AAAAAH+d6xI=")</f>
        <v>#REF!</v>
      </c>
      <c r="T107" t="e">
        <f>AND('Test Script'!#REF!,"AAAAAH+d6xM=")</f>
        <v>#REF!</v>
      </c>
      <c r="U107" t="e">
        <f>AND('Test Script'!#REF!,"AAAAAH+d6xQ=")</f>
        <v>#REF!</v>
      </c>
      <c r="V107" t="e">
        <f>AND('Test Script'!#REF!,"AAAAAH+d6xU=")</f>
        <v>#REF!</v>
      </c>
      <c r="W107" t="e">
        <f>IF('Test Script'!#REF!,"AAAAAH+d6xY=",0)</f>
        <v>#REF!</v>
      </c>
      <c r="X107" t="e">
        <f>AND('Test Script'!#REF!,"AAAAAH+d6xc=")</f>
        <v>#REF!</v>
      </c>
      <c r="Y107" t="e">
        <f>AND('Test Script'!#REF!,"AAAAAH+d6xg=")</f>
        <v>#REF!</v>
      </c>
      <c r="Z107" t="e">
        <f>AND('Test Script'!#REF!,"AAAAAH+d6xk=")</f>
        <v>#REF!</v>
      </c>
      <c r="AA107" t="e">
        <f>AND('Test Script'!#REF!,"AAAAAH+d6xo=")</f>
        <v>#REF!</v>
      </c>
      <c r="AB107" t="e">
        <f>AND('Test Script'!#REF!,"AAAAAH+d6xs=")</f>
        <v>#REF!</v>
      </c>
      <c r="AC107" t="e">
        <f>AND('Test Script'!#REF!,"AAAAAH+d6xw=")</f>
        <v>#REF!</v>
      </c>
      <c r="AD107" t="e">
        <f>AND('Test Script'!#REF!,"AAAAAH+d6x0=")</f>
        <v>#REF!</v>
      </c>
      <c r="AE107" t="e">
        <f>AND('Test Script'!#REF!,"AAAAAH+d6x4=")</f>
        <v>#REF!</v>
      </c>
      <c r="AF107" t="e">
        <f>AND('Test Script'!#REF!,"AAAAAH+d6x8=")</f>
        <v>#REF!</v>
      </c>
      <c r="AG107" t="e">
        <f>AND('Test Script'!#REF!,"AAAAAH+d6yA=")</f>
        <v>#REF!</v>
      </c>
      <c r="AH107" t="e">
        <f>AND('Test Script'!#REF!,"AAAAAH+d6yE=")</f>
        <v>#REF!</v>
      </c>
      <c r="AI107" t="e">
        <f>AND('Test Script'!#REF!,"AAAAAH+d6yI=")</f>
        <v>#REF!</v>
      </c>
      <c r="AJ107" t="e">
        <f>AND('Test Script'!#REF!,"AAAAAH+d6yM=")</f>
        <v>#REF!</v>
      </c>
      <c r="AK107" t="e">
        <f>AND('Test Script'!#REF!,"AAAAAH+d6yQ=")</f>
        <v>#REF!</v>
      </c>
      <c r="AL107" t="e">
        <f>AND('Test Script'!#REF!,"AAAAAH+d6yU=")</f>
        <v>#REF!</v>
      </c>
      <c r="AM107" t="e">
        <f>AND('Test Script'!#REF!,"AAAAAH+d6yY=")</f>
        <v>#REF!</v>
      </c>
      <c r="AN107" t="e">
        <f>AND('Test Script'!#REF!,"AAAAAH+d6yc=")</f>
        <v>#REF!</v>
      </c>
      <c r="AO107" t="e">
        <f>AND('Test Script'!#REF!,"AAAAAH+d6yg=")</f>
        <v>#REF!</v>
      </c>
      <c r="AP107" t="e">
        <f>AND('Test Script'!#REF!,"AAAAAH+d6yk=")</f>
        <v>#REF!</v>
      </c>
      <c r="AQ107" t="e">
        <f>AND('Test Script'!#REF!,"AAAAAH+d6yo=")</f>
        <v>#REF!</v>
      </c>
      <c r="AR107" t="e">
        <f>AND('Test Script'!#REF!,"AAAAAH+d6ys=")</f>
        <v>#REF!</v>
      </c>
      <c r="AS107" t="e">
        <f>AND('Test Script'!#REF!,"AAAAAH+d6yw=")</f>
        <v>#REF!</v>
      </c>
      <c r="AT107" t="e">
        <f>AND('Test Script'!#REF!,"AAAAAH+d6y0=")</f>
        <v>#REF!</v>
      </c>
      <c r="AU107" t="e">
        <f>AND('Test Script'!#REF!,"AAAAAH+d6y4=")</f>
        <v>#REF!</v>
      </c>
      <c r="AV107" t="e">
        <f>AND('Test Script'!#REF!,"AAAAAH+d6y8=")</f>
        <v>#REF!</v>
      </c>
      <c r="AW107" t="e">
        <f>AND('Test Script'!#REF!,"AAAAAH+d6zA=")</f>
        <v>#REF!</v>
      </c>
      <c r="AX107" t="e">
        <f>IF('Test Script'!#REF!,"AAAAAH+d6zE=",0)</f>
        <v>#REF!</v>
      </c>
      <c r="AY107" t="e">
        <f>AND('Test Script'!#REF!,"AAAAAH+d6zI=")</f>
        <v>#REF!</v>
      </c>
      <c r="AZ107" t="e">
        <f>AND('Test Script'!#REF!,"AAAAAH+d6zM=")</f>
        <v>#REF!</v>
      </c>
      <c r="BA107" t="e">
        <f>AND('Test Script'!#REF!,"AAAAAH+d6zQ=")</f>
        <v>#REF!</v>
      </c>
      <c r="BB107" t="e">
        <f>AND('Test Script'!#REF!,"AAAAAH+d6zU=")</f>
        <v>#REF!</v>
      </c>
      <c r="BC107" t="e">
        <f>AND('Test Script'!#REF!,"AAAAAH+d6zY=")</f>
        <v>#REF!</v>
      </c>
      <c r="BD107" t="e">
        <f>AND('Test Script'!#REF!,"AAAAAH+d6zc=")</f>
        <v>#REF!</v>
      </c>
      <c r="BE107" t="e">
        <f>AND('Test Script'!#REF!,"AAAAAH+d6zg=")</f>
        <v>#REF!</v>
      </c>
      <c r="BF107" t="e">
        <f>AND('Test Script'!#REF!,"AAAAAH+d6zk=")</f>
        <v>#REF!</v>
      </c>
      <c r="BG107" t="e">
        <f>AND('Test Script'!#REF!,"AAAAAH+d6zo=")</f>
        <v>#REF!</v>
      </c>
      <c r="BH107" t="e">
        <f>AND('Test Script'!#REF!,"AAAAAH+d6zs=")</f>
        <v>#REF!</v>
      </c>
      <c r="BI107" t="e">
        <f>AND('Test Script'!#REF!,"AAAAAH+d6zw=")</f>
        <v>#REF!</v>
      </c>
      <c r="BJ107" t="e">
        <f>AND('Test Script'!#REF!,"AAAAAH+d6z0=")</f>
        <v>#REF!</v>
      </c>
      <c r="BK107" t="e">
        <f>AND('Test Script'!#REF!,"AAAAAH+d6z4=")</f>
        <v>#REF!</v>
      </c>
      <c r="BL107" t="e">
        <f>AND('Test Script'!#REF!,"AAAAAH+d6z8=")</f>
        <v>#REF!</v>
      </c>
      <c r="BM107" t="e">
        <f>AND('Test Script'!#REF!,"AAAAAH+d60A=")</f>
        <v>#REF!</v>
      </c>
      <c r="BN107" t="e">
        <f>AND('Test Script'!#REF!,"AAAAAH+d60E=")</f>
        <v>#REF!</v>
      </c>
      <c r="BO107" t="e">
        <f>AND('Test Script'!#REF!,"AAAAAH+d60I=")</f>
        <v>#REF!</v>
      </c>
      <c r="BP107" t="e">
        <f>AND('Test Script'!#REF!,"AAAAAH+d60M=")</f>
        <v>#REF!</v>
      </c>
      <c r="BQ107" t="e">
        <f>AND('Test Script'!#REF!,"AAAAAH+d60Q=")</f>
        <v>#REF!</v>
      </c>
      <c r="BR107" t="e">
        <f>AND('Test Script'!#REF!,"AAAAAH+d60U=")</f>
        <v>#REF!</v>
      </c>
      <c r="BS107" t="e">
        <f>AND('Test Script'!#REF!,"AAAAAH+d60Y=")</f>
        <v>#REF!</v>
      </c>
      <c r="BT107" t="e">
        <f>AND('Test Script'!#REF!,"AAAAAH+d60c=")</f>
        <v>#REF!</v>
      </c>
      <c r="BU107" t="e">
        <f>AND('Test Script'!#REF!,"AAAAAH+d60g=")</f>
        <v>#REF!</v>
      </c>
      <c r="BV107" t="e">
        <f>AND('Test Script'!#REF!,"AAAAAH+d60k=")</f>
        <v>#REF!</v>
      </c>
      <c r="BW107" t="e">
        <f>AND('Test Script'!#REF!,"AAAAAH+d60o=")</f>
        <v>#REF!</v>
      </c>
      <c r="BX107" t="e">
        <f>AND('Test Script'!#REF!,"AAAAAH+d60s=")</f>
        <v>#REF!</v>
      </c>
      <c r="BY107" t="e">
        <f>IF('Test Script'!#REF!,"AAAAAH+d60w=",0)</f>
        <v>#REF!</v>
      </c>
      <c r="BZ107" t="e">
        <f>AND('Test Script'!#REF!,"AAAAAH+d600=")</f>
        <v>#REF!</v>
      </c>
      <c r="CA107" t="e">
        <f>AND('Test Script'!#REF!,"AAAAAH+d604=")</f>
        <v>#REF!</v>
      </c>
      <c r="CB107" t="e">
        <f>AND('Test Script'!#REF!,"AAAAAH+d608=")</f>
        <v>#REF!</v>
      </c>
      <c r="CC107" t="e">
        <f>AND('Test Script'!#REF!,"AAAAAH+d61A=")</f>
        <v>#REF!</v>
      </c>
      <c r="CD107" t="e">
        <f>AND('Test Script'!#REF!,"AAAAAH+d61E=")</f>
        <v>#REF!</v>
      </c>
      <c r="CE107" t="e">
        <f>AND('Test Script'!#REF!,"AAAAAH+d61I=")</f>
        <v>#REF!</v>
      </c>
      <c r="CF107" t="e">
        <f>AND('Test Script'!#REF!,"AAAAAH+d61M=")</f>
        <v>#REF!</v>
      </c>
      <c r="CG107" t="e">
        <f>AND('Test Script'!#REF!,"AAAAAH+d61Q=")</f>
        <v>#REF!</v>
      </c>
      <c r="CH107" t="e">
        <f>AND('Test Script'!#REF!,"AAAAAH+d61U=")</f>
        <v>#REF!</v>
      </c>
      <c r="CI107" t="e">
        <f>AND('Test Script'!#REF!,"AAAAAH+d61Y=")</f>
        <v>#REF!</v>
      </c>
      <c r="CJ107" t="e">
        <f>AND('Test Script'!#REF!,"AAAAAH+d61c=")</f>
        <v>#REF!</v>
      </c>
      <c r="CK107" t="e">
        <f>AND('Test Script'!#REF!,"AAAAAH+d61g=")</f>
        <v>#REF!</v>
      </c>
      <c r="CL107" t="e">
        <f>AND('Test Script'!#REF!,"AAAAAH+d61k=")</f>
        <v>#REF!</v>
      </c>
      <c r="CM107" t="e">
        <f>AND('Test Script'!#REF!,"AAAAAH+d61o=")</f>
        <v>#REF!</v>
      </c>
      <c r="CN107" t="e">
        <f>AND('Test Script'!#REF!,"AAAAAH+d61s=")</f>
        <v>#REF!</v>
      </c>
      <c r="CO107" t="e">
        <f>AND('Test Script'!#REF!,"AAAAAH+d61w=")</f>
        <v>#REF!</v>
      </c>
      <c r="CP107" t="e">
        <f>AND('Test Script'!#REF!,"AAAAAH+d610=")</f>
        <v>#REF!</v>
      </c>
      <c r="CQ107" t="e">
        <f>AND('Test Script'!#REF!,"AAAAAH+d614=")</f>
        <v>#REF!</v>
      </c>
      <c r="CR107" t="e">
        <f>AND('Test Script'!#REF!,"AAAAAH+d618=")</f>
        <v>#REF!</v>
      </c>
      <c r="CS107" t="e">
        <f>AND('Test Script'!#REF!,"AAAAAH+d62A=")</f>
        <v>#REF!</v>
      </c>
      <c r="CT107" t="e">
        <f>AND('Test Script'!#REF!,"AAAAAH+d62E=")</f>
        <v>#REF!</v>
      </c>
      <c r="CU107" t="e">
        <f>AND('Test Script'!#REF!,"AAAAAH+d62I=")</f>
        <v>#REF!</v>
      </c>
      <c r="CV107" t="e">
        <f>AND('Test Script'!#REF!,"AAAAAH+d62M=")</f>
        <v>#REF!</v>
      </c>
      <c r="CW107" t="e">
        <f>AND('Test Script'!#REF!,"AAAAAH+d62Q=")</f>
        <v>#REF!</v>
      </c>
      <c r="CX107" t="e">
        <f>AND('Test Script'!#REF!,"AAAAAH+d62U=")</f>
        <v>#REF!</v>
      </c>
      <c r="CY107" t="e">
        <f>AND('Test Script'!#REF!,"AAAAAH+d62Y=")</f>
        <v>#REF!</v>
      </c>
      <c r="CZ107" t="e">
        <f>IF('Test Script'!#REF!,"AAAAAH+d62c=",0)</f>
        <v>#REF!</v>
      </c>
      <c r="DA107" t="e">
        <f>AND('Test Script'!#REF!,"AAAAAH+d62g=")</f>
        <v>#REF!</v>
      </c>
      <c r="DB107" t="e">
        <f>AND('Test Script'!#REF!,"AAAAAH+d62k=")</f>
        <v>#REF!</v>
      </c>
      <c r="DC107" t="e">
        <f>AND('Test Script'!#REF!,"AAAAAH+d62o=")</f>
        <v>#REF!</v>
      </c>
      <c r="DD107" t="e">
        <f>AND('Test Script'!#REF!,"AAAAAH+d62s=")</f>
        <v>#REF!</v>
      </c>
      <c r="DE107" t="e">
        <f>AND('Test Script'!#REF!,"AAAAAH+d62w=")</f>
        <v>#REF!</v>
      </c>
      <c r="DF107" t="e">
        <f>AND('Test Script'!#REF!,"AAAAAH+d620=")</f>
        <v>#REF!</v>
      </c>
      <c r="DG107" t="e">
        <f>AND('Test Script'!#REF!,"AAAAAH+d624=")</f>
        <v>#REF!</v>
      </c>
      <c r="DH107" t="e">
        <f>AND('Test Script'!#REF!,"AAAAAH+d628=")</f>
        <v>#REF!</v>
      </c>
      <c r="DI107" t="e">
        <f>AND('Test Script'!#REF!,"AAAAAH+d63A=")</f>
        <v>#REF!</v>
      </c>
      <c r="DJ107" t="e">
        <f>AND('Test Script'!#REF!,"AAAAAH+d63E=")</f>
        <v>#REF!</v>
      </c>
      <c r="DK107" t="e">
        <f>AND('Test Script'!#REF!,"AAAAAH+d63I=")</f>
        <v>#REF!</v>
      </c>
      <c r="DL107" t="e">
        <f>AND('Test Script'!#REF!,"AAAAAH+d63M=")</f>
        <v>#REF!</v>
      </c>
      <c r="DM107" t="e">
        <f>AND('Test Script'!#REF!,"AAAAAH+d63Q=")</f>
        <v>#REF!</v>
      </c>
      <c r="DN107" t="e">
        <f>AND('Test Script'!#REF!,"AAAAAH+d63U=")</f>
        <v>#REF!</v>
      </c>
      <c r="DO107" t="e">
        <f>AND('Test Script'!#REF!,"AAAAAH+d63Y=")</f>
        <v>#REF!</v>
      </c>
      <c r="DP107" t="e">
        <f>AND('Test Script'!#REF!,"AAAAAH+d63c=")</f>
        <v>#REF!</v>
      </c>
      <c r="DQ107" t="e">
        <f>AND('Test Script'!#REF!,"AAAAAH+d63g=")</f>
        <v>#REF!</v>
      </c>
      <c r="DR107" t="e">
        <f>AND('Test Script'!#REF!,"AAAAAH+d63k=")</f>
        <v>#REF!</v>
      </c>
      <c r="DS107" t="e">
        <f>AND('Test Script'!#REF!,"AAAAAH+d63o=")</f>
        <v>#REF!</v>
      </c>
      <c r="DT107" t="e">
        <f>AND('Test Script'!#REF!,"AAAAAH+d63s=")</f>
        <v>#REF!</v>
      </c>
      <c r="DU107" t="e">
        <f>AND('Test Script'!#REF!,"AAAAAH+d63w=")</f>
        <v>#REF!</v>
      </c>
      <c r="DV107" t="e">
        <f>AND('Test Script'!#REF!,"AAAAAH+d630=")</f>
        <v>#REF!</v>
      </c>
      <c r="DW107" t="e">
        <f>AND('Test Script'!#REF!,"AAAAAH+d634=")</f>
        <v>#REF!</v>
      </c>
      <c r="DX107" t="e">
        <f>AND('Test Script'!#REF!,"AAAAAH+d638=")</f>
        <v>#REF!</v>
      </c>
      <c r="DY107" t="e">
        <f>AND('Test Script'!#REF!,"AAAAAH+d64A=")</f>
        <v>#REF!</v>
      </c>
      <c r="DZ107" t="e">
        <f>AND('Test Script'!#REF!,"AAAAAH+d64E=")</f>
        <v>#REF!</v>
      </c>
      <c r="EA107" t="e">
        <f>IF('Test Script'!#REF!,"AAAAAH+d64I=",0)</f>
        <v>#REF!</v>
      </c>
      <c r="EB107" t="e">
        <f>AND('Test Script'!#REF!,"AAAAAH+d64M=")</f>
        <v>#REF!</v>
      </c>
      <c r="EC107" t="e">
        <f>AND('Test Script'!#REF!,"AAAAAH+d64Q=")</f>
        <v>#REF!</v>
      </c>
      <c r="ED107" t="e">
        <f>AND('Test Script'!#REF!,"AAAAAH+d64U=")</f>
        <v>#REF!</v>
      </c>
      <c r="EE107" t="e">
        <f>AND('Test Script'!#REF!,"AAAAAH+d64Y=")</f>
        <v>#REF!</v>
      </c>
      <c r="EF107" t="e">
        <f>AND('Test Script'!#REF!,"AAAAAH+d64c=")</f>
        <v>#REF!</v>
      </c>
      <c r="EG107" t="e">
        <f>AND('Test Script'!#REF!,"AAAAAH+d64g=")</f>
        <v>#REF!</v>
      </c>
      <c r="EH107" t="e">
        <f>AND('Test Script'!#REF!,"AAAAAH+d64k=")</f>
        <v>#REF!</v>
      </c>
      <c r="EI107" t="e">
        <f>AND('Test Script'!#REF!,"AAAAAH+d64o=")</f>
        <v>#REF!</v>
      </c>
      <c r="EJ107" t="e">
        <f>AND('Test Script'!#REF!,"AAAAAH+d64s=")</f>
        <v>#REF!</v>
      </c>
      <c r="EK107" t="e">
        <f>AND('Test Script'!#REF!,"AAAAAH+d64w=")</f>
        <v>#REF!</v>
      </c>
      <c r="EL107" t="e">
        <f>AND('Test Script'!#REF!,"AAAAAH+d640=")</f>
        <v>#REF!</v>
      </c>
      <c r="EM107" t="e">
        <f>AND('Test Script'!#REF!,"AAAAAH+d644=")</f>
        <v>#REF!</v>
      </c>
      <c r="EN107" t="e">
        <f>AND('Test Script'!#REF!,"AAAAAH+d648=")</f>
        <v>#REF!</v>
      </c>
      <c r="EO107" t="e">
        <f>AND('Test Script'!#REF!,"AAAAAH+d65A=")</f>
        <v>#REF!</v>
      </c>
      <c r="EP107" t="e">
        <f>AND('Test Script'!#REF!,"AAAAAH+d65E=")</f>
        <v>#REF!</v>
      </c>
      <c r="EQ107" t="e">
        <f>AND('Test Script'!#REF!,"AAAAAH+d65I=")</f>
        <v>#REF!</v>
      </c>
      <c r="ER107" t="e">
        <f>AND('Test Script'!#REF!,"AAAAAH+d65M=")</f>
        <v>#REF!</v>
      </c>
      <c r="ES107" t="e">
        <f>AND('Test Script'!#REF!,"AAAAAH+d65Q=")</f>
        <v>#REF!</v>
      </c>
      <c r="ET107" t="e">
        <f>AND('Test Script'!#REF!,"AAAAAH+d65U=")</f>
        <v>#REF!</v>
      </c>
      <c r="EU107" t="e">
        <f>AND('Test Script'!#REF!,"AAAAAH+d65Y=")</f>
        <v>#REF!</v>
      </c>
      <c r="EV107" t="e">
        <f>AND('Test Script'!#REF!,"AAAAAH+d65c=")</f>
        <v>#REF!</v>
      </c>
      <c r="EW107" t="e">
        <f>AND('Test Script'!#REF!,"AAAAAH+d65g=")</f>
        <v>#REF!</v>
      </c>
      <c r="EX107" t="e">
        <f>AND('Test Script'!#REF!,"AAAAAH+d65k=")</f>
        <v>#REF!</v>
      </c>
      <c r="EY107" t="e">
        <f>AND('Test Script'!#REF!,"AAAAAH+d65o=")</f>
        <v>#REF!</v>
      </c>
      <c r="EZ107" t="e">
        <f>AND('Test Script'!#REF!,"AAAAAH+d65s=")</f>
        <v>#REF!</v>
      </c>
      <c r="FA107" t="e">
        <f>AND('Test Script'!#REF!,"AAAAAH+d65w=")</f>
        <v>#REF!</v>
      </c>
      <c r="FB107" t="e">
        <f>IF('Test Script'!#REF!,"AAAAAH+d650=",0)</f>
        <v>#REF!</v>
      </c>
      <c r="FC107" t="e">
        <f>AND('Test Script'!#REF!,"AAAAAH+d654=")</f>
        <v>#REF!</v>
      </c>
      <c r="FD107" t="e">
        <f>AND('Test Script'!#REF!,"AAAAAH+d658=")</f>
        <v>#REF!</v>
      </c>
      <c r="FE107" t="e">
        <f>AND('Test Script'!#REF!,"AAAAAH+d66A=")</f>
        <v>#REF!</v>
      </c>
      <c r="FF107" t="e">
        <f>AND('Test Script'!#REF!,"AAAAAH+d66E=")</f>
        <v>#REF!</v>
      </c>
      <c r="FG107" t="e">
        <f>AND('Test Script'!#REF!,"AAAAAH+d66I=")</f>
        <v>#REF!</v>
      </c>
      <c r="FH107" t="e">
        <f>AND('Test Script'!#REF!,"AAAAAH+d66M=")</f>
        <v>#REF!</v>
      </c>
      <c r="FI107" t="e">
        <f>AND('Test Script'!#REF!,"AAAAAH+d66Q=")</f>
        <v>#REF!</v>
      </c>
      <c r="FJ107" t="e">
        <f>AND('Test Script'!#REF!,"AAAAAH+d66U=")</f>
        <v>#REF!</v>
      </c>
      <c r="FK107" t="e">
        <f>AND('Test Script'!#REF!,"AAAAAH+d66Y=")</f>
        <v>#REF!</v>
      </c>
      <c r="FL107" t="e">
        <f>AND('Test Script'!#REF!,"AAAAAH+d66c=")</f>
        <v>#REF!</v>
      </c>
      <c r="FM107" t="e">
        <f>AND('Test Script'!#REF!,"AAAAAH+d66g=")</f>
        <v>#REF!</v>
      </c>
      <c r="FN107" t="e">
        <f>AND('Test Script'!#REF!,"AAAAAH+d66k=")</f>
        <v>#REF!</v>
      </c>
      <c r="FO107" t="e">
        <f>AND('Test Script'!#REF!,"AAAAAH+d66o=")</f>
        <v>#REF!</v>
      </c>
      <c r="FP107" t="e">
        <f>AND('Test Script'!#REF!,"AAAAAH+d66s=")</f>
        <v>#REF!</v>
      </c>
      <c r="FQ107" t="e">
        <f>AND('Test Script'!#REF!,"AAAAAH+d66w=")</f>
        <v>#REF!</v>
      </c>
      <c r="FR107" t="e">
        <f>AND('Test Script'!#REF!,"AAAAAH+d660=")</f>
        <v>#REF!</v>
      </c>
      <c r="FS107" t="e">
        <f>AND('Test Script'!#REF!,"AAAAAH+d664=")</f>
        <v>#REF!</v>
      </c>
      <c r="FT107" t="e">
        <f>AND('Test Script'!#REF!,"AAAAAH+d668=")</f>
        <v>#REF!</v>
      </c>
      <c r="FU107" t="e">
        <f>AND('Test Script'!#REF!,"AAAAAH+d67A=")</f>
        <v>#REF!</v>
      </c>
      <c r="FV107" t="e">
        <f>AND('Test Script'!#REF!,"AAAAAH+d67E=")</f>
        <v>#REF!</v>
      </c>
      <c r="FW107" t="e">
        <f>AND('Test Script'!#REF!,"AAAAAH+d67I=")</f>
        <v>#REF!</v>
      </c>
      <c r="FX107" t="e">
        <f>AND('Test Script'!#REF!,"AAAAAH+d67M=")</f>
        <v>#REF!</v>
      </c>
      <c r="FY107" t="e">
        <f>AND('Test Script'!#REF!,"AAAAAH+d67Q=")</f>
        <v>#REF!</v>
      </c>
      <c r="FZ107" t="e">
        <f>AND('Test Script'!#REF!,"AAAAAH+d67U=")</f>
        <v>#REF!</v>
      </c>
      <c r="GA107" t="e">
        <f>AND('Test Script'!#REF!,"AAAAAH+d67Y=")</f>
        <v>#REF!</v>
      </c>
      <c r="GB107" t="e">
        <f>AND('Test Script'!#REF!,"AAAAAH+d67c=")</f>
        <v>#REF!</v>
      </c>
      <c r="GC107" t="e">
        <f>IF('Test Script'!#REF!,"AAAAAH+d67g=",0)</f>
        <v>#REF!</v>
      </c>
      <c r="GD107" t="e">
        <f>AND('Test Script'!#REF!,"AAAAAH+d67k=")</f>
        <v>#REF!</v>
      </c>
      <c r="GE107" t="e">
        <f>AND('Test Script'!#REF!,"AAAAAH+d67o=")</f>
        <v>#REF!</v>
      </c>
      <c r="GF107" t="e">
        <f>AND('Test Script'!#REF!,"AAAAAH+d67s=")</f>
        <v>#REF!</v>
      </c>
      <c r="GG107" t="e">
        <f>AND('Test Script'!#REF!,"AAAAAH+d67w=")</f>
        <v>#REF!</v>
      </c>
      <c r="GH107" t="e">
        <f>AND('Test Script'!#REF!,"AAAAAH+d670=")</f>
        <v>#REF!</v>
      </c>
      <c r="GI107" t="e">
        <f>AND('Test Script'!#REF!,"AAAAAH+d674=")</f>
        <v>#REF!</v>
      </c>
      <c r="GJ107" t="e">
        <f>AND('Test Script'!#REF!,"AAAAAH+d678=")</f>
        <v>#REF!</v>
      </c>
      <c r="GK107" t="e">
        <f>AND('Test Script'!#REF!,"AAAAAH+d68A=")</f>
        <v>#REF!</v>
      </c>
      <c r="GL107" t="e">
        <f>AND('Test Script'!#REF!,"AAAAAH+d68E=")</f>
        <v>#REF!</v>
      </c>
      <c r="GM107" t="e">
        <f>AND('Test Script'!#REF!,"AAAAAH+d68I=")</f>
        <v>#REF!</v>
      </c>
      <c r="GN107" t="e">
        <f>AND('Test Script'!#REF!,"AAAAAH+d68M=")</f>
        <v>#REF!</v>
      </c>
      <c r="GO107" t="e">
        <f>AND('Test Script'!#REF!,"AAAAAH+d68Q=")</f>
        <v>#REF!</v>
      </c>
      <c r="GP107" t="e">
        <f>AND('Test Script'!#REF!,"AAAAAH+d68U=")</f>
        <v>#REF!</v>
      </c>
      <c r="GQ107" t="e">
        <f>AND('Test Script'!#REF!,"AAAAAH+d68Y=")</f>
        <v>#REF!</v>
      </c>
      <c r="GR107" t="e">
        <f>AND('Test Script'!#REF!,"AAAAAH+d68c=")</f>
        <v>#REF!</v>
      </c>
      <c r="GS107" t="e">
        <f>AND('Test Script'!#REF!,"AAAAAH+d68g=")</f>
        <v>#REF!</v>
      </c>
      <c r="GT107" t="e">
        <f>AND('Test Script'!#REF!,"AAAAAH+d68k=")</f>
        <v>#REF!</v>
      </c>
      <c r="GU107" t="e">
        <f>AND('Test Script'!#REF!,"AAAAAH+d68o=")</f>
        <v>#REF!</v>
      </c>
      <c r="GV107" t="e">
        <f>AND('Test Script'!#REF!,"AAAAAH+d68s=")</f>
        <v>#REF!</v>
      </c>
      <c r="GW107" t="e">
        <f>AND('Test Script'!#REF!,"AAAAAH+d68w=")</f>
        <v>#REF!</v>
      </c>
      <c r="GX107" t="e">
        <f>AND('Test Script'!#REF!,"AAAAAH+d680=")</f>
        <v>#REF!</v>
      </c>
      <c r="GY107" t="e">
        <f>AND('Test Script'!#REF!,"AAAAAH+d684=")</f>
        <v>#REF!</v>
      </c>
      <c r="GZ107" t="e">
        <f>AND('Test Script'!#REF!,"AAAAAH+d688=")</f>
        <v>#REF!</v>
      </c>
      <c r="HA107" t="e">
        <f>AND('Test Script'!#REF!,"AAAAAH+d69A=")</f>
        <v>#REF!</v>
      </c>
      <c r="HB107" t="e">
        <f>AND('Test Script'!#REF!,"AAAAAH+d69E=")</f>
        <v>#REF!</v>
      </c>
      <c r="HC107" t="e">
        <f>AND('Test Script'!#REF!,"AAAAAH+d69I=")</f>
        <v>#REF!</v>
      </c>
      <c r="HD107" t="e">
        <f>IF('Test Script'!#REF!,"AAAAAH+d69M=",0)</f>
        <v>#REF!</v>
      </c>
      <c r="HE107" t="e">
        <f>AND('Test Script'!#REF!,"AAAAAH+d69Q=")</f>
        <v>#REF!</v>
      </c>
      <c r="HF107" t="e">
        <f>AND('Test Script'!#REF!,"AAAAAH+d69U=")</f>
        <v>#REF!</v>
      </c>
      <c r="HG107" t="e">
        <f>AND('Test Script'!#REF!,"AAAAAH+d69Y=")</f>
        <v>#REF!</v>
      </c>
      <c r="HH107" t="e">
        <f>AND('Test Script'!#REF!,"AAAAAH+d69c=")</f>
        <v>#REF!</v>
      </c>
      <c r="HI107" t="e">
        <f>AND('Test Script'!#REF!,"AAAAAH+d69g=")</f>
        <v>#REF!</v>
      </c>
      <c r="HJ107" t="e">
        <f>AND('Test Script'!#REF!,"AAAAAH+d69k=")</f>
        <v>#REF!</v>
      </c>
      <c r="HK107" t="e">
        <f>AND('Test Script'!#REF!,"AAAAAH+d69o=")</f>
        <v>#REF!</v>
      </c>
      <c r="HL107" t="e">
        <f>AND('Test Script'!#REF!,"AAAAAH+d69s=")</f>
        <v>#REF!</v>
      </c>
      <c r="HM107" t="e">
        <f>AND('Test Script'!#REF!,"AAAAAH+d69w=")</f>
        <v>#REF!</v>
      </c>
      <c r="HN107" t="e">
        <f>AND('Test Script'!#REF!,"AAAAAH+d690=")</f>
        <v>#REF!</v>
      </c>
      <c r="HO107" t="e">
        <f>AND('Test Script'!#REF!,"AAAAAH+d694=")</f>
        <v>#REF!</v>
      </c>
      <c r="HP107" t="e">
        <f>AND('Test Script'!#REF!,"AAAAAH+d698=")</f>
        <v>#REF!</v>
      </c>
      <c r="HQ107" t="e">
        <f>AND('Test Script'!#REF!,"AAAAAH+d6+A=")</f>
        <v>#REF!</v>
      </c>
      <c r="HR107" t="e">
        <f>AND('Test Script'!#REF!,"AAAAAH+d6+E=")</f>
        <v>#REF!</v>
      </c>
      <c r="HS107" t="e">
        <f>AND('Test Script'!#REF!,"AAAAAH+d6+I=")</f>
        <v>#REF!</v>
      </c>
      <c r="HT107" t="e">
        <f>AND('Test Script'!#REF!,"AAAAAH+d6+M=")</f>
        <v>#REF!</v>
      </c>
      <c r="HU107" t="e">
        <f>AND('Test Script'!#REF!,"AAAAAH+d6+Q=")</f>
        <v>#REF!</v>
      </c>
      <c r="HV107" t="e">
        <f>AND('Test Script'!#REF!,"AAAAAH+d6+U=")</f>
        <v>#REF!</v>
      </c>
      <c r="HW107" t="e">
        <f>AND('Test Script'!#REF!,"AAAAAH+d6+Y=")</f>
        <v>#REF!</v>
      </c>
      <c r="HX107" t="e">
        <f>AND('Test Script'!#REF!,"AAAAAH+d6+c=")</f>
        <v>#REF!</v>
      </c>
      <c r="HY107" t="e">
        <f>AND('Test Script'!#REF!,"AAAAAH+d6+g=")</f>
        <v>#REF!</v>
      </c>
      <c r="HZ107" t="e">
        <f>AND('Test Script'!#REF!,"AAAAAH+d6+k=")</f>
        <v>#REF!</v>
      </c>
      <c r="IA107" t="e">
        <f>AND('Test Script'!#REF!,"AAAAAH+d6+o=")</f>
        <v>#REF!</v>
      </c>
      <c r="IB107" t="e">
        <f>AND('Test Script'!#REF!,"AAAAAH+d6+s=")</f>
        <v>#REF!</v>
      </c>
      <c r="IC107" t="e">
        <f>AND('Test Script'!#REF!,"AAAAAH+d6+w=")</f>
        <v>#REF!</v>
      </c>
      <c r="ID107" t="e">
        <f>AND('Test Script'!#REF!,"AAAAAH+d6+0=")</f>
        <v>#REF!</v>
      </c>
      <c r="IE107" t="e">
        <f>IF('Test Script'!#REF!,"AAAAAH+d6+4=",0)</f>
        <v>#REF!</v>
      </c>
      <c r="IF107" t="e">
        <f>AND('Test Script'!#REF!,"AAAAAH+d6+8=")</f>
        <v>#REF!</v>
      </c>
      <c r="IG107" t="e">
        <f>AND('Test Script'!#REF!,"AAAAAH+d6/A=")</f>
        <v>#REF!</v>
      </c>
      <c r="IH107" t="e">
        <f>AND('Test Script'!#REF!,"AAAAAH+d6/E=")</f>
        <v>#REF!</v>
      </c>
      <c r="II107" t="e">
        <f>AND('Test Script'!#REF!,"AAAAAH+d6/I=")</f>
        <v>#REF!</v>
      </c>
      <c r="IJ107" t="e">
        <f>AND('Test Script'!#REF!,"AAAAAH+d6/M=")</f>
        <v>#REF!</v>
      </c>
      <c r="IK107" t="e">
        <f>AND('Test Script'!#REF!,"AAAAAH+d6/Q=")</f>
        <v>#REF!</v>
      </c>
      <c r="IL107" t="e">
        <f>AND('Test Script'!#REF!,"AAAAAH+d6/U=")</f>
        <v>#REF!</v>
      </c>
      <c r="IM107" t="e">
        <f>AND('Test Script'!#REF!,"AAAAAH+d6/Y=")</f>
        <v>#REF!</v>
      </c>
      <c r="IN107" t="e">
        <f>AND('Test Script'!#REF!,"AAAAAH+d6/c=")</f>
        <v>#REF!</v>
      </c>
      <c r="IO107" t="e">
        <f>AND('Test Script'!#REF!,"AAAAAH+d6/g=")</f>
        <v>#REF!</v>
      </c>
      <c r="IP107" t="e">
        <f>AND('Test Script'!#REF!,"AAAAAH+d6/k=")</f>
        <v>#REF!</v>
      </c>
      <c r="IQ107" t="e">
        <f>AND('Test Script'!#REF!,"AAAAAH+d6/o=")</f>
        <v>#REF!</v>
      </c>
      <c r="IR107" t="e">
        <f>AND('Test Script'!#REF!,"AAAAAH+d6/s=")</f>
        <v>#REF!</v>
      </c>
      <c r="IS107" t="e">
        <f>AND('Test Script'!#REF!,"AAAAAH+d6/w=")</f>
        <v>#REF!</v>
      </c>
      <c r="IT107" t="e">
        <f>AND('Test Script'!#REF!,"AAAAAH+d6/0=")</f>
        <v>#REF!</v>
      </c>
      <c r="IU107" t="e">
        <f>AND('Test Script'!#REF!,"AAAAAH+d6/4=")</f>
        <v>#REF!</v>
      </c>
      <c r="IV107" t="e">
        <f>AND('Test Script'!#REF!,"AAAAAH+d6/8=")</f>
        <v>#REF!</v>
      </c>
    </row>
    <row r="108" spans="1:256" x14ac:dyDescent="0.2">
      <c r="A108" t="e">
        <f>AND('Test Script'!#REF!,"AAAAAH37+wA=")</f>
        <v>#REF!</v>
      </c>
      <c r="B108" t="e">
        <f>AND('Test Script'!#REF!,"AAAAAH37+wE=")</f>
        <v>#REF!</v>
      </c>
      <c r="C108" t="e">
        <f>AND('Test Script'!#REF!,"AAAAAH37+wI=")</f>
        <v>#REF!</v>
      </c>
      <c r="D108" t="e">
        <f>AND('Test Script'!#REF!,"AAAAAH37+wM=")</f>
        <v>#REF!</v>
      </c>
      <c r="E108" t="e">
        <f>AND('Test Script'!#REF!,"AAAAAH37+wQ=")</f>
        <v>#REF!</v>
      </c>
      <c r="F108" t="e">
        <f>AND('Test Script'!#REF!,"AAAAAH37+wU=")</f>
        <v>#REF!</v>
      </c>
      <c r="G108" t="e">
        <f>AND('Test Script'!#REF!,"AAAAAH37+wY=")</f>
        <v>#REF!</v>
      </c>
      <c r="H108" t="e">
        <f>AND('Test Script'!#REF!,"AAAAAH37+wc=")</f>
        <v>#REF!</v>
      </c>
      <c r="I108" t="e">
        <f>AND('Test Script'!#REF!,"AAAAAH37+wg=")</f>
        <v>#REF!</v>
      </c>
      <c r="J108" t="e">
        <f>IF('Test Script'!#REF!,"AAAAAH37+wk=",0)</f>
        <v>#REF!</v>
      </c>
      <c r="K108" t="e">
        <f>AND('Test Script'!#REF!,"AAAAAH37+wo=")</f>
        <v>#REF!</v>
      </c>
      <c r="L108" t="e">
        <f>AND('Test Script'!#REF!,"AAAAAH37+ws=")</f>
        <v>#REF!</v>
      </c>
      <c r="M108" t="e">
        <f>AND('Test Script'!#REF!,"AAAAAH37+ww=")</f>
        <v>#REF!</v>
      </c>
      <c r="N108" t="e">
        <f>AND('Test Script'!#REF!,"AAAAAH37+w0=")</f>
        <v>#REF!</v>
      </c>
      <c r="O108" t="e">
        <f>AND('Test Script'!#REF!,"AAAAAH37+w4=")</f>
        <v>#REF!</v>
      </c>
      <c r="P108" t="e">
        <f>AND('Test Script'!#REF!,"AAAAAH37+w8=")</f>
        <v>#REF!</v>
      </c>
      <c r="Q108" t="e">
        <f>AND('Test Script'!#REF!,"AAAAAH37+xA=")</f>
        <v>#REF!</v>
      </c>
      <c r="R108" t="e">
        <f>AND('Test Script'!#REF!,"AAAAAH37+xE=")</f>
        <v>#REF!</v>
      </c>
      <c r="S108" t="e">
        <f>AND('Test Script'!#REF!,"AAAAAH37+xI=")</f>
        <v>#REF!</v>
      </c>
      <c r="T108" t="e">
        <f>AND('Test Script'!#REF!,"AAAAAH37+xM=")</f>
        <v>#REF!</v>
      </c>
      <c r="U108" t="e">
        <f>AND('Test Script'!#REF!,"AAAAAH37+xQ=")</f>
        <v>#REF!</v>
      </c>
      <c r="V108" t="e">
        <f>AND('Test Script'!#REF!,"AAAAAH37+xU=")</f>
        <v>#REF!</v>
      </c>
      <c r="W108" t="e">
        <f>AND('Test Script'!#REF!,"AAAAAH37+xY=")</f>
        <v>#REF!</v>
      </c>
      <c r="X108" t="e">
        <f>AND('Test Script'!#REF!,"AAAAAH37+xc=")</f>
        <v>#REF!</v>
      </c>
      <c r="Y108" t="e">
        <f>AND('Test Script'!#REF!,"AAAAAH37+xg=")</f>
        <v>#REF!</v>
      </c>
      <c r="Z108" t="e">
        <f>AND('Test Script'!#REF!,"AAAAAH37+xk=")</f>
        <v>#REF!</v>
      </c>
      <c r="AA108" t="e">
        <f>AND('Test Script'!#REF!,"AAAAAH37+xo=")</f>
        <v>#REF!</v>
      </c>
      <c r="AB108" t="e">
        <f>AND('Test Script'!#REF!,"AAAAAH37+xs=")</f>
        <v>#REF!</v>
      </c>
      <c r="AC108" t="e">
        <f>AND('Test Script'!#REF!,"AAAAAH37+xw=")</f>
        <v>#REF!</v>
      </c>
      <c r="AD108" t="e">
        <f>AND('Test Script'!#REF!,"AAAAAH37+x0=")</f>
        <v>#REF!</v>
      </c>
      <c r="AE108" t="e">
        <f>AND('Test Script'!#REF!,"AAAAAH37+x4=")</f>
        <v>#REF!</v>
      </c>
      <c r="AF108" t="e">
        <f>AND('Test Script'!#REF!,"AAAAAH37+x8=")</f>
        <v>#REF!</v>
      </c>
      <c r="AG108" t="e">
        <f>AND('Test Script'!#REF!,"AAAAAH37+yA=")</f>
        <v>#REF!</v>
      </c>
      <c r="AH108" t="e">
        <f>AND('Test Script'!#REF!,"AAAAAH37+yE=")</f>
        <v>#REF!</v>
      </c>
      <c r="AI108" t="e">
        <f>AND('Test Script'!#REF!,"AAAAAH37+yI=")</f>
        <v>#REF!</v>
      </c>
      <c r="AJ108" t="e">
        <f>AND('Test Script'!#REF!,"AAAAAH37+yM=")</f>
        <v>#REF!</v>
      </c>
      <c r="AK108" t="e">
        <f>IF('Test Script'!#REF!,"AAAAAH37+yQ=",0)</f>
        <v>#REF!</v>
      </c>
      <c r="AL108" t="e">
        <f>AND('Test Script'!#REF!,"AAAAAH37+yU=")</f>
        <v>#REF!</v>
      </c>
      <c r="AM108" t="e">
        <f>AND('Test Script'!#REF!,"AAAAAH37+yY=")</f>
        <v>#REF!</v>
      </c>
      <c r="AN108" t="e">
        <f>AND('Test Script'!#REF!,"AAAAAH37+yc=")</f>
        <v>#REF!</v>
      </c>
      <c r="AO108" t="e">
        <f>AND('Test Script'!#REF!,"AAAAAH37+yg=")</f>
        <v>#REF!</v>
      </c>
      <c r="AP108" t="e">
        <f>AND('Test Script'!#REF!,"AAAAAH37+yk=")</f>
        <v>#REF!</v>
      </c>
      <c r="AQ108" t="e">
        <f>AND('Test Script'!#REF!,"AAAAAH37+yo=")</f>
        <v>#REF!</v>
      </c>
      <c r="AR108" t="e">
        <f>AND('Test Script'!#REF!,"AAAAAH37+ys=")</f>
        <v>#REF!</v>
      </c>
      <c r="AS108" t="e">
        <f>AND('Test Script'!#REF!,"AAAAAH37+yw=")</f>
        <v>#REF!</v>
      </c>
      <c r="AT108" t="e">
        <f>AND('Test Script'!#REF!,"AAAAAH37+y0=")</f>
        <v>#REF!</v>
      </c>
      <c r="AU108" t="e">
        <f>AND('Test Script'!#REF!,"AAAAAH37+y4=")</f>
        <v>#REF!</v>
      </c>
      <c r="AV108" t="e">
        <f>AND('Test Script'!#REF!,"AAAAAH37+y8=")</f>
        <v>#REF!</v>
      </c>
      <c r="AW108" t="e">
        <f>AND('Test Script'!#REF!,"AAAAAH37+zA=")</f>
        <v>#REF!</v>
      </c>
      <c r="AX108" t="e">
        <f>AND('Test Script'!#REF!,"AAAAAH37+zE=")</f>
        <v>#REF!</v>
      </c>
      <c r="AY108" t="e">
        <f>AND('Test Script'!#REF!,"AAAAAH37+zI=")</f>
        <v>#REF!</v>
      </c>
      <c r="AZ108" t="e">
        <f>AND('Test Script'!#REF!,"AAAAAH37+zM=")</f>
        <v>#REF!</v>
      </c>
      <c r="BA108" t="e">
        <f>AND('Test Script'!#REF!,"AAAAAH37+zQ=")</f>
        <v>#REF!</v>
      </c>
      <c r="BB108" t="e">
        <f>AND('Test Script'!#REF!,"AAAAAH37+zU=")</f>
        <v>#REF!</v>
      </c>
      <c r="BC108" t="e">
        <f>AND('Test Script'!#REF!,"AAAAAH37+zY=")</f>
        <v>#REF!</v>
      </c>
      <c r="BD108" t="e">
        <f>AND('Test Script'!#REF!,"AAAAAH37+zc=")</f>
        <v>#REF!</v>
      </c>
      <c r="BE108" t="e">
        <f>AND('Test Script'!#REF!,"AAAAAH37+zg=")</f>
        <v>#REF!</v>
      </c>
      <c r="BF108" t="e">
        <f>AND('Test Script'!#REF!,"AAAAAH37+zk=")</f>
        <v>#REF!</v>
      </c>
      <c r="BG108" t="e">
        <f>AND('Test Script'!#REF!,"AAAAAH37+zo=")</f>
        <v>#REF!</v>
      </c>
      <c r="BH108" t="e">
        <f>AND('Test Script'!#REF!,"AAAAAH37+zs=")</f>
        <v>#REF!</v>
      </c>
      <c r="BI108" t="e">
        <f>AND('Test Script'!#REF!,"AAAAAH37+zw=")</f>
        <v>#REF!</v>
      </c>
      <c r="BJ108" t="e">
        <f>AND('Test Script'!#REF!,"AAAAAH37+z0=")</f>
        <v>#REF!</v>
      </c>
      <c r="BK108" t="e">
        <f>AND('Test Script'!#REF!,"AAAAAH37+z4=")</f>
        <v>#REF!</v>
      </c>
      <c r="BL108" t="e">
        <f>IF('Test Script'!#REF!,"AAAAAH37+z8=",0)</f>
        <v>#REF!</v>
      </c>
      <c r="BM108" t="e">
        <f>AND('Test Script'!#REF!,"AAAAAH37+0A=")</f>
        <v>#REF!</v>
      </c>
      <c r="BN108" t="e">
        <f>AND('Test Script'!#REF!,"AAAAAH37+0E=")</f>
        <v>#REF!</v>
      </c>
      <c r="BO108" t="e">
        <f>AND('Test Script'!#REF!,"AAAAAH37+0I=")</f>
        <v>#REF!</v>
      </c>
      <c r="BP108" t="e">
        <f>AND('Test Script'!#REF!,"AAAAAH37+0M=")</f>
        <v>#REF!</v>
      </c>
      <c r="BQ108" t="e">
        <f>AND('Test Script'!#REF!,"AAAAAH37+0Q=")</f>
        <v>#REF!</v>
      </c>
      <c r="BR108" t="e">
        <f>AND('Test Script'!#REF!,"AAAAAH37+0U=")</f>
        <v>#REF!</v>
      </c>
      <c r="BS108" t="e">
        <f>AND('Test Script'!#REF!,"AAAAAH37+0Y=")</f>
        <v>#REF!</v>
      </c>
      <c r="BT108" t="e">
        <f>AND('Test Script'!#REF!,"AAAAAH37+0c=")</f>
        <v>#REF!</v>
      </c>
      <c r="BU108" t="e">
        <f>AND('Test Script'!#REF!,"AAAAAH37+0g=")</f>
        <v>#REF!</v>
      </c>
      <c r="BV108" t="e">
        <f>AND('Test Script'!#REF!,"AAAAAH37+0k=")</f>
        <v>#REF!</v>
      </c>
      <c r="BW108" t="e">
        <f>AND('Test Script'!#REF!,"AAAAAH37+0o=")</f>
        <v>#REF!</v>
      </c>
      <c r="BX108" t="e">
        <f>AND('Test Script'!#REF!,"AAAAAH37+0s=")</f>
        <v>#REF!</v>
      </c>
      <c r="BY108" t="e">
        <f>AND('Test Script'!#REF!,"AAAAAH37+0w=")</f>
        <v>#REF!</v>
      </c>
      <c r="BZ108" t="e">
        <f>AND('Test Script'!#REF!,"AAAAAH37+00=")</f>
        <v>#REF!</v>
      </c>
      <c r="CA108" t="e">
        <f>AND('Test Script'!#REF!,"AAAAAH37+04=")</f>
        <v>#REF!</v>
      </c>
      <c r="CB108" t="e">
        <f>AND('Test Script'!#REF!,"AAAAAH37+08=")</f>
        <v>#REF!</v>
      </c>
      <c r="CC108" t="e">
        <f>AND('Test Script'!#REF!,"AAAAAH37+1A=")</f>
        <v>#REF!</v>
      </c>
      <c r="CD108" t="e">
        <f>AND('Test Script'!#REF!,"AAAAAH37+1E=")</f>
        <v>#REF!</v>
      </c>
      <c r="CE108" t="e">
        <f>AND('Test Script'!#REF!,"AAAAAH37+1I=")</f>
        <v>#REF!</v>
      </c>
      <c r="CF108" t="e">
        <f>AND('Test Script'!#REF!,"AAAAAH37+1M=")</f>
        <v>#REF!</v>
      </c>
      <c r="CG108" t="e">
        <f>AND('Test Script'!#REF!,"AAAAAH37+1Q=")</f>
        <v>#REF!</v>
      </c>
      <c r="CH108" t="e">
        <f>AND('Test Script'!#REF!,"AAAAAH37+1U=")</f>
        <v>#REF!</v>
      </c>
      <c r="CI108" t="e">
        <f>AND('Test Script'!#REF!,"AAAAAH37+1Y=")</f>
        <v>#REF!</v>
      </c>
      <c r="CJ108" t="e">
        <f>AND('Test Script'!#REF!,"AAAAAH37+1c=")</f>
        <v>#REF!</v>
      </c>
      <c r="CK108" t="e">
        <f>AND('Test Script'!#REF!,"AAAAAH37+1g=")</f>
        <v>#REF!</v>
      </c>
      <c r="CL108" t="e">
        <f>AND('Test Script'!#REF!,"AAAAAH37+1k=")</f>
        <v>#REF!</v>
      </c>
      <c r="CM108" t="e">
        <f>IF('Test Script'!#REF!,"AAAAAH37+1o=",0)</f>
        <v>#REF!</v>
      </c>
      <c r="CN108" t="e">
        <f>AND('Test Script'!#REF!,"AAAAAH37+1s=")</f>
        <v>#REF!</v>
      </c>
      <c r="CO108" t="e">
        <f>AND('Test Script'!#REF!,"AAAAAH37+1w=")</f>
        <v>#REF!</v>
      </c>
      <c r="CP108" t="e">
        <f>AND('Test Script'!#REF!,"AAAAAH37+10=")</f>
        <v>#REF!</v>
      </c>
      <c r="CQ108" t="e">
        <f>AND('Test Script'!#REF!,"AAAAAH37+14=")</f>
        <v>#REF!</v>
      </c>
      <c r="CR108" t="e">
        <f>AND('Test Script'!#REF!,"AAAAAH37+18=")</f>
        <v>#REF!</v>
      </c>
      <c r="CS108" t="e">
        <f>AND('Test Script'!#REF!,"AAAAAH37+2A=")</f>
        <v>#REF!</v>
      </c>
      <c r="CT108" t="e">
        <f>AND('Test Script'!#REF!,"AAAAAH37+2E=")</f>
        <v>#REF!</v>
      </c>
      <c r="CU108" t="e">
        <f>AND('Test Script'!#REF!,"AAAAAH37+2I=")</f>
        <v>#REF!</v>
      </c>
      <c r="CV108" t="e">
        <f>AND('Test Script'!#REF!,"AAAAAH37+2M=")</f>
        <v>#REF!</v>
      </c>
      <c r="CW108" t="e">
        <f>AND('Test Script'!#REF!,"AAAAAH37+2Q=")</f>
        <v>#REF!</v>
      </c>
      <c r="CX108" t="e">
        <f>AND('Test Script'!#REF!,"AAAAAH37+2U=")</f>
        <v>#REF!</v>
      </c>
      <c r="CY108" t="e">
        <f>AND('Test Script'!#REF!,"AAAAAH37+2Y=")</f>
        <v>#REF!</v>
      </c>
      <c r="CZ108" t="e">
        <f>AND('Test Script'!#REF!,"AAAAAH37+2c=")</f>
        <v>#REF!</v>
      </c>
      <c r="DA108" t="e">
        <f>AND('Test Script'!#REF!,"AAAAAH37+2g=")</f>
        <v>#REF!</v>
      </c>
      <c r="DB108" t="e">
        <f>AND('Test Script'!#REF!,"AAAAAH37+2k=")</f>
        <v>#REF!</v>
      </c>
      <c r="DC108" t="e">
        <f>AND('Test Script'!#REF!,"AAAAAH37+2o=")</f>
        <v>#REF!</v>
      </c>
      <c r="DD108" t="e">
        <f>AND('Test Script'!#REF!,"AAAAAH37+2s=")</f>
        <v>#REF!</v>
      </c>
      <c r="DE108" t="e">
        <f>AND('Test Script'!#REF!,"AAAAAH37+2w=")</f>
        <v>#REF!</v>
      </c>
      <c r="DF108" t="e">
        <f>AND('Test Script'!#REF!,"AAAAAH37+20=")</f>
        <v>#REF!</v>
      </c>
      <c r="DG108" t="e">
        <f>AND('Test Script'!#REF!,"AAAAAH37+24=")</f>
        <v>#REF!</v>
      </c>
      <c r="DH108" t="e">
        <f>AND('Test Script'!#REF!,"AAAAAH37+28=")</f>
        <v>#REF!</v>
      </c>
      <c r="DI108" t="e">
        <f>AND('Test Script'!#REF!,"AAAAAH37+3A=")</f>
        <v>#REF!</v>
      </c>
      <c r="DJ108" t="e">
        <f>AND('Test Script'!#REF!,"AAAAAH37+3E=")</f>
        <v>#REF!</v>
      </c>
      <c r="DK108" t="e">
        <f>AND('Test Script'!#REF!,"AAAAAH37+3I=")</f>
        <v>#REF!</v>
      </c>
      <c r="DL108" t="e">
        <f>AND('Test Script'!#REF!,"AAAAAH37+3M=")</f>
        <v>#REF!</v>
      </c>
      <c r="DM108" t="e">
        <f>AND('Test Script'!#REF!,"AAAAAH37+3Q=")</f>
        <v>#REF!</v>
      </c>
      <c r="DN108" t="e">
        <f>IF('Test Script'!#REF!,"AAAAAH37+3U=",0)</f>
        <v>#REF!</v>
      </c>
      <c r="DO108" t="e">
        <f>AND('Test Script'!#REF!,"AAAAAH37+3Y=")</f>
        <v>#REF!</v>
      </c>
      <c r="DP108" t="e">
        <f>AND('Test Script'!#REF!,"AAAAAH37+3c=")</f>
        <v>#REF!</v>
      </c>
      <c r="DQ108" t="e">
        <f>AND('Test Script'!#REF!,"AAAAAH37+3g=")</f>
        <v>#REF!</v>
      </c>
      <c r="DR108" t="e">
        <f>AND('Test Script'!#REF!,"AAAAAH37+3k=")</f>
        <v>#REF!</v>
      </c>
      <c r="DS108" t="e">
        <f>AND('Test Script'!#REF!,"AAAAAH37+3o=")</f>
        <v>#REF!</v>
      </c>
      <c r="DT108" t="e">
        <f>AND('Test Script'!#REF!,"AAAAAH37+3s=")</f>
        <v>#REF!</v>
      </c>
      <c r="DU108" t="e">
        <f>AND('Test Script'!#REF!,"AAAAAH37+3w=")</f>
        <v>#REF!</v>
      </c>
      <c r="DV108" t="e">
        <f>AND('Test Script'!#REF!,"AAAAAH37+30=")</f>
        <v>#REF!</v>
      </c>
      <c r="DW108" t="e">
        <f>AND('Test Script'!#REF!,"AAAAAH37+34=")</f>
        <v>#REF!</v>
      </c>
      <c r="DX108" t="e">
        <f>AND('Test Script'!#REF!,"AAAAAH37+38=")</f>
        <v>#REF!</v>
      </c>
      <c r="DY108" t="e">
        <f>AND('Test Script'!#REF!,"AAAAAH37+4A=")</f>
        <v>#REF!</v>
      </c>
      <c r="DZ108" t="e">
        <f>AND('Test Script'!#REF!,"AAAAAH37+4E=")</f>
        <v>#REF!</v>
      </c>
      <c r="EA108" t="e">
        <f>AND('Test Script'!#REF!,"AAAAAH37+4I=")</f>
        <v>#REF!</v>
      </c>
      <c r="EB108" t="e">
        <f>AND('Test Script'!#REF!,"AAAAAH37+4M=")</f>
        <v>#REF!</v>
      </c>
      <c r="EC108" t="e">
        <f>AND('Test Script'!#REF!,"AAAAAH37+4Q=")</f>
        <v>#REF!</v>
      </c>
      <c r="ED108" t="e">
        <f>AND('Test Script'!#REF!,"AAAAAH37+4U=")</f>
        <v>#REF!</v>
      </c>
      <c r="EE108" t="e">
        <f>AND('Test Script'!#REF!,"AAAAAH37+4Y=")</f>
        <v>#REF!</v>
      </c>
      <c r="EF108" t="e">
        <f>AND('Test Script'!#REF!,"AAAAAH37+4c=")</f>
        <v>#REF!</v>
      </c>
      <c r="EG108" t="e">
        <f>AND('Test Script'!#REF!,"AAAAAH37+4g=")</f>
        <v>#REF!</v>
      </c>
      <c r="EH108" t="e">
        <f>AND('Test Script'!#REF!,"AAAAAH37+4k=")</f>
        <v>#REF!</v>
      </c>
      <c r="EI108" t="e">
        <f>AND('Test Script'!#REF!,"AAAAAH37+4o=")</f>
        <v>#REF!</v>
      </c>
      <c r="EJ108" t="e">
        <f>AND('Test Script'!#REF!,"AAAAAH37+4s=")</f>
        <v>#REF!</v>
      </c>
      <c r="EK108" t="e">
        <f>AND('Test Script'!#REF!,"AAAAAH37+4w=")</f>
        <v>#REF!</v>
      </c>
      <c r="EL108" t="e">
        <f>AND('Test Script'!#REF!,"AAAAAH37+40=")</f>
        <v>#REF!</v>
      </c>
      <c r="EM108" t="e">
        <f>AND('Test Script'!#REF!,"AAAAAH37+44=")</f>
        <v>#REF!</v>
      </c>
      <c r="EN108" t="e">
        <f>AND('Test Script'!#REF!,"AAAAAH37+48=")</f>
        <v>#REF!</v>
      </c>
      <c r="EO108" t="e">
        <f>IF('Test Script'!#REF!,"AAAAAH37+5A=",0)</f>
        <v>#REF!</v>
      </c>
      <c r="EP108" t="e">
        <f>AND('Test Script'!#REF!,"AAAAAH37+5E=")</f>
        <v>#REF!</v>
      </c>
      <c r="EQ108" t="e">
        <f>AND('Test Script'!#REF!,"AAAAAH37+5I=")</f>
        <v>#REF!</v>
      </c>
      <c r="ER108" t="e">
        <f>AND('Test Script'!#REF!,"AAAAAH37+5M=")</f>
        <v>#REF!</v>
      </c>
      <c r="ES108" t="e">
        <f>AND('Test Script'!#REF!,"AAAAAH37+5Q=")</f>
        <v>#REF!</v>
      </c>
      <c r="ET108" t="e">
        <f>AND('Test Script'!#REF!,"AAAAAH37+5U=")</f>
        <v>#REF!</v>
      </c>
      <c r="EU108" t="e">
        <f>AND('Test Script'!#REF!,"AAAAAH37+5Y=")</f>
        <v>#REF!</v>
      </c>
      <c r="EV108" t="e">
        <f>AND('Test Script'!#REF!,"AAAAAH37+5c=")</f>
        <v>#REF!</v>
      </c>
      <c r="EW108" t="e">
        <f>AND('Test Script'!#REF!,"AAAAAH37+5g=")</f>
        <v>#REF!</v>
      </c>
      <c r="EX108" t="e">
        <f>AND('Test Script'!#REF!,"AAAAAH37+5k=")</f>
        <v>#REF!</v>
      </c>
      <c r="EY108" t="e">
        <f>AND('Test Script'!#REF!,"AAAAAH37+5o=")</f>
        <v>#REF!</v>
      </c>
      <c r="EZ108" t="e">
        <f>AND('Test Script'!#REF!,"AAAAAH37+5s=")</f>
        <v>#REF!</v>
      </c>
      <c r="FA108" t="e">
        <f>AND('Test Script'!#REF!,"AAAAAH37+5w=")</f>
        <v>#REF!</v>
      </c>
      <c r="FB108" t="e">
        <f>AND('Test Script'!#REF!,"AAAAAH37+50=")</f>
        <v>#REF!</v>
      </c>
      <c r="FC108" t="e">
        <f>AND('Test Script'!#REF!,"AAAAAH37+54=")</f>
        <v>#REF!</v>
      </c>
      <c r="FD108" t="e">
        <f>AND('Test Script'!#REF!,"AAAAAH37+58=")</f>
        <v>#REF!</v>
      </c>
      <c r="FE108" t="e">
        <f>AND('Test Script'!#REF!,"AAAAAH37+6A=")</f>
        <v>#REF!</v>
      </c>
      <c r="FF108" t="e">
        <f>AND('Test Script'!#REF!,"AAAAAH37+6E=")</f>
        <v>#REF!</v>
      </c>
      <c r="FG108" t="e">
        <f>AND('Test Script'!#REF!,"AAAAAH37+6I=")</f>
        <v>#REF!</v>
      </c>
      <c r="FH108" t="e">
        <f>AND('Test Script'!#REF!,"AAAAAH37+6M=")</f>
        <v>#REF!</v>
      </c>
      <c r="FI108" t="e">
        <f>AND('Test Script'!#REF!,"AAAAAH37+6Q=")</f>
        <v>#REF!</v>
      </c>
      <c r="FJ108" t="e">
        <f>AND('Test Script'!#REF!,"AAAAAH37+6U=")</f>
        <v>#REF!</v>
      </c>
      <c r="FK108" t="e">
        <f>AND('Test Script'!#REF!,"AAAAAH37+6Y=")</f>
        <v>#REF!</v>
      </c>
      <c r="FL108" t="e">
        <f>AND('Test Script'!#REF!,"AAAAAH37+6c=")</f>
        <v>#REF!</v>
      </c>
      <c r="FM108" t="e">
        <f>AND('Test Script'!#REF!,"AAAAAH37+6g=")</f>
        <v>#REF!</v>
      </c>
      <c r="FN108" t="e">
        <f>AND('Test Script'!#REF!,"AAAAAH37+6k=")</f>
        <v>#REF!</v>
      </c>
      <c r="FO108" t="e">
        <f>AND('Test Script'!#REF!,"AAAAAH37+6o=")</f>
        <v>#REF!</v>
      </c>
      <c r="FP108" t="e">
        <f>IF('Test Script'!#REF!,"AAAAAH37+6s=",0)</f>
        <v>#REF!</v>
      </c>
      <c r="FQ108" t="e">
        <f>AND('Test Script'!#REF!,"AAAAAH37+6w=")</f>
        <v>#REF!</v>
      </c>
      <c r="FR108" t="e">
        <f>AND('Test Script'!#REF!,"AAAAAH37+60=")</f>
        <v>#REF!</v>
      </c>
      <c r="FS108" t="e">
        <f>AND('Test Script'!#REF!,"AAAAAH37+64=")</f>
        <v>#REF!</v>
      </c>
      <c r="FT108" t="e">
        <f>AND('Test Script'!#REF!,"AAAAAH37+68=")</f>
        <v>#REF!</v>
      </c>
      <c r="FU108" t="e">
        <f>AND('Test Script'!#REF!,"AAAAAH37+7A=")</f>
        <v>#REF!</v>
      </c>
      <c r="FV108" t="e">
        <f>AND('Test Script'!#REF!,"AAAAAH37+7E=")</f>
        <v>#REF!</v>
      </c>
      <c r="FW108" t="e">
        <f>AND('Test Script'!#REF!,"AAAAAH37+7I=")</f>
        <v>#REF!</v>
      </c>
      <c r="FX108" t="e">
        <f>AND('Test Script'!#REF!,"AAAAAH37+7M=")</f>
        <v>#REF!</v>
      </c>
      <c r="FY108" t="e">
        <f>AND('Test Script'!#REF!,"AAAAAH37+7Q=")</f>
        <v>#REF!</v>
      </c>
      <c r="FZ108" t="e">
        <f>AND('Test Script'!#REF!,"AAAAAH37+7U=")</f>
        <v>#REF!</v>
      </c>
      <c r="GA108" t="e">
        <f>AND('Test Script'!#REF!,"AAAAAH37+7Y=")</f>
        <v>#REF!</v>
      </c>
      <c r="GB108" t="e">
        <f>AND('Test Script'!#REF!,"AAAAAH37+7c=")</f>
        <v>#REF!</v>
      </c>
      <c r="GC108" t="e">
        <f>AND('Test Script'!#REF!,"AAAAAH37+7g=")</f>
        <v>#REF!</v>
      </c>
      <c r="GD108" t="e">
        <f>AND('Test Script'!#REF!,"AAAAAH37+7k=")</f>
        <v>#REF!</v>
      </c>
      <c r="GE108" t="e">
        <f>AND('Test Script'!#REF!,"AAAAAH37+7o=")</f>
        <v>#REF!</v>
      </c>
      <c r="GF108" t="e">
        <f>AND('Test Script'!#REF!,"AAAAAH37+7s=")</f>
        <v>#REF!</v>
      </c>
      <c r="GG108" t="e">
        <f>AND('Test Script'!#REF!,"AAAAAH37+7w=")</f>
        <v>#REF!</v>
      </c>
      <c r="GH108" t="e">
        <f>AND('Test Script'!#REF!,"AAAAAH37+70=")</f>
        <v>#REF!</v>
      </c>
      <c r="GI108" t="e">
        <f>AND('Test Script'!#REF!,"AAAAAH37+74=")</f>
        <v>#REF!</v>
      </c>
      <c r="GJ108" t="e">
        <f>AND('Test Script'!#REF!,"AAAAAH37+78=")</f>
        <v>#REF!</v>
      </c>
      <c r="GK108" t="e">
        <f>AND('Test Script'!#REF!,"AAAAAH37+8A=")</f>
        <v>#REF!</v>
      </c>
      <c r="GL108" t="e">
        <f>AND('Test Script'!#REF!,"AAAAAH37+8E=")</f>
        <v>#REF!</v>
      </c>
      <c r="GM108" t="e">
        <f>AND('Test Script'!#REF!,"AAAAAH37+8I=")</f>
        <v>#REF!</v>
      </c>
      <c r="GN108" t="e">
        <f>AND('Test Script'!#REF!,"AAAAAH37+8M=")</f>
        <v>#REF!</v>
      </c>
      <c r="GO108" t="e">
        <f>AND('Test Script'!#REF!,"AAAAAH37+8Q=")</f>
        <v>#REF!</v>
      </c>
      <c r="GP108" t="e">
        <f>AND('Test Script'!#REF!,"AAAAAH37+8U=")</f>
        <v>#REF!</v>
      </c>
      <c r="GQ108" t="e">
        <f>IF('Test Script'!#REF!,"AAAAAH37+8Y=",0)</f>
        <v>#REF!</v>
      </c>
      <c r="GR108" t="e">
        <f>AND('Test Script'!#REF!,"AAAAAH37+8c=")</f>
        <v>#REF!</v>
      </c>
      <c r="GS108" t="e">
        <f>AND('Test Script'!#REF!,"AAAAAH37+8g=")</f>
        <v>#REF!</v>
      </c>
      <c r="GT108" t="e">
        <f>AND('Test Script'!#REF!,"AAAAAH37+8k=")</f>
        <v>#REF!</v>
      </c>
      <c r="GU108" t="e">
        <f>AND('Test Script'!#REF!,"AAAAAH37+8o=")</f>
        <v>#REF!</v>
      </c>
      <c r="GV108" t="e">
        <f>AND('Test Script'!#REF!,"AAAAAH37+8s=")</f>
        <v>#REF!</v>
      </c>
      <c r="GW108" t="e">
        <f>AND('Test Script'!#REF!,"AAAAAH37+8w=")</f>
        <v>#REF!</v>
      </c>
      <c r="GX108" t="e">
        <f>AND('Test Script'!#REF!,"AAAAAH37+80=")</f>
        <v>#REF!</v>
      </c>
      <c r="GY108" t="e">
        <f>AND('Test Script'!#REF!,"AAAAAH37+84=")</f>
        <v>#REF!</v>
      </c>
      <c r="GZ108" t="e">
        <f>AND('Test Script'!#REF!,"AAAAAH37+88=")</f>
        <v>#REF!</v>
      </c>
      <c r="HA108" t="e">
        <f>AND('Test Script'!#REF!,"AAAAAH37+9A=")</f>
        <v>#REF!</v>
      </c>
      <c r="HB108" t="e">
        <f>AND('Test Script'!#REF!,"AAAAAH37+9E=")</f>
        <v>#REF!</v>
      </c>
      <c r="HC108" t="e">
        <f>AND('Test Script'!#REF!,"AAAAAH37+9I=")</f>
        <v>#REF!</v>
      </c>
      <c r="HD108" t="e">
        <f>AND('Test Script'!#REF!,"AAAAAH37+9M=")</f>
        <v>#REF!</v>
      </c>
      <c r="HE108" t="e">
        <f>AND('Test Script'!#REF!,"AAAAAH37+9Q=")</f>
        <v>#REF!</v>
      </c>
      <c r="HF108" t="e">
        <f>AND('Test Script'!#REF!,"AAAAAH37+9U=")</f>
        <v>#REF!</v>
      </c>
      <c r="HG108" t="e">
        <f>AND('Test Script'!#REF!,"AAAAAH37+9Y=")</f>
        <v>#REF!</v>
      </c>
      <c r="HH108" t="e">
        <f>AND('Test Script'!#REF!,"AAAAAH37+9c=")</f>
        <v>#REF!</v>
      </c>
      <c r="HI108" t="e">
        <f>AND('Test Script'!#REF!,"AAAAAH37+9g=")</f>
        <v>#REF!</v>
      </c>
      <c r="HJ108" t="e">
        <f>AND('Test Script'!#REF!,"AAAAAH37+9k=")</f>
        <v>#REF!</v>
      </c>
      <c r="HK108" t="e">
        <f>AND('Test Script'!#REF!,"AAAAAH37+9o=")</f>
        <v>#REF!</v>
      </c>
      <c r="HL108" t="e">
        <f>AND('Test Script'!#REF!,"AAAAAH37+9s=")</f>
        <v>#REF!</v>
      </c>
      <c r="HM108" t="e">
        <f>AND('Test Script'!#REF!,"AAAAAH37+9w=")</f>
        <v>#REF!</v>
      </c>
      <c r="HN108" t="e">
        <f>AND('Test Script'!#REF!,"AAAAAH37+90=")</f>
        <v>#REF!</v>
      </c>
      <c r="HO108" t="e">
        <f>AND('Test Script'!#REF!,"AAAAAH37+94=")</f>
        <v>#REF!</v>
      </c>
      <c r="HP108" t="e">
        <f>AND('Test Script'!#REF!,"AAAAAH37+98=")</f>
        <v>#REF!</v>
      </c>
      <c r="HQ108" t="e">
        <f>AND('Test Script'!#REF!,"AAAAAH37++A=")</f>
        <v>#REF!</v>
      </c>
      <c r="HR108" t="e">
        <f>IF('Test Script'!#REF!,"AAAAAH37++E=",0)</f>
        <v>#REF!</v>
      </c>
      <c r="HS108" t="e">
        <f>AND('Test Script'!#REF!,"AAAAAH37++I=")</f>
        <v>#REF!</v>
      </c>
      <c r="HT108" t="e">
        <f>AND('Test Script'!#REF!,"AAAAAH37++M=")</f>
        <v>#REF!</v>
      </c>
      <c r="HU108" t="e">
        <f>AND('Test Script'!#REF!,"AAAAAH37++Q=")</f>
        <v>#REF!</v>
      </c>
      <c r="HV108" t="e">
        <f>AND('Test Script'!#REF!,"AAAAAH37++U=")</f>
        <v>#REF!</v>
      </c>
      <c r="HW108" t="e">
        <f>AND('Test Script'!#REF!,"AAAAAH37++Y=")</f>
        <v>#REF!</v>
      </c>
      <c r="HX108" t="e">
        <f>AND('Test Script'!#REF!,"AAAAAH37++c=")</f>
        <v>#REF!</v>
      </c>
      <c r="HY108" t="e">
        <f>AND('Test Script'!#REF!,"AAAAAH37++g=")</f>
        <v>#REF!</v>
      </c>
      <c r="HZ108" t="e">
        <f>AND('Test Script'!#REF!,"AAAAAH37++k=")</f>
        <v>#REF!</v>
      </c>
      <c r="IA108" t="e">
        <f>AND('Test Script'!#REF!,"AAAAAH37++o=")</f>
        <v>#REF!</v>
      </c>
      <c r="IB108" t="e">
        <f>AND('Test Script'!#REF!,"AAAAAH37++s=")</f>
        <v>#REF!</v>
      </c>
      <c r="IC108" t="e">
        <f>AND('Test Script'!#REF!,"AAAAAH37++w=")</f>
        <v>#REF!</v>
      </c>
      <c r="ID108" t="e">
        <f>AND('Test Script'!#REF!,"AAAAAH37++0=")</f>
        <v>#REF!</v>
      </c>
      <c r="IE108" t="e">
        <f>AND('Test Script'!#REF!,"AAAAAH37++4=")</f>
        <v>#REF!</v>
      </c>
      <c r="IF108" t="e">
        <f>AND('Test Script'!#REF!,"AAAAAH37++8=")</f>
        <v>#REF!</v>
      </c>
      <c r="IG108" t="e">
        <f>AND('Test Script'!#REF!,"AAAAAH37+/A=")</f>
        <v>#REF!</v>
      </c>
      <c r="IH108" t="e">
        <f>AND('Test Script'!#REF!,"AAAAAH37+/E=")</f>
        <v>#REF!</v>
      </c>
      <c r="II108" t="e">
        <f>AND('Test Script'!#REF!,"AAAAAH37+/I=")</f>
        <v>#REF!</v>
      </c>
      <c r="IJ108" t="e">
        <f>AND('Test Script'!#REF!,"AAAAAH37+/M=")</f>
        <v>#REF!</v>
      </c>
      <c r="IK108" t="e">
        <f>AND('Test Script'!#REF!,"AAAAAH37+/Q=")</f>
        <v>#REF!</v>
      </c>
      <c r="IL108" t="e">
        <f>AND('Test Script'!#REF!,"AAAAAH37+/U=")</f>
        <v>#REF!</v>
      </c>
      <c r="IM108" t="e">
        <f>AND('Test Script'!#REF!,"AAAAAH37+/Y=")</f>
        <v>#REF!</v>
      </c>
      <c r="IN108" t="e">
        <f>AND('Test Script'!#REF!,"AAAAAH37+/c=")</f>
        <v>#REF!</v>
      </c>
      <c r="IO108" t="e">
        <f>AND('Test Script'!#REF!,"AAAAAH37+/g=")</f>
        <v>#REF!</v>
      </c>
      <c r="IP108" t="e">
        <f>AND('Test Script'!#REF!,"AAAAAH37+/k=")</f>
        <v>#REF!</v>
      </c>
      <c r="IQ108" t="e">
        <f>AND('Test Script'!#REF!,"AAAAAH37+/o=")</f>
        <v>#REF!</v>
      </c>
      <c r="IR108" t="e">
        <f>AND('Test Script'!#REF!,"AAAAAH37+/s=")</f>
        <v>#REF!</v>
      </c>
      <c r="IS108" t="e">
        <f>IF('Test Script'!#REF!,"AAAAAH37+/w=",0)</f>
        <v>#REF!</v>
      </c>
      <c r="IT108" t="e">
        <f>AND('Test Script'!#REF!,"AAAAAH37+/0=")</f>
        <v>#REF!</v>
      </c>
      <c r="IU108" t="e">
        <f>AND('Test Script'!#REF!,"AAAAAH37+/4=")</f>
        <v>#REF!</v>
      </c>
      <c r="IV108" t="e">
        <f>AND('Test Script'!#REF!,"AAAAAH37+/8=")</f>
        <v>#REF!</v>
      </c>
    </row>
    <row r="109" spans="1:256" x14ac:dyDescent="0.2">
      <c r="A109" t="e">
        <f>AND('Test Script'!#REF!,"AAAAABftfwA=")</f>
        <v>#REF!</v>
      </c>
      <c r="B109" t="e">
        <f>AND('Test Script'!#REF!,"AAAAABftfwE=")</f>
        <v>#REF!</v>
      </c>
      <c r="C109" t="e">
        <f>AND('Test Script'!#REF!,"AAAAABftfwI=")</f>
        <v>#REF!</v>
      </c>
      <c r="D109" t="e">
        <f>AND('Test Script'!#REF!,"AAAAABftfwM=")</f>
        <v>#REF!</v>
      </c>
      <c r="E109" t="e">
        <f>AND('Test Script'!#REF!,"AAAAABftfwQ=")</f>
        <v>#REF!</v>
      </c>
      <c r="F109" t="e">
        <f>AND('Test Script'!#REF!,"AAAAABftfwU=")</f>
        <v>#REF!</v>
      </c>
      <c r="G109" t="e">
        <f>AND('Test Script'!#REF!,"AAAAABftfwY=")</f>
        <v>#REF!</v>
      </c>
      <c r="H109" t="e">
        <f>AND('Test Script'!#REF!,"AAAAABftfwc=")</f>
        <v>#REF!</v>
      </c>
      <c r="I109" t="e">
        <f>AND('Test Script'!#REF!,"AAAAABftfwg=")</f>
        <v>#REF!</v>
      </c>
      <c r="J109" t="e">
        <f>AND('Test Script'!#REF!,"AAAAABftfwk=")</f>
        <v>#REF!</v>
      </c>
      <c r="K109" t="e">
        <f>AND('Test Script'!#REF!,"AAAAABftfwo=")</f>
        <v>#REF!</v>
      </c>
      <c r="L109" t="e">
        <f>AND('Test Script'!#REF!,"AAAAABftfws=")</f>
        <v>#REF!</v>
      </c>
      <c r="M109" t="e">
        <f>AND('Test Script'!#REF!,"AAAAABftfww=")</f>
        <v>#REF!</v>
      </c>
      <c r="N109" t="e">
        <f>AND('Test Script'!#REF!,"AAAAABftfw0=")</f>
        <v>#REF!</v>
      </c>
      <c r="O109" t="e">
        <f>AND('Test Script'!#REF!,"AAAAABftfw4=")</f>
        <v>#REF!</v>
      </c>
      <c r="P109" t="e">
        <f>AND('Test Script'!#REF!,"AAAAABftfw8=")</f>
        <v>#REF!</v>
      </c>
      <c r="Q109" t="e">
        <f>AND('Test Script'!#REF!,"AAAAABftfxA=")</f>
        <v>#REF!</v>
      </c>
      <c r="R109" t="e">
        <f>AND('Test Script'!#REF!,"AAAAABftfxE=")</f>
        <v>#REF!</v>
      </c>
      <c r="S109" t="e">
        <f>AND('Test Script'!#REF!,"AAAAABftfxI=")</f>
        <v>#REF!</v>
      </c>
      <c r="T109" t="e">
        <f>AND('Test Script'!#REF!,"AAAAABftfxM=")</f>
        <v>#REF!</v>
      </c>
      <c r="U109" t="e">
        <f>AND('Test Script'!#REF!,"AAAAABftfxQ=")</f>
        <v>#REF!</v>
      </c>
      <c r="V109" t="e">
        <f>AND('Test Script'!#REF!,"AAAAABftfxU=")</f>
        <v>#REF!</v>
      </c>
      <c r="W109" t="e">
        <f>AND('Test Script'!#REF!,"AAAAABftfxY=")</f>
        <v>#REF!</v>
      </c>
      <c r="X109" t="e">
        <f>IF('Test Script'!#REF!,"AAAAABftfxc=",0)</f>
        <v>#REF!</v>
      </c>
      <c r="Y109" t="e">
        <f>AND('Test Script'!#REF!,"AAAAABftfxg=")</f>
        <v>#REF!</v>
      </c>
      <c r="Z109" t="e">
        <f>AND('Test Script'!#REF!,"AAAAABftfxk=")</f>
        <v>#REF!</v>
      </c>
      <c r="AA109" t="e">
        <f>AND('Test Script'!#REF!,"AAAAABftfxo=")</f>
        <v>#REF!</v>
      </c>
      <c r="AB109" t="e">
        <f>AND('Test Script'!#REF!,"AAAAABftfxs=")</f>
        <v>#REF!</v>
      </c>
      <c r="AC109" t="e">
        <f>AND('Test Script'!#REF!,"AAAAABftfxw=")</f>
        <v>#REF!</v>
      </c>
      <c r="AD109" t="e">
        <f>AND('Test Script'!#REF!,"AAAAABftfx0=")</f>
        <v>#REF!</v>
      </c>
      <c r="AE109" t="e">
        <f>AND('Test Script'!#REF!,"AAAAABftfx4=")</f>
        <v>#REF!</v>
      </c>
      <c r="AF109" t="e">
        <f>AND('Test Script'!#REF!,"AAAAABftfx8=")</f>
        <v>#REF!</v>
      </c>
      <c r="AG109" t="e">
        <f>AND('Test Script'!#REF!,"AAAAABftfyA=")</f>
        <v>#REF!</v>
      </c>
      <c r="AH109" t="e">
        <f>AND('Test Script'!#REF!,"AAAAABftfyE=")</f>
        <v>#REF!</v>
      </c>
      <c r="AI109" t="e">
        <f>AND('Test Script'!#REF!,"AAAAABftfyI=")</f>
        <v>#REF!</v>
      </c>
      <c r="AJ109" t="e">
        <f>AND('Test Script'!#REF!,"AAAAABftfyM=")</f>
        <v>#REF!</v>
      </c>
      <c r="AK109" t="e">
        <f>AND('Test Script'!#REF!,"AAAAABftfyQ=")</f>
        <v>#REF!</v>
      </c>
      <c r="AL109" t="e">
        <f>AND('Test Script'!#REF!,"AAAAABftfyU=")</f>
        <v>#REF!</v>
      </c>
      <c r="AM109" t="e">
        <f>AND('Test Script'!#REF!,"AAAAABftfyY=")</f>
        <v>#REF!</v>
      </c>
      <c r="AN109" t="e">
        <f>AND('Test Script'!#REF!,"AAAAABftfyc=")</f>
        <v>#REF!</v>
      </c>
      <c r="AO109" t="e">
        <f>AND('Test Script'!#REF!,"AAAAABftfyg=")</f>
        <v>#REF!</v>
      </c>
      <c r="AP109" t="e">
        <f>AND('Test Script'!#REF!,"AAAAABftfyk=")</f>
        <v>#REF!</v>
      </c>
      <c r="AQ109" t="e">
        <f>AND('Test Script'!#REF!,"AAAAABftfyo=")</f>
        <v>#REF!</v>
      </c>
      <c r="AR109" t="e">
        <f>AND('Test Script'!#REF!,"AAAAABftfys=")</f>
        <v>#REF!</v>
      </c>
      <c r="AS109" t="e">
        <f>AND('Test Script'!#REF!,"AAAAABftfyw=")</f>
        <v>#REF!</v>
      </c>
      <c r="AT109" t="e">
        <f>AND('Test Script'!#REF!,"AAAAABftfy0=")</f>
        <v>#REF!</v>
      </c>
      <c r="AU109" t="e">
        <f>AND('Test Script'!#REF!,"AAAAABftfy4=")</f>
        <v>#REF!</v>
      </c>
      <c r="AV109" t="e">
        <f>AND('Test Script'!#REF!,"AAAAABftfy8=")</f>
        <v>#REF!</v>
      </c>
      <c r="AW109" t="e">
        <f>AND('Test Script'!#REF!,"AAAAABftfzA=")</f>
        <v>#REF!</v>
      </c>
      <c r="AX109" t="e">
        <f>AND('Test Script'!#REF!,"AAAAABftfzE=")</f>
        <v>#REF!</v>
      </c>
      <c r="AY109" t="e">
        <f>IF('Test Script'!#REF!,"AAAAABftfzI=",0)</f>
        <v>#REF!</v>
      </c>
      <c r="AZ109" t="e">
        <f>AND('Test Script'!#REF!,"AAAAABftfzM=")</f>
        <v>#REF!</v>
      </c>
      <c r="BA109" t="e">
        <f>AND('Test Script'!#REF!,"AAAAABftfzQ=")</f>
        <v>#REF!</v>
      </c>
      <c r="BB109" t="e">
        <f>AND('Test Script'!#REF!,"AAAAABftfzU=")</f>
        <v>#REF!</v>
      </c>
      <c r="BC109" t="e">
        <f>AND('Test Script'!#REF!,"AAAAABftfzY=")</f>
        <v>#REF!</v>
      </c>
      <c r="BD109" t="e">
        <f>AND('Test Script'!#REF!,"AAAAABftfzc=")</f>
        <v>#REF!</v>
      </c>
      <c r="BE109" t="e">
        <f>AND('Test Script'!#REF!,"AAAAABftfzg=")</f>
        <v>#REF!</v>
      </c>
      <c r="BF109" t="e">
        <f>AND('Test Script'!#REF!,"AAAAABftfzk=")</f>
        <v>#REF!</v>
      </c>
      <c r="BG109" t="e">
        <f>AND('Test Script'!#REF!,"AAAAABftfzo=")</f>
        <v>#REF!</v>
      </c>
      <c r="BH109" t="e">
        <f>AND('Test Script'!#REF!,"AAAAABftfzs=")</f>
        <v>#REF!</v>
      </c>
      <c r="BI109" t="e">
        <f>AND('Test Script'!#REF!,"AAAAABftfzw=")</f>
        <v>#REF!</v>
      </c>
      <c r="BJ109" t="e">
        <f>AND('Test Script'!#REF!,"AAAAABftfz0=")</f>
        <v>#REF!</v>
      </c>
      <c r="BK109" t="e">
        <f>AND('Test Script'!#REF!,"AAAAABftfz4=")</f>
        <v>#REF!</v>
      </c>
      <c r="BL109" t="e">
        <f>AND('Test Script'!#REF!,"AAAAABftfz8=")</f>
        <v>#REF!</v>
      </c>
      <c r="BM109" t="e">
        <f>AND('Test Script'!#REF!,"AAAAABftf0A=")</f>
        <v>#REF!</v>
      </c>
      <c r="BN109" t="e">
        <f>AND('Test Script'!#REF!,"AAAAABftf0E=")</f>
        <v>#REF!</v>
      </c>
      <c r="BO109" t="e">
        <f>AND('Test Script'!#REF!,"AAAAABftf0I=")</f>
        <v>#REF!</v>
      </c>
      <c r="BP109" t="e">
        <f>AND('Test Script'!#REF!,"AAAAABftf0M=")</f>
        <v>#REF!</v>
      </c>
      <c r="BQ109" t="e">
        <f>AND('Test Script'!#REF!,"AAAAABftf0Q=")</f>
        <v>#REF!</v>
      </c>
      <c r="BR109" t="e">
        <f>AND('Test Script'!#REF!,"AAAAABftf0U=")</f>
        <v>#REF!</v>
      </c>
      <c r="BS109" t="e">
        <f>AND('Test Script'!#REF!,"AAAAABftf0Y=")</f>
        <v>#REF!</v>
      </c>
      <c r="BT109" t="e">
        <f>AND('Test Script'!#REF!,"AAAAABftf0c=")</f>
        <v>#REF!</v>
      </c>
      <c r="BU109" t="e">
        <f>AND('Test Script'!#REF!,"AAAAABftf0g=")</f>
        <v>#REF!</v>
      </c>
      <c r="BV109" t="e">
        <f>AND('Test Script'!#REF!,"AAAAABftf0k=")</f>
        <v>#REF!</v>
      </c>
      <c r="BW109" t="e">
        <f>AND('Test Script'!#REF!,"AAAAABftf0o=")</f>
        <v>#REF!</v>
      </c>
      <c r="BX109" t="e">
        <f>AND('Test Script'!#REF!,"AAAAABftf0s=")</f>
        <v>#REF!</v>
      </c>
      <c r="BY109" t="e">
        <f>AND('Test Script'!#REF!,"AAAAABftf0w=")</f>
        <v>#REF!</v>
      </c>
      <c r="BZ109" t="e">
        <f>IF('Test Script'!#REF!,"AAAAABftf00=",0)</f>
        <v>#REF!</v>
      </c>
      <c r="CA109" t="e">
        <f>AND('Test Script'!#REF!,"AAAAABftf04=")</f>
        <v>#REF!</v>
      </c>
      <c r="CB109" t="e">
        <f>AND('Test Script'!#REF!,"AAAAABftf08=")</f>
        <v>#REF!</v>
      </c>
      <c r="CC109" t="e">
        <f>AND('Test Script'!#REF!,"AAAAABftf1A=")</f>
        <v>#REF!</v>
      </c>
      <c r="CD109" t="e">
        <f>AND('Test Script'!#REF!,"AAAAABftf1E=")</f>
        <v>#REF!</v>
      </c>
      <c r="CE109" t="e">
        <f>AND('Test Script'!#REF!,"AAAAABftf1I=")</f>
        <v>#REF!</v>
      </c>
      <c r="CF109" t="e">
        <f>AND('Test Script'!#REF!,"AAAAABftf1M=")</f>
        <v>#REF!</v>
      </c>
      <c r="CG109" t="e">
        <f>AND('Test Script'!#REF!,"AAAAABftf1Q=")</f>
        <v>#REF!</v>
      </c>
      <c r="CH109" t="e">
        <f>AND('Test Script'!#REF!,"AAAAABftf1U=")</f>
        <v>#REF!</v>
      </c>
      <c r="CI109" t="e">
        <f>AND('Test Script'!#REF!,"AAAAABftf1Y=")</f>
        <v>#REF!</v>
      </c>
      <c r="CJ109" t="e">
        <f>AND('Test Script'!#REF!,"AAAAABftf1c=")</f>
        <v>#REF!</v>
      </c>
      <c r="CK109" t="e">
        <f>AND('Test Script'!#REF!,"AAAAABftf1g=")</f>
        <v>#REF!</v>
      </c>
      <c r="CL109" t="e">
        <f>AND('Test Script'!#REF!,"AAAAABftf1k=")</f>
        <v>#REF!</v>
      </c>
      <c r="CM109" t="e">
        <f>AND('Test Script'!#REF!,"AAAAABftf1o=")</f>
        <v>#REF!</v>
      </c>
      <c r="CN109" t="e">
        <f>AND('Test Script'!#REF!,"AAAAABftf1s=")</f>
        <v>#REF!</v>
      </c>
      <c r="CO109" t="e">
        <f>AND('Test Script'!#REF!,"AAAAABftf1w=")</f>
        <v>#REF!</v>
      </c>
      <c r="CP109" t="e">
        <f>AND('Test Script'!#REF!,"AAAAABftf10=")</f>
        <v>#REF!</v>
      </c>
      <c r="CQ109" t="e">
        <f>AND('Test Script'!#REF!,"AAAAABftf14=")</f>
        <v>#REF!</v>
      </c>
      <c r="CR109" t="e">
        <f>AND('Test Script'!#REF!,"AAAAABftf18=")</f>
        <v>#REF!</v>
      </c>
      <c r="CS109" t="e">
        <f>AND('Test Script'!#REF!,"AAAAABftf2A=")</f>
        <v>#REF!</v>
      </c>
      <c r="CT109" t="e">
        <f>AND('Test Script'!#REF!,"AAAAABftf2E=")</f>
        <v>#REF!</v>
      </c>
      <c r="CU109" t="e">
        <f>AND('Test Script'!#REF!,"AAAAABftf2I=")</f>
        <v>#REF!</v>
      </c>
      <c r="CV109" t="e">
        <f>AND('Test Script'!#REF!,"AAAAABftf2M=")</f>
        <v>#REF!</v>
      </c>
      <c r="CW109" t="e">
        <f>AND('Test Script'!#REF!,"AAAAABftf2Q=")</f>
        <v>#REF!</v>
      </c>
      <c r="CX109" t="e">
        <f>AND('Test Script'!#REF!,"AAAAABftf2U=")</f>
        <v>#REF!</v>
      </c>
      <c r="CY109" t="e">
        <f>AND('Test Script'!#REF!,"AAAAABftf2Y=")</f>
        <v>#REF!</v>
      </c>
      <c r="CZ109" t="e">
        <f>AND('Test Script'!#REF!,"AAAAABftf2c=")</f>
        <v>#REF!</v>
      </c>
      <c r="DA109" t="e">
        <f>IF('Test Script'!#REF!,"AAAAABftf2g=",0)</f>
        <v>#REF!</v>
      </c>
      <c r="DB109" t="e">
        <f>AND('Test Script'!#REF!,"AAAAABftf2k=")</f>
        <v>#REF!</v>
      </c>
      <c r="DC109" t="e">
        <f>AND('Test Script'!#REF!,"AAAAABftf2o=")</f>
        <v>#REF!</v>
      </c>
      <c r="DD109" t="e">
        <f>AND('Test Script'!#REF!,"AAAAABftf2s=")</f>
        <v>#REF!</v>
      </c>
      <c r="DE109" t="e">
        <f>AND('Test Script'!#REF!,"AAAAABftf2w=")</f>
        <v>#REF!</v>
      </c>
      <c r="DF109" t="e">
        <f>AND('Test Script'!#REF!,"AAAAABftf20=")</f>
        <v>#REF!</v>
      </c>
      <c r="DG109" t="e">
        <f>AND('Test Script'!#REF!,"AAAAABftf24=")</f>
        <v>#REF!</v>
      </c>
      <c r="DH109" t="e">
        <f>AND('Test Script'!#REF!,"AAAAABftf28=")</f>
        <v>#REF!</v>
      </c>
      <c r="DI109" t="e">
        <f>AND('Test Script'!#REF!,"AAAAABftf3A=")</f>
        <v>#REF!</v>
      </c>
      <c r="DJ109" t="e">
        <f>AND('Test Script'!#REF!,"AAAAABftf3E=")</f>
        <v>#REF!</v>
      </c>
      <c r="DK109" t="e">
        <f>AND('Test Script'!#REF!,"AAAAABftf3I=")</f>
        <v>#REF!</v>
      </c>
      <c r="DL109" t="e">
        <f>AND('Test Script'!#REF!,"AAAAABftf3M=")</f>
        <v>#REF!</v>
      </c>
      <c r="DM109" t="e">
        <f>AND('Test Script'!#REF!,"AAAAABftf3Q=")</f>
        <v>#REF!</v>
      </c>
      <c r="DN109" t="e">
        <f>AND('Test Script'!#REF!,"AAAAABftf3U=")</f>
        <v>#REF!</v>
      </c>
      <c r="DO109" t="e">
        <f>AND('Test Script'!#REF!,"AAAAABftf3Y=")</f>
        <v>#REF!</v>
      </c>
      <c r="DP109" t="e">
        <f>AND('Test Script'!#REF!,"AAAAABftf3c=")</f>
        <v>#REF!</v>
      </c>
      <c r="DQ109" t="e">
        <f>AND('Test Script'!#REF!,"AAAAABftf3g=")</f>
        <v>#REF!</v>
      </c>
      <c r="DR109" t="e">
        <f>AND('Test Script'!#REF!,"AAAAABftf3k=")</f>
        <v>#REF!</v>
      </c>
      <c r="DS109" t="e">
        <f>AND('Test Script'!#REF!,"AAAAABftf3o=")</f>
        <v>#REF!</v>
      </c>
      <c r="DT109" t="e">
        <f>AND('Test Script'!#REF!,"AAAAABftf3s=")</f>
        <v>#REF!</v>
      </c>
      <c r="DU109" t="e">
        <f>AND('Test Script'!#REF!,"AAAAABftf3w=")</f>
        <v>#REF!</v>
      </c>
      <c r="DV109" t="e">
        <f>AND('Test Script'!#REF!,"AAAAABftf30=")</f>
        <v>#REF!</v>
      </c>
      <c r="DW109" t="e">
        <f>AND('Test Script'!#REF!,"AAAAABftf34=")</f>
        <v>#REF!</v>
      </c>
      <c r="DX109" t="e">
        <f>AND('Test Script'!#REF!,"AAAAABftf38=")</f>
        <v>#REF!</v>
      </c>
      <c r="DY109" t="e">
        <f>AND('Test Script'!#REF!,"AAAAABftf4A=")</f>
        <v>#REF!</v>
      </c>
      <c r="DZ109" t="e">
        <f>AND('Test Script'!#REF!,"AAAAABftf4E=")</f>
        <v>#REF!</v>
      </c>
      <c r="EA109" t="e">
        <f>AND('Test Script'!#REF!,"AAAAABftf4I=")</f>
        <v>#REF!</v>
      </c>
      <c r="EB109" t="e">
        <f>IF('Test Script'!#REF!,"AAAAABftf4M=",0)</f>
        <v>#REF!</v>
      </c>
      <c r="EC109" t="e">
        <f>AND('Test Script'!#REF!,"AAAAABftf4Q=")</f>
        <v>#REF!</v>
      </c>
      <c r="ED109" t="e">
        <f>AND('Test Script'!#REF!,"AAAAABftf4U=")</f>
        <v>#REF!</v>
      </c>
      <c r="EE109" t="e">
        <f>AND('Test Script'!#REF!,"AAAAABftf4Y=")</f>
        <v>#REF!</v>
      </c>
      <c r="EF109" t="e">
        <f>AND('Test Script'!#REF!,"AAAAABftf4c=")</f>
        <v>#REF!</v>
      </c>
      <c r="EG109" t="e">
        <f>AND('Test Script'!#REF!,"AAAAABftf4g=")</f>
        <v>#REF!</v>
      </c>
      <c r="EH109" t="e">
        <f>AND('Test Script'!#REF!,"AAAAABftf4k=")</f>
        <v>#REF!</v>
      </c>
      <c r="EI109" t="e">
        <f>AND('Test Script'!#REF!,"AAAAABftf4o=")</f>
        <v>#REF!</v>
      </c>
      <c r="EJ109" t="e">
        <f>AND('Test Script'!#REF!,"AAAAABftf4s=")</f>
        <v>#REF!</v>
      </c>
      <c r="EK109" t="e">
        <f>AND('Test Script'!#REF!,"AAAAABftf4w=")</f>
        <v>#REF!</v>
      </c>
      <c r="EL109" t="e">
        <f>AND('Test Script'!#REF!,"AAAAABftf40=")</f>
        <v>#REF!</v>
      </c>
      <c r="EM109" t="e">
        <f>AND('Test Script'!#REF!,"AAAAABftf44=")</f>
        <v>#REF!</v>
      </c>
      <c r="EN109" t="e">
        <f>AND('Test Script'!#REF!,"AAAAABftf48=")</f>
        <v>#REF!</v>
      </c>
      <c r="EO109" t="e">
        <f>AND('Test Script'!#REF!,"AAAAABftf5A=")</f>
        <v>#REF!</v>
      </c>
      <c r="EP109" t="e">
        <f>AND('Test Script'!#REF!,"AAAAABftf5E=")</f>
        <v>#REF!</v>
      </c>
      <c r="EQ109" t="e">
        <f>AND('Test Script'!#REF!,"AAAAABftf5I=")</f>
        <v>#REF!</v>
      </c>
      <c r="ER109" t="e">
        <f>AND('Test Script'!#REF!,"AAAAABftf5M=")</f>
        <v>#REF!</v>
      </c>
      <c r="ES109" t="e">
        <f>AND('Test Script'!#REF!,"AAAAABftf5Q=")</f>
        <v>#REF!</v>
      </c>
      <c r="ET109" t="e">
        <f>AND('Test Script'!#REF!,"AAAAABftf5U=")</f>
        <v>#REF!</v>
      </c>
      <c r="EU109" t="e">
        <f>AND('Test Script'!#REF!,"AAAAABftf5Y=")</f>
        <v>#REF!</v>
      </c>
      <c r="EV109" t="e">
        <f>AND('Test Script'!#REF!,"AAAAABftf5c=")</f>
        <v>#REF!</v>
      </c>
      <c r="EW109" t="e">
        <f>AND('Test Script'!#REF!,"AAAAABftf5g=")</f>
        <v>#REF!</v>
      </c>
      <c r="EX109" t="e">
        <f>AND('Test Script'!#REF!,"AAAAABftf5k=")</f>
        <v>#REF!</v>
      </c>
      <c r="EY109" t="e">
        <f>AND('Test Script'!#REF!,"AAAAABftf5o=")</f>
        <v>#REF!</v>
      </c>
      <c r="EZ109" t="e">
        <f>AND('Test Script'!#REF!,"AAAAABftf5s=")</f>
        <v>#REF!</v>
      </c>
      <c r="FA109" t="e">
        <f>AND('Test Script'!#REF!,"AAAAABftf5w=")</f>
        <v>#REF!</v>
      </c>
      <c r="FB109" t="e">
        <f>AND('Test Script'!#REF!,"AAAAABftf50=")</f>
        <v>#REF!</v>
      </c>
      <c r="FC109" t="e">
        <f>IF('Test Script'!#REF!,"AAAAABftf54=",0)</f>
        <v>#REF!</v>
      </c>
      <c r="FD109" t="e">
        <f>AND('Test Script'!#REF!,"AAAAABftf58=")</f>
        <v>#REF!</v>
      </c>
      <c r="FE109" t="e">
        <f>AND('Test Script'!#REF!,"AAAAABftf6A=")</f>
        <v>#REF!</v>
      </c>
      <c r="FF109" t="e">
        <f>AND('Test Script'!#REF!,"AAAAABftf6E=")</f>
        <v>#REF!</v>
      </c>
      <c r="FG109" t="e">
        <f>AND('Test Script'!#REF!,"AAAAABftf6I=")</f>
        <v>#REF!</v>
      </c>
      <c r="FH109" t="e">
        <f>AND('Test Script'!#REF!,"AAAAABftf6M=")</f>
        <v>#REF!</v>
      </c>
      <c r="FI109" t="e">
        <f>AND('Test Script'!#REF!,"AAAAABftf6Q=")</f>
        <v>#REF!</v>
      </c>
      <c r="FJ109" t="e">
        <f>AND('Test Script'!#REF!,"AAAAABftf6U=")</f>
        <v>#REF!</v>
      </c>
      <c r="FK109" t="e">
        <f>AND('Test Script'!#REF!,"AAAAABftf6Y=")</f>
        <v>#REF!</v>
      </c>
      <c r="FL109" t="e">
        <f>AND('Test Script'!#REF!,"AAAAABftf6c=")</f>
        <v>#REF!</v>
      </c>
      <c r="FM109" t="e">
        <f>AND('Test Script'!#REF!,"AAAAABftf6g=")</f>
        <v>#REF!</v>
      </c>
      <c r="FN109" t="e">
        <f>AND('Test Script'!#REF!,"AAAAABftf6k=")</f>
        <v>#REF!</v>
      </c>
      <c r="FO109" t="e">
        <f>AND('Test Script'!#REF!,"AAAAABftf6o=")</f>
        <v>#REF!</v>
      </c>
      <c r="FP109" t="e">
        <f>AND('Test Script'!#REF!,"AAAAABftf6s=")</f>
        <v>#REF!</v>
      </c>
      <c r="FQ109" t="e">
        <f>AND('Test Script'!#REF!,"AAAAABftf6w=")</f>
        <v>#REF!</v>
      </c>
      <c r="FR109" t="e">
        <f>AND('Test Script'!#REF!,"AAAAABftf60=")</f>
        <v>#REF!</v>
      </c>
      <c r="FS109" t="e">
        <f>AND('Test Script'!#REF!,"AAAAABftf64=")</f>
        <v>#REF!</v>
      </c>
      <c r="FT109" t="e">
        <f>AND('Test Script'!#REF!,"AAAAABftf68=")</f>
        <v>#REF!</v>
      </c>
      <c r="FU109" t="e">
        <f>AND('Test Script'!#REF!,"AAAAABftf7A=")</f>
        <v>#REF!</v>
      </c>
      <c r="FV109" t="e">
        <f>AND('Test Script'!#REF!,"AAAAABftf7E=")</f>
        <v>#REF!</v>
      </c>
      <c r="FW109" t="e">
        <f>AND('Test Script'!#REF!,"AAAAABftf7I=")</f>
        <v>#REF!</v>
      </c>
      <c r="FX109" t="e">
        <f>AND('Test Script'!#REF!,"AAAAABftf7M=")</f>
        <v>#REF!</v>
      </c>
      <c r="FY109" t="e">
        <f>AND('Test Script'!#REF!,"AAAAABftf7Q=")</f>
        <v>#REF!</v>
      </c>
      <c r="FZ109" t="e">
        <f>AND('Test Script'!#REF!,"AAAAABftf7U=")</f>
        <v>#REF!</v>
      </c>
      <c r="GA109" t="e">
        <f>AND('Test Script'!#REF!,"AAAAABftf7Y=")</f>
        <v>#REF!</v>
      </c>
      <c r="GB109" t="e">
        <f>AND('Test Script'!#REF!,"AAAAABftf7c=")</f>
        <v>#REF!</v>
      </c>
      <c r="GC109" t="e">
        <f>AND('Test Script'!#REF!,"AAAAABftf7g=")</f>
        <v>#REF!</v>
      </c>
      <c r="GD109" t="e">
        <f>IF('Test Script'!#REF!,"AAAAABftf7k=",0)</f>
        <v>#REF!</v>
      </c>
      <c r="GE109" t="e">
        <f>AND('Test Script'!#REF!,"AAAAABftf7o=")</f>
        <v>#REF!</v>
      </c>
      <c r="GF109" t="e">
        <f>AND('Test Script'!#REF!,"AAAAABftf7s=")</f>
        <v>#REF!</v>
      </c>
      <c r="GG109" t="e">
        <f>AND('Test Script'!#REF!,"AAAAABftf7w=")</f>
        <v>#REF!</v>
      </c>
      <c r="GH109" t="e">
        <f>AND('Test Script'!#REF!,"AAAAABftf70=")</f>
        <v>#REF!</v>
      </c>
      <c r="GI109" t="e">
        <f>AND('Test Script'!#REF!,"AAAAABftf74=")</f>
        <v>#REF!</v>
      </c>
      <c r="GJ109" t="e">
        <f>AND('Test Script'!#REF!,"AAAAABftf78=")</f>
        <v>#REF!</v>
      </c>
      <c r="GK109" t="e">
        <f>AND('Test Script'!#REF!,"AAAAABftf8A=")</f>
        <v>#REF!</v>
      </c>
      <c r="GL109" t="e">
        <f>AND('Test Script'!#REF!,"AAAAABftf8E=")</f>
        <v>#REF!</v>
      </c>
      <c r="GM109" t="e">
        <f>AND('Test Script'!#REF!,"AAAAABftf8I=")</f>
        <v>#REF!</v>
      </c>
      <c r="GN109" t="e">
        <f>AND('Test Script'!#REF!,"AAAAABftf8M=")</f>
        <v>#REF!</v>
      </c>
      <c r="GO109" t="e">
        <f>AND('Test Script'!#REF!,"AAAAABftf8Q=")</f>
        <v>#REF!</v>
      </c>
      <c r="GP109" t="e">
        <f>AND('Test Script'!#REF!,"AAAAABftf8U=")</f>
        <v>#REF!</v>
      </c>
      <c r="GQ109" t="e">
        <f>AND('Test Script'!#REF!,"AAAAABftf8Y=")</f>
        <v>#REF!</v>
      </c>
      <c r="GR109" t="e">
        <f>AND('Test Script'!#REF!,"AAAAABftf8c=")</f>
        <v>#REF!</v>
      </c>
      <c r="GS109" t="e">
        <f>AND('Test Script'!#REF!,"AAAAABftf8g=")</f>
        <v>#REF!</v>
      </c>
      <c r="GT109" t="e">
        <f>AND('Test Script'!#REF!,"AAAAABftf8k=")</f>
        <v>#REF!</v>
      </c>
      <c r="GU109" t="e">
        <f>AND('Test Script'!#REF!,"AAAAABftf8o=")</f>
        <v>#REF!</v>
      </c>
      <c r="GV109" t="e">
        <f>AND('Test Script'!#REF!,"AAAAABftf8s=")</f>
        <v>#REF!</v>
      </c>
      <c r="GW109" t="e">
        <f>AND('Test Script'!#REF!,"AAAAABftf8w=")</f>
        <v>#REF!</v>
      </c>
      <c r="GX109" t="e">
        <f>AND('Test Script'!#REF!,"AAAAABftf80=")</f>
        <v>#REF!</v>
      </c>
      <c r="GY109" t="e">
        <f>AND('Test Script'!#REF!,"AAAAABftf84=")</f>
        <v>#REF!</v>
      </c>
      <c r="GZ109" t="e">
        <f>AND('Test Script'!#REF!,"AAAAABftf88=")</f>
        <v>#REF!</v>
      </c>
      <c r="HA109" t="e">
        <f>AND('Test Script'!#REF!,"AAAAABftf9A=")</f>
        <v>#REF!</v>
      </c>
      <c r="HB109" t="e">
        <f>AND('Test Script'!#REF!,"AAAAABftf9E=")</f>
        <v>#REF!</v>
      </c>
      <c r="HC109" t="e">
        <f>AND('Test Script'!#REF!,"AAAAABftf9I=")</f>
        <v>#REF!</v>
      </c>
      <c r="HD109" t="e">
        <f>AND('Test Script'!#REF!,"AAAAABftf9M=")</f>
        <v>#REF!</v>
      </c>
      <c r="HE109" t="e">
        <f>IF('Test Script'!#REF!,"AAAAABftf9Q=",0)</f>
        <v>#REF!</v>
      </c>
      <c r="HF109" t="e">
        <f>AND('Test Script'!#REF!,"AAAAABftf9U=")</f>
        <v>#REF!</v>
      </c>
      <c r="HG109" t="e">
        <f>AND('Test Script'!#REF!,"AAAAABftf9Y=")</f>
        <v>#REF!</v>
      </c>
      <c r="HH109" t="e">
        <f>AND('Test Script'!#REF!,"AAAAABftf9c=")</f>
        <v>#REF!</v>
      </c>
      <c r="HI109" t="e">
        <f>AND('Test Script'!#REF!,"AAAAABftf9g=")</f>
        <v>#REF!</v>
      </c>
      <c r="HJ109" t="e">
        <f>AND('Test Script'!#REF!,"AAAAABftf9k=")</f>
        <v>#REF!</v>
      </c>
      <c r="HK109" t="e">
        <f>AND('Test Script'!#REF!,"AAAAABftf9o=")</f>
        <v>#REF!</v>
      </c>
      <c r="HL109" t="e">
        <f>AND('Test Script'!#REF!,"AAAAABftf9s=")</f>
        <v>#REF!</v>
      </c>
      <c r="HM109" t="e">
        <f>AND('Test Script'!#REF!,"AAAAABftf9w=")</f>
        <v>#REF!</v>
      </c>
      <c r="HN109" t="e">
        <f>AND('Test Script'!#REF!,"AAAAABftf90=")</f>
        <v>#REF!</v>
      </c>
      <c r="HO109" t="e">
        <f>AND('Test Script'!#REF!,"AAAAABftf94=")</f>
        <v>#REF!</v>
      </c>
      <c r="HP109" t="e">
        <f>AND('Test Script'!#REF!,"AAAAABftf98=")</f>
        <v>#REF!</v>
      </c>
      <c r="HQ109" t="e">
        <f>AND('Test Script'!#REF!,"AAAAABftf+A=")</f>
        <v>#REF!</v>
      </c>
      <c r="HR109" t="e">
        <f>AND('Test Script'!#REF!,"AAAAABftf+E=")</f>
        <v>#REF!</v>
      </c>
      <c r="HS109" t="e">
        <f>AND('Test Script'!#REF!,"AAAAABftf+I=")</f>
        <v>#REF!</v>
      </c>
      <c r="HT109" t="e">
        <f>AND('Test Script'!#REF!,"AAAAABftf+M=")</f>
        <v>#REF!</v>
      </c>
      <c r="HU109" t="e">
        <f>AND('Test Script'!#REF!,"AAAAABftf+Q=")</f>
        <v>#REF!</v>
      </c>
      <c r="HV109" t="e">
        <f>AND('Test Script'!#REF!,"AAAAABftf+U=")</f>
        <v>#REF!</v>
      </c>
      <c r="HW109" t="e">
        <f>AND('Test Script'!#REF!,"AAAAABftf+Y=")</f>
        <v>#REF!</v>
      </c>
      <c r="HX109" t="e">
        <f>AND('Test Script'!#REF!,"AAAAABftf+c=")</f>
        <v>#REF!</v>
      </c>
      <c r="HY109" t="e">
        <f>AND('Test Script'!#REF!,"AAAAABftf+g=")</f>
        <v>#REF!</v>
      </c>
      <c r="HZ109" t="e">
        <f>AND('Test Script'!#REF!,"AAAAABftf+k=")</f>
        <v>#REF!</v>
      </c>
      <c r="IA109" t="e">
        <f>AND('Test Script'!#REF!,"AAAAABftf+o=")</f>
        <v>#REF!</v>
      </c>
      <c r="IB109" t="e">
        <f>AND('Test Script'!#REF!,"AAAAABftf+s=")</f>
        <v>#REF!</v>
      </c>
      <c r="IC109" t="e">
        <f>AND('Test Script'!#REF!,"AAAAABftf+w=")</f>
        <v>#REF!</v>
      </c>
      <c r="ID109" t="e">
        <f>AND('Test Script'!#REF!,"AAAAABftf+0=")</f>
        <v>#REF!</v>
      </c>
      <c r="IE109" t="e">
        <f>AND('Test Script'!#REF!,"AAAAABftf+4=")</f>
        <v>#REF!</v>
      </c>
      <c r="IF109" t="e">
        <f>IF('Test Script'!#REF!,"AAAAABftf+8=",0)</f>
        <v>#REF!</v>
      </c>
      <c r="IG109" t="e">
        <f>AND('Test Script'!#REF!,"AAAAABftf/A=")</f>
        <v>#REF!</v>
      </c>
      <c r="IH109" t="e">
        <f>AND('Test Script'!#REF!,"AAAAABftf/E=")</f>
        <v>#REF!</v>
      </c>
      <c r="II109" t="e">
        <f>AND('Test Script'!#REF!,"AAAAABftf/I=")</f>
        <v>#REF!</v>
      </c>
      <c r="IJ109" t="e">
        <f>AND('Test Script'!#REF!,"AAAAABftf/M=")</f>
        <v>#REF!</v>
      </c>
      <c r="IK109" t="e">
        <f>AND('Test Script'!#REF!,"AAAAABftf/Q=")</f>
        <v>#REF!</v>
      </c>
      <c r="IL109" t="e">
        <f>AND('Test Script'!#REF!,"AAAAABftf/U=")</f>
        <v>#REF!</v>
      </c>
      <c r="IM109" t="e">
        <f>AND('Test Script'!#REF!,"AAAAABftf/Y=")</f>
        <v>#REF!</v>
      </c>
      <c r="IN109" t="e">
        <f>AND('Test Script'!#REF!,"AAAAABftf/c=")</f>
        <v>#REF!</v>
      </c>
      <c r="IO109" t="e">
        <f>AND('Test Script'!#REF!,"AAAAABftf/g=")</f>
        <v>#REF!</v>
      </c>
      <c r="IP109" t="e">
        <f>AND('Test Script'!#REF!,"AAAAABftf/k=")</f>
        <v>#REF!</v>
      </c>
      <c r="IQ109" t="e">
        <f>AND('Test Script'!#REF!,"AAAAABftf/o=")</f>
        <v>#REF!</v>
      </c>
      <c r="IR109" t="e">
        <f>AND('Test Script'!#REF!,"AAAAABftf/s=")</f>
        <v>#REF!</v>
      </c>
      <c r="IS109" t="e">
        <f>AND('Test Script'!#REF!,"AAAAABftf/w=")</f>
        <v>#REF!</v>
      </c>
      <c r="IT109" t="e">
        <f>AND('Test Script'!#REF!,"AAAAABftf/0=")</f>
        <v>#REF!</v>
      </c>
      <c r="IU109" t="e">
        <f>AND('Test Script'!#REF!,"AAAAABftf/4=")</f>
        <v>#REF!</v>
      </c>
      <c r="IV109" t="e">
        <f>AND('Test Script'!#REF!,"AAAAABftf/8=")</f>
        <v>#REF!</v>
      </c>
    </row>
    <row r="110" spans="1:256" x14ac:dyDescent="0.2">
      <c r="A110" t="e">
        <f>AND('Test Script'!#REF!,"AAAAAE/V8wA=")</f>
        <v>#REF!</v>
      </c>
      <c r="B110" t="e">
        <f>AND('Test Script'!#REF!,"AAAAAE/V8wE=")</f>
        <v>#REF!</v>
      </c>
      <c r="C110" t="e">
        <f>AND('Test Script'!#REF!,"AAAAAE/V8wI=")</f>
        <v>#REF!</v>
      </c>
      <c r="D110" t="e">
        <f>AND('Test Script'!#REF!,"AAAAAE/V8wM=")</f>
        <v>#REF!</v>
      </c>
      <c r="E110" t="e">
        <f>AND('Test Script'!#REF!,"AAAAAE/V8wQ=")</f>
        <v>#REF!</v>
      </c>
      <c r="F110" t="e">
        <f>AND('Test Script'!#REF!,"AAAAAE/V8wU=")</f>
        <v>#REF!</v>
      </c>
      <c r="G110" t="e">
        <f>AND('Test Script'!#REF!,"AAAAAE/V8wY=")</f>
        <v>#REF!</v>
      </c>
      <c r="H110" t="e">
        <f>AND('Test Script'!#REF!,"AAAAAE/V8wc=")</f>
        <v>#REF!</v>
      </c>
      <c r="I110" t="e">
        <f>AND('Test Script'!#REF!,"AAAAAE/V8wg=")</f>
        <v>#REF!</v>
      </c>
      <c r="J110" t="e">
        <f>AND('Test Script'!#REF!,"AAAAAE/V8wk=")</f>
        <v>#REF!</v>
      </c>
      <c r="K110" t="e">
        <f>IF('Test Script'!#REF!,"AAAAAE/V8wo=",0)</f>
        <v>#REF!</v>
      </c>
      <c r="L110" t="e">
        <f>AND('Test Script'!#REF!,"AAAAAE/V8ws=")</f>
        <v>#REF!</v>
      </c>
      <c r="M110" t="e">
        <f>AND('Test Script'!#REF!,"AAAAAE/V8ww=")</f>
        <v>#REF!</v>
      </c>
      <c r="N110" t="e">
        <f>AND('Test Script'!#REF!,"AAAAAE/V8w0=")</f>
        <v>#REF!</v>
      </c>
      <c r="O110" t="e">
        <f>AND('Test Script'!#REF!,"AAAAAE/V8w4=")</f>
        <v>#REF!</v>
      </c>
      <c r="P110" t="e">
        <f>AND('Test Script'!#REF!,"AAAAAE/V8w8=")</f>
        <v>#REF!</v>
      </c>
      <c r="Q110" t="e">
        <f>AND('Test Script'!#REF!,"AAAAAE/V8xA=")</f>
        <v>#REF!</v>
      </c>
      <c r="R110" t="e">
        <f>AND('Test Script'!#REF!,"AAAAAE/V8xE=")</f>
        <v>#REF!</v>
      </c>
      <c r="S110" t="e">
        <f>AND('Test Script'!#REF!,"AAAAAE/V8xI=")</f>
        <v>#REF!</v>
      </c>
      <c r="T110" t="e">
        <f>AND('Test Script'!#REF!,"AAAAAE/V8xM=")</f>
        <v>#REF!</v>
      </c>
      <c r="U110" t="e">
        <f>AND('Test Script'!#REF!,"AAAAAE/V8xQ=")</f>
        <v>#REF!</v>
      </c>
      <c r="V110" t="e">
        <f>AND('Test Script'!#REF!,"AAAAAE/V8xU=")</f>
        <v>#REF!</v>
      </c>
      <c r="W110" t="e">
        <f>AND('Test Script'!#REF!,"AAAAAE/V8xY=")</f>
        <v>#REF!</v>
      </c>
      <c r="X110" t="e">
        <f>AND('Test Script'!#REF!,"AAAAAE/V8xc=")</f>
        <v>#REF!</v>
      </c>
      <c r="Y110" t="e">
        <f>AND('Test Script'!#REF!,"AAAAAE/V8xg=")</f>
        <v>#REF!</v>
      </c>
      <c r="Z110" t="e">
        <f>AND('Test Script'!#REF!,"AAAAAE/V8xk=")</f>
        <v>#REF!</v>
      </c>
      <c r="AA110" t="e">
        <f>AND('Test Script'!#REF!,"AAAAAE/V8xo=")</f>
        <v>#REF!</v>
      </c>
      <c r="AB110" t="e">
        <f>AND('Test Script'!#REF!,"AAAAAE/V8xs=")</f>
        <v>#REF!</v>
      </c>
      <c r="AC110" t="e">
        <f>AND('Test Script'!#REF!,"AAAAAE/V8xw=")</f>
        <v>#REF!</v>
      </c>
      <c r="AD110" t="e">
        <f>AND('Test Script'!#REF!,"AAAAAE/V8x0=")</f>
        <v>#REF!</v>
      </c>
      <c r="AE110" t="e">
        <f>AND('Test Script'!#REF!,"AAAAAE/V8x4=")</f>
        <v>#REF!</v>
      </c>
      <c r="AF110" t="e">
        <f>AND('Test Script'!#REF!,"AAAAAE/V8x8=")</f>
        <v>#REF!</v>
      </c>
      <c r="AG110" t="e">
        <f>AND('Test Script'!#REF!,"AAAAAE/V8yA=")</f>
        <v>#REF!</v>
      </c>
      <c r="AH110" t="e">
        <f>AND('Test Script'!#REF!,"AAAAAE/V8yE=")</f>
        <v>#REF!</v>
      </c>
      <c r="AI110" t="e">
        <f>AND('Test Script'!#REF!,"AAAAAE/V8yI=")</f>
        <v>#REF!</v>
      </c>
      <c r="AJ110" t="e">
        <f>AND('Test Script'!#REF!,"AAAAAE/V8yM=")</f>
        <v>#REF!</v>
      </c>
      <c r="AK110" t="e">
        <f>AND('Test Script'!#REF!,"AAAAAE/V8yQ=")</f>
        <v>#REF!</v>
      </c>
      <c r="AL110" t="e">
        <f>IF('Test Script'!#REF!,"AAAAAE/V8yU=",0)</f>
        <v>#REF!</v>
      </c>
      <c r="AM110" t="e">
        <f>AND('Test Script'!#REF!,"AAAAAE/V8yY=")</f>
        <v>#REF!</v>
      </c>
      <c r="AN110" t="e">
        <f>AND('Test Script'!#REF!,"AAAAAE/V8yc=")</f>
        <v>#REF!</v>
      </c>
      <c r="AO110" t="e">
        <f>AND('Test Script'!#REF!,"AAAAAE/V8yg=")</f>
        <v>#REF!</v>
      </c>
      <c r="AP110" t="e">
        <f>AND('Test Script'!#REF!,"AAAAAE/V8yk=")</f>
        <v>#REF!</v>
      </c>
      <c r="AQ110" t="e">
        <f>AND('Test Script'!#REF!,"AAAAAE/V8yo=")</f>
        <v>#REF!</v>
      </c>
      <c r="AR110" t="e">
        <f>AND('Test Script'!#REF!,"AAAAAE/V8ys=")</f>
        <v>#REF!</v>
      </c>
      <c r="AS110" t="e">
        <f>AND('Test Script'!#REF!,"AAAAAE/V8yw=")</f>
        <v>#REF!</v>
      </c>
      <c r="AT110" t="e">
        <f>AND('Test Script'!#REF!,"AAAAAE/V8y0=")</f>
        <v>#REF!</v>
      </c>
      <c r="AU110" t="e">
        <f>AND('Test Script'!#REF!,"AAAAAE/V8y4=")</f>
        <v>#REF!</v>
      </c>
      <c r="AV110" t="e">
        <f>AND('Test Script'!#REF!,"AAAAAE/V8y8=")</f>
        <v>#REF!</v>
      </c>
      <c r="AW110" t="e">
        <f>AND('Test Script'!#REF!,"AAAAAE/V8zA=")</f>
        <v>#REF!</v>
      </c>
      <c r="AX110" t="e">
        <f>AND('Test Script'!#REF!,"AAAAAE/V8zE=")</f>
        <v>#REF!</v>
      </c>
      <c r="AY110" t="e">
        <f>AND('Test Script'!#REF!,"AAAAAE/V8zI=")</f>
        <v>#REF!</v>
      </c>
      <c r="AZ110" t="e">
        <f>AND('Test Script'!#REF!,"AAAAAE/V8zM=")</f>
        <v>#REF!</v>
      </c>
      <c r="BA110" t="e">
        <f>AND('Test Script'!#REF!,"AAAAAE/V8zQ=")</f>
        <v>#REF!</v>
      </c>
      <c r="BB110" t="e">
        <f>AND('Test Script'!#REF!,"AAAAAE/V8zU=")</f>
        <v>#REF!</v>
      </c>
      <c r="BC110" t="e">
        <f>AND('Test Script'!#REF!,"AAAAAE/V8zY=")</f>
        <v>#REF!</v>
      </c>
      <c r="BD110" t="e">
        <f>AND('Test Script'!#REF!,"AAAAAE/V8zc=")</f>
        <v>#REF!</v>
      </c>
      <c r="BE110" t="e">
        <f>AND('Test Script'!#REF!,"AAAAAE/V8zg=")</f>
        <v>#REF!</v>
      </c>
      <c r="BF110" t="e">
        <f>AND('Test Script'!#REF!,"AAAAAE/V8zk=")</f>
        <v>#REF!</v>
      </c>
      <c r="BG110" t="e">
        <f>AND('Test Script'!#REF!,"AAAAAE/V8zo=")</f>
        <v>#REF!</v>
      </c>
      <c r="BH110" t="e">
        <f>AND('Test Script'!#REF!,"AAAAAE/V8zs=")</f>
        <v>#REF!</v>
      </c>
      <c r="BI110" t="e">
        <f>AND('Test Script'!#REF!,"AAAAAE/V8zw=")</f>
        <v>#REF!</v>
      </c>
      <c r="BJ110" t="e">
        <f>AND('Test Script'!#REF!,"AAAAAE/V8z0=")</f>
        <v>#REF!</v>
      </c>
      <c r="BK110" t="e">
        <f>AND('Test Script'!#REF!,"AAAAAE/V8z4=")</f>
        <v>#REF!</v>
      </c>
      <c r="BL110" t="e">
        <f>AND('Test Script'!#REF!,"AAAAAE/V8z8=")</f>
        <v>#REF!</v>
      </c>
      <c r="BM110" t="e">
        <f>IF('Test Script'!#REF!,"AAAAAE/V80A=",0)</f>
        <v>#REF!</v>
      </c>
      <c r="BN110" t="e">
        <f>AND('Test Script'!#REF!,"AAAAAE/V80E=")</f>
        <v>#REF!</v>
      </c>
      <c r="BO110" t="e">
        <f>AND('Test Script'!#REF!,"AAAAAE/V80I=")</f>
        <v>#REF!</v>
      </c>
      <c r="BP110" t="e">
        <f>AND('Test Script'!#REF!,"AAAAAE/V80M=")</f>
        <v>#REF!</v>
      </c>
      <c r="BQ110" t="e">
        <f>AND('Test Script'!#REF!,"AAAAAE/V80Q=")</f>
        <v>#REF!</v>
      </c>
      <c r="BR110" t="e">
        <f>AND('Test Script'!#REF!,"AAAAAE/V80U=")</f>
        <v>#REF!</v>
      </c>
      <c r="BS110" t="e">
        <f>AND('Test Script'!#REF!,"AAAAAE/V80Y=")</f>
        <v>#REF!</v>
      </c>
      <c r="BT110" t="e">
        <f>AND('Test Script'!#REF!,"AAAAAE/V80c=")</f>
        <v>#REF!</v>
      </c>
      <c r="BU110" t="e">
        <f>AND('Test Script'!#REF!,"AAAAAE/V80g=")</f>
        <v>#REF!</v>
      </c>
      <c r="BV110" t="e">
        <f>AND('Test Script'!#REF!,"AAAAAE/V80k=")</f>
        <v>#REF!</v>
      </c>
      <c r="BW110" t="e">
        <f>AND('Test Script'!#REF!,"AAAAAE/V80o=")</f>
        <v>#REF!</v>
      </c>
      <c r="BX110" t="e">
        <f>AND('Test Script'!#REF!,"AAAAAE/V80s=")</f>
        <v>#REF!</v>
      </c>
      <c r="BY110" t="e">
        <f>AND('Test Script'!#REF!,"AAAAAE/V80w=")</f>
        <v>#REF!</v>
      </c>
      <c r="BZ110" t="e">
        <f>AND('Test Script'!#REF!,"AAAAAE/V800=")</f>
        <v>#REF!</v>
      </c>
      <c r="CA110" t="e">
        <f>AND('Test Script'!#REF!,"AAAAAE/V804=")</f>
        <v>#REF!</v>
      </c>
      <c r="CB110" t="e">
        <f>AND('Test Script'!#REF!,"AAAAAE/V808=")</f>
        <v>#REF!</v>
      </c>
      <c r="CC110" t="e">
        <f>AND('Test Script'!#REF!,"AAAAAE/V81A=")</f>
        <v>#REF!</v>
      </c>
      <c r="CD110" t="e">
        <f>AND('Test Script'!#REF!,"AAAAAE/V81E=")</f>
        <v>#REF!</v>
      </c>
      <c r="CE110" t="e">
        <f>AND('Test Script'!#REF!,"AAAAAE/V81I=")</f>
        <v>#REF!</v>
      </c>
      <c r="CF110" t="e">
        <f>AND('Test Script'!#REF!,"AAAAAE/V81M=")</f>
        <v>#REF!</v>
      </c>
      <c r="CG110" t="e">
        <f>AND('Test Script'!#REF!,"AAAAAE/V81Q=")</f>
        <v>#REF!</v>
      </c>
      <c r="CH110" t="e">
        <f>AND('Test Script'!#REF!,"AAAAAE/V81U=")</f>
        <v>#REF!</v>
      </c>
      <c r="CI110" t="e">
        <f>AND('Test Script'!#REF!,"AAAAAE/V81Y=")</f>
        <v>#REF!</v>
      </c>
      <c r="CJ110" t="e">
        <f>AND('Test Script'!#REF!,"AAAAAE/V81c=")</f>
        <v>#REF!</v>
      </c>
      <c r="CK110" t="e">
        <f>AND('Test Script'!#REF!,"AAAAAE/V81g=")</f>
        <v>#REF!</v>
      </c>
      <c r="CL110" t="e">
        <f>AND('Test Script'!#REF!,"AAAAAE/V81k=")</f>
        <v>#REF!</v>
      </c>
      <c r="CM110" t="e">
        <f>AND('Test Script'!#REF!,"AAAAAE/V81o=")</f>
        <v>#REF!</v>
      </c>
      <c r="CN110" t="e">
        <f>IF('Test Script'!#REF!,"AAAAAE/V81s=",0)</f>
        <v>#REF!</v>
      </c>
      <c r="CO110" t="e">
        <f>AND('Test Script'!#REF!,"AAAAAE/V81w=")</f>
        <v>#REF!</v>
      </c>
      <c r="CP110" t="e">
        <f>AND('Test Script'!#REF!,"AAAAAE/V810=")</f>
        <v>#REF!</v>
      </c>
      <c r="CQ110" t="e">
        <f>AND('Test Script'!#REF!,"AAAAAE/V814=")</f>
        <v>#REF!</v>
      </c>
      <c r="CR110" t="e">
        <f>AND('Test Script'!#REF!,"AAAAAE/V818=")</f>
        <v>#REF!</v>
      </c>
      <c r="CS110" t="e">
        <f>AND('Test Script'!#REF!,"AAAAAE/V82A=")</f>
        <v>#REF!</v>
      </c>
      <c r="CT110" t="e">
        <f>AND('Test Script'!#REF!,"AAAAAE/V82E=")</f>
        <v>#REF!</v>
      </c>
      <c r="CU110" t="e">
        <f>AND('Test Script'!#REF!,"AAAAAE/V82I=")</f>
        <v>#REF!</v>
      </c>
      <c r="CV110" t="e">
        <f>AND('Test Script'!#REF!,"AAAAAE/V82M=")</f>
        <v>#REF!</v>
      </c>
      <c r="CW110" t="e">
        <f>AND('Test Script'!#REF!,"AAAAAE/V82Q=")</f>
        <v>#REF!</v>
      </c>
      <c r="CX110" t="e">
        <f>AND('Test Script'!#REF!,"AAAAAE/V82U=")</f>
        <v>#REF!</v>
      </c>
      <c r="CY110" t="e">
        <f>AND('Test Script'!#REF!,"AAAAAE/V82Y=")</f>
        <v>#REF!</v>
      </c>
      <c r="CZ110" t="e">
        <f>AND('Test Script'!#REF!,"AAAAAE/V82c=")</f>
        <v>#REF!</v>
      </c>
      <c r="DA110" t="e">
        <f>AND('Test Script'!#REF!,"AAAAAE/V82g=")</f>
        <v>#REF!</v>
      </c>
      <c r="DB110" t="e">
        <f>AND('Test Script'!#REF!,"AAAAAE/V82k=")</f>
        <v>#REF!</v>
      </c>
      <c r="DC110" t="e">
        <f>AND('Test Script'!#REF!,"AAAAAE/V82o=")</f>
        <v>#REF!</v>
      </c>
      <c r="DD110" t="e">
        <f>AND('Test Script'!#REF!,"AAAAAE/V82s=")</f>
        <v>#REF!</v>
      </c>
      <c r="DE110" t="e">
        <f>AND('Test Script'!#REF!,"AAAAAE/V82w=")</f>
        <v>#REF!</v>
      </c>
      <c r="DF110" t="e">
        <f>AND('Test Script'!#REF!,"AAAAAE/V820=")</f>
        <v>#REF!</v>
      </c>
      <c r="DG110" t="e">
        <f>AND('Test Script'!#REF!,"AAAAAE/V824=")</f>
        <v>#REF!</v>
      </c>
      <c r="DH110" t="e">
        <f>AND('Test Script'!#REF!,"AAAAAE/V828=")</f>
        <v>#REF!</v>
      </c>
      <c r="DI110" t="e">
        <f>AND('Test Script'!#REF!,"AAAAAE/V83A=")</f>
        <v>#REF!</v>
      </c>
      <c r="DJ110" t="e">
        <f>AND('Test Script'!#REF!,"AAAAAE/V83E=")</f>
        <v>#REF!</v>
      </c>
      <c r="DK110" t="e">
        <f>AND('Test Script'!#REF!,"AAAAAE/V83I=")</f>
        <v>#REF!</v>
      </c>
      <c r="DL110" t="e">
        <f>AND('Test Script'!#REF!,"AAAAAE/V83M=")</f>
        <v>#REF!</v>
      </c>
      <c r="DM110" t="e">
        <f>AND('Test Script'!#REF!,"AAAAAE/V83Q=")</f>
        <v>#REF!</v>
      </c>
      <c r="DN110" t="e">
        <f>AND('Test Script'!#REF!,"AAAAAE/V83U=")</f>
        <v>#REF!</v>
      </c>
      <c r="DO110" t="e">
        <f>IF('Test Script'!#REF!,"AAAAAE/V83Y=",0)</f>
        <v>#REF!</v>
      </c>
      <c r="DP110" t="e">
        <f>AND('Test Script'!#REF!,"AAAAAE/V83c=")</f>
        <v>#REF!</v>
      </c>
      <c r="DQ110" t="e">
        <f>AND('Test Script'!#REF!,"AAAAAE/V83g=")</f>
        <v>#REF!</v>
      </c>
      <c r="DR110" t="e">
        <f>AND('Test Script'!#REF!,"AAAAAE/V83k=")</f>
        <v>#REF!</v>
      </c>
      <c r="DS110" t="e">
        <f>AND('Test Script'!#REF!,"AAAAAE/V83o=")</f>
        <v>#REF!</v>
      </c>
      <c r="DT110" t="e">
        <f>AND('Test Script'!#REF!,"AAAAAE/V83s=")</f>
        <v>#REF!</v>
      </c>
      <c r="DU110" t="e">
        <f>AND('Test Script'!#REF!,"AAAAAE/V83w=")</f>
        <v>#REF!</v>
      </c>
      <c r="DV110" t="e">
        <f>AND('Test Script'!#REF!,"AAAAAE/V830=")</f>
        <v>#REF!</v>
      </c>
      <c r="DW110" t="e">
        <f>AND('Test Script'!#REF!,"AAAAAE/V834=")</f>
        <v>#REF!</v>
      </c>
      <c r="DX110" t="e">
        <f>AND('Test Script'!#REF!,"AAAAAE/V838=")</f>
        <v>#REF!</v>
      </c>
      <c r="DY110" t="e">
        <f>AND('Test Script'!#REF!,"AAAAAE/V84A=")</f>
        <v>#REF!</v>
      </c>
      <c r="DZ110" t="e">
        <f>AND('Test Script'!#REF!,"AAAAAE/V84E=")</f>
        <v>#REF!</v>
      </c>
      <c r="EA110" t="e">
        <f>AND('Test Script'!#REF!,"AAAAAE/V84I=")</f>
        <v>#REF!</v>
      </c>
      <c r="EB110" t="e">
        <f>AND('Test Script'!#REF!,"AAAAAE/V84M=")</f>
        <v>#REF!</v>
      </c>
      <c r="EC110" t="e">
        <f>AND('Test Script'!#REF!,"AAAAAE/V84Q=")</f>
        <v>#REF!</v>
      </c>
      <c r="ED110" t="e">
        <f>AND('Test Script'!#REF!,"AAAAAE/V84U=")</f>
        <v>#REF!</v>
      </c>
      <c r="EE110" t="e">
        <f>AND('Test Script'!#REF!,"AAAAAE/V84Y=")</f>
        <v>#REF!</v>
      </c>
      <c r="EF110" t="e">
        <f>AND('Test Script'!#REF!,"AAAAAE/V84c=")</f>
        <v>#REF!</v>
      </c>
      <c r="EG110" t="e">
        <f>AND('Test Script'!#REF!,"AAAAAE/V84g=")</f>
        <v>#REF!</v>
      </c>
      <c r="EH110" t="e">
        <f>AND('Test Script'!#REF!,"AAAAAE/V84k=")</f>
        <v>#REF!</v>
      </c>
      <c r="EI110" t="e">
        <f>AND('Test Script'!#REF!,"AAAAAE/V84o=")</f>
        <v>#REF!</v>
      </c>
      <c r="EJ110" t="e">
        <f>AND('Test Script'!#REF!,"AAAAAE/V84s=")</f>
        <v>#REF!</v>
      </c>
      <c r="EK110" t="e">
        <f>AND('Test Script'!#REF!,"AAAAAE/V84w=")</f>
        <v>#REF!</v>
      </c>
      <c r="EL110" t="e">
        <f>AND('Test Script'!#REF!,"AAAAAE/V840=")</f>
        <v>#REF!</v>
      </c>
      <c r="EM110" t="e">
        <f>AND('Test Script'!#REF!,"AAAAAE/V844=")</f>
        <v>#REF!</v>
      </c>
      <c r="EN110" t="e">
        <f>AND('Test Script'!#REF!,"AAAAAE/V848=")</f>
        <v>#REF!</v>
      </c>
      <c r="EO110" t="e">
        <f>AND('Test Script'!#REF!,"AAAAAE/V85A=")</f>
        <v>#REF!</v>
      </c>
      <c r="EP110" t="e">
        <f>IF('Test Script'!#REF!,"AAAAAE/V85E=",0)</f>
        <v>#REF!</v>
      </c>
      <c r="EQ110" t="e">
        <f>AND('Test Script'!#REF!,"AAAAAE/V85I=")</f>
        <v>#REF!</v>
      </c>
      <c r="ER110" t="e">
        <f>AND('Test Script'!#REF!,"AAAAAE/V85M=")</f>
        <v>#REF!</v>
      </c>
      <c r="ES110" t="e">
        <f>AND('Test Script'!#REF!,"AAAAAE/V85Q=")</f>
        <v>#REF!</v>
      </c>
      <c r="ET110" t="e">
        <f>AND('Test Script'!#REF!,"AAAAAE/V85U=")</f>
        <v>#REF!</v>
      </c>
      <c r="EU110" t="e">
        <f>AND('Test Script'!#REF!,"AAAAAE/V85Y=")</f>
        <v>#REF!</v>
      </c>
      <c r="EV110" t="e">
        <f>AND('Test Script'!#REF!,"AAAAAE/V85c=")</f>
        <v>#REF!</v>
      </c>
      <c r="EW110" t="e">
        <f>AND('Test Script'!#REF!,"AAAAAE/V85g=")</f>
        <v>#REF!</v>
      </c>
      <c r="EX110" t="e">
        <f>AND('Test Script'!#REF!,"AAAAAE/V85k=")</f>
        <v>#REF!</v>
      </c>
      <c r="EY110" t="e">
        <f>AND('Test Script'!#REF!,"AAAAAE/V85o=")</f>
        <v>#REF!</v>
      </c>
      <c r="EZ110" t="e">
        <f>AND('Test Script'!#REF!,"AAAAAE/V85s=")</f>
        <v>#REF!</v>
      </c>
      <c r="FA110" t="e">
        <f>AND('Test Script'!#REF!,"AAAAAE/V85w=")</f>
        <v>#REF!</v>
      </c>
      <c r="FB110" t="e">
        <f>AND('Test Script'!#REF!,"AAAAAE/V850=")</f>
        <v>#REF!</v>
      </c>
      <c r="FC110" t="e">
        <f>AND('Test Script'!#REF!,"AAAAAE/V854=")</f>
        <v>#REF!</v>
      </c>
      <c r="FD110" t="e">
        <f>AND('Test Script'!#REF!,"AAAAAE/V858=")</f>
        <v>#REF!</v>
      </c>
      <c r="FE110" t="e">
        <f>AND('Test Script'!#REF!,"AAAAAE/V86A=")</f>
        <v>#REF!</v>
      </c>
      <c r="FF110" t="e">
        <f>AND('Test Script'!#REF!,"AAAAAE/V86E=")</f>
        <v>#REF!</v>
      </c>
      <c r="FG110" t="e">
        <f>AND('Test Script'!#REF!,"AAAAAE/V86I=")</f>
        <v>#REF!</v>
      </c>
      <c r="FH110" t="e">
        <f>AND('Test Script'!#REF!,"AAAAAE/V86M=")</f>
        <v>#REF!</v>
      </c>
      <c r="FI110" t="e">
        <f>AND('Test Script'!#REF!,"AAAAAE/V86Q=")</f>
        <v>#REF!</v>
      </c>
      <c r="FJ110" t="e">
        <f>AND('Test Script'!#REF!,"AAAAAE/V86U=")</f>
        <v>#REF!</v>
      </c>
      <c r="FK110" t="e">
        <f>AND('Test Script'!#REF!,"AAAAAE/V86Y=")</f>
        <v>#REF!</v>
      </c>
      <c r="FL110" t="e">
        <f>AND('Test Script'!#REF!,"AAAAAE/V86c=")</f>
        <v>#REF!</v>
      </c>
      <c r="FM110" t="e">
        <f>AND('Test Script'!#REF!,"AAAAAE/V86g=")</f>
        <v>#REF!</v>
      </c>
      <c r="FN110" t="e">
        <f>AND('Test Script'!#REF!,"AAAAAE/V86k=")</f>
        <v>#REF!</v>
      </c>
      <c r="FO110" t="e">
        <f>AND('Test Script'!#REF!,"AAAAAE/V86o=")</f>
        <v>#REF!</v>
      </c>
      <c r="FP110" t="e">
        <f>AND('Test Script'!#REF!,"AAAAAE/V86s=")</f>
        <v>#REF!</v>
      </c>
      <c r="FQ110" t="e">
        <f>IF('Test Script'!#REF!,"AAAAAE/V86w=",0)</f>
        <v>#REF!</v>
      </c>
      <c r="FR110" t="e">
        <f>AND('Test Script'!#REF!,"AAAAAE/V860=")</f>
        <v>#REF!</v>
      </c>
      <c r="FS110" t="e">
        <f>AND('Test Script'!#REF!,"AAAAAE/V864=")</f>
        <v>#REF!</v>
      </c>
      <c r="FT110" t="e">
        <f>AND('Test Script'!#REF!,"AAAAAE/V868=")</f>
        <v>#REF!</v>
      </c>
      <c r="FU110" t="e">
        <f>AND('Test Script'!#REF!,"AAAAAE/V87A=")</f>
        <v>#REF!</v>
      </c>
      <c r="FV110" t="e">
        <f>AND('Test Script'!#REF!,"AAAAAE/V87E=")</f>
        <v>#REF!</v>
      </c>
      <c r="FW110" t="e">
        <f>AND('Test Script'!#REF!,"AAAAAE/V87I=")</f>
        <v>#REF!</v>
      </c>
      <c r="FX110" t="e">
        <f>AND('Test Script'!#REF!,"AAAAAE/V87M=")</f>
        <v>#REF!</v>
      </c>
      <c r="FY110" t="e">
        <f>AND('Test Script'!#REF!,"AAAAAE/V87Q=")</f>
        <v>#REF!</v>
      </c>
      <c r="FZ110" t="e">
        <f>AND('Test Script'!#REF!,"AAAAAE/V87U=")</f>
        <v>#REF!</v>
      </c>
      <c r="GA110" t="e">
        <f>AND('Test Script'!#REF!,"AAAAAE/V87Y=")</f>
        <v>#REF!</v>
      </c>
      <c r="GB110" t="e">
        <f>AND('Test Script'!#REF!,"AAAAAE/V87c=")</f>
        <v>#REF!</v>
      </c>
      <c r="GC110" t="e">
        <f>AND('Test Script'!#REF!,"AAAAAE/V87g=")</f>
        <v>#REF!</v>
      </c>
      <c r="GD110" t="e">
        <f>AND('Test Script'!#REF!,"AAAAAE/V87k=")</f>
        <v>#REF!</v>
      </c>
      <c r="GE110" t="e">
        <f>AND('Test Script'!#REF!,"AAAAAE/V87o=")</f>
        <v>#REF!</v>
      </c>
      <c r="GF110" t="e">
        <f>AND('Test Script'!#REF!,"AAAAAE/V87s=")</f>
        <v>#REF!</v>
      </c>
      <c r="GG110" t="e">
        <f>AND('Test Script'!#REF!,"AAAAAE/V87w=")</f>
        <v>#REF!</v>
      </c>
      <c r="GH110" t="e">
        <f>AND('Test Script'!#REF!,"AAAAAE/V870=")</f>
        <v>#REF!</v>
      </c>
      <c r="GI110" t="e">
        <f>AND('Test Script'!#REF!,"AAAAAE/V874=")</f>
        <v>#REF!</v>
      </c>
      <c r="GJ110" t="e">
        <f>AND('Test Script'!#REF!,"AAAAAE/V878=")</f>
        <v>#REF!</v>
      </c>
      <c r="GK110" t="e">
        <f>AND('Test Script'!#REF!,"AAAAAE/V88A=")</f>
        <v>#REF!</v>
      </c>
      <c r="GL110" t="e">
        <f>AND('Test Script'!#REF!,"AAAAAE/V88E=")</f>
        <v>#REF!</v>
      </c>
      <c r="GM110" t="e">
        <f>AND('Test Script'!#REF!,"AAAAAE/V88I=")</f>
        <v>#REF!</v>
      </c>
      <c r="GN110" t="e">
        <f>AND('Test Script'!#REF!,"AAAAAE/V88M=")</f>
        <v>#REF!</v>
      </c>
      <c r="GO110" t="e">
        <f>AND('Test Script'!#REF!,"AAAAAE/V88Q=")</f>
        <v>#REF!</v>
      </c>
      <c r="GP110" t="e">
        <f>AND('Test Script'!#REF!,"AAAAAE/V88U=")</f>
        <v>#REF!</v>
      </c>
      <c r="GQ110" t="e">
        <f>AND('Test Script'!#REF!,"AAAAAE/V88Y=")</f>
        <v>#REF!</v>
      </c>
      <c r="GR110" t="e">
        <f>IF('Test Script'!#REF!,"AAAAAE/V88c=",0)</f>
        <v>#REF!</v>
      </c>
      <c r="GS110" t="e">
        <f>AND('Test Script'!#REF!,"AAAAAE/V88g=")</f>
        <v>#REF!</v>
      </c>
      <c r="GT110" t="e">
        <f>AND('Test Script'!#REF!,"AAAAAE/V88k=")</f>
        <v>#REF!</v>
      </c>
      <c r="GU110" t="e">
        <f>AND('Test Script'!#REF!,"AAAAAE/V88o=")</f>
        <v>#REF!</v>
      </c>
      <c r="GV110" t="e">
        <f>AND('Test Script'!#REF!,"AAAAAE/V88s=")</f>
        <v>#REF!</v>
      </c>
      <c r="GW110" t="e">
        <f>AND('Test Script'!#REF!,"AAAAAE/V88w=")</f>
        <v>#REF!</v>
      </c>
      <c r="GX110" t="e">
        <f>AND('Test Script'!#REF!,"AAAAAE/V880=")</f>
        <v>#REF!</v>
      </c>
      <c r="GY110" t="e">
        <f>AND('Test Script'!#REF!,"AAAAAE/V884=")</f>
        <v>#REF!</v>
      </c>
      <c r="GZ110" t="e">
        <f>AND('Test Script'!#REF!,"AAAAAE/V888=")</f>
        <v>#REF!</v>
      </c>
      <c r="HA110" t="e">
        <f>AND('Test Script'!#REF!,"AAAAAE/V89A=")</f>
        <v>#REF!</v>
      </c>
      <c r="HB110" t="e">
        <f>AND('Test Script'!#REF!,"AAAAAE/V89E=")</f>
        <v>#REF!</v>
      </c>
      <c r="HC110" t="e">
        <f>AND('Test Script'!#REF!,"AAAAAE/V89I=")</f>
        <v>#REF!</v>
      </c>
      <c r="HD110" t="e">
        <f>AND('Test Script'!#REF!,"AAAAAE/V89M=")</f>
        <v>#REF!</v>
      </c>
      <c r="HE110" t="e">
        <f>AND('Test Script'!#REF!,"AAAAAE/V89Q=")</f>
        <v>#REF!</v>
      </c>
      <c r="HF110" t="e">
        <f>AND('Test Script'!#REF!,"AAAAAE/V89U=")</f>
        <v>#REF!</v>
      </c>
      <c r="HG110" t="e">
        <f>AND('Test Script'!#REF!,"AAAAAE/V89Y=")</f>
        <v>#REF!</v>
      </c>
      <c r="HH110" t="e">
        <f>AND('Test Script'!#REF!,"AAAAAE/V89c=")</f>
        <v>#REF!</v>
      </c>
      <c r="HI110" t="e">
        <f>AND('Test Script'!#REF!,"AAAAAE/V89g=")</f>
        <v>#REF!</v>
      </c>
      <c r="HJ110" t="e">
        <f>AND('Test Script'!#REF!,"AAAAAE/V89k=")</f>
        <v>#REF!</v>
      </c>
      <c r="HK110" t="e">
        <f>AND('Test Script'!#REF!,"AAAAAE/V89o=")</f>
        <v>#REF!</v>
      </c>
      <c r="HL110" t="e">
        <f>AND('Test Script'!#REF!,"AAAAAE/V89s=")</f>
        <v>#REF!</v>
      </c>
      <c r="HM110" t="e">
        <f>AND('Test Script'!#REF!,"AAAAAE/V89w=")</f>
        <v>#REF!</v>
      </c>
      <c r="HN110" t="e">
        <f>AND('Test Script'!#REF!,"AAAAAE/V890=")</f>
        <v>#REF!</v>
      </c>
      <c r="HO110" t="e">
        <f>AND('Test Script'!#REF!,"AAAAAE/V894=")</f>
        <v>#REF!</v>
      </c>
      <c r="HP110" t="e">
        <f>AND('Test Script'!#REF!,"AAAAAE/V898=")</f>
        <v>#REF!</v>
      </c>
      <c r="HQ110" t="e">
        <f>AND('Test Script'!#REF!,"AAAAAE/V8+A=")</f>
        <v>#REF!</v>
      </c>
      <c r="HR110" t="e">
        <f>AND('Test Script'!#REF!,"AAAAAE/V8+E=")</f>
        <v>#REF!</v>
      </c>
      <c r="HS110" t="e">
        <f>IF('Test Script'!#REF!,"AAAAAE/V8+I=",0)</f>
        <v>#REF!</v>
      </c>
      <c r="HT110" t="e">
        <f>AND('Test Script'!#REF!,"AAAAAE/V8+M=")</f>
        <v>#REF!</v>
      </c>
      <c r="HU110" t="e">
        <f>AND('Test Script'!#REF!,"AAAAAE/V8+Q=")</f>
        <v>#REF!</v>
      </c>
      <c r="HV110" t="e">
        <f>AND('Test Script'!#REF!,"AAAAAE/V8+U=")</f>
        <v>#REF!</v>
      </c>
      <c r="HW110" t="e">
        <f>AND('Test Script'!#REF!,"AAAAAE/V8+Y=")</f>
        <v>#REF!</v>
      </c>
      <c r="HX110" t="e">
        <f>AND('Test Script'!#REF!,"AAAAAE/V8+c=")</f>
        <v>#REF!</v>
      </c>
      <c r="HY110" t="e">
        <f>AND('Test Script'!#REF!,"AAAAAE/V8+g=")</f>
        <v>#REF!</v>
      </c>
      <c r="HZ110" t="e">
        <f>AND('Test Script'!#REF!,"AAAAAE/V8+k=")</f>
        <v>#REF!</v>
      </c>
      <c r="IA110" t="e">
        <f>AND('Test Script'!#REF!,"AAAAAE/V8+o=")</f>
        <v>#REF!</v>
      </c>
      <c r="IB110" t="e">
        <f>AND('Test Script'!#REF!,"AAAAAE/V8+s=")</f>
        <v>#REF!</v>
      </c>
      <c r="IC110" t="e">
        <f>AND('Test Script'!#REF!,"AAAAAE/V8+w=")</f>
        <v>#REF!</v>
      </c>
      <c r="ID110" t="e">
        <f>AND('Test Script'!#REF!,"AAAAAE/V8+0=")</f>
        <v>#REF!</v>
      </c>
      <c r="IE110" t="e">
        <f>AND('Test Script'!#REF!,"AAAAAE/V8+4=")</f>
        <v>#REF!</v>
      </c>
      <c r="IF110" t="e">
        <f>AND('Test Script'!#REF!,"AAAAAE/V8+8=")</f>
        <v>#REF!</v>
      </c>
      <c r="IG110" t="e">
        <f>AND('Test Script'!#REF!,"AAAAAE/V8/A=")</f>
        <v>#REF!</v>
      </c>
      <c r="IH110" t="e">
        <f>AND('Test Script'!#REF!,"AAAAAE/V8/E=")</f>
        <v>#REF!</v>
      </c>
      <c r="II110" t="e">
        <f>AND('Test Script'!#REF!,"AAAAAE/V8/I=")</f>
        <v>#REF!</v>
      </c>
      <c r="IJ110" t="e">
        <f>AND('Test Script'!#REF!,"AAAAAE/V8/M=")</f>
        <v>#REF!</v>
      </c>
      <c r="IK110" t="e">
        <f>AND('Test Script'!#REF!,"AAAAAE/V8/Q=")</f>
        <v>#REF!</v>
      </c>
      <c r="IL110" t="e">
        <f>AND('Test Script'!#REF!,"AAAAAE/V8/U=")</f>
        <v>#REF!</v>
      </c>
      <c r="IM110" t="e">
        <f>AND('Test Script'!#REF!,"AAAAAE/V8/Y=")</f>
        <v>#REF!</v>
      </c>
      <c r="IN110" t="e">
        <f>AND('Test Script'!#REF!,"AAAAAE/V8/c=")</f>
        <v>#REF!</v>
      </c>
      <c r="IO110" t="e">
        <f>AND('Test Script'!#REF!,"AAAAAE/V8/g=")</f>
        <v>#REF!</v>
      </c>
      <c r="IP110" t="e">
        <f>AND('Test Script'!#REF!,"AAAAAE/V8/k=")</f>
        <v>#REF!</v>
      </c>
      <c r="IQ110" t="e">
        <f>AND('Test Script'!#REF!,"AAAAAE/V8/o=")</f>
        <v>#REF!</v>
      </c>
      <c r="IR110" t="e">
        <f>AND('Test Script'!#REF!,"AAAAAE/V8/s=")</f>
        <v>#REF!</v>
      </c>
      <c r="IS110" t="e">
        <f>AND('Test Script'!#REF!,"AAAAAE/V8/w=")</f>
        <v>#REF!</v>
      </c>
      <c r="IT110" t="e">
        <f>IF('Test Script'!#REF!,"AAAAAE/V8/0=",0)</f>
        <v>#REF!</v>
      </c>
      <c r="IU110" t="e">
        <f>AND('Test Script'!#REF!,"AAAAAE/V8/4=")</f>
        <v>#REF!</v>
      </c>
      <c r="IV110" t="e">
        <f>AND('Test Script'!#REF!,"AAAAAE/V8/8=")</f>
        <v>#REF!</v>
      </c>
    </row>
    <row r="111" spans="1:256" x14ac:dyDescent="0.2">
      <c r="A111" t="e">
        <f>AND('Test Script'!#REF!,"AAAAAE/+tQA=")</f>
        <v>#REF!</v>
      </c>
      <c r="B111" t="e">
        <f>AND('Test Script'!#REF!,"AAAAAE/+tQE=")</f>
        <v>#REF!</v>
      </c>
      <c r="C111" t="e">
        <f>AND('Test Script'!#REF!,"AAAAAE/+tQI=")</f>
        <v>#REF!</v>
      </c>
      <c r="D111" t="e">
        <f>AND('Test Script'!#REF!,"AAAAAE/+tQM=")</f>
        <v>#REF!</v>
      </c>
      <c r="E111" t="e">
        <f>AND('Test Script'!#REF!,"AAAAAE/+tQQ=")</f>
        <v>#REF!</v>
      </c>
      <c r="F111" t="e">
        <f>AND('Test Script'!#REF!,"AAAAAE/+tQU=")</f>
        <v>#REF!</v>
      </c>
      <c r="G111" t="e">
        <f>AND('Test Script'!#REF!,"AAAAAE/+tQY=")</f>
        <v>#REF!</v>
      </c>
      <c r="H111" t="e">
        <f>AND('Test Script'!#REF!,"AAAAAE/+tQc=")</f>
        <v>#REF!</v>
      </c>
      <c r="I111" t="e">
        <f>AND('Test Script'!#REF!,"AAAAAE/+tQg=")</f>
        <v>#REF!</v>
      </c>
      <c r="J111" t="e">
        <f>AND('Test Script'!#REF!,"AAAAAE/+tQk=")</f>
        <v>#REF!</v>
      </c>
      <c r="K111" t="e">
        <f>AND('Test Script'!#REF!,"AAAAAE/+tQo=")</f>
        <v>#REF!</v>
      </c>
      <c r="L111" t="e">
        <f>AND('Test Script'!#REF!,"AAAAAE/+tQs=")</f>
        <v>#REF!</v>
      </c>
      <c r="M111" t="e">
        <f>AND('Test Script'!#REF!,"AAAAAE/+tQw=")</f>
        <v>#REF!</v>
      </c>
      <c r="N111" t="e">
        <f>AND('Test Script'!#REF!,"AAAAAE/+tQ0=")</f>
        <v>#REF!</v>
      </c>
      <c r="O111" t="e">
        <f>AND('Test Script'!#REF!,"AAAAAE/+tQ4=")</f>
        <v>#REF!</v>
      </c>
      <c r="P111" t="e">
        <f>AND('Test Script'!#REF!,"AAAAAE/+tQ8=")</f>
        <v>#REF!</v>
      </c>
      <c r="Q111" t="e">
        <f>AND('Test Script'!#REF!,"AAAAAE/+tRA=")</f>
        <v>#REF!</v>
      </c>
      <c r="R111" t="e">
        <f>AND('Test Script'!#REF!,"AAAAAE/+tRE=")</f>
        <v>#REF!</v>
      </c>
      <c r="S111" t="e">
        <f>AND('Test Script'!#REF!,"AAAAAE/+tRI=")</f>
        <v>#REF!</v>
      </c>
      <c r="T111" t="e">
        <f>AND('Test Script'!#REF!,"AAAAAE/+tRM=")</f>
        <v>#REF!</v>
      </c>
      <c r="U111" t="e">
        <f>AND('Test Script'!#REF!,"AAAAAE/+tRQ=")</f>
        <v>#REF!</v>
      </c>
      <c r="V111" t="e">
        <f>AND('Test Script'!#REF!,"AAAAAE/+tRU=")</f>
        <v>#REF!</v>
      </c>
      <c r="W111" t="e">
        <f>AND('Test Script'!#REF!,"AAAAAE/+tRY=")</f>
        <v>#REF!</v>
      </c>
      <c r="X111" t="e">
        <f>AND('Test Script'!#REF!,"AAAAAE/+tRc=")</f>
        <v>#REF!</v>
      </c>
      <c r="Y111" t="e">
        <f>IF('Test Script'!#REF!,"AAAAAE/+tRg=",0)</f>
        <v>#REF!</v>
      </c>
      <c r="Z111" t="e">
        <f>AND('Test Script'!#REF!,"AAAAAE/+tRk=")</f>
        <v>#REF!</v>
      </c>
      <c r="AA111" t="e">
        <f>AND('Test Script'!#REF!,"AAAAAE/+tRo=")</f>
        <v>#REF!</v>
      </c>
      <c r="AB111" t="e">
        <f>AND('Test Script'!#REF!,"AAAAAE/+tRs=")</f>
        <v>#REF!</v>
      </c>
      <c r="AC111" t="e">
        <f>AND('Test Script'!#REF!,"AAAAAE/+tRw=")</f>
        <v>#REF!</v>
      </c>
      <c r="AD111" t="e">
        <f>AND('Test Script'!#REF!,"AAAAAE/+tR0=")</f>
        <v>#REF!</v>
      </c>
      <c r="AE111" t="e">
        <f>AND('Test Script'!#REF!,"AAAAAE/+tR4=")</f>
        <v>#REF!</v>
      </c>
      <c r="AF111" t="e">
        <f>AND('Test Script'!#REF!,"AAAAAE/+tR8=")</f>
        <v>#REF!</v>
      </c>
      <c r="AG111" t="e">
        <f>AND('Test Script'!#REF!,"AAAAAE/+tSA=")</f>
        <v>#REF!</v>
      </c>
      <c r="AH111" t="e">
        <f>AND('Test Script'!#REF!,"AAAAAE/+tSE=")</f>
        <v>#REF!</v>
      </c>
      <c r="AI111" t="e">
        <f>AND('Test Script'!#REF!,"AAAAAE/+tSI=")</f>
        <v>#REF!</v>
      </c>
      <c r="AJ111" t="e">
        <f>AND('Test Script'!#REF!,"AAAAAE/+tSM=")</f>
        <v>#REF!</v>
      </c>
      <c r="AK111" t="e">
        <f>AND('Test Script'!#REF!,"AAAAAE/+tSQ=")</f>
        <v>#REF!</v>
      </c>
      <c r="AL111" t="e">
        <f>AND('Test Script'!#REF!,"AAAAAE/+tSU=")</f>
        <v>#REF!</v>
      </c>
      <c r="AM111" t="e">
        <f>AND('Test Script'!#REF!,"AAAAAE/+tSY=")</f>
        <v>#REF!</v>
      </c>
      <c r="AN111" t="e">
        <f>AND('Test Script'!#REF!,"AAAAAE/+tSc=")</f>
        <v>#REF!</v>
      </c>
      <c r="AO111" t="e">
        <f>AND('Test Script'!#REF!,"AAAAAE/+tSg=")</f>
        <v>#REF!</v>
      </c>
      <c r="AP111" t="e">
        <f>AND('Test Script'!#REF!,"AAAAAE/+tSk=")</f>
        <v>#REF!</v>
      </c>
      <c r="AQ111" t="e">
        <f>AND('Test Script'!#REF!,"AAAAAE/+tSo=")</f>
        <v>#REF!</v>
      </c>
      <c r="AR111" t="e">
        <f>AND('Test Script'!#REF!,"AAAAAE/+tSs=")</f>
        <v>#REF!</v>
      </c>
      <c r="AS111" t="e">
        <f>AND('Test Script'!#REF!,"AAAAAE/+tSw=")</f>
        <v>#REF!</v>
      </c>
      <c r="AT111" t="e">
        <f>AND('Test Script'!#REF!,"AAAAAE/+tS0=")</f>
        <v>#REF!</v>
      </c>
      <c r="AU111" t="e">
        <f>AND('Test Script'!#REF!,"AAAAAE/+tS4=")</f>
        <v>#REF!</v>
      </c>
      <c r="AV111" t="e">
        <f>AND('Test Script'!#REF!,"AAAAAE/+tS8=")</f>
        <v>#REF!</v>
      </c>
      <c r="AW111" t="e">
        <f>AND('Test Script'!#REF!,"AAAAAE/+tTA=")</f>
        <v>#REF!</v>
      </c>
      <c r="AX111" t="e">
        <f>AND('Test Script'!#REF!,"AAAAAE/+tTE=")</f>
        <v>#REF!</v>
      </c>
      <c r="AY111" t="e">
        <f>AND('Test Script'!#REF!,"AAAAAE/+tTI=")</f>
        <v>#REF!</v>
      </c>
      <c r="AZ111" t="e">
        <f>IF('Test Script'!#REF!,"AAAAAE/+tTM=",0)</f>
        <v>#REF!</v>
      </c>
      <c r="BA111" t="e">
        <f>AND('Test Script'!#REF!,"AAAAAE/+tTQ=")</f>
        <v>#REF!</v>
      </c>
      <c r="BB111" t="e">
        <f>AND('Test Script'!#REF!,"AAAAAE/+tTU=")</f>
        <v>#REF!</v>
      </c>
      <c r="BC111" t="e">
        <f>AND('Test Script'!#REF!,"AAAAAE/+tTY=")</f>
        <v>#REF!</v>
      </c>
      <c r="BD111" t="e">
        <f>AND('Test Script'!#REF!,"AAAAAE/+tTc=")</f>
        <v>#REF!</v>
      </c>
      <c r="BE111" t="e">
        <f>AND('Test Script'!#REF!,"AAAAAE/+tTg=")</f>
        <v>#REF!</v>
      </c>
      <c r="BF111" t="e">
        <f>AND('Test Script'!#REF!,"AAAAAE/+tTk=")</f>
        <v>#REF!</v>
      </c>
      <c r="BG111" t="e">
        <f>AND('Test Script'!#REF!,"AAAAAE/+tTo=")</f>
        <v>#REF!</v>
      </c>
      <c r="BH111" t="e">
        <f>AND('Test Script'!#REF!,"AAAAAE/+tTs=")</f>
        <v>#REF!</v>
      </c>
      <c r="BI111" t="e">
        <f>AND('Test Script'!#REF!,"AAAAAE/+tTw=")</f>
        <v>#REF!</v>
      </c>
      <c r="BJ111" t="e">
        <f>AND('Test Script'!#REF!,"AAAAAE/+tT0=")</f>
        <v>#REF!</v>
      </c>
      <c r="BK111" t="e">
        <f>AND('Test Script'!#REF!,"AAAAAE/+tT4=")</f>
        <v>#REF!</v>
      </c>
      <c r="BL111" t="e">
        <f>AND('Test Script'!#REF!,"AAAAAE/+tT8=")</f>
        <v>#REF!</v>
      </c>
      <c r="BM111" t="e">
        <f>AND('Test Script'!#REF!,"AAAAAE/+tUA=")</f>
        <v>#REF!</v>
      </c>
      <c r="BN111" t="e">
        <f>AND('Test Script'!#REF!,"AAAAAE/+tUE=")</f>
        <v>#REF!</v>
      </c>
      <c r="BO111" t="e">
        <f>AND('Test Script'!#REF!,"AAAAAE/+tUI=")</f>
        <v>#REF!</v>
      </c>
      <c r="BP111" t="e">
        <f>AND('Test Script'!#REF!,"AAAAAE/+tUM=")</f>
        <v>#REF!</v>
      </c>
      <c r="BQ111" t="e">
        <f>AND('Test Script'!#REF!,"AAAAAE/+tUQ=")</f>
        <v>#REF!</v>
      </c>
      <c r="BR111" t="e">
        <f>AND('Test Script'!#REF!,"AAAAAE/+tUU=")</f>
        <v>#REF!</v>
      </c>
      <c r="BS111" t="e">
        <f>AND('Test Script'!#REF!,"AAAAAE/+tUY=")</f>
        <v>#REF!</v>
      </c>
      <c r="BT111" t="e">
        <f>AND('Test Script'!#REF!,"AAAAAE/+tUc=")</f>
        <v>#REF!</v>
      </c>
      <c r="BU111" t="e">
        <f>AND('Test Script'!#REF!,"AAAAAE/+tUg=")</f>
        <v>#REF!</v>
      </c>
      <c r="BV111" t="e">
        <f>AND('Test Script'!#REF!,"AAAAAE/+tUk=")</f>
        <v>#REF!</v>
      </c>
      <c r="BW111" t="e">
        <f>AND('Test Script'!#REF!,"AAAAAE/+tUo=")</f>
        <v>#REF!</v>
      </c>
      <c r="BX111" t="e">
        <f>AND('Test Script'!#REF!,"AAAAAE/+tUs=")</f>
        <v>#REF!</v>
      </c>
      <c r="BY111" t="e">
        <f>AND('Test Script'!#REF!,"AAAAAE/+tUw=")</f>
        <v>#REF!</v>
      </c>
      <c r="BZ111" t="e">
        <f>AND('Test Script'!#REF!,"AAAAAE/+tU0=")</f>
        <v>#REF!</v>
      </c>
      <c r="CA111" t="e">
        <f>IF('Test Script'!#REF!,"AAAAAE/+tU4=",0)</f>
        <v>#REF!</v>
      </c>
      <c r="CB111" t="e">
        <f>AND('Test Script'!#REF!,"AAAAAE/+tU8=")</f>
        <v>#REF!</v>
      </c>
      <c r="CC111" t="e">
        <f>AND('Test Script'!#REF!,"AAAAAE/+tVA=")</f>
        <v>#REF!</v>
      </c>
      <c r="CD111" t="e">
        <f>AND('Test Script'!#REF!,"AAAAAE/+tVE=")</f>
        <v>#REF!</v>
      </c>
      <c r="CE111" t="e">
        <f>AND('Test Script'!#REF!,"AAAAAE/+tVI=")</f>
        <v>#REF!</v>
      </c>
      <c r="CF111" t="e">
        <f>AND('Test Script'!#REF!,"AAAAAE/+tVM=")</f>
        <v>#REF!</v>
      </c>
      <c r="CG111" t="e">
        <f>AND('Test Script'!#REF!,"AAAAAE/+tVQ=")</f>
        <v>#REF!</v>
      </c>
      <c r="CH111" t="e">
        <f>AND('Test Script'!#REF!,"AAAAAE/+tVU=")</f>
        <v>#REF!</v>
      </c>
      <c r="CI111" t="e">
        <f>AND('Test Script'!#REF!,"AAAAAE/+tVY=")</f>
        <v>#REF!</v>
      </c>
      <c r="CJ111" t="e">
        <f>AND('Test Script'!#REF!,"AAAAAE/+tVc=")</f>
        <v>#REF!</v>
      </c>
      <c r="CK111" t="e">
        <f>AND('Test Script'!#REF!,"AAAAAE/+tVg=")</f>
        <v>#REF!</v>
      </c>
      <c r="CL111" t="e">
        <f>AND('Test Script'!#REF!,"AAAAAE/+tVk=")</f>
        <v>#REF!</v>
      </c>
      <c r="CM111" t="e">
        <f>AND('Test Script'!#REF!,"AAAAAE/+tVo=")</f>
        <v>#REF!</v>
      </c>
      <c r="CN111" t="e">
        <f>AND('Test Script'!#REF!,"AAAAAE/+tVs=")</f>
        <v>#REF!</v>
      </c>
      <c r="CO111" t="e">
        <f>AND('Test Script'!#REF!,"AAAAAE/+tVw=")</f>
        <v>#REF!</v>
      </c>
      <c r="CP111" t="e">
        <f>AND('Test Script'!#REF!,"AAAAAE/+tV0=")</f>
        <v>#REF!</v>
      </c>
      <c r="CQ111" t="e">
        <f>AND('Test Script'!#REF!,"AAAAAE/+tV4=")</f>
        <v>#REF!</v>
      </c>
      <c r="CR111" t="e">
        <f>AND('Test Script'!#REF!,"AAAAAE/+tV8=")</f>
        <v>#REF!</v>
      </c>
      <c r="CS111" t="e">
        <f>AND('Test Script'!#REF!,"AAAAAE/+tWA=")</f>
        <v>#REF!</v>
      </c>
      <c r="CT111" t="e">
        <f>AND('Test Script'!#REF!,"AAAAAE/+tWE=")</f>
        <v>#REF!</v>
      </c>
      <c r="CU111" t="e">
        <f>AND('Test Script'!#REF!,"AAAAAE/+tWI=")</f>
        <v>#REF!</v>
      </c>
      <c r="CV111" t="e">
        <f>AND('Test Script'!#REF!,"AAAAAE/+tWM=")</f>
        <v>#REF!</v>
      </c>
      <c r="CW111" t="e">
        <f>AND('Test Script'!#REF!,"AAAAAE/+tWQ=")</f>
        <v>#REF!</v>
      </c>
      <c r="CX111" t="e">
        <f>AND('Test Script'!#REF!,"AAAAAE/+tWU=")</f>
        <v>#REF!</v>
      </c>
      <c r="CY111" t="e">
        <f>AND('Test Script'!#REF!,"AAAAAE/+tWY=")</f>
        <v>#REF!</v>
      </c>
      <c r="CZ111" t="e">
        <f>AND('Test Script'!#REF!,"AAAAAE/+tWc=")</f>
        <v>#REF!</v>
      </c>
      <c r="DA111" t="e">
        <f>AND('Test Script'!#REF!,"AAAAAE/+tWg=")</f>
        <v>#REF!</v>
      </c>
      <c r="DB111" t="e">
        <f>IF('Test Script'!#REF!,"AAAAAE/+tWk=",0)</f>
        <v>#REF!</v>
      </c>
      <c r="DC111" t="e">
        <f>AND('Test Script'!#REF!,"AAAAAE/+tWo=")</f>
        <v>#REF!</v>
      </c>
      <c r="DD111" t="e">
        <f>AND('Test Script'!#REF!,"AAAAAE/+tWs=")</f>
        <v>#REF!</v>
      </c>
      <c r="DE111" t="e">
        <f>AND('Test Script'!#REF!,"AAAAAE/+tWw=")</f>
        <v>#REF!</v>
      </c>
      <c r="DF111" t="e">
        <f>AND('Test Script'!#REF!,"AAAAAE/+tW0=")</f>
        <v>#REF!</v>
      </c>
      <c r="DG111" t="e">
        <f>AND('Test Script'!#REF!,"AAAAAE/+tW4=")</f>
        <v>#REF!</v>
      </c>
      <c r="DH111" t="e">
        <f>AND('Test Script'!#REF!,"AAAAAE/+tW8=")</f>
        <v>#REF!</v>
      </c>
      <c r="DI111" t="e">
        <f>AND('Test Script'!#REF!,"AAAAAE/+tXA=")</f>
        <v>#REF!</v>
      </c>
      <c r="DJ111" t="e">
        <f>AND('Test Script'!#REF!,"AAAAAE/+tXE=")</f>
        <v>#REF!</v>
      </c>
      <c r="DK111" t="e">
        <f>AND('Test Script'!#REF!,"AAAAAE/+tXI=")</f>
        <v>#REF!</v>
      </c>
      <c r="DL111" t="e">
        <f>AND('Test Script'!#REF!,"AAAAAE/+tXM=")</f>
        <v>#REF!</v>
      </c>
      <c r="DM111" t="e">
        <f>AND('Test Script'!#REF!,"AAAAAE/+tXQ=")</f>
        <v>#REF!</v>
      </c>
      <c r="DN111" t="e">
        <f>AND('Test Script'!#REF!,"AAAAAE/+tXU=")</f>
        <v>#REF!</v>
      </c>
      <c r="DO111" t="e">
        <f>AND('Test Script'!#REF!,"AAAAAE/+tXY=")</f>
        <v>#REF!</v>
      </c>
      <c r="DP111" t="e">
        <f>AND('Test Script'!#REF!,"AAAAAE/+tXc=")</f>
        <v>#REF!</v>
      </c>
      <c r="DQ111" t="e">
        <f>AND('Test Script'!#REF!,"AAAAAE/+tXg=")</f>
        <v>#REF!</v>
      </c>
      <c r="DR111" t="e">
        <f>AND('Test Script'!#REF!,"AAAAAE/+tXk=")</f>
        <v>#REF!</v>
      </c>
      <c r="DS111" t="e">
        <f>AND('Test Script'!#REF!,"AAAAAE/+tXo=")</f>
        <v>#REF!</v>
      </c>
      <c r="DT111" t="e">
        <f>AND('Test Script'!#REF!,"AAAAAE/+tXs=")</f>
        <v>#REF!</v>
      </c>
      <c r="DU111" t="e">
        <f>AND('Test Script'!#REF!,"AAAAAE/+tXw=")</f>
        <v>#REF!</v>
      </c>
      <c r="DV111" t="e">
        <f>AND('Test Script'!#REF!,"AAAAAE/+tX0=")</f>
        <v>#REF!</v>
      </c>
      <c r="DW111" t="e">
        <f>AND('Test Script'!#REF!,"AAAAAE/+tX4=")</f>
        <v>#REF!</v>
      </c>
      <c r="DX111" t="e">
        <f>AND('Test Script'!#REF!,"AAAAAE/+tX8=")</f>
        <v>#REF!</v>
      </c>
      <c r="DY111" t="e">
        <f>AND('Test Script'!#REF!,"AAAAAE/+tYA=")</f>
        <v>#REF!</v>
      </c>
      <c r="DZ111" t="e">
        <f>AND('Test Script'!#REF!,"AAAAAE/+tYE=")</f>
        <v>#REF!</v>
      </c>
      <c r="EA111" t="e">
        <f>AND('Test Script'!#REF!,"AAAAAE/+tYI=")</f>
        <v>#REF!</v>
      </c>
      <c r="EB111" t="e">
        <f>AND('Test Script'!#REF!,"AAAAAE/+tYM=")</f>
        <v>#REF!</v>
      </c>
      <c r="EC111" t="e">
        <f>IF('Test Script'!#REF!,"AAAAAE/+tYQ=",0)</f>
        <v>#REF!</v>
      </c>
      <c r="ED111" t="e">
        <f>AND('Test Script'!#REF!,"AAAAAE/+tYU=")</f>
        <v>#REF!</v>
      </c>
      <c r="EE111" t="e">
        <f>AND('Test Script'!#REF!,"AAAAAE/+tYY=")</f>
        <v>#REF!</v>
      </c>
      <c r="EF111" t="e">
        <f>AND('Test Script'!#REF!,"AAAAAE/+tYc=")</f>
        <v>#REF!</v>
      </c>
      <c r="EG111" t="e">
        <f>AND('Test Script'!#REF!,"AAAAAE/+tYg=")</f>
        <v>#REF!</v>
      </c>
      <c r="EH111" t="e">
        <f>AND('Test Script'!#REF!,"AAAAAE/+tYk=")</f>
        <v>#REF!</v>
      </c>
      <c r="EI111" t="e">
        <f>AND('Test Script'!#REF!,"AAAAAE/+tYo=")</f>
        <v>#REF!</v>
      </c>
      <c r="EJ111" t="e">
        <f>AND('Test Script'!#REF!,"AAAAAE/+tYs=")</f>
        <v>#REF!</v>
      </c>
      <c r="EK111" t="e">
        <f>AND('Test Script'!#REF!,"AAAAAE/+tYw=")</f>
        <v>#REF!</v>
      </c>
      <c r="EL111" t="e">
        <f>AND('Test Script'!#REF!,"AAAAAE/+tY0=")</f>
        <v>#REF!</v>
      </c>
      <c r="EM111" t="e">
        <f>AND('Test Script'!#REF!,"AAAAAE/+tY4=")</f>
        <v>#REF!</v>
      </c>
      <c r="EN111" t="e">
        <f>AND('Test Script'!#REF!,"AAAAAE/+tY8=")</f>
        <v>#REF!</v>
      </c>
      <c r="EO111" t="e">
        <f>AND('Test Script'!#REF!,"AAAAAE/+tZA=")</f>
        <v>#REF!</v>
      </c>
      <c r="EP111" t="e">
        <f>AND('Test Script'!#REF!,"AAAAAE/+tZE=")</f>
        <v>#REF!</v>
      </c>
      <c r="EQ111" t="e">
        <f>AND('Test Script'!#REF!,"AAAAAE/+tZI=")</f>
        <v>#REF!</v>
      </c>
      <c r="ER111" t="e">
        <f>AND('Test Script'!#REF!,"AAAAAE/+tZM=")</f>
        <v>#REF!</v>
      </c>
      <c r="ES111" t="e">
        <f>AND('Test Script'!#REF!,"AAAAAE/+tZQ=")</f>
        <v>#REF!</v>
      </c>
      <c r="ET111" t="e">
        <f>AND('Test Script'!#REF!,"AAAAAE/+tZU=")</f>
        <v>#REF!</v>
      </c>
      <c r="EU111" t="e">
        <f>AND('Test Script'!#REF!,"AAAAAE/+tZY=")</f>
        <v>#REF!</v>
      </c>
      <c r="EV111" t="e">
        <f>AND('Test Script'!#REF!,"AAAAAE/+tZc=")</f>
        <v>#REF!</v>
      </c>
      <c r="EW111" t="e">
        <f>AND('Test Script'!#REF!,"AAAAAE/+tZg=")</f>
        <v>#REF!</v>
      </c>
      <c r="EX111" t="e">
        <f>AND('Test Script'!#REF!,"AAAAAE/+tZk=")</f>
        <v>#REF!</v>
      </c>
      <c r="EY111" t="e">
        <f>AND('Test Script'!#REF!,"AAAAAE/+tZo=")</f>
        <v>#REF!</v>
      </c>
      <c r="EZ111" t="e">
        <f>AND('Test Script'!#REF!,"AAAAAE/+tZs=")</f>
        <v>#REF!</v>
      </c>
      <c r="FA111" t="e">
        <f>AND('Test Script'!#REF!,"AAAAAE/+tZw=")</f>
        <v>#REF!</v>
      </c>
      <c r="FB111" t="e">
        <f>AND('Test Script'!#REF!,"AAAAAE/+tZ0=")</f>
        <v>#REF!</v>
      </c>
      <c r="FC111" t="e">
        <f>AND('Test Script'!#REF!,"AAAAAE/+tZ4=")</f>
        <v>#REF!</v>
      </c>
      <c r="FD111" t="e">
        <f>IF('Test Script'!#REF!,"AAAAAE/+tZ8=",0)</f>
        <v>#REF!</v>
      </c>
      <c r="FE111" t="e">
        <f>AND('Test Script'!#REF!,"AAAAAE/+taA=")</f>
        <v>#REF!</v>
      </c>
      <c r="FF111" t="e">
        <f>AND('Test Script'!#REF!,"AAAAAE/+taE=")</f>
        <v>#REF!</v>
      </c>
      <c r="FG111" t="e">
        <f>AND('Test Script'!#REF!,"AAAAAE/+taI=")</f>
        <v>#REF!</v>
      </c>
      <c r="FH111" t="e">
        <f>AND('Test Script'!#REF!,"AAAAAE/+taM=")</f>
        <v>#REF!</v>
      </c>
      <c r="FI111" t="e">
        <f>AND('Test Script'!#REF!,"AAAAAE/+taQ=")</f>
        <v>#REF!</v>
      </c>
      <c r="FJ111" t="e">
        <f>AND('Test Script'!#REF!,"AAAAAE/+taU=")</f>
        <v>#REF!</v>
      </c>
      <c r="FK111" t="e">
        <f>AND('Test Script'!#REF!,"AAAAAE/+taY=")</f>
        <v>#REF!</v>
      </c>
      <c r="FL111" t="e">
        <f>AND('Test Script'!#REF!,"AAAAAE/+tac=")</f>
        <v>#REF!</v>
      </c>
      <c r="FM111" t="e">
        <f>AND('Test Script'!#REF!,"AAAAAE/+tag=")</f>
        <v>#REF!</v>
      </c>
      <c r="FN111" t="e">
        <f>AND('Test Script'!#REF!,"AAAAAE/+tak=")</f>
        <v>#REF!</v>
      </c>
      <c r="FO111" t="e">
        <f>AND('Test Script'!#REF!,"AAAAAE/+tao=")</f>
        <v>#REF!</v>
      </c>
      <c r="FP111" t="e">
        <f>AND('Test Script'!#REF!,"AAAAAE/+tas=")</f>
        <v>#REF!</v>
      </c>
      <c r="FQ111" t="e">
        <f>AND('Test Script'!#REF!,"AAAAAE/+taw=")</f>
        <v>#REF!</v>
      </c>
      <c r="FR111" t="e">
        <f>AND('Test Script'!#REF!,"AAAAAE/+ta0=")</f>
        <v>#REF!</v>
      </c>
      <c r="FS111" t="e">
        <f>AND('Test Script'!#REF!,"AAAAAE/+ta4=")</f>
        <v>#REF!</v>
      </c>
      <c r="FT111" t="e">
        <f>AND('Test Script'!#REF!,"AAAAAE/+ta8=")</f>
        <v>#REF!</v>
      </c>
      <c r="FU111" t="e">
        <f>AND('Test Script'!#REF!,"AAAAAE/+tbA=")</f>
        <v>#REF!</v>
      </c>
      <c r="FV111" t="e">
        <f>AND('Test Script'!#REF!,"AAAAAE/+tbE=")</f>
        <v>#REF!</v>
      </c>
      <c r="FW111" t="e">
        <f>AND('Test Script'!#REF!,"AAAAAE/+tbI=")</f>
        <v>#REF!</v>
      </c>
      <c r="FX111" t="e">
        <f>AND('Test Script'!#REF!,"AAAAAE/+tbM=")</f>
        <v>#REF!</v>
      </c>
      <c r="FY111" t="e">
        <f>AND('Test Script'!#REF!,"AAAAAE/+tbQ=")</f>
        <v>#REF!</v>
      </c>
      <c r="FZ111" t="e">
        <f>AND('Test Script'!#REF!,"AAAAAE/+tbU=")</f>
        <v>#REF!</v>
      </c>
      <c r="GA111" t="e">
        <f>AND('Test Script'!#REF!,"AAAAAE/+tbY=")</f>
        <v>#REF!</v>
      </c>
      <c r="GB111" t="e">
        <f>AND('Test Script'!#REF!,"AAAAAE/+tbc=")</f>
        <v>#REF!</v>
      </c>
      <c r="GC111" t="e">
        <f>AND('Test Script'!#REF!,"AAAAAE/+tbg=")</f>
        <v>#REF!</v>
      </c>
      <c r="GD111" t="e">
        <f>AND('Test Script'!#REF!,"AAAAAE/+tbk=")</f>
        <v>#REF!</v>
      </c>
      <c r="GE111" t="e">
        <f>IF('Test Script'!#REF!,"AAAAAE/+tbo=",0)</f>
        <v>#REF!</v>
      </c>
      <c r="GF111" t="e">
        <f>AND('Test Script'!#REF!,"AAAAAE/+tbs=")</f>
        <v>#REF!</v>
      </c>
      <c r="GG111" t="e">
        <f>AND('Test Script'!#REF!,"AAAAAE/+tbw=")</f>
        <v>#REF!</v>
      </c>
      <c r="GH111" t="e">
        <f>AND('Test Script'!#REF!,"AAAAAE/+tb0=")</f>
        <v>#REF!</v>
      </c>
      <c r="GI111" t="e">
        <f>AND('Test Script'!#REF!,"AAAAAE/+tb4=")</f>
        <v>#REF!</v>
      </c>
      <c r="GJ111" t="e">
        <f>AND('Test Script'!#REF!,"AAAAAE/+tb8=")</f>
        <v>#REF!</v>
      </c>
      <c r="GK111" t="e">
        <f>AND('Test Script'!#REF!,"AAAAAE/+tcA=")</f>
        <v>#REF!</v>
      </c>
      <c r="GL111" t="e">
        <f>AND('Test Script'!#REF!,"AAAAAE/+tcE=")</f>
        <v>#REF!</v>
      </c>
      <c r="GM111" t="e">
        <f>AND('Test Script'!#REF!,"AAAAAE/+tcI=")</f>
        <v>#REF!</v>
      </c>
      <c r="GN111" t="e">
        <f>AND('Test Script'!#REF!,"AAAAAE/+tcM=")</f>
        <v>#REF!</v>
      </c>
      <c r="GO111" t="e">
        <f>AND('Test Script'!#REF!,"AAAAAE/+tcQ=")</f>
        <v>#REF!</v>
      </c>
      <c r="GP111" t="e">
        <f>AND('Test Script'!#REF!,"AAAAAE/+tcU=")</f>
        <v>#REF!</v>
      </c>
      <c r="GQ111" t="e">
        <f>AND('Test Script'!#REF!,"AAAAAE/+tcY=")</f>
        <v>#REF!</v>
      </c>
      <c r="GR111" t="e">
        <f>AND('Test Script'!#REF!,"AAAAAE/+tcc=")</f>
        <v>#REF!</v>
      </c>
      <c r="GS111" t="e">
        <f>AND('Test Script'!#REF!,"AAAAAE/+tcg=")</f>
        <v>#REF!</v>
      </c>
      <c r="GT111" t="e">
        <f>AND('Test Script'!#REF!,"AAAAAE/+tck=")</f>
        <v>#REF!</v>
      </c>
      <c r="GU111" t="e">
        <f>AND('Test Script'!#REF!,"AAAAAE/+tco=")</f>
        <v>#REF!</v>
      </c>
      <c r="GV111" t="e">
        <f>AND('Test Script'!#REF!,"AAAAAE/+tcs=")</f>
        <v>#REF!</v>
      </c>
      <c r="GW111" t="e">
        <f>AND('Test Script'!#REF!,"AAAAAE/+tcw=")</f>
        <v>#REF!</v>
      </c>
      <c r="GX111" t="e">
        <f>AND('Test Script'!#REF!,"AAAAAE/+tc0=")</f>
        <v>#REF!</v>
      </c>
      <c r="GY111" t="e">
        <f>AND('Test Script'!#REF!,"AAAAAE/+tc4=")</f>
        <v>#REF!</v>
      </c>
      <c r="GZ111" t="e">
        <f>AND('Test Script'!#REF!,"AAAAAE/+tc8=")</f>
        <v>#REF!</v>
      </c>
      <c r="HA111" t="e">
        <f>AND('Test Script'!#REF!,"AAAAAE/+tdA=")</f>
        <v>#REF!</v>
      </c>
      <c r="HB111" t="e">
        <f>AND('Test Script'!#REF!,"AAAAAE/+tdE=")</f>
        <v>#REF!</v>
      </c>
      <c r="HC111" t="e">
        <f>AND('Test Script'!#REF!,"AAAAAE/+tdI=")</f>
        <v>#REF!</v>
      </c>
      <c r="HD111" t="e">
        <f>AND('Test Script'!#REF!,"AAAAAE/+tdM=")</f>
        <v>#REF!</v>
      </c>
      <c r="HE111" t="e">
        <f>AND('Test Script'!#REF!,"AAAAAE/+tdQ=")</f>
        <v>#REF!</v>
      </c>
      <c r="HF111" t="e">
        <f>IF('Test Script'!#REF!,"AAAAAE/+tdU=",0)</f>
        <v>#REF!</v>
      </c>
      <c r="HG111" t="e">
        <f>AND('Test Script'!#REF!,"AAAAAE/+tdY=")</f>
        <v>#REF!</v>
      </c>
      <c r="HH111" t="e">
        <f>AND('Test Script'!#REF!,"AAAAAE/+tdc=")</f>
        <v>#REF!</v>
      </c>
      <c r="HI111" t="e">
        <f>AND('Test Script'!#REF!,"AAAAAE/+tdg=")</f>
        <v>#REF!</v>
      </c>
      <c r="HJ111" t="e">
        <f>AND('Test Script'!#REF!,"AAAAAE/+tdk=")</f>
        <v>#REF!</v>
      </c>
      <c r="HK111" t="e">
        <f>AND('Test Script'!#REF!,"AAAAAE/+tdo=")</f>
        <v>#REF!</v>
      </c>
      <c r="HL111" t="e">
        <f>AND('Test Script'!#REF!,"AAAAAE/+tds=")</f>
        <v>#REF!</v>
      </c>
      <c r="HM111" t="e">
        <f>AND('Test Script'!#REF!,"AAAAAE/+tdw=")</f>
        <v>#REF!</v>
      </c>
      <c r="HN111" t="e">
        <f>AND('Test Script'!#REF!,"AAAAAE/+td0=")</f>
        <v>#REF!</v>
      </c>
      <c r="HO111" t="e">
        <f>AND('Test Script'!#REF!,"AAAAAE/+td4=")</f>
        <v>#REF!</v>
      </c>
      <c r="HP111" t="e">
        <f>AND('Test Script'!#REF!,"AAAAAE/+td8=")</f>
        <v>#REF!</v>
      </c>
      <c r="HQ111" t="e">
        <f>AND('Test Script'!#REF!,"AAAAAE/+teA=")</f>
        <v>#REF!</v>
      </c>
      <c r="HR111" t="e">
        <f>AND('Test Script'!#REF!,"AAAAAE/+teE=")</f>
        <v>#REF!</v>
      </c>
      <c r="HS111" t="e">
        <f>AND('Test Script'!#REF!,"AAAAAE/+teI=")</f>
        <v>#REF!</v>
      </c>
      <c r="HT111" t="e">
        <f>AND('Test Script'!#REF!,"AAAAAE/+teM=")</f>
        <v>#REF!</v>
      </c>
      <c r="HU111" t="e">
        <f>AND('Test Script'!#REF!,"AAAAAE/+teQ=")</f>
        <v>#REF!</v>
      </c>
      <c r="HV111" t="e">
        <f>AND('Test Script'!#REF!,"AAAAAE/+teU=")</f>
        <v>#REF!</v>
      </c>
      <c r="HW111" t="e">
        <f>AND('Test Script'!#REF!,"AAAAAE/+teY=")</f>
        <v>#REF!</v>
      </c>
      <c r="HX111" t="e">
        <f>AND('Test Script'!#REF!,"AAAAAE/+tec=")</f>
        <v>#REF!</v>
      </c>
      <c r="HY111" t="e">
        <f>AND('Test Script'!#REF!,"AAAAAE/+teg=")</f>
        <v>#REF!</v>
      </c>
      <c r="HZ111" t="e">
        <f>AND('Test Script'!#REF!,"AAAAAE/+tek=")</f>
        <v>#REF!</v>
      </c>
      <c r="IA111" t="e">
        <f>AND('Test Script'!#REF!,"AAAAAE/+teo=")</f>
        <v>#REF!</v>
      </c>
      <c r="IB111" t="e">
        <f>AND('Test Script'!#REF!,"AAAAAE/+tes=")</f>
        <v>#REF!</v>
      </c>
      <c r="IC111" t="e">
        <f>AND('Test Script'!#REF!,"AAAAAE/+tew=")</f>
        <v>#REF!</v>
      </c>
      <c r="ID111" t="e">
        <f>AND('Test Script'!#REF!,"AAAAAE/+te0=")</f>
        <v>#REF!</v>
      </c>
      <c r="IE111" t="e">
        <f>AND('Test Script'!#REF!,"AAAAAE/+te4=")</f>
        <v>#REF!</v>
      </c>
      <c r="IF111" t="e">
        <f>AND('Test Script'!#REF!,"AAAAAE/+te8=")</f>
        <v>#REF!</v>
      </c>
      <c r="IG111" t="e">
        <f>IF('Test Script'!#REF!,"AAAAAE/+tfA=",0)</f>
        <v>#REF!</v>
      </c>
      <c r="IH111" t="e">
        <f>AND('Test Script'!#REF!,"AAAAAE/+tfE=")</f>
        <v>#REF!</v>
      </c>
      <c r="II111" t="e">
        <f>AND('Test Script'!#REF!,"AAAAAE/+tfI=")</f>
        <v>#REF!</v>
      </c>
      <c r="IJ111" t="e">
        <f>AND('Test Script'!#REF!,"AAAAAE/+tfM=")</f>
        <v>#REF!</v>
      </c>
      <c r="IK111" t="e">
        <f>AND('Test Script'!#REF!,"AAAAAE/+tfQ=")</f>
        <v>#REF!</v>
      </c>
      <c r="IL111" t="e">
        <f>AND('Test Script'!#REF!,"AAAAAE/+tfU=")</f>
        <v>#REF!</v>
      </c>
      <c r="IM111" t="e">
        <f>AND('Test Script'!#REF!,"AAAAAE/+tfY=")</f>
        <v>#REF!</v>
      </c>
      <c r="IN111" t="e">
        <f>AND('Test Script'!#REF!,"AAAAAE/+tfc=")</f>
        <v>#REF!</v>
      </c>
      <c r="IO111" t="e">
        <f>AND('Test Script'!#REF!,"AAAAAE/+tfg=")</f>
        <v>#REF!</v>
      </c>
      <c r="IP111" t="e">
        <f>AND('Test Script'!#REF!,"AAAAAE/+tfk=")</f>
        <v>#REF!</v>
      </c>
      <c r="IQ111" t="e">
        <f>AND('Test Script'!#REF!,"AAAAAE/+tfo=")</f>
        <v>#REF!</v>
      </c>
      <c r="IR111" t="e">
        <f>AND('Test Script'!#REF!,"AAAAAE/+tfs=")</f>
        <v>#REF!</v>
      </c>
      <c r="IS111" t="e">
        <f>AND('Test Script'!#REF!,"AAAAAE/+tfw=")</f>
        <v>#REF!</v>
      </c>
      <c r="IT111" t="e">
        <f>AND('Test Script'!#REF!,"AAAAAE/+tf0=")</f>
        <v>#REF!</v>
      </c>
      <c r="IU111" t="e">
        <f>AND('Test Script'!#REF!,"AAAAAE/+tf4=")</f>
        <v>#REF!</v>
      </c>
      <c r="IV111" t="e">
        <f>AND('Test Script'!#REF!,"AAAAAE/+tf8=")</f>
        <v>#REF!</v>
      </c>
    </row>
    <row r="112" spans="1:256" x14ac:dyDescent="0.2">
      <c r="A112" t="e">
        <f>AND('Test Script'!#REF!,"AAAAAF9TvQA=")</f>
        <v>#REF!</v>
      </c>
      <c r="B112" t="e">
        <f>AND('Test Script'!#REF!,"AAAAAF9TvQE=")</f>
        <v>#REF!</v>
      </c>
      <c r="C112" t="e">
        <f>AND('Test Script'!#REF!,"AAAAAF9TvQI=")</f>
        <v>#REF!</v>
      </c>
      <c r="D112" t="e">
        <f>AND('Test Script'!#REF!,"AAAAAF9TvQM=")</f>
        <v>#REF!</v>
      </c>
      <c r="E112" t="e">
        <f>AND('Test Script'!#REF!,"AAAAAF9TvQQ=")</f>
        <v>#REF!</v>
      </c>
      <c r="F112" t="e">
        <f>AND('Test Script'!#REF!,"AAAAAF9TvQU=")</f>
        <v>#REF!</v>
      </c>
      <c r="G112" t="e">
        <f>AND('Test Script'!#REF!,"AAAAAF9TvQY=")</f>
        <v>#REF!</v>
      </c>
      <c r="H112" t="e">
        <f>AND('Test Script'!#REF!,"AAAAAF9TvQc=")</f>
        <v>#REF!</v>
      </c>
      <c r="I112" t="e">
        <f>AND('Test Script'!#REF!,"AAAAAF9TvQg=")</f>
        <v>#REF!</v>
      </c>
      <c r="J112" t="e">
        <f>AND('Test Script'!#REF!,"AAAAAF9TvQk=")</f>
        <v>#REF!</v>
      </c>
      <c r="K112" t="e">
        <f>AND('Test Script'!#REF!,"AAAAAF9TvQo=")</f>
        <v>#REF!</v>
      </c>
      <c r="L112" t="e">
        <f>IF('Test Script'!#REF!,"AAAAAF9TvQs=",0)</f>
        <v>#REF!</v>
      </c>
      <c r="M112" t="e">
        <f>AND('Test Script'!#REF!,"AAAAAF9TvQw=")</f>
        <v>#REF!</v>
      </c>
      <c r="N112" t="e">
        <f>AND('Test Script'!#REF!,"AAAAAF9TvQ0=")</f>
        <v>#REF!</v>
      </c>
      <c r="O112" t="e">
        <f>AND('Test Script'!#REF!,"AAAAAF9TvQ4=")</f>
        <v>#REF!</v>
      </c>
      <c r="P112" t="e">
        <f>AND('Test Script'!#REF!,"AAAAAF9TvQ8=")</f>
        <v>#REF!</v>
      </c>
      <c r="Q112" t="e">
        <f>AND('Test Script'!#REF!,"AAAAAF9TvRA=")</f>
        <v>#REF!</v>
      </c>
      <c r="R112" t="e">
        <f>AND('Test Script'!#REF!,"AAAAAF9TvRE=")</f>
        <v>#REF!</v>
      </c>
      <c r="S112" t="e">
        <f>AND('Test Script'!#REF!,"AAAAAF9TvRI=")</f>
        <v>#REF!</v>
      </c>
      <c r="T112" t="e">
        <f>AND('Test Script'!#REF!,"AAAAAF9TvRM=")</f>
        <v>#REF!</v>
      </c>
      <c r="U112" t="e">
        <f>AND('Test Script'!#REF!,"AAAAAF9TvRQ=")</f>
        <v>#REF!</v>
      </c>
      <c r="V112" t="e">
        <f>AND('Test Script'!#REF!,"AAAAAF9TvRU=")</f>
        <v>#REF!</v>
      </c>
      <c r="W112" t="e">
        <f>AND('Test Script'!#REF!,"AAAAAF9TvRY=")</f>
        <v>#REF!</v>
      </c>
      <c r="X112" t="e">
        <f>AND('Test Script'!#REF!,"AAAAAF9TvRc=")</f>
        <v>#REF!</v>
      </c>
      <c r="Y112" t="e">
        <f>AND('Test Script'!#REF!,"AAAAAF9TvRg=")</f>
        <v>#REF!</v>
      </c>
      <c r="Z112" t="e">
        <f>AND('Test Script'!#REF!,"AAAAAF9TvRk=")</f>
        <v>#REF!</v>
      </c>
      <c r="AA112" t="e">
        <f>AND('Test Script'!#REF!,"AAAAAF9TvRo=")</f>
        <v>#REF!</v>
      </c>
      <c r="AB112" t="e">
        <f>AND('Test Script'!#REF!,"AAAAAF9TvRs=")</f>
        <v>#REF!</v>
      </c>
      <c r="AC112" t="e">
        <f>AND('Test Script'!#REF!,"AAAAAF9TvRw=")</f>
        <v>#REF!</v>
      </c>
      <c r="AD112" t="e">
        <f>AND('Test Script'!#REF!,"AAAAAF9TvR0=")</f>
        <v>#REF!</v>
      </c>
      <c r="AE112" t="e">
        <f>AND('Test Script'!#REF!,"AAAAAF9TvR4=")</f>
        <v>#REF!</v>
      </c>
      <c r="AF112" t="e">
        <f>AND('Test Script'!#REF!,"AAAAAF9TvR8=")</f>
        <v>#REF!</v>
      </c>
      <c r="AG112" t="e">
        <f>AND('Test Script'!#REF!,"AAAAAF9TvSA=")</f>
        <v>#REF!</v>
      </c>
      <c r="AH112" t="e">
        <f>AND('Test Script'!#REF!,"AAAAAF9TvSE=")</f>
        <v>#REF!</v>
      </c>
      <c r="AI112" t="e">
        <f>AND('Test Script'!#REF!,"AAAAAF9TvSI=")</f>
        <v>#REF!</v>
      </c>
      <c r="AJ112" t="e">
        <f>AND('Test Script'!#REF!,"AAAAAF9TvSM=")</f>
        <v>#REF!</v>
      </c>
      <c r="AK112" t="e">
        <f>AND('Test Script'!#REF!,"AAAAAF9TvSQ=")</f>
        <v>#REF!</v>
      </c>
      <c r="AL112" t="e">
        <f>AND('Test Script'!#REF!,"AAAAAF9TvSU=")</f>
        <v>#REF!</v>
      </c>
      <c r="AM112" t="e">
        <f>IF('Test Script'!#REF!,"AAAAAF9TvSY=",0)</f>
        <v>#REF!</v>
      </c>
      <c r="AN112" t="e">
        <f>AND('Test Script'!#REF!,"AAAAAF9TvSc=")</f>
        <v>#REF!</v>
      </c>
      <c r="AO112" t="e">
        <f>AND('Test Script'!#REF!,"AAAAAF9TvSg=")</f>
        <v>#REF!</v>
      </c>
      <c r="AP112" t="e">
        <f>AND('Test Script'!#REF!,"AAAAAF9TvSk=")</f>
        <v>#REF!</v>
      </c>
      <c r="AQ112" t="e">
        <f>AND('Test Script'!#REF!,"AAAAAF9TvSo=")</f>
        <v>#REF!</v>
      </c>
      <c r="AR112" t="e">
        <f>AND('Test Script'!#REF!,"AAAAAF9TvSs=")</f>
        <v>#REF!</v>
      </c>
      <c r="AS112" t="e">
        <f>AND('Test Script'!#REF!,"AAAAAF9TvSw=")</f>
        <v>#REF!</v>
      </c>
      <c r="AT112" t="e">
        <f>AND('Test Script'!#REF!,"AAAAAF9TvS0=")</f>
        <v>#REF!</v>
      </c>
      <c r="AU112" t="e">
        <f>AND('Test Script'!#REF!,"AAAAAF9TvS4=")</f>
        <v>#REF!</v>
      </c>
      <c r="AV112" t="e">
        <f>AND('Test Script'!#REF!,"AAAAAF9TvS8=")</f>
        <v>#REF!</v>
      </c>
      <c r="AW112" t="e">
        <f>AND('Test Script'!#REF!,"AAAAAF9TvTA=")</f>
        <v>#REF!</v>
      </c>
      <c r="AX112" t="e">
        <f>AND('Test Script'!#REF!,"AAAAAF9TvTE=")</f>
        <v>#REF!</v>
      </c>
      <c r="AY112" t="e">
        <f>AND('Test Script'!#REF!,"AAAAAF9TvTI=")</f>
        <v>#REF!</v>
      </c>
      <c r="AZ112" t="e">
        <f>AND('Test Script'!#REF!,"AAAAAF9TvTM=")</f>
        <v>#REF!</v>
      </c>
      <c r="BA112" t="e">
        <f>AND('Test Script'!#REF!,"AAAAAF9TvTQ=")</f>
        <v>#REF!</v>
      </c>
      <c r="BB112" t="e">
        <f>AND('Test Script'!#REF!,"AAAAAF9TvTU=")</f>
        <v>#REF!</v>
      </c>
      <c r="BC112" t="e">
        <f>AND('Test Script'!#REF!,"AAAAAF9TvTY=")</f>
        <v>#REF!</v>
      </c>
      <c r="BD112" t="e">
        <f>AND('Test Script'!#REF!,"AAAAAF9TvTc=")</f>
        <v>#REF!</v>
      </c>
      <c r="BE112" t="e">
        <f>AND('Test Script'!#REF!,"AAAAAF9TvTg=")</f>
        <v>#REF!</v>
      </c>
      <c r="BF112" t="e">
        <f>AND('Test Script'!#REF!,"AAAAAF9TvTk=")</f>
        <v>#REF!</v>
      </c>
      <c r="BG112" t="e">
        <f>AND('Test Script'!#REF!,"AAAAAF9TvTo=")</f>
        <v>#REF!</v>
      </c>
      <c r="BH112" t="e">
        <f>AND('Test Script'!#REF!,"AAAAAF9TvTs=")</f>
        <v>#REF!</v>
      </c>
      <c r="BI112" t="e">
        <f>AND('Test Script'!#REF!,"AAAAAF9TvTw=")</f>
        <v>#REF!</v>
      </c>
      <c r="BJ112" t="e">
        <f>AND('Test Script'!#REF!,"AAAAAF9TvT0=")</f>
        <v>#REF!</v>
      </c>
      <c r="BK112" t="e">
        <f>AND('Test Script'!#REF!,"AAAAAF9TvT4=")</f>
        <v>#REF!</v>
      </c>
      <c r="BL112" t="e">
        <f>AND('Test Script'!#REF!,"AAAAAF9TvT8=")</f>
        <v>#REF!</v>
      </c>
      <c r="BM112" t="e">
        <f>AND('Test Script'!#REF!,"AAAAAF9TvUA=")</f>
        <v>#REF!</v>
      </c>
      <c r="BN112" t="e">
        <f>IF('Test Script'!#REF!,"AAAAAF9TvUE=",0)</f>
        <v>#REF!</v>
      </c>
      <c r="BO112" t="e">
        <f>AND('Test Script'!#REF!,"AAAAAF9TvUI=")</f>
        <v>#REF!</v>
      </c>
      <c r="BP112" t="e">
        <f>AND('Test Script'!#REF!,"AAAAAF9TvUM=")</f>
        <v>#REF!</v>
      </c>
      <c r="BQ112" t="e">
        <f>AND('Test Script'!#REF!,"AAAAAF9TvUQ=")</f>
        <v>#REF!</v>
      </c>
      <c r="BR112" t="e">
        <f>AND('Test Script'!#REF!,"AAAAAF9TvUU=")</f>
        <v>#REF!</v>
      </c>
      <c r="BS112" t="e">
        <f>AND('Test Script'!#REF!,"AAAAAF9TvUY=")</f>
        <v>#REF!</v>
      </c>
      <c r="BT112" t="e">
        <f>AND('Test Script'!#REF!,"AAAAAF9TvUc=")</f>
        <v>#REF!</v>
      </c>
      <c r="BU112" t="e">
        <f>AND('Test Script'!#REF!,"AAAAAF9TvUg=")</f>
        <v>#REF!</v>
      </c>
      <c r="BV112" t="e">
        <f>AND('Test Script'!#REF!,"AAAAAF9TvUk=")</f>
        <v>#REF!</v>
      </c>
      <c r="BW112" t="e">
        <f>AND('Test Script'!#REF!,"AAAAAF9TvUo=")</f>
        <v>#REF!</v>
      </c>
      <c r="BX112" t="e">
        <f>AND('Test Script'!#REF!,"AAAAAF9TvUs=")</f>
        <v>#REF!</v>
      </c>
      <c r="BY112" t="e">
        <f>AND('Test Script'!#REF!,"AAAAAF9TvUw=")</f>
        <v>#REF!</v>
      </c>
      <c r="BZ112" t="e">
        <f>AND('Test Script'!#REF!,"AAAAAF9TvU0=")</f>
        <v>#REF!</v>
      </c>
      <c r="CA112" t="e">
        <f>AND('Test Script'!#REF!,"AAAAAF9TvU4=")</f>
        <v>#REF!</v>
      </c>
      <c r="CB112" t="e">
        <f>AND('Test Script'!#REF!,"AAAAAF9TvU8=")</f>
        <v>#REF!</v>
      </c>
      <c r="CC112" t="e">
        <f>AND('Test Script'!#REF!,"AAAAAF9TvVA=")</f>
        <v>#REF!</v>
      </c>
      <c r="CD112" t="e">
        <f>AND('Test Script'!#REF!,"AAAAAF9TvVE=")</f>
        <v>#REF!</v>
      </c>
      <c r="CE112" t="e">
        <f>AND('Test Script'!#REF!,"AAAAAF9TvVI=")</f>
        <v>#REF!</v>
      </c>
      <c r="CF112" t="e">
        <f>AND('Test Script'!#REF!,"AAAAAF9TvVM=")</f>
        <v>#REF!</v>
      </c>
      <c r="CG112" t="e">
        <f>AND('Test Script'!#REF!,"AAAAAF9TvVQ=")</f>
        <v>#REF!</v>
      </c>
      <c r="CH112" t="e">
        <f>AND('Test Script'!#REF!,"AAAAAF9TvVU=")</f>
        <v>#REF!</v>
      </c>
      <c r="CI112" t="e">
        <f>AND('Test Script'!#REF!,"AAAAAF9TvVY=")</f>
        <v>#REF!</v>
      </c>
      <c r="CJ112" t="e">
        <f>AND('Test Script'!#REF!,"AAAAAF9TvVc=")</f>
        <v>#REF!</v>
      </c>
      <c r="CK112" t="e">
        <f>AND('Test Script'!#REF!,"AAAAAF9TvVg=")</f>
        <v>#REF!</v>
      </c>
      <c r="CL112" t="e">
        <f>AND('Test Script'!#REF!,"AAAAAF9TvVk=")</f>
        <v>#REF!</v>
      </c>
      <c r="CM112" t="e">
        <f>AND('Test Script'!#REF!,"AAAAAF9TvVo=")</f>
        <v>#REF!</v>
      </c>
      <c r="CN112" t="e">
        <f>AND('Test Script'!#REF!,"AAAAAF9TvVs=")</f>
        <v>#REF!</v>
      </c>
      <c r="CO112" t="e">
        <f>IF('Test Script'!#REF!,"AAAAAF9TvVw=",0)</f>
        <v>#REF!</v>
      </c>
      <c r="CP112" t="e">
        <f>AND('Test Script'!#REF!,"AAAAAF9TvV0=")</f>
        <v>#REF!</v>
      </c>
      <c r="CQ112" t="e">
        <f>AND('Test Script'!#REF!,"AAAAAF9TvV4=")</f>
        <v>#REF!</v>
      </c>
      <c r="CR112" t="e">
        <f>AND('Test Script'!#REF!,"AAAAAF9TvV8=")</f>
        <v>#REF!</v>
      </c>
      <c r="CS112" t="e">
        <f>AND('Test Script'!#REF!,"AAAAAF9TvWA=")</f>
        <v>#REF!</v>
      </c>
      <c r="CT112" t="e">
        <f>AND('Test Script'!#REF!,"AAAAAF9TvWE=")</f>
        <v>#REF!</v>
      </c>
      <c r="CU112" t="e">
        <f>AND('Test Script'!#REF!,"AAAAAF9TvWI=")</f>
        <v>#REF!</v>
      </c>
      <c r="CV112" t="e">
        <f>AND('Test Script'!#REF!,"AAAAAF9TvWM=")</f>
        <v>#REF!</v>
      </c>
      <c r="CW112" t="e">
        <f>AND('Test Script'!#REF!,"AAAAAF9TvWQ=")</f>
        <v>#REF!</v>
      </c>
      <c r="CX112" t="e">
        <f>AND('Test Script'!#REF!,"AAAAAF9TvWU=")</f>
        <v>#REF!</v>
      </c>
      <c r="CY112" t="e">
        <f>AND('Test Script'!#REF!,"AAAAAF9TvWY=")</f>
        <v>#REF!</v>
      </c>
      <c r="CZ112" t="e">
        <f>AND('Test Script'!#REF!,"AAAAAF9TvWc=")</f>
        <v>#REF!</v>
      </c>
      <c r="DA112" t="e">
        <f>AND('Test Script'!#REF!,"AAAAAF9TvWg=")</f>
        <v>#REF!</v>
      </c>
      <c r="DB112" t="e">
        <f>AND('Test Script'!#REF!,"AAAAAF9TvWk=")</f>
        <v>#REF!</v>
      </c>
      <c r="DC112" t="e">
        <f>AND('Test Script'!#REF!,"AAAAAF9TvWo=")</f>
        <v>#REF!</v>
      </c>
      <c r="DD112" t="e">
        <f>AND('Test Script'!#REF!,"AAAAAF9TvWs=")</f>
        <v>#REF!</v>
      </c>
      <c r="DE112" t="e">
        <f>AND('Test Script'!#REF!,"AAAAAF9TvWw=")</f>
        <v>#REF!</v>
      </c>
      <c r="DF112" t="e">
        <f>AND('Test Script'!#REF!,"AAAAAF9TvW0=")</f>
        <v>#REF!</v>
      </c>
      <c r="DG112" t="e">
        <f>AND('Test Script'!#REF!,"AAAAAF9TvW4=")</f>
        <v>#REF!</v>
      </c>
      <c r="DH112" t="e">
        <f>AND('Test Script'!#REF!,"AAAAAF9TvW8=")</f>
        <v>#REF!</v>
      </c>
      <c r="DI112" t="e">
        <f>AND('Test Script'!#REF!,"AAAAAF9TvXA=")</f>
        <v>#REF!</v>
      </c>
      <c r="DJ112" t="e">
        <f>AND('Test Script'!#REF!,"AAAAAF9TvXE=")</f>
        <v>#REF!</v>
      </c>
      <c r="DK112" t="e">
        <f>AND('Test Script'!#REF!,"AAAAAF9TvXI=")</f>
        <v>#REF!</v>
      </c>
      <c r="DL112" t="e">
        <f>AND('Test Script'!#REF!,"AAAAAF9TvXM=")</f>
        <v>#REF!</v>
      </c>
      <c r="DM112" t="e">
        <f>AND('Test Script'!#REF!,"AAAAAF9TvXQ=")</f>
        <v>#REF!</v>
      </c>
      <c r="DN112" t="e">
        <f>AND('Test Script'!#REF!,"AAAAAF9TvXU=")</f>
        <v>#REF!</v>
      </c>
      <c r="DO112" t="e">
        <f>AND('Test Script'!#REF!,"AAAAAF9TvXY=")</f>
        <v>#REF!</v>
      </c>
      <c r="DP112" t="e">
        <f>IF('Test Script'!#REF!,"AAAAAF9TvXc=",0)</f>
        <v>#REF!</v>
      </c>
      <c r="DQ112" t="e">
        <f>AND('Test Script'!#REF!,"AAAAAF9TvXg=")</f>
        <v>#REF!</v>
      </c>
      <c r="DR112" t="e">
        <f>AND('Test Script'!#REF!,"AAAAAF9TvXk=")</f>
        <v>#REF!</v>
      </c>
      <c r="DS112" t="e">
        <f>AND('Test Script'!#REF!,"AAAAAF9TvXo=")</f>
        <v>#REF!</v>
      </c>
      <c r="DT112" t="e">
        <f>AND('Test Script'!#REF!,"AAAAAF9TvXs=")</f>
        <v>#REF!</v>
      </c>
      <c r="DU112" t="e">
        <f>AND('Test Script'!#REF!,"AAAAAF9TvXw=")</f>
        <v>#REF!</v>
      </c>
      <c r="DV112" t="e">
        <f>AND('Test Script'!#REF!,"AAAAAF9TvX0=")</f>
        <v>#REF!</v>
      </c>
      <c r="DW112" t="e">
        <f>AND('Test Script'!#REF!,"AAAAAF9TvX4=")</f>
        <v>#REF!</v>
      </c>
      <c r="DX112" t="e">
        <f>AND('Test Script'!#REF!,"AAAAAF9TvX8=")</f>
        <v>#REF!</v>
      </c>
      <c r="DY112" t="e">
        <f>AND('Test Script'!#REF!,"AAAAAF9TvYA=")</f>
        <v>#REF!</v>
      </c>
      <c r="DZ112" t="e">
        <f>AND('Test Script'!#REF!,"AAAAAF9TvYE=")</f>
        <v>#REF!</v>
      </c>
      <c r="EA112" t="e">
        <f>AND('Test Script'!#REF!,"AAAAAF9TvYI=")</f>
        <v>#REF!</v>
      </c>
      <c r="EB112" t="e">
        <f>AND('Test Script'!#REF!,"AAAAAF9TvYM=")</f>
        <v>#REF!</v>
      </c>
      <c r="EC112" t="e">
        <f>AND('Test Script'!#REF!,"AAAAAF9TvYQ=")</f>
        <v>#REF!</v>
      </c>
      <c r="ED112" t="e">
        <f>AND('Test Script'!#REF!,"AAAAAF9TvYU=")</f>
        <v>#REF!</v>
      </c>
      <c r="EE112" t="e">
        <f>AND('Test Script'!#REF!,"AAAAAF9TvYY=")</f>
        <v>#REF!</v>
      </c>
      <c r="EF112" t="e">
        <f>AND('Test Script'!#REF!,"AAAAAF9TvYc=")</f>
        <v>#REF!</v>
      </c>
      <c r="EG112" t="e">
        <f>AND('Test Script'!#REF!,"AAAAAF9TvYg=")</f>
        <v>#REF!</v>
      </c>
      <c r="EH112" t="e">
        <f>AND('Test Script'!#REF!,"AAAAAF9TvYk=")</f>
        <v>#REF!</v>
      </c>
      <c r="EI112" t="e">
        <f>AND('Test Script'!#REF!,"AAAAAF9TvYo=")</f>
        <v>#REF!</v>
      </c>
      <c r="EJ112" t="e">
        <f>AND('Test Script'!#REF!,"AAAAAF9TvYs=")</f>
        <v>#REF!</v>
      </c>
      <c r="EK112" t="e">
        <f>AND('Test Script'!#REF!,"AAAAAF9TvYw=")</f>
        <v>#REF!</v>
      </c>
      <c r="EL112" t="e">
        <f>AND('Test Script'!#REF!,"AAAAAF9TvY0=")</f>
        <v>#REF!</v>
      </c>
      <c r="EM112" t="e">
        <f>AND('Test Script'!#REF!,"AAAAAF9TvY4=")</f>
        <v>#REF!</v>
      </c>
      <c r="EN112" t="e">
        <f>AND('Test Script'!#REF!,"AAAAAF9TvY8=")</f>
        <v>#REF!</v>
      </c>
      <c r="EO112" t="e">
        <f>AND('Test Script'!#REF!,"AAAAAF9TvZA=")</f>
        <v>#REF!</v>
      </c>
      <c r="EP112" t="e">
        <f>AND('Test Script'!#REF!,"AAAAAF9TvZE=")</f>
        <v>#REF!</v>
      </c>
      <c r="EQ112" t="e">
        <f>IF('Test Script'!#REF!,"AAAAAF9TvZI=",0)</f>
        <v>#REF!</v>
      </c>
      <c r="ER112" t="e">
        <f>AND('Test Script'!#REF!,"AAAAAF9TvZM=")</f>
        <v>#REF!</v>
      </c>
      <c r="ES112" t="e">
        <f>AND('Test Script'!#REF!,"AAAAAF9TvZQ=")</f>
        <v>#REF!</v>
      </c>
      <c r="ET112" t="e">
        <f>AND('Test Script'!#REF!,"AAAAAF9TvZU=")</f>
        <v>#REF!</v>
      </c>
      <c r="EU112" t="e">
        <f>AND('Test Script'!#REF!,"AAAAAF9TvZY=")</f>
        <v>#REF!</v>
      </c>
      <c r="EV112" t="e">
        <f>AND('Test Script'!#REF!,"AAAAAF9TvZc=")</f>
        <v>#REF!</v>
      </c>
      <c r="EW112" t="e">
        <f>AND('Test Script'!#REF!,"AAAAAF9TvZg=")</f>
        <v>#REF!</v>
      </c>
      <c r="EX112" t="e">
        <f>AND('Test Script'!#REF!,"AAAAAF9TvZk=")</f>
        <v>#REF!</v>
      </c>
      <c r="EY112" t="e">
        <f>AND('Test Script'!#REF!,"AAAAAF9TvZo=")</f>
        <v>#REF!</v>
      </c>
      <c r="EZ112" t="e">
        <f>AND('Test Script'!#REF!,"AAAAAF9TvZs=")</f>
        <v>#REF!</v>
      </c>
      <c r="FA112" t="e">
        <f>AND('Test Script'!#REF!,"AAAAAF9TvZw=")</f>
        <v>#REF!</v>
      </c>
      <c r="FB112" t="e">
        <f>AND('Test Script'!#REF!,"AAAAAF9TvZ0=")</f>
        <v>#REF!</v>
      </c>
      <c r="FC112" t="e">
        <f>AND('Test Script'!#REF!,"AAAAAF9TvZ4=")</f>
        <v>#REF!</v>
      </c>
      <c r="FD112" t="e">
        <f>AND('Test Script'!#REF!,"AAAAAF9TvZ8=")</f>
        <v>#REF!</v>
      </c>
      <c r="FE112" t="e">
        <f>AND('Test Script'!#REF!,"AAAAAF9TvaA=")</f>
        <v>#REF!</v>
      </c>
      <c r="FF112" t="e">
        <f>AND('Test Script'!#REF!,"AAAAAF9TvaE=")</f>
        <v>#REF!</v>
      </c>
      <c r="FG112" t="e">
        <f>AND('Test Script'!#REF!,"AAAAAF9TvaI=")</f>
        <v>#REF!</v>
      </c>
      <c r="FH112" t="e">
        <f>AND('Test Script'!#REF!,"AAAAAF9TvaM=")</f>
        <v>#REF!</v>
      </c>
      <c r="FI112" t="e">
        <f>AND('Test Script'!#REF!,"AAAAAF9TvaQ=")</f>
        <v>#REF!</v>
      </c>
      <c r="FJ112" t="e">
        <f>AND('Test Script'!#REF!,"AAAAAF9TvaU=")</f>
        <v>#REF!</v>
      </c>
      <c r="FK112" t="e">
        <f>AND('Test Script'!#REF!,"AAAAAF9TvaY=")</f>
        <v>#REF!</v>
      </c>
      <c r="FL112" t="e">
        <f>AND('Test Script'!#REF!,"AAAAAF9Tvac=")</f>
        <v>#REF!</v>
      </c>
      <c r="FM112" t="e">
        <f>AND('Test Script'!#REF!,"AAAAAF9Tvag=")</f>
        <v>#REF!</v>
      </c>
      <c r="FN112" t="e">
        <f>AND('Test Script'!#REF!,"AAAAAF9Tvak=")</f>
        <v>#REF!</v>
      </c>
      <c r="FO112" t="e">
        <f>AND('Test Script'!#REF!,"AAAAAF9Tvao=")</f>
        <v>#REF!</v>
      </c>
      <c r="FP112" t="e">
        <f>AND('Test Script'!#REF!,"AAAAAF9Tvas=")</f>
        <v>#REF!</v>
      </c>
      <c r="FQ112" t="e">
        <f>AND('Test Script'!#REF!,"AAAAAF9Tvaw=")</f>
        <v>#REF!</v>
      </c>
      <c r="FR112" t="e">
        <f>IF('Test Script'!#REF!,"AAAAAF9Tva0=",0)</f>
        <v>#REF!</v>
      </c>
      <c r="FS112" t="e">
        <f>AND('Test Script'!#REF!,"AAAAAF9Tva4=")</f>
        <v>#REF!</v>
      </c>
      <c r="FT112" t="e">
        <f>AND('Test Script'!#REF!,"AAAAAF9Tva8=")</f>
        <v>#REF!</v>
      </c>
      <c r="FU112" t="e">
        <f>AND('Test Script'!#REF!,"AAAAAF9TvbA=")</f>
        <v>#REF!</v>
      </c>
      <c r="FV112" t="e">
        <f>AND('Test Script'!#REF!,"AAAAAF9TvbE=")</f>
        <v>#REF!</v>
      </c>
      <c r="FW112" t="e">
        <f>AND('Test Script'!#REF!,"AAAAAF9TvbI=")</f>
        <v>#REF!</v>
      </c>
      <c r="FX112" t="e">
        <f>AND('Test Script'!#REF!,"AAAAAF9TvbM=")</f>
        <v>#REF!</v>
      </c>
      <c r="FY112" t="e">
        <f>AND('Test Script'!#REF!,"AAAAAF9TvbQ=")</f>
        <v>#REF!</v>
      </c>
      <c r="FZ112" t="e">
        <f>AND('Test Script'!#REF!,"AAAAAF9TvbU=")</f>
        <v>#REF!</v>
      </c>
      <c r="GA112" t="e">
        <f>AND('Test Script'!#REF!,"AAAAAF9TvbY=")</f>
        <v>#REF!</v>
      </c>
      <c r="GB112" t="e">
        <f>AND('Test Script'!#REF!,"AAAAAF9Tvbc=")</f>
        <v>#REF!</v>
      </c>
      <c r="GC112" t="e">
        <f>AND('Test Script'!#REF!,"AAAAAF9Tvbg=")</f>
        <v>#REF!</v>
      </c>
      <c r="GD112" t="e">
        <f>AND('Test Script'!#REF!,"AAAAAF9Tvbk=")</f>
        <v>#REF!</v>
      </c>
      <c r="GE112" t="e">
        <f>AND('Test Script'!#REF!,"AAAAAF9Tvbo=")</f>
        <v>#REF!</v>
      </c>
      <c r="GF112" t="e">
        <f>AND('Test Script'!#REF!,"AAAAAF9Tvbs=")</f>
        <v>#REF!</v>
      </c>
      <c r="GG112" t="e">
        <f>AND('Test Script'!#REF!,"AAAAAF9Tvbw=")</f>
        <v>#REF!</v>
      </c>
      <c r="GH112" t="e">
        <f>AND('Test Script'!#REF!,"AAAAAF9Tvb0=")</f>
        <v>#REF!</v>
      </c>
      <c r="GI112" t="e">
        <f>AND('Test Script'!#REF!,"AAAAAF9Tvb4=")</f>
        <v>#REF!</v>
      </c>
      <c r="GJ112" t="e">
        <f>AND('Test Script'!#REF!,"AAAAAF9Tvb8=")</f>
        <v>#REF!</v>
      </c>
      <c r="GK112" t="e">
        <f>AND('Test Script'!#REF!,"AAAAAF9TvcA=")</f>
        <v>#REF!</v>
      </c>
      <c r="GL112" t="e">
        <f>AND('Test Script'!#REF!,"AAAAAF9TvcE=")</f>
        <v>#REF!</v>
      </c>
      <c r="GM112" t="e">
        <f>AND('Test Script'!#REF!,"AAAAAF9TvcI=")</f>
        <v>#REF!</v>
      </c>
      <c r="GN112" t="e">
        <f>AND('Test Script'!#REF!,"AAAAAF9TvcM=")</f>
        <v>#REF!</v>
      </c>
      <c r="GO112" t="e">
        <f>AND('Test Script'!#REF!,"AAAAAF9TvcQ=")</f>
        <v>#REF!</v>
      </c>
      <c r="GP112" t="e">
        <f>AND('Test Script'!#REF!,"AAAAAF9TvcU=")</f>
        <v>#REF!</v>
      </c>
      <c r="GQ112" t="e">
        <f>AND('Test Script'!#REF!,"AAAAAF9TvcY=")</f>
        <v>#REF!</v>
      </c>
      <c r="GR112" t="e">
        <f>AND('Test Script'!#REF!,"AAAAAF9Tvcc=")</f>
        <v>#REF!</v>
      </c>
      <c r="GS112" t="e">
        <f>IF('Test Script'!#REF!,"AAAAAF9Tvcg=",0)</f>
        <v>#REF!</v>
      </c>
      <c r="GT112" t="e">
        <f>AND('Test Script'!#REF!,"AAAAAF9Tvck=")</f>
        <v>#REF!</v>
      </c>
      <c r="GU112" t="e">
        <f>AND('Test Script'!#REF!,"AAAAAF9Tvco=")</f>
        <v>#REF!</v>
      </c>
      <c r="GV112" t="e">
        <f>AND('Test Script'!#REF!,"AAAAAF9Tvcs=")</f>
        <v>#REF!</v>
      </c>
      <c r="GW112" t="e">
        <f>AND('Test Script'!#REF!,"AAAAAF9Tvcw=")</f>
        <v>#REF!</v>
      </c>
      <c r="GX112" t="e">
        <f>AND('Test Script'!#REF!,"AAAAAF9Tvc0=")</f>
        <v>#REF!</v>
      </c>
      <c r="GY112" t="e">
        <f>AND('Test Script'!#REF!,"AAAAAF9Tvc4=")</f>
        <v>#REF!</v>
      </c>
      <c r="GZ112" t="e">
        <f>AND('Test Script'!#REF!,"AAAAAF9Tvc8=")</f>
        <v>#REF!</v>
      </c>
      <c r="HA112" t="e">
        <f>AND('Test Script'!#REF!,"AAAAAF9TvdA=")</f>
        <v>#REF!</v>
      </c>
      <c r="HB112" t="e">
        <f>AND('Test Script'!#REF!,"AAAAAF9TvdE=")</f>
        <v>#REF!</v>
      </c>
      <c r="HC112" t="e">
        <f>AND('Test Script'!#REF!,"AAAAAF9TvdI=")</f>
        <v>#REF!</v>
      </c>
      <c r="HD112" t="e">
        <f>AND('Test Script'!#REF!,"AAAAAF9TvdM=")</f>
        <v>#REF!</v>
      </c>
      <c r="HE112" t="e">
        <f>AND('Test Script'!#REF!,"AAAAAF9TvdQ=")</f>
        <v>#REF!</v>
      </c>
      <c r="HF112" t="e">
        <f>AND('Test Script'!#REF!,"AAAAAF9TvdU=")</f>
        <v>#REF!</v>
      </c>
      <c r="HG112" t="e">
        <f>AND('Test Script'!#REF!,"AAAAAF9TvdY=")</f>
        <v>#REF!</v>
      </c>
      <c r="HH112" t="e">
        <f>AND('Test Script'!#REF!,"AAAAAF9Tvdc=")</f>
        <v>#REF!</v>
      </c>
      <c r="HI112" t="e">
        <f>AND('Test Script'!#REF!,"AAAAAF9Tvdg=")</f>
        <v>#REF!</v>
      </c>
      <c r="HJ112" t="e">
        <f>AND('Test Script'!#REF!,"AAAAAF9Tvdk=")</f>
        <v>#REF!</v>
      </c>
      <c r="HK112" t="e">
        <f>AND('Test Script'!#REF!,"AAAAAF9Tvdo=")</f>
        <v>#REF!</v>
      </c>
      <c r="HL112" t="e">
        <f>AND('Test Script'!#REF!,"AAAAAF9Tvds=")</f>
        <v>#REF!</v>
      </c>
      <c r="HM112" t="e">
        <f>AND('Test Script'!#REF!,"AAAAAF9Tvdw=")</f>
        <v>#REF!</v>
      </c>
      <c r="HN112" t="e">
        <f>AND('Test Script'!#REF!,"AAAAAF9Tvd0=")</f>
        <v>#REF!</v>
      </c>
      <c r="HO112" t="e">
        <f>AND('Test Script'!#REF!,"AAAAAF9Tvd4=")</f>
        <v>#REF!</v>
      </c>
      <c r="HP112" t="e">
        <f>AND('Test Script'!#REF!,"AAAAAF9Tvd8=")</f>
        <v>#REF!</v>
      </c>
      <c r="HQ112" t="e">
        <f>AND('Test Script'!#REF!,"AAAAAF9TveA=")</f>
        <v>#REF!</v>
      </c>
      <c r="HR112" t="e">
        <f>AND('Test Script'!#REF!,"AAAAAF9TveE=")</f>
        <v>#REF!</v>
      </c>
      <c r="HS112" t="e">
        <f>AND('Test Script'!#REF!,"AAAAAF9TveI=")</f>
        <v>#REF!</v>
      </c>
      <c r="HT112" t="e">
        <f>IF('Test Script'!#REF!,"AAAAAF9TveM=",0)</f>
        <v>#REF!</v>
      </c>
      <c r="HU112" t="e">
        <f>AND('Test Script'!#REF!,"AAAAAF9TveQ=")</f>
        <v>#REF!</v>
      </c>
      <c r="HV112" t="e">
        <f>AND('Test Script'!#REF!,"AAAAAF9TveU=")</f>
        <v>#REF!</v>
      </c>
      <c r="HW112" t="e">
        <f>AND('Test Script'!#REF!,"AAAAAF9TveY=")</f>
        <v>#REF!</v>
      </c>
      <c r="HX112" t="e">
        <f>AND('Test Script'!#REF!,"AAAAAF9Tvec=")</f>
        <v>#REF!</v>
      </c>
      <c r="HY112" t="e">
        <f>AND('Test Script'!#REF!,"AAAAAF9Tveg=")</f>
        <v>#REF!</v>
      </c>
      <c r="HZ112" t="e">
        <f>AND('Test Script'!#REF!,"AAAAAF9Tvek=")</f>
        <v>#REF!</v>
      </c>
      <c r="IA112" t="e">
        <f>AND('Test Script'!#REF!,"AAAAAF9Tveo=")</f>
        <v>#REF!</v>
      </c>
      <c r="IB112" t="e">
        <f>AND('Test Script'!#REF!,"AAAAAF9Tves=")</f>
        <v>#REF!</v>
      </c>
      <c r="IC112" t="e">
        <f>AND('Test Script'!#REF!,"AAAAAF9Tvew=")</f>
        <v>#REF!</v>
      </c>
      <c r="ID112" t="e">
        <f>AND('Test Script'!#REF!,"AAAAAF9Tve0=")</f>
        <v>#REF!</v>
      </c>
      <c r="IE112" t="e">
        <f>AND('Test Script'!#REF!,"AAAAAF9Tve4=")</f>
        <v>#REF!</v>
      </c>
      <c r="IF112" t="e">
        <f>AND('Test Script'!#REF!,"AAAAAF9Tve8=")</f>
        <v>#REF!</v>
      </c>
      <c r="IG112" t="e">
        <f>AND('Test Script'!#REF!,"AAAAAF9TvfA=")</f>
        <v>#REF!</v>
      </c>
      <c r="IH112" t="e">
        <f>AND('Test Script'!#REF!,"AAAAAF9TvfE=")</f>
        <v>#REF!</v>
      </c>
      <c r="II112" t="e">
        <f>AND('Test Script'!#REF!,"AAAAAF9TvfI=")</f>
        <v>#REF!</v>
      </c>
      <c r="IJ112" t="e">
        <f>AND('Test Script'!#REF!,"AAAAAF9TvfM=")</f>
        <v>#REF!</v>
      </c>
      <c r="IK112" t="e">
        <f>AND('Test Script'!#REF!,"AAAAAF9TvfQ=")</f>
        <v>#REF!</v>
      </c>
      <c r="IL112" t="e">
        <f>AND('Test Script'!#REF!,"AAAAAF9TvfU=")</f>
        <v>#REF!</v>
      </c>
      <c r="IM112" t="e">
        <f>AND('Test Script'!#REF!,"AAAAAF9TvfY=")</f>
        <v>#REF!</v>
      </c>
      <c r="IN112" t="e">
        <f>AND('Test Script'!#REF!,"AAAAAF9Tvfc=")</f>
        <v>#REF!</v>
      </c>
      <c r="IO112" t="e">
        <f>AND('Test Script'!#REF!,"AAAAAF9Tvfg=")</f>
        <v>#REF!</v>
      </c>
      <c r="IP112" t="e">
        <f>AND('Test Script'!#REF!,"AAAAAF9Tvfk=")</f>
        <v>#REF!</v>
      </c>
      <c r="IQ112" t="e">
        <f>AND('Test Script'!#REF!,"AAAAAF9Tvfo=")</f>
        <v>#REF!</v>
      </c>
      <c r="IR112" t="e">
        <f>AND('Test Script'!#REF!,"AAAAAF9Tvfs=")</f>
        <v>#REF!</v>
      </c>
      <c r="IS112" t="e">
        <f>AND('Test Script'!#REF!,"AAAAAF9Tvfw=")</f>
        <v>#REF!</v>
      </c>
      <c r="IT112" t="e">
        <f>AND('Test Script'!#REF!,"AAAAAF9Tvf0=")</f>
        <v>#REF!</v>
      </c>
      <c r="IU112" t="e">
        <f>IF('Test Script'!#REF!,"AAAAAF9Tvf4=",0)</f>
        <v>#REF!</v>
      </c>
      <c r="IV112" t="e">
        <f>AND('Test Script'!#REF!,"AAAAAF9Tvf8=")</f>
        <v>#REF!</v>
      </c>
    </row>
    <row r="113" spans="1:256" x14ac:dyDescent="0.2">
      <c r="A113" t="e">
        <f>AND('Test Script'!#REF!,"AAAAAGteLwA=")</f>
        <v>#REF!</v>
      </c>
      <c r="B113" t="e">
        <f>AND('Test Script'!#REF!,"AAAAAGteLwE=")</f>
        <v>#REF!</v>
      </c>
      <c r="C113" t="e">
        <f>AND('Test Script'!#REF!,"AAAAAGteLwI=")</f>
        <v>#REF!</v>
      </c>
      <c r="D113" t="e">
        <f>AND('Test Script'!#REF!,"AAAAAGteLwM=")</f>
        <v>#REF!</v>
      </c>
      <c r="E113" t="e">
        <f>AND('Test Script'!#REF!,"AAAAAGteLwQ=")</f>
        <v>#REF!</v>
      </c>
      <c r="F113" t="e">
        <f>AND('Test Script'!#REF!,"AAAAAGteLwU=")</f>
        <v>#REF!</v>
      </c>
      <c r="G113" t="e">
        <f>AND('Test Script'!#REF!,"AAAAAGteLwY=")</f>
        <v>#REF!</v>
      </c>
      <c r="H113" t="e">
        <f>AND('Test Script'!#REF!,"AAAAAGteLwc=")</f>
        <v>#REF!</v>
      </c>
      <c r="I113" t="e">
        <f>AND('Test Script'!#REF!,"AAAAAGteLwg=")</f>
        <v>#REF!</v>
      </c>
      <c r="J113" t="e">
        <f>AND('Test Script'!#REF!,"AAAAAGteLwk=")</f>
        <v>#REF!</v>
      </c>
      <c r="K113" t="e">
        <f>AND('Test Script'!#REF!,"AAAAAGteLwo=")</f>
        <v>#REF!</v>
      </c>
      <c r="L113" t="e">
        <f>AND('Test Script'!#REF!,"AAAAAGteLws=")</f>
        <v>#REF!</v>
      </c>
      <c r="M113" t="e">
        <f>AND('Test Script'!#REF!,"AAAAAGteLww=")</f>
        <v>#REF!</v>
      </c>
      <c r="N113" t="e">
        <f>AND('Test Script'!#REF!,"AAAAAGteLw0=")</f>
        <v>#REF!</v>
      </c>
      <c r="O113" t="e">
        <f>AND('Test Script'!#REF!,"AAAAAGteLw4=")</f>
        <v>#REF!</v>
      </c>
      <c r="P113" t="e">
        <f>AND('Test Script'!#REF!,"AAAAAGteLw8=")</f>
        <v>#REF!</v>
      </c>
      <c r="Q113" t="e">
        <f>AND('Test Script'!#REF!,"AAAAAGteLxA=")</f>
        <v>#REF!</v>
      </c>
      <c r="R113" t="e">
        <f>AND('Test Script'!#REF!,"AAAAAGteLxE=")</f>
        <v>#REF!</v>
      </c>
      <c r="S113" t="e">
        <f>AND('Test Script'!#REF!,"AAAAAGteLxI=")</f>
        <v>#REF!</v>
      </c>
      <c r="T113" t="e">
        <f>AND('Test Script'!#REF!,"AAAAAGteLxM=")</f>
        <v>#REF!</v>
      </c>
      <c r="U113" t="e">
        <f>AND('Test Script'!#REF!,"AAAAAGteLxQ=")</f>
        <v>#REF!</v>
      </c>
      <c r="V113" t="e">
        <f>AND('Test Script'!#REF!,"AAAAAGteLxU=")</f>
        <v>#REF!</v>
      </c>
      <c r="W113" t="e">
        <f>AND('Test Script'!#REF!,"AAAAAGteLxY=")</f>
        <v>#REF!</v>
      </c>
      <c r="X113" t="e">
        <f>AND('Test Script'!#REF!,"AAAAAGteLxc=")</f>
        <v>#REF!</v>
      </c>
      <c r="Y113" t="e">
        <f>AND('Test Script'!#REF!,"AAAAAGteLxg=")</f>
        <v>#REF!</v>
      </c>
      <c r="Z113">
        <f>IF('Test Script'!156:156,"AAAAAGteLxk=",0)</f>
        <v>0</v>
      </c>
      <c r="AA113" t="e">
        <f>AND('Test Script'!B156,"AAAAAGteLxo=")</f>
        <v>#VALUE!</v>
      </c>
      <c r="AB113" t="e">
        <f>AND('Test Script'!#REF!,"AAAAAGteLxs=")</f>
        <v>#REF!</v>
      </c>
      <c r="AC113" t="e">
        <f>AND('Test Script'!#REF!,"AAAAAGteLxw=")</f>
        <v>#REF!</v>
      </c>
      <c r="AD113" t="e">
        <f>AND('Test Script'!#REF!,"AAAAAGteLx0=")</f>
        <v>#REF!</v>
      </c>
      <c r="AE113" t="e">
        <f>AND('Test Script'!#REF!,"AAAAAGteLx4=")</f>
        <v>#REF!</v>
      </c>
      <c r="AF113" t="e">
        <f>AND('Test Script'!C156,"AAAAAGteLx8=")</f>
        <v>#VALUE!</v>
      </c>
      <c r="AG113" t="e">
        <f>AND('Test Script'!D156,"AAAAAGteLyA=")</f>
        <v>#VALUE!</v>
      </c>
      <c r="AH113" t="e">
        <f>AND('Test Script'!E156,"AAAAAGteLyE=")</f>
        <v>#VALUE!</v>
      </c>
      <c r="AI113" t="e">
        <f>AND('Test Script'!F156,"AAAAAGteLyI=")</f>
        <v>#VALUE!</v>
      </c>
      <c r="AJ113" t="e">
        <f>AND('Test Script'!G156,"AAAAAGteLyM=")</f>
        <v>#VALUE!</v>
      </c>
      <c r="AK113" t="e">
        <f>AND('Test Script'!H156,"AAAAAGteLyQ=")</f>
        <v>#VALUE!</v>
      </c>
      <c r="AL113" t="e">
        <f>AND('Test Script'!I156,"AAAAAGteLyU=")</f>
        <v>#VALUE!</v>
      </c>
      <c r="AM113" t="e">
        <f>AND('Test Script'!J156,"AAAAAGteLyY=")</f>
        <v>#VALUE!</v>
      </c>
      <c r="AN113" t="e">
        <f>AND('Test Script'!K156,"AAAAAGteLyc=")</f>
        <v>#VALUE!</v>
      </c>
      <c r="AO113" t="e">
        <f>AND('Test Script'!L156,"AAAAAGteLyg=")</f>
        <v>#VALUE!</v>
      </c>
      <c r="AP113" t="e">
        <f>AND('Test Script'!M156,"AAAAAGteLyk=")</f>
        <v>#VALUE!</v>
      </c>
      <c r="AQ113" t="e">
        <f>AND('Test Script'!N156,"AAAAAGteLyo=")</f>
        <v>#VALUE!</v>
      </c>
      <c r="AR113" t="e">
        <f>AND('Test Script'!O156,"AAAAAGteLys=")</f>
        <v>#VALUE!</v>
      </c>
      <c r="AS113" t="e">
        <f>AND('Test Script'!#REF!,"AAAAAGteLyw=")</f>
        <v>#REF!</v>
      </c>
      <c r="AT113" t="e">
        <f>AND('Test Script'!#REF!,"AAAAAGteLy0=")</f>
        <v>#REF!</v>
      </c>
      <c r="AU113" t="e">
        <f>AND('Test Script'!#REF!,"AAAAAGteLy4=")</f>
        <v>#REF!</v>
      </c>
      <c r="AV113" t="e">
        <f>AND('Test Script'!#REF!,"AAAAAGteLy8=")</f>
        <v>#REF!</v>
      </c>
      <c r="AW113" t="e">
        <f>AND('Test Script'!#REF!,"AAAAAGteLzA=")</f>
        <v>#REF!</v>
      </c>
      <c r="AX113" t="e">
        <f>AND('Test Script'!#REF!,"AAAAAGteLzE=")</f>
        <v>#REF!</v>
      </c>
      <c r="AY113" t="e">
        <f>AND('Test Script'!P156,"AAAAAGteLzI=")</f>
        <v>#VALUE!</v>
      </c>
      <c r="AZ113" t="e">
        <f>AND('Test Script'!Q156,"AAAAAGteLzM=")</f>
        <v>#VALUE!</v>
      </c>
      <c r="BA113">
        <f>IF('Test Script'!157:157,"AAAAAGteLzQ=",0)</f>
        <v>0</v>
      </c>
      <c r="BB113" t="e">
        <f>AND('Test Script'!B157,"AAAAAGteLzU=")</f>
        <v>#VALUE!</v>
      </c>
      <c r="BC113" t="e">
        <f>AND('Test Script'!#REF!,"AAAAAGteLzY=")</f>
        <v>#REF!</v>
      </c>
      <c r="BD113" t="e">
        <f>AND('Test Script'!#REF!,"AAAAAGteLzc=")</f>
        <v>#REF!</v>
      </c>
      <c r="BE113" t="e">
        <f>AND('Test Script'!#REF!,"AAAAAGteLzg=")</f>
        <v>#REF!</v>
      </c>
      <c r="BF113" t="e">
        <f>AND('Test Script'!#REF!,"AAAAAGteLzk=")</f>
        <v>#REF!</v>
      </c>
      <c r="BG113" t="e">
        <f>AND('Test Script'!C157,"AAAAAGteLzo=")</f>
        <v>#VALUE!</v>
      </c>
      <c r="BH113" t="e">
        <f>AND('Test Script'!D157,"AAAAAGteLzs=")</f>
        <v>#VALUE!</v>
      </c>
      <c r="BI113" t="e">
        <f>AND('Test Script'!E157,"AAAAAGteLzw=")</f>
        <v>#VALUE!</v>
      </c>
      <c r="BJ113" t="e">
        <f>AND('Test Script'!F157,"AAAAAGteLz0=")</f>
        <v>#VALUE!</v>
      </c>
      <c r="BK113" t="e">
        <f>AND('Test Script'!G157,"AAAAAGteLz4=")</f>
        <v>#VALUE!</v>
      </c>
      <c r="BL113" t="e">
        <f>AND('Test Script'!H157,"AAAAAGteLz8=")</f>
        <v>#VALUE!</v>
      </c>
      <c r="BM113" t="e">
        <f>AND('Test Script'!I157,"AAAAAGteL0A=")</f>
        <v>#VALUE!</v>
      </c>
      <c r="BN113" t="e">
        <f>AND('Test Script'!J157,"AAAAAGteL0E=")</f>
        <v>#VALUE!</v>
      </c>
      <c r="BO113" t="e">
        <f>AND('Test Script'!K157,"AAAAAGteL0I=")</f>
        <v>#VALUE!</v>
      </c>
      <c r="BP113" t="e">
        <f>AND('Test Script'!L157,"AAAAAGteL0M=")</f>
        <v>#VALUE!</v>
      </c>
      <c r="BQ113" t="e">
        <f>AND('Test Script'!M157,"AAAAAGteL0Q=")</f>
        <v>#VALUE!</v>
      </c>
      <c r="BR113" t="e">
        <f>AND('Test Script'!N157,"AAAAAGteL0U=")</f>
        <v>#VALUE!</v>
      </c>
      <c r="BS113" t="e">
        <f>AND('Test Script'!O157,"AAAAAGteL0Y=")</f>
        <v>#VALUE!</v>
      </c>
      <c r="BT113" t="e">
        <f>AND('Test Script'!#REF!,"AAAAAGteL0c=")</f>
        <v>#REF!</v>
      </c>
      <c r="BU113" t="e">
        <f>AND('Test Script'!#REF!,"AAAAAGteL0g=")</f>
        <v>#REF!</v>
      </c>
      <c r="BV113" t="e">
        <f>AND('Test Script'!#REF!,"AAAAAGteL0k=")</f>
        <v>#REF!</v>
      </c>
      <c r="BW113" t="e">
        <f>AND('Test Script'!#REF!,"AAAAAGteL0o=")</f>
        <v>#REF!</v>
      </c>
      <c r="BX113" t="e">
        <f>AND('Test Script'!#REF!,"AAAAAGteL0s=")</f>
        <v>#REF!</v>
      </c>
      <c r="BY113" t="e">
        <f>AND('Test Script'!#REF!,"AAAAAGteL0w=")</f>
        <v>#REF!</v>
      </c>
      <c r="BZ113" t="e">
        <f>AND('Test Script'!P157,"AAAAAGteL00=")</f>
        <v>#VALUE!</v>
      </c>
      <c r="CA113" t="e">
        <f>AND('Test Script'!Q157,"AAAAAGteL04=")</f>
        <v>#VALUE!</v>
      </c>
      <c r="CB113">
        <f>IF('Test Script'!158:158,"AAAAAGteL08=",0)</f>
        <v>0</v>
      </c>
      <c r="CC113" t="e">
        <f>AND('Test Script'!B158,"AAAAAGteL1A=")</f>
        <v>#VALUE!</v>
      </c>
      <c r="CD113" t="e">
        <f>AND('Test Script'!#REF!,"AAAAAGteL1E=")</f>
        <v>#REF!</v>
      </c>
      <c r="CE113" t="e">
        <f>AND('Test Script'!#REF!,"AAAAAGteL1I=")</f>
        <v>#REF!</v>
      </c>
      <c r="CF113" t="e">
        <f>AND('Test Script'!#REF!,"AAAAAGteL1M=")</f>
        <v>#REF!</v>
      </c>
      <c r="CG113" t="e">
        <f>AND('Test Script'!#REF!,"AAAAAGteL1Q=")</f>
        <v>#REF!</v>
      </c>
      <c r="CH113" t="e">
        <f>AND('Test Script'!C158,"AAAAAGteL1U=")</f>
        <v>#VALUE!</v>
      </c>
      <c r="CI113" t="e">
        <f>AND('Test Script'!D158,"AAAAAGteL1Y=")</f>
        <v>#VALUE!</v>
      </c>
      <c r="CJ113" t="e">
        <f>AND('Test Script'!E158,"AAAAAGteL1c=")</f>
        <v>#VALUE!</v>
      </c>
      <c r="CK113" t="e">
        <f>AND('Test Script'!F158,"AAAAAGteL1g=")</f>
        <v>#VALUE!</v>
      </c>
      <c r="CL113" t="e">
        <f>AND('Test Script'!G158,"AAAAAGteL1k=")</f>
        <v>#VALUE!</v>
      </c>
      <c r="CM113" t="e">
        <f>AND('Test Script'!H158,"AAAAAGteL1o=")</f>
        <v>#VALUE!</v>
      </c>
      <c r="CN113" t="e">
        <f>AND('Test Script'!I158,"AAAAAGteL1s=")</f>
        <v>#VALUE!</v>
      </c>
      <c r="CO113" t="e">
        <f>AND('Test Script'!J158,"AAAAAGteL1w=")</f>
        <v>#VALUE!</v>
      </c>
      <c r="CP113" t="e">
        <f>AND('Test Script'!K158,"AAAAAGteL10=")</f>
        <v>#VALUE!</v>
      </c>
      <c r="CQ113" t="e">
        <f>AND('Test Script'!L158,"AAAAAGteL14=")</f>
        <v>#VALUE!</v>
      </c>
      <c r="CR113" t="e">
        <f>AND('Test Script'!M158,"AAAAAGteL18=")</f>
        <v>#VALUE!</v>
      </c>
      <c r="CS113" t="e">
        <f>AND('Test Script'!N158,"AAAAAGteL2A=")</f>
        <v>#VALUE!</v>
      </c>
      <c r="CT113" t="e">
        <f>AND('Test Script'!O158,"AAAAAGteL2E=")</f>
        <v>#VALUE!</v>
      </c>
      <c r="CU113" t="e">
        <f>AND('Test Script'!#REF!,"AAAAAGteL2I=")</f>
        <v>#REF!</v>
      </c>
      <c r="CV113" t="e">
        <f>AND('Test Script'!#REF!,"AAAAAGteL2M=")</f>
        <v>#REF!</v>
      </c>
      <c r="CW113" t="e">
        <f>AND('Test Script'!#REF!,"AAAAAGteL2Q=")</f>
        <v>#REF!</v>
      </c>
      <c r="CX113" t="e">
        <f>AND('Test Script'!#REF!,"AAAAAGteL2U=")</f>
        <v>#REF!</v>
      </c>
      <c r="CY113" t="e">
        <f>AND('Test Script'!#REF!,"AAAAAGteL2Y=")</f>
        <v>#REF!</v>
      </c>
      <c r="CZ113" t="e">
        <f>AND('Test Script'!#REF!,"AAAAAGteL2c=")</f>
        <v>#REF!</v>
      </c>
      <c r="DA113" t="e">
        <f>AND('Test Script'!P158,"AAAAAGteL2g=")</f>
        <v>#VALUE!</v>
      </c>
      <c r="DB113" t="e">
        <f>AND('Test Script'!Q158,"AAAAAGteL2k=")</f>
        <v>#VALUE!</v>
      </c>
      <c r="DC113">
        <f>IF('Test Script'!A:A,"AAAAAGteL2o=",0)</f>
        <v>0</v>
      </c>
      <c r="DD113">
        <f>IF('Test Script'!B:B,"AAAAAGteL2s=",0)</f>
        <v>0</v>
      </c>
      <c r="DE113" t="e">
        <f>IF('Test Script'!#REF!,"AAAAAGteL2w=",0)</f>
        <v>#REF!</v>
      </c>
      <c r="DF113" t="e">
        <f>IF('Test Script'!#REF!,"AAAAAGteL20=",0)</f>
        <v>#REF!</v>
      </c>
      <c r="DG113" t="e">
        <f>IF('Test Script'!#REF!,"AAAAAGteL24=",0)</f>
        <v>#REF!</v>
      </c>
      <c r="DH113" t="e">
        <f>IF('Test Script'!#REF!,"AAAAAGteL28=",0)</f>
        <v>#REF!</v>
      </c>
      <c r="DI113" t="e">
        <f>IF('Test Script'!C:C,"AAAAAGteL3A=",0)</f>
        <v>#VALUE!</v>
      </c>
      <c r="DJ113" t="e">
        <f>IF('Test Script'!D:D,"AAAAAGteL3E=",0)</f>
        <v>#VALUE!</v>
      </c>
      <c r="DK113" t="e">
        <f>IF('Test Script'!E:E,"AAAAAGteL3I=",0)</f>
        <v>#VALUE!</v>
      </c>
      <c r="DL113">
        <f>IF('Test Script'!F:F,"AAAAAGteL3M=",0)</f>
        <v>0</v>
      </c>
      <c r="DM113" t="e">
        <f>IF('Test Script'!G:G,"AAAAAGteL3Q=",0)</f>
        <v>#VALUE!</v>
      </c>
      <c r="DN113" t="e">
        <f>IF('Test Script'!H:H,"AAAAAGteL3U=",0)</f>
        <v>#VALUE!</v>
      </c>
      <c r="DO113">
        <f>IF('Test Script'!I:I,"AAAAAGteL3Y=",0)</f>
        <v>0</v>
      </c>
      <c r="DP113">
        <f>IF('Test Script'!J:J,"AAAAAGteL3c=",0)</f>
        <v>0</v>
      </c>
      <c r="DQ113">
        <f>IF('Test Script'!K:K,"AAAAAGteL3g=",0)</f>
        <v>0</v>
      </c>
      <c r="DR113">
        <f>IF('Test Script'!L:L,"AAAAAGteL3k=",0)</f>
        <v>0</v>
      </c>
      <c r="DS113" t="e">
        <f>IF('Test Script'!M:M,"AAAAAGteL3o=",0)</f>
        <v>#VALUE!</v>
      </c>
      <c r="DT113">
        <f>IF('Test Script'!N:N,"AAAAAGteL3s=",0)</f>
        <v>0</v>
      </c>
      <c r="DU113">
        <f>IF('Test Script'!O:O,"AAAAAGteL3w=",0)</f>
        <v>0</v>
      </c>
      <c r="DV113" t="e">
        <f>IF('Test Script'!#REF!,"AAAAAGteL30=",0)</f>
        <v>#REF!</v>
      </c>
      <c r="DW113" t="e">
        <f>IF('Test Script'!#REF!,"AAAAAGteL34=",0)</f>
        <v>#REF!</v>
      </c>
      <c r="DX113" t="e">
        <f>IF('Test Script'!#REF!,"AAAAAGteL38=",0)</f>
        <v>#REF!</v>
      </c>
      <c r="DY113" t="e">
        <f>IF('Test Script'!#REF!,"AAAAAGteL4A=",0)</f>
        <v>#REF!</v>
      </c>
      <c r="DZ113" t="e">
        <f>IF('Test Script'!#REF!,"AAAAAGteL4E=",0)</f>
        <v>#REF!</v>
      </c>
      <c r="EA113" t="e">
        <f>IF('Test Script'!#REF!,"AAAAAGteL4I=",0)</f>
        <v>#REF!</v>
      </c>
      <c r="EB113">
        <f>IF('Test Script'!P:P,"AAAAAGteL4M=",0)</f>
        <v>0</v>
      </c>
      <c r="EC113">
        <f>IF('Test Script'!Q:Q,"AAAAAGteL4Q=",0)</f>
        <v>0</v>
      </c>
      <c r="ED113" t="e">
        <f>IF(#REF!,"AAAAAGteL4U=",0)</f>
        <v>#REF!</v>
      </c>
      <c r="EE113" t="e">
        <f>AND(#REF!,"AAAAAGteL4Y=")</f>
        <v>#REF!</v>
      </c>
      <c r="EF113" t="e">
        <f>AND(#REF!,"AAAAAGteL4c=")</f>
        <v>#REF!</v>
      </c>
      <c r="EG113" t="e">
        <f>AND(#REF!,"AAAAAGteL4g=")</f>
        <v>#REF!</v>
      </c>
      <c r="EH113" t="e">
        <f>AND(#REF!,"AAAAAGteL4k=")</f>
        <v>#REF!</v>
      </c>
      <c r="EI113" t="e">
        <f>AND(#REF!,"AAAAAGteL4o=")</f>
        <v>#REF!</v>
      </c>
      <c r="EJ113" t="e">
        <f>AND(#REF!,"AAAAAGteL4s=")</f>
        <v>#REF!</v>
      </c>
      <c r="EK113" t="e">
        <f>AND(#REF!,"AAAAAGteL4w=")</f>
        <v>#REF!</v>
      </c>
      <c r="EL113" t="e">
        <f>AND(#REF!,"AAAAAGteL40=")</f>
        <v>#REF!</v>
      </c>
      <c r="EM113" t="e">
        <f>AND(#REF!,"AAAAAGteL44=")</f>
        <v>#REF!</v>
      </c>
      <c r="EN113" t="e">
        <f>AND(#REF!,"AAAAAGteL48=")</f>
        <v>#REF!</v>
      </c>
      <c r="EO113" t="e">
        <f>AND(#REF!,"AAAAAGteL5A=")</f>
        <v>#REF!</v>
      </c>
      <c r="EP113" t="e">
        <f>AND(#REF!,"AAAAAGteL5E=")</f>
        <v>#REF!</v>
      </c>
      <c r="EQ113" t="e">
        <f>AND(#REF!,"AAAAAGteL5I=")</f>
        <v>#REF!</v>
      </c>
      <c r="ER113" t="e">
        <f>AND(#REF!,"AAAAAGteL5M=")</f>
        <v>#REF!</v>
      </c>
      <c r="ES113" t="e">
        <f>AND(#REF!,"AAAAAGteL5Q=")</f>
        <v>#REF!</v>
      </c>
      <c r="ET113" t="e">
        <f>AND(#REF!,"AAAAAGteL5U=")</f>
        <v>#REF!</v>
      </c>
      <c r="EU113" t="e">
        <f>AND(#REF!,"AAAAAGteL5Y=")</f>
        <v>#REF!</v>
      </c>
      <c r="EV113" t="e">
        <f>AND(#REF!,"AAAAAGteL5c=")</f>
        <v>#REF!</v>
      </c>
      <c r="EW113" t="e">
        <f>AND(#REF!,"AAAAAGteL5g=")</f>
        <v>#REF!</v>
      </c>
      <c r="EX113" t="e">
        <f>AND(#REF!,"AAAAAGteL5k=")</f>
        <v>#REF!</v>
      </c>
      <c r="EY113" t="e">
        <f>AND(#REF!,"AAAAAGteL5o=")</f>
        <v>#REF!</v>
      </c>
      <c r="EZ113" t="e">
        <f>AND(#REF!,"AAAAAGteL5s=")</f>
        <v>#REF!</v>
      </c>
      <c r="FA113" t="e">
        <f>AND(#REF!,"AAAAAGteL5w=")</f>
        <v>#REF!</v>
      </c>
      <c r="FB113" t="e">
        <f>AND(#REF!,"AAAAAGteL50=")</f>
        <v>#REF!</v>
      </c>
      <c r="FC113" t="e">
        <f>AND(#REF!,"AAAAAGteL54=")</f>
        <v>#REF!</v>
      </c>
      <c r="FD113" t="e">
        <f>AND(#REF!,"AAAAAGteL58=")</f>
        <v>#REF!</v>
      </c>
      <c r="FE113" t="e">
        <f>AND(#REF!,"AAAAAGteL6A=")</f>
        <v>#REF!</v>
      </c>
      <c r="FF113" t="e">
        <f>IF(#REF!,"AAAAAGteL6E=",0)</f>
        <v>#REF!</v>
      </c>
      <c r="FG113" t="e">
        <f>AND(#REF!,"AAAAAGteL6I=")</f>
        <v>#REF!</v>
      </c>
      <c r="FH113" t="e">
        <f>AND(#REF!,"AAAAAGteL6M=")</f>
        <v>#REF!</v>
      </c>
      <c r="FI113" t="e">
        <f>AND(#REF!,"AAAAAGteL6Q=")</f>
        <v>#REF!</v>
      </c>
      <c r="FJ113" t="e">
        <f>AND(#REF!,"AAAAAGteL6U=")</f>
        <v>#REF!</v>
      </c>
      <c r="FK113" t="e">
        <f>AND(#REF!,"AAAAAGteL6Y=")</f>
        <v>#REF!</v>
      </c>
      <c r="FL113" t="e">
        <f>AND(#REF!,"AAAAAGteL6c=")</f>
        <v>#REF!</v>
      </c>
      <c r="FM113" t="e">
        <f>AND(#REF!,"AAAAAGteL6g=")</f>
        <v>#REF!</v>
      </c>
      <c r="FN113" t="e">
        <f>AND(#REF!,"AAAAAGteL6k=")</f>
        <v>#REF!</v>
      </c>
      <c r="FO113" t="e">
        <f>AND(#REF!,"AAAAAGteL6o=")</f>
        <v>#REF!</v>
      </c>
      <c r="FP113" t="e">
        <f>AND(#REF!,"AAAAAGteL6s=")</f>
        <v>#REF!</v>
      </c>
      <c r="FQ113" t="e">
        <f>AND(#REF!,"AAAAAGteL6w=")</f>
        <v>#REF!</v>
      </c>
      <c r="FR113" t="e">
        <f>AND(#REF!,"AAAAAGteL60=")</f>
        <v>#REF!</v>
      </c>
      <c r="FS113" t="e">
        <f>AND(#REF!,"AAAAAGteL64=")</f>
        <v>#REF!</v>
      </c>
      <c r="FT113" t="e">
        <f>AND(#REF!,"AAAAAGteL68=")</f>
        <v>#REF!</v>
      </c>
      <c r="FU113" t="e">
        <f>AND(#REF!,"AAAAAGteL7A=")</f>
        <v>#REF!</v>
      </c>
      <c r="FV113" t="e">
        <f>AND(#REF!,"AAAAAGteL7E=")</f>
        <v>#REF!</v>
      </c>
      <c r="FW113" t="e">
        <f>AND(#REF!,"AAAAAGteL7I=")</f>
        <v>#REF!</v>
      </c>
      <c r="FX113" t="e">
        <f>AND(#REF!,"AAAAAGteL7M=")</f>
        <v>#REF!</v>
      </c>
      <c r="FY113" t="e">
        <f>AND(#REF!,"AAAAAGteL7Q=")</f>
        <v>#REF!</v>
      </c>
      <c r="FZ113" t="e">
        <f>AND(#REF!,"AAAAAGteL7U=")</f>
        <v>#REF!</v>
      </c>
      <c r="GA113" t="e">
        <f>AND(#REF!,"AAAAAGteL7Y=")</f>
        <v>#REF!</v>
      </c>
      <c r="GB113" t="e">
        <f>AND(#REF!,"AAAAAGteL7c=")</f>
        <v>#REF!</v>
      </c>
      <c r="GC113" t="e">
        <f>AND(#REF!,"AAAAAGteL7g=")</f>
        <v>#REF!</v>
      </c>
      <c r="GD113" t="e">
        <f>AND(#REF!,"AAAAAGteL7k=")</f>
        <v>#REF!</v>
      </c>
      <c r="GE113" t="e">
        <f>AND(#REF!,"AAAAAGteL7o=")</f>
        <v>#REF!</v>
      </c>
      <c r="GF113" t="e">
        <f>AND(#REF!,"AAAAAGteL7s=")</f>
        <v>#REF!</v>
      </c>
      <c r="GG113" t="e">
        <f>AND(#REF!,"AAAAAGteL7w=")</f>
        <v>#REF!</v>
      </c>
      <c r="GH113" t="e">
        <f>IF(#REF!,"AAAAAGteL70=",0)</f>
        <v>#REF!</v>
      </c>
      <c r="GI113" t="e">
        <f>AND(#REF!,"AAAAAGteL74=")</f>
        <v>#REF!</v>
      </c>
      <c r="GJ113" t="e">
        <f>AND(#REF!,"AAAAAGteL78=")</f>
        <v>#REF!</v>
      </c>
      <c r="GK113" t="e">
        <f>AND(#REF!,"AAAAAGteL8A=")</f>
        <v>#REF!</v>
      </c>
      <c r="GL113" t="e">
        <f>AND(#REF!,"AAAAAGteL8E=")</f>
        <v>#REF!</v>
      </c>
      <c r="GM113" t="e">
        <f>AND(#REF!,"AAAAAGteL8I=")</f>
        <v>#REF!</v>
      </c>
      <c r="GN113" t="e">
        <f>AND(#REF!,"AAAAAGteL8M=")</f>
        <v>#REF!</v>
      </c>
      <c r="GO113" t="e">
        <f>AND(#REF!,"AAAAAGteL8Q=")</f>
        <v>#REF!</v>
      </c>
      <c r="GP113" t="e">
        <f>AND(#REF!,"AAAAAGteL8U=")</f>
        <v>#REF!</v>
      </c>
      <c r="GQ113" t="e">
        <f>AND(#REF!,"AAAAAGteL8Y=")</f>
        <v>#REF!</v>
      </c>
      <c r="GR113" t="e">
        <f>AND(#REF!,"AAAAAGteL8c=")</f>
        <v>#REF!</v>
      </c>
      <c r="GS113" t="e">
        <f>AND(#REF!,"AAAAAGteL8g=")</f>
        <v>#REF!</v>
      </c>
      <c r="GT113" t="e">
        <f>AND(#REF!,"AAAAAGteL8k=")</f>
        <v>#REF!</v>
      </c>
      <c r="GU113" t="e">
        <f>AND(#REF!,"AAAAAGteL8o=")</f>
        <v>#REF!</v>
      </c>
      <c r="GV113" t="e">
        <f>AND(#REF!,"AAAAAGteL8s=")</f>
        <v>#REF!</v>
      </c>
      <c r="GW113" t="e">
        <f>AND(#REF!,"AAAAAGteL8w=")</f>
        <v>#REF!</v>
      </c>
      <c r="GX113" t="e">
        <f>AND(#REF!,"AAAAAGteL80=")</f>
        <v>#REF!</v>
      </c>
      <c r="GY113" t="e">
        <f>AND(#REF!,"AAAAAGteL84=")</f>
        <v>#REF!</v>
      </c>
      <c r="GZ113" t="e">
        <f>AND(#REF!,"AAAAAGteL88=")</f>
        <v>#REF!</v>
      </c>
      <c r="HA113" t="e">
        <f>AND(#REF!,"AAAAAGteL9A=")</f>
        <v>#REF!</v>
      </c>
      <c r="HB113" t="e">
        <f>AND(#REF!,"AAAAAGteL9E=")</f>
        <v>#REF!</v>
      </c>
      <c r="HC113" t="e">
        <f>AND(#REF!,"AAAAAGteL9I=")</f>
        <v>#REF!</v>
      </c>
      <c r="HD113" t="e">
        <f>AND(#REF!,"AAAAAGteL9M=")</f>
        <v>#REF!</v>
      </c>
      <c r="HE113" t="e">
        <f>AND(#REF!,"AAAAAGteL9Q=")</f>
        <v>#REF!</v>
      </c>
      <c r="HF113" t="e">
        <f>AND(#REF!,"AAAAAGteL9U=")</f>
        <v>#REF!</v>
      </c>
      <c r="HG113" t="e">
        <f>AND(#REF!,"AAAAAGteL9Y=")</f>
        <v>#REF!</v>
      </c>
      <c r="HH113" t="e">
        <f>AND(#REF!,"AAAAAGteL9c=")</f>
        <v>#REF!</v>
      </c>
      <c r="HI113" t="e">
        <f>AND(#REF!,"AAAAAGteL9g=")</f>
        <v>#REF!</v>
      </c>
      <c r="HJ113" t="e">
        <f>IF(#REF!,"AAAAAGteL9k=",0)</f>
        <v>#REF!</v>
      </c>
      <c r="HK113" t="e">
        <f>AND(#REF!,"AAAAAGteL9o=")</f>
        <v>#REF!</v>
      </c>
      <c r="HL113" t="e">
        <f>AND(#REF!,"AAAAAGteL9s=")</f>
        <v>#REF!</v>
      </c>
      <c r="HM113" t="e">
        <f>AND(#REF!,"AAAAAGteL9w=")</f>
        <v>#REF!</v>
      </c>
      <c r="HN113" t="e">
        <f>AND(#REF!,"AAAAAGteL90=")</f>
        <v>#REF!</v>
      </c>
      <c r="HO113" t="e">
        <f>AND(#REF!,"AAAAAGteL94=")</f>
        <v>#REF!</v>
      </c>
      <c r="HP113" t="e">
        <f>AND(#REF!,"AAAAAGteL98=")</f>
        <v>#REF!</v>
      </c>
      <c r="HQ113" t="e">
        <f>AND(#REF!,"AAAAAGteL+A=")</f>
        <v>#REF!</v>
      </c>
      <c r="HR113" t="e">
        <f>AND(#REF!,"AAAAAGteL+E=")</f>
        <v>#REF!</v>
      </c>
      <c r="HS113" t="e">
        <f>AND(#REF!,"AAAAAGteL+I=")</f>
        <v>#REF!</v>
      </c>
      <c r="HT113" t="e">
        <f>AND(#REF!,"AAAAAGteL+M=")</f>
        <v>#REF!</v>
      </c>
      <c r="HU113" t="e">
        <f>AND(#REF!,"AAAAAGteL+Q=")</f>
        <v>#REF!</v>
      </c>
      <c r="HV113" t="e">
        <f>AND(#REF!,"AAAAAGteL+U=")</f>
        <v>#REF!</v>
      </c>
      <c r="HW113" t="e">
        <f>AND(#REF!,"AAAAAGteL+Y=")</f>
        <v>#REF!</v>
      </c>
      <c r="HX113" t="e">
        <f>AND(#REF!,"AAAAAGteL+c=")</f>
        <v>#REF!</v>
      </c>
      <c r="HY113" t="e">
        <f>AND(#REF!,"AAAAAGteL+g=")</f>
        <v>#REF!</v>
      </c>
      <c r="HZ113" t="e">
        <f>AND(#REF!,"AAAAAGteL+k=")</f>
        <v>#REF!</v>
      </c>
      <c r="IA113" t="e">
        <f>AND(#REF!,"AAAAAGteL+o=")</f>
        <v>#REF!</v>
      </c>
      <c r="IB113" t="e">
        <f>AND(#REF!,"AAAAAGteL+s=")</f>
        <v>#REF!</v>
      </c>
      <c r="IC113" t="e">
        <f>AND(#REF!,"AAAAAGteL+w=")</f>
        <v>#REF!</v>
      </c>
      <c r="ID113" t="e">
        <f>AND(#REF!,"AAAAAGteL+0=")</f>
        <v>#REF!</v>
      </c>
      <c r="IE113" t="e">
        <f>AND(#REF!,"AAAAAGteL+4=")</f>
        <v>#REF!</v>
      </c>
      <c r="IF113" t="e">
        <f>AND(#REF!,"AAAAAGteL+8=")</f>
        <v>#REF!</v>
      </c>
      <c r="IG113" t="e">
        <f>AND(#REF!,"AAAAAGteL/A=")</f>
        <v>#REF!</v>
      </c>
      <c r="IH113" t="e">
        <f>AND(#REF!,"AAAAAGteL/E=")</f>
        <v>#REF!</v>
      </c>
      <c r="II113" t="e">
        <f>AND(#REF!,"AAAAAGteL/I=")</f>
        <v>#REF!</v>
      </c>
      <c r="IJ113" t="e">
        <f>AND(#REF!,"AAAAAGteL/M=")</f>
        <v>#REF!</v>
      </c>
      <c r="IK113" t="e">
        <f>AND(#REF!,"AAAAAGteL/Q=")</f>
        <v>#REF!</v>
      </c>
      <c r="IL113" t="e">
        <f>IF(#REF!,"AAAAAGteL/U=",0)</f>
        <v>#REF!</v>
      </c>
      <c r="IM113" t="e">
        <f>AND(#REF!,"AAAAAGteL/Y=")</f>
        <v>#REF!</v>
      </c>
      <c r="IN113" t="e">
        <f>AND(#REF!,"AAAAAGteL/c=")</f>
        <v>#REF!</v>
      </c>
      <c r="IO113" t="e">
        <f>AND(#REF!,"AAAAAGteL/g=")</f>
        <v>#REF!</v>
      </c>
      <c r="IP113" t="e">
        <f>AND(#REF!,"AAAAAGteL/k=")</f>
        <v>#REF!</v>
      </c>
      <c r="IQ113" t="e">
        <f>AND(#REF!,"AAAAAGteL/o=")</f>
        <v>#REF!</v>
      </c>
      <c r="IR113" t="e">
        <f>AND(#REF!,"AAAAAGteL/s=")</f>
        <v>#REF!</v>
      </c>
      <c r="IS113" t="e">
        <f>AND(#REF!,"AAAAAGteL/w=")</f>
        <v>#REF!</v>
      </c>
      <c r="IT113" t="e">
        <f>AND(#REF!,"AAAAAGteL/0=")</f>
        <v>#REF!</v>
      </c>
      <c r="IU113" t="e">
        <f>AND(#REF!,"AAAAAGteL/4=")</f>
        <v>#REF!</v>
      </c>
      <c r="IV113" t="e">
        <f>AND(#REF!,"AAAAAGteL/8=")</f>
        <v>#REF!</v>
      </c>
    </row>
    <row r="114" spans="1:256" x14ac:dyDescent="0.2">
      <c r="A114" t="e">
        <f>AND(#REF!,"AAAAAGm7+wA=")</f>
        <v>#REF!</v>
      </c>
      <c r="B114" t="e">
        <f>AND(#REF!,"AAAAAGm7+wE=")</f>
        <v>#REF!</v>
      </c>
      <c r="C114" t="e">
        <f>AND(#REF!,"AAAAAGm7+wI=")</f>
        <v>#REF!</v>
      </c>
      <c r="D114" t="e">
        <f>AND(#REF!,"AAAAAGm7+wM=")</f>
        <v>#REF!</v>
      </c>
      <c r="E114" t="e">
        <f>AND(#REF!,"AAAAAGm7+wQ=")</f>
        <v>#REF!</v>
      </c>
      <c r="F114" t="e">
        <f>AND(#REF!,"AAAAAGm7+wU=")</f>
        <v>#REF!</v>
      </c>
      <c r="G114" t="e">
        <f>AND(#REF!,"AAAAAGm7+wY=")</f>
        <v>#REF!</v>
      </c>
      <c r="H114" t="e">
        <f>AND(#REF!,"AAAAAGm7+wc=")</f>
        <v>#REF!</v>
      </c>
      <c r="I114" t="e">
        <f>AND(#REF!,"AAAAAGm7+wg=")</f>
        <v>#REF!</v>
      </c>
      <c r="J114" t="e">
        <f>AND(#REF!,"AAAAAGm7+wk=")</f>
        <v>#REF!</v>
      </c>
      <c r="K114" t="e">
        <f>AND(#REF!,"AAAAAGm7+wo=")</f>
        <v>#REF!</v>
      </c>
      <c r="L114" t="e">
        <f>AND(#REF!,"AAAAAGm7+ws=")</f>
        <v>#REF!</v>
      </c>
      <c r="M114" t="e">
        <f>AND(#REF!,"AAAAAGm7+ww=")</f>
        <v>#REF!</v>
      </c>
      <c r="N114" t="e">
        <f>AND(#REF!,"AAAAAGm7+w0=")</f>
        <v>#REF!</v>
      </c>
      <c r="O114" t="e">
        <f>AND(#REF!,"AAAAAGm7+w4=")</f>
        <v>#REF!</v>
      </c>
      <c r="P114" t="e">
        <f>AND(#REF!,"AAAAAGm7+w8=")</f>
        <v>#REF!</v>
      </c>
      <c r="Q114" t="e">
        <f>AND(#REF!,"AAAAAGm7+xA=")</f>
        <v>#REF!</v>
      </c>
      <c r="R114" t="e">
        <f>IF(#REF!,"AAAAAGm7+xE=",0)</f>
        <v>#REF!</v>
      </c>
      <c r="S114" t="e">
        <f>AND(#REF!,"AAAAAGm7+xI=")</f>
        <v>#REF!</v>
      </c>
      <c r="T114" t="e">
        <f>AND(#REF!,"AAAAAGm7+xM=")</f>
        <v>#REF!</v>
      </c>
      <c r="U114" t="e">
        <f>AND(#REF!,"AAAAAGm7+xQ=")</f>
        <v>#REF!</v>
      </c>
      <c r="V114" t="e">
        <f>AND(#REF!,"AAAAAGm7+xU=")</f>
        <v>#REF!</v>
      </c>
      <c r="W114" t="e">
        <f>AND(#REF!,"AAAAAGm7+xY=")</f>
        <v>#REF!</v>
      </c>
      <c r="X114" t="e">
        <f>AND(#REF!,"AAAAAGm7+xc=")</f>
        <v>#REF!</v>
      </c>
      <c r="Y114" t="e">
        <f>AND(#REF!,"AAAAAGm7+xg=")</f>
        <v>#REF!</v>
      </c>
      <c r="Z114" t="e">
        <f>AND(#REF!,"AAAAAGm7+xk=")</f>
        <v>#REF!</v>
      </c>
      <c r="AA114" t="e">
        <f>AND(#REF!,"AAAAAGm7+xo=")</f>
        <v>#REF!</v>
      </c>
      <c r="AB114" t="e">
        <f>AND(#REF!,"AAAAAGm7+xs=")</f>
        <v>#REF!</v>
      </c>
      <c r="AC114" t="e">
        <f>AND(#REF!,"AAAAAGm7+xw=")</f>
        <v>#REF!</v>
      </c>
      <c r="AD114" t="e">
        <f>AND(#REF!,"AAAAAGm7+x0=")</f>
        <v>#REF!</v>
      </c>
      <c r="AE114" t="e">
        <f>AND(#REF!,"AAAAAGm7+x4=")</f>
        <v>#REF!</v>
      </c>
      <c r="AF114" t="e">
        <f>AND(#REF!,"AAAAAGm7+x8=")</f>
        <v>#REF!</v>
      </c>
      <c r="AG114" t="e">
        <f>AND(#REF!,"AAAAAGm7+yA=")</f>
        <v>#REF!</v>
      </c>
      <c r="AH114" t="e">
        <f>AND(#REF!,"AAAAAGm7+yE=")</f>
        <v>#REF!</v>
      </c>
      <c r="AI114" t="e">
        <f>AND(#REF!,"AAAAAGm7+yI=")</f>
        <v>#REF!</v>
      </c>
      <c r="AJ114" t="e">
        <f>AND(#REF!,"AAAAAGm7+yM=")</f>
        <v>#REF!</v>
      </c>
      <c r="AK114" t="e">
        <f>AND(#REF!,"AAAAAGm7+yQ=")</f>
        <v>#REF!</v>
      </c>
      <c r="AL114" t="e">
        <f>AND(#REF!,"AAAAAGm7+yU=")</f>
        <v>#REF!</v>
      </c>
      <c r="AM114" t="e">
        <f>AND(#REF!,"AAAAAGm7+yY=")</f>
        <v>#REF!</v>
      </c>
      <c r="AN114" t="e">
        <f>AND(#REF!,"AAAAAGm7+yc=")</f>
        <v>#REF!</v>
      </c>
      <c r="AO114" t="e">
        <f>AND(#REF!,"AAAAAGm7+yg=")</f>
        <v>#REF!</v>
      </c>
      <c r="AP114" t="e">
        <f>AND(#REF!,"AAAAAGm7+yk=")</f>
        <v>#REF!</v>
      </c>
      <c r="AQ114" t="e">
        <f>AND(#REF!,"AAAAAGm7+yo=")</f>
        <v>#REF!</v>
      </c>
      <c r="AR114" t="e">
        <f>AND(#REF!,"AAAAAGm7+ys=")</f>
        <v>#REF!</v>
      </c>
      <c r="AS114" t="e">
        <f>AND(#REF!,"AAAAAGm7+yw=")</f>
        <v>#REF!</v>
      </c>
      <c r="AT114" t="e">
        <f>IF(#REF!,"AAAAAGm7+y0=",0)</f>
        <v>#REF!</v>
      </c>
      <c r="AU114" t="e">
        <f>AND(#REF!,"AAAAAGm7+y4=")</f>
        <v>#REF!</v>
      </c>
      <c r="AV114" t="e">
        <f>AND(#REF!,"AAAAAGm7+y8=")</f>
        <v>#REF!</v>
      </c>
      <c r="AW114" t="e">
        <f>AND(#REF!,"AAAAAGm7+zA=")</f>
        <v>#REF!</v>
      </c>
      <c r="AX114" t="e">
        <f>AND(#REF!,"AAAAAGm7+zE=")</f>
        <v>#REF!</v>
      </c>
      <c r="AY114" t="e">
        <f>AND(#REF!,"AAAAAGm7+zI=")</f>
        <v>#REF!</v>
      </c>
      <c r="AZ114" t="e">
        <f>AND(#REF!,"AAAAAGm7+zM=")</f>
        <v>#REF!</v>
      </c>
      <c r="BA114" t="e">
        <f>AND(#REF!,"AAAAAGm7+zQ=")</f>
        <v>#REF!</v>
      </c>
      <c r="BB114" t="e">
        <f>AND(#REF!,"AAAAAGm7+zU=")</f>
        <v>#REF!</v>
      </c>
      <c r="BC114" t="e">
        <f>AND(#REF!,"AAAAAGm7+zY=")</f>
        <v>#REF!</v>
      </c>
      <c r="BD114" t="e">
        <f>AND(#REF!,"AAAAAGm7+zc=")</f>
        <v>#REF!</v>
      </c>
      <c r="BE114" t="e">
        <f>AND(#REF!,"AAAAAGm7+zg=")</f>
        <v>#REF!</v>
      </c>
      <c r="BF114" t="e">
        <f>AND(#REF!,"AAAAAGm7+zk=")</f>
        <v>#REF!</v>
      </c>
      <c r="BG114" t="e">
        <f>AND(#REF!,"AAAAAGm7+zo=")</f>
        <v>#REF!</v>
      </c>
      <c r="BH114" t="e">
        <f>AND(#REF!,"AAAAAGm7+zs=")</f>
        <v>#REF!</v>
      </c>
      <c r="BI114" t="e">
        <f>AND(#REF!,"AAAAAGm7+zw=")</f>
        <v>#REF!</v>
      </c>
      <c r="BJ114" t="e">
        <f>AND(#REF!,"AAAAAGm7+z0=")</f>
        <v>#REF!</v>
      </c>
      <c r="BK114" t="e">
        <f>AND(#REF!,"AAAAAGm7+z4=")</f>
        <v>#REF!</v>
      </c>
      <c r="BL114" t="e">
        <f>AND(#REF!,"AAAAAGm7+z8=")</f>
        <v>#REF!</v>
      </c>
      <c r="BM114" t="e">
        <f>AND(#REF!,"AAAAAGm7+0A=")</f>
        <v>#REF!</v>
      </c>
      <c r="BN114" t="e">
        <f>AND(#REF!,"AAAAAGm7+0E=")</f>
        <v>#REF!</v>
      </c>
      <c r="BO114" t="e">
        <f>AND(#REF!,"AAAAAGm7+0I=")</f>
        <v>#REF!</v>
      </c>
      <c r="BP114" t="e">
        <f>AND(#REF!,"AAAAAGm7+0M=")</f>
        <v>#REF!</v>
      </c>
      <c r="BQ114" t="e">
        <f>AND(#REF!,"AAAAAGm7+0Q=")</f>
        <v>#REF!</v>
      </c>
      <c r="BR114" t="e">
        <f>AND(#REF!,"AAAAAGm7+0U=")</f>
        <v>#REF!</v>
      </c>
      <c r="BS114" t="e">
        <f>AND(#REF!,"AAAAAGm7+0Y=")</f>
        <v>#REF!</v>
      </c>
      <c r="BT114" t="e">
        <f>AND(#REF!,"AAAAAGm7+0c=")</f>
        <v>#REF!</v>
      </c>
      <c r="BU114" t="e">
        <f>AND(#REF!,"AAAAAGm7+0g=")</f>
        <v>#REF!</v>
      </c>
      <c r="BV114" t="e">
        <f>IF(#REF!,"AAAAAGm7+0k=",0)</f>
        <v>#REF!</v>
      </c>
      <c r="BW114" t="e">
        <f>AND(#REF!,"AAAAAGm7+0o=")</f>
        <v>#REF!</v>
      </c>
      <c r="BX114" t="e">
        <f>AND(#REF!,"AAAAAGm7+0s=")</f>
        <v>#REF!</v>
      </c>
      <c r="BY114" t="e">
        <f>AND(#REF!,"AAAAAGm7+0w=")</f>
        <v>#REF!</v>
      </c>
      <c r="BZ114" t="e">
        <f>AND(#REF!,"AAAAAGm7+00=")</f>
        <v>#REF!</v>
      </c>
      <c r="CA114" t="e">
        <f>AND(#REF!,"AAAAAGm7+04=")</f>
        <v>#REF!</v>
      </c>
      <c r="CB114" t="e">
        <f>AND(#REF!,"AAAAAGm7+08=")</f>
        <v>#REF!</v>
      </c>
      <c r="CC114" t="e">
        <f>AND(#REF!,"AAAAAGm7+1A=")</f>
        <v>#REF!</v>
      </c>
      <c r="CD114" t="e">
        <f>AND(#REF!,"AAAAAGm7+1E=")</f>
        <v>#REF!</v>
      </c>
      <c r="CE114" t="e">
        <f>AND(#REF!,"AAAAAGm7+1I=")</f>
        <v>#REF!</v>
      </c>
      <c r="CF114" t="e">
        <f>AND(#REF!,"AAAAAGm7+1M=")</f>
        <v>#REF!</v>
      </c>
      <c r="CG114" t="e">
        <f>AND(#REF!,"AAAAAGm7+1Q=")</f>
        <v>#REF!</v>
      </c>
      <c r="CH114" t="e">
        <f>AND(#REF!,"AAAAAGm7+1U=")</f>
        <v>#REF!</v>
      </c>
      <c r="CI114" t="e">
        <f>AND(#REF!,"AAAAAGm7+1Y=")</f>
        <v>#REF!</v>
      </c>
      <c r="CJ114" t="e">
        <f>AND(#REF!,"AAAAAGm7+1c=")</f>
        <v>#REF!</v>
      </c>
      <c r="CK114" t="e">
        <f>AND(#REF!,"AAAAAGm7+1g=")</f>
        <v>#REF!</v>
      </c>
      <c r="CL114" t="e">
        <f>AND(#REF!,"AAAAAGm7+1k=")</f>
        <v>#REF!</v>
      </c>
      <c r="CM114" t="e">
        <f>AND(#REF!,"AAAAAGm7+1o=")</f>
        <v>#REF!</v>
      </c>
      <c r="CN114" t="e">
        <f>AND(#REF!,"AAAAAGm7+1s=")</f>
        <v>#REF!</v>
      </c>
      <c r="CO114" t="e">
        <f>AND(#REF!,"AAAAAGm7+1w=")</f>
        <v>#REF!</v>
      </c>
      <c r="CP114" t="e">
        <f>AND(#REF!,"AAAAAGm7+10=")</f>
        <v>#REF!</v>
      </c>
      <c r="CQ114" t="e">
        <f>AND(#REF!,"AAAAAGm7+14=")</f>
        <v>#REF!</v>
      </c>
      <c r="CR114" t="e">
        <f>AND(#REF!,"AAAAAGm7+18=")</f>
        <v>#REF!</v>
      </c>
      <c r="CS114" t="e">
        <f>AND(#REF!,"AAAAAGm7+2A=")</f>
        <v>#REF!</v>
      </c>
      <c r="CT114" t="e">
        <f>AND(#REF!,"AAAAAGm7+2E=")</f>
        <v>#REF!</v>
      </c>
      <c r="CU114" t="e">
        <f>AND(#REF!,"AAAAAGm7+2I=")</f>
        <v>#REF!</v>
      </c>
      <c r="CV114" t="e">
        <f>AND(#REF!,"AAAAAGm7+2M=")</f>
        <v>#REF!</v>
      </c>
      <c r="CW114" t="e">
        <f>AND(#REF!,"AAAAAGm7+2Q=")</f>
        <v>#REF!</v>
      </c>
      <c r="CX114" t="e">
        <f>IF(#REF!,"AAAAAGm7+2U=",0)</f>
        <v>#REF!</v>
      </c>
      <c r="CY114" t="e">
        <f>AND(#REF!,"AAAAAGm7+2Y=")</f>
        <v>#REF!</v>
      </c>
      <c r="CZ114" t="e">
        <f>AND(#REF!,"AAAAAGm7+2c=")</f>
        <v>#REF!</v>
      </c>
      <c r="DA114" t="e">
        <f>AND(#REF!,"AAAAAGm7+2g=")</f>
        <v>#REF!</v>
      </c>
      <c r="DB114" t="e">
        <f>AND(#REF!,"AAAAAGm7+2k=")</f>
        <v>#REF!</v>
      </c>
      <c r="DC114" t="e">
        <f>AND(#REF!,"AAAAAGm7+2o=")</f>
        <v>#REF!</v>
      </c>
      <c r="DD114" t="e">
        <f>AND(#REF!,"AAAAAGm7+2s=")</f>
        <v>#REF!</v>
      </c>
      <c r="DE114" t="e">
        <f>AND(#REF!,"AAAAAGm7+2w=")</f>
        <v>#REF!</v>
      </c>
      <c r="DF114" t="e">
        <f>AND(#REF!,"AAAAAGm7+20=")</f>
        <v>#REF!</v>
      </c>
      <c r="DG114" t="e">
        <f>AND(#REF!,"AAAAAGm7+24=")</f>
        <v>#REF!</v>
      </c>
      <c r="DH114" t="e">
        <f>AND(#REF!,"AAAAAGm7+28=")</f>
        <v>#REF!</v>
      </c>
      <c r="DI114" t="e">
        <f>AND(#REF!,"AAAAAGm7+3A=")</f>
        <v>#REF!</v>
      </c>
      <c r="DJ114" t="e">
        <f>AND(#REF!,"AAAAAGm7+3E=")</f>
        <v>#REF!</v>
      </c>
      <c r="DK114" t="e">
        <f>AND(#REF!,"AAAAAGm7+3I=")</f>
        <v>#REF!</v>
      </c>
      <c r="DL114" t="e">
        <f>AND(#REF!,"AAAAAGm7+3M=")</f>
        <v>#REF!</v>
      </c>
      <c r="DM114" t="e">
        <f>AND(#REF!,"AAAAAGm7+3Q=")</f>
        <v>#REF!</v>
      </c>
      <c r="DN114" t="e">
        <f>AND(#REF!,"AAAAAGm7+3U=")</f>
        <v>#REF!</v>
      </c>
      <c r="DO114" t="e">
        <f>AND(#REF!,"AAAAAGm7+3Y=")</f>
        <v>#REF!</v>
      </c>
      <c r="DP114" t="e">
        <f>AND(#REF!,"AAAAAGm7+3c=")</f>
        <v>#REF!</v>
      </c>
      <c r="DQ114" t="e">
        <f>AND(#REF!,"AAAAAGm7+3g=")</f>
        <v>#REF!</v>
      </c>
      <c r="DR114" t="e">
        <f>AND(#REF!,"AAAAAGm7+3k=")</f>
        <v>#REF!</v>
      </c>
      <c r="DS114" t="e">
        <f>AND(#REF!,"AAAAAGm7+3o=")</f>
        <v>#REF!</v>
      </c>
      <c r="DT114" t="e">
        <f>AND(#REF!,"AAAAAGm7+3s=")</f>
        <v>#REF!</v>
      </c>
      <c r="DU114" t="e">
        <f>AND(#REF!,"AAAAAGm7+3w=")</f>
        <v>#REF!</v>
      </c>
      <c r="DV114" t="e">
        <f>AND(#REF!,"AAAAAGm7+30=")</f>
        <v>#REF!</v>
      </c>
      <c r="DW114" t="e">
        <f>AND(#REF!,"AAAAAGm7+34=")</f>
        <v>#REF!</v>
      </c>
      <c r="DX114" t="e">
        <f>AND(#REF!,"AAAAAGm7+38=")</f>
        <v>#REF!</v>
      </c>
      <c r="DY114" t="e">
        <f>AND(#REF!,"AAAAAGm7+4A=")</f>
        <v>#REF!</v>
      </c>
      <c r="DZ114" t="e">
        <f>IF(#REF!,"AAAAAGm7+4E=",0)</f>
        <v>#REF!</v>
      </c>
      <c r="EA114" t="e">
        <f>AND(#REF!,"AAAAAGm7+4I=")</f>
        <v>#REF!</v>
      </c>
      <c r="EB114" t="e">
        <f>AND(#REF!,"AAAAAGm7+4M=")</f>
        <v>#REF!</v>
      </c>
      <c r="EC114" t="e">
        <f>AND(#REF!,"AAAAAGm7+4Q=")</f>
        <v>#REF!</v>
      </c>
      <c r="ED114" t="e">
        <f>AND(#REF!,"AAAAAGm7+4U=")</f>
        <v>#REF!</v>
      </c>
      <c r="EE114" t="e">
        <f>AND(#REF!,"AAAAAGm7+4Y=")</f>
        <v>#REF!</v>
      </c>
      <c r="EF114" t="e">
        <f>AND(#REF!,"AAAAAGm7+4c=")</f>
        <v>#REF!</v>
      </c>
      <c r="EG114" t="e">
        <f>AND(#REF!,"AAAAAGm7+4g=")</f>
        <v>#REF!</v>
      </c>
      <c r="EH114" t="e">
        <f>AND(#REF!,"AAAAAGm7+4k=")</f>
        <v>#REF!</v>
      </c>
      <c r="EI114" t="e">
        <f>AND(#REF!,"AAAAAGm7+4o=")</f>
        <v>#REF!</v>
      </c>
      <c r="EJ114" t="e">
        <f>AND(#REF!,"AAAAAGm7+4s=")</f>
        <v>#REF!</v>
      </c>
      <c r="EK114" t="e">
        <f>AND(#REF!,"AAAAAGm7+4w=")</f>
        <v>#REF!</v>
      </c>
      <c r="EL114" t="e">
        <f>AND(#REF!,"AAAAAGm7+40=")</f>
        <v>#REF!</v>
      </c>
      <c r="EM114" t="e">
        <f>AND(#REF!,"AAAAAGm7+44=")</f>
        <v>#REF!</v>
      </c>
      <c r="EN114" t="e">
        <f>AND(#REF!,"AAAAAGm7+48=")</f>
        <v>#REF!</v>
      </c>
      <c r="EO114" t="e">
        <f>AND(#REF!,"AAAAAGm7+5A=")</f>
        <v>#REF!</v>
      </c>
      <c r="EP114" t="e">
        <f>AND(#REF!,"AAAAAGm7+5E=")</f>
        <v>#REF!</v>
      </c>
      <c r="EQ114" t="e">
        <f>AND(#REF!,"AAAAAGm7+5I=")</f>
        <v>#REF!</v>
      </c>
      <c r="ER114" t="e">
        <f>AND(#REF!,"AAAAAGm7+5M=")</f>
        <v>#REF!</v>
      </c>
      <c r="ES114" t="e">
        <f>AND(#REF!,"AAAAAGm7+5Q=")</f>
        <v>#REF!</v>
      </c>
      <c r="ET114" t="e">
        <f>AND(#REF!,"AAAAAGm7+5U=")</f>
        <v>#REF!</v>
      </c>
      <c r="EU114" t="e">
        <f>AND(#REF!,"AAAAAGm7+5Y=")</f>
        <v>#REF!</v>
      </c>
      <c r="EV114" t="e">
        <f>AND(#REF!,"AAAAAGm7+5c=")</f>
        <v>#REF!</v>
      </c>
      <c r="EW114" t="e">
        <f>AND(#REF!,"AAAAAGm7+5g=")</f>
        <v>#REF!</v>
      </c>
      <c r="EX114" t="e">
        <f>AND(#REF!,"AAAAAGm7+5k=")</f>
        <v>#REF!</v>
      </c>
      <c r="EY114" t="e">
        <f>AND(#REF!,"AAAAAGm7+5o=")</f>
        <v>#REF!</v>
      </c>
      <c r="EZ114" t="e">
        <f>AND(#REF!,"AAAAAGm7+5s=")</f>
        <v>#REF!</v>
      </c>
      <c r="FA114" t="e">
        <f>AND(#REF!,"AAAAAGm7+5w=")</f>
        <v>#REF!</v>
      </c>
      <c r="FB114" t="e">
        <f>IF(#REF!,"AAAAAGm7+50=",0)</f>
        <v>#REF!</v>
      </c>
      <c r="FC114" t="e">
        <f>AND(#REF!,"AAAAAGm7+54=")</f>
        <v>#REF!</v>
      </c>
      <c r="FD114" t="e">
        <f>AND(#REF!,"AAAAAGm7+58=")</f>
        <v>#REF!</v>
      </c>
      <c r="FE114" t="e">
        <f>AND(#REF!,"AAAAAGm7+6A=")</f>
        <v>#REF!</v>
      </c>
      <c r="FF114" t="e">
        <f>AND(#REF!,"AAAAAGm7+6E=")</f>
        <v>#REF!</v>
      </c>
      <c r="FG114" t="e">
        <f>AND(#REF!,"AAAAAGm7+6I=")</f>
        <v>#REF!</v>
      </c>
      <c r="FH114" t="e">
        <f>AND(#REF!,"AAAAAGm7+6M=")</f>
        <v>#REF!</v>
      </c>
      <c r="FI114" t="e">
        <f>AND(#REF!,"AAAAAGm7+6Q=")</f>
        <v>#REF!</v>
      </c>
      <c r="FJ114" t="e">
        <f>AND(#REF!,"AAAAAGm7+6U=")</f>
        <v>#REF!</v>
      </c>
      <c r="FK114" t="e">
        <f>AND(#REF!,"AAAAAGm7+6Y=")</f>
        <v>#REF!</v>
      </c>
      <c r="FL114" t="e">
        <f>AND(#REF!,"AAAAAGm7+6c=")</f>
        <v>#REF!</v>
      </c>
      <c r="FM114" t="e">
        <f>AND(#REF!,"AAAAAGm7+6g=")</f>
        <v>#REF!</v>
      </c>
      <c r="FN114" t="e">
        <f>AND(#REF!,"AAAAAGm7+6k=")</f>
        <v>#REF!</v>
      </c>
      <c r="FO114" t="e">
        <f>AND(#REF!,"AAAAAGm7+6o=")</f>
        <v>#REF!</v>
      </c>
      <c r="FP114" t="e">
        <f>AND(#REF!,"AAAAAGm7+6s=")</f>
        <v>#REF!</v>
      </c>
      <c r="FQ114" t="e">
        <f>AND(#REF!,"AAAAAGm7+6w=")</f>
        <v>#REF!</v>
      </c>
      <c r="FR114" t="e">
        <f>AND(#REF!,"AAAAAGm7+60=")</f>
        <v>#REF!</v>
      </c>
      <c r="FS114" t="e">
        <f>AND(#REF!,"AAAAAGm7+64=")</f>
        <v>#REF!</v>
      </c>
      <c r="FT114" t="e">
        <f>AND(#REF!,"AAAAAGm7+68=")</f>
        <v>#REF!</v>
      </c>
      <c r="FU114" t="e">
        <f>AND(#REF!,"AAAAAGm7+7A=")</f>
        <v>#REF!</v>
      </c>
      <c r="FV114" t="e">
        <f>AND(#REF!,"AAAAAGm7+7E=")</f>
        <v>#REF!</v>
      </c>
      <c r="FW114" t="e">
        <f>AND(#REF!,"AAAAAGm7+7I=")</f>
        <v>#REF!</v>
      </c>
      <c r="FX114" t="e">
        <f>AND(#REF!,"AAAAAGm7+7M=")</f>
        <v>#REF!</v>
      </c>
      <c r="FY114" t="e">
        <f>AND(#REF!,"AAAAAGm7+7Q=")</f>
        <v>#REF!</v>
      </c>
      <c r="FZ114" t="e">
        <f>AND(#REF!,"AAAAAGm7+7U=")</f>
        <v>#REF!</v>
      </c>
      <c r="GA114" t="e">
        <f>AND(#REF!,"AAAAAGm7+7Y=")</f>
        <v>#REF!</v>
      </c>
      <c r="GB114" t="e">
        <f>AND(#REF!,"AAAAAGm7+7c=")</f>
        <v>#REF!</v>
      </c>
      <c r="GC114" t="e">
        <f>AND(#REF!,"AAAAAGm7+7g=")</f>
        <v>#REF!</v>
      </c>
      <c r="GD114" t="e">
        <f>IF(#REF!,"AAAAAGm7+7k=",0)</f>
        <v>#REF!</v>
      </c>
      <c r="GE114" t="e">
        <f>AND(#REF!,"AAAAAGm7+7o=")</f>
        <v>#REF!</v>
      </c>
      <c r="GF114" t="e">
        <f>AND(#REF!,"AAAAAGm7+7s=")</f>
        <v>#REF!</v>
      </c>
      <c r="GG114" t="e">
        <f>AND(#REF!,"AAAAAGm7+7w=")</f>
        <v>#REF!</v>
      </c>
      <c r="GH114" t="e">
        <f>AND(#REF!,"AAAAAGm7+70=")</f>
        <v>#REF!</v>
      </c>
      <c r="GI114" t="e">
        <f>AND(#REF!,"AAAAAGm7+74=")</f>
        <v>#REF!</v>
      </c>
      <c r="GJ114" t="e">
        <f>AND(#REF!,"AAAAAGm7+78=")</f>
        <v>#REF!</v>
      </c>
      <c r="GK114" t="e">
        <f>AND(#REF!,"AAAAAGm7+8A=")</f>
        <v>#REF!</v>
      </c>
      <c r="GL114" t="e">
        <f>AND(#REF!,"AAAAAGm7+8E=")</f>
        <v>#REF!</v>
      </c>
      <c r="GM114" t="e">
        <f>AND(#REF!,"AAAAAGm7+8I=")</f>
        <v>#REF!</v>
      </c>
      <c r="GN114" t="e">
        <f>AND(#REF!,"AAAAAGm7+8M=")</f>
        <v>#REF!</v>
      </c>
      <c r="GO114" t="e">
        <f>AND(#REF!,"AAAAAGm7+8Q=")</f>
        <v>#REF!</v>
      </c>
      <c r="GP114" t="e">
        <f>AND(#REF!,"AAAAAGm7+8U=")</f>
        <v>#REF!</v>
      </c>
      <c r="GQ114" t="e">
        <f>AND(#REF!,"AAAAAGm7+8Y=")</f>
        <v>#REF!</v>
      </c>
      <c r="GR114" t="e">
        <f>AND(#REF!,"AAAAAGm7+8c=")</f>
        <v>#REF!</v>
      </c>
      <c r="GS114" t="e">
        <f>AND(#REF!,"AAAAAGm7+8g=")</f>
        <v>#REF!</v>
      </c>
      <c r="GT114" t="e">
        <f>AND(#REF!,"AAAAAGm7+8k=")</f>
        <v>#REF!</v>
      </c>
      <c r="GU114" t="e">
        <f>AND(#REF!,"AAAAAGm7+8o=")</f>
        <v>#REF!</v>
      </c>
      <c r="GV114" t="e">
        <f>AND(#REF!,"AAAAAGm7+8s=")</f>
        <v>#REF!</v>
      </c>
      <c r="GW114" t="e">
        <f>AND(#REF!,"AAAAAGm7+8w=")</f>
        <v>#REF!</v>
      </c>
      <c r="GX114" t="e">
        <f>AND(#REF!,"AAAAAGm7+80=")</f>
        <v>#REF!</v>
      </c>
      <c r="GY114" t="e">
        <f>AND(#REF!,"AAAAAGm7+84=")</f>
        <v>#REF!</v>
      </c>
      <c r="GZ114" t="e">
        <f>AND(#REF!,"AAAAAGm7+88=")</f>
        <v>#REF!</v>
      </c>
      <c r="HA114" t="e">
        <f>AND(#REF!,"AAAAAGm7+9A=")</f>
        <v>#REF!</v>
      </c>
      <c r="HB114" t="e">
        <f>AND(#REF!,"AAAAAGm7+9E=")</f>
        <v>#REF!</v>
      </c>
      <c r="HC114" t="e">
        <f>AND(#REF!,"AAAAAGm7+9I=")</f>
        <v>#REF!</v>
      </c>
      <c r="HD114" t="e">
        <f>AND(#REF!,"AAAAAGm7+9M=")</f>
        <v>#REF!</v>
      </c>
      <c r="HE114" t="e">
        <f>AND(#REF!,"AAAAAGm7+9Q=")</f>
        <v>#REF!</v>
      </c>
      <c r="HF114" t="e">
        <f>IF(#REF!,"AAAAAGm7+9U=",0)</f>
        <v>#REF!</v>
      </c>
      <c r="HG114" t="e">
        <f>AND(#REF!,"AAAAAGm7+9Y=")</f>
        <v>#REF!</v>
      </c>
      <c r="HH114" t="e">
        <f>AND(#REF!,"AAAAAGm7+9c=")</f>
        <v>#REF!</v>
      </c>
      <c r="HI114" t="e">
        <f>AND(#REF!,"AAAAAGm7+9g=")</f>
        <v>#REF!</v>
      </c>
      <c r="HJ114" t="e">
        <f>AND(#REF!,"AAAAAGm7+9k=")</f>
        <v>#REF!</v>
      </c>
      <c r="HK114" t="e">
        <f>AND(#REF!,"AAAAAGm7+9o=")</f>
        <v>#REF!</v>
      </c>
      <c r="HL114" t="e">
        <f>AND(#REF!,"AAAAAGm7+9s=")</f>
        <v>#REF!</v>
      </c>
      <c r="HM114" t="e">
        <f>AND(#REF!,"AAAAAGm7+9w=")</f>
        <v>#REF!</v>
      </c>
      <c r="HN114" t="e">
        <f>AND(#REF!,"AAAAAGm7+90=")</f>
        <v>#REF!</v>
      </c>
      <c r="HO114" t="e">
        <f>AND(#REF!,"AAAAAGm7+94=")</f>
        <v>#REF!</v>
      </c>
      <c r="HP114" t="e">
        <f>AND(#REF!,"AAAAAGm7+98=")</f>
        <v>#REF!</v>
      </c>
      <c r="HQ114" t="e">
        <f>AND(#REF!,"AAAAAGm7++A=")</f>
        <v>#REF!</v>
      </c>
      <c r="HR114" t="e">
        <f>AND(#REF!,"AAAAAGm7++E=")</f>
        <v>#REF!</v>
      </c>
      <c r="HS114" t="e">
        <f>AND(#REF!,"AAAAAGm7++I=")</f>
        <v>#REF!</v>
      </c>
      <c r="HT114" t="e">
        <f>AND(#REF!,"AAAAAGm7++M=")</f>
        <v>#REF!</v>
      </c>
      <c r="HU114" t="e">
        <f>AND(#REF!,"AAAAAGm7++Q=")</f>
        <v>#REF!</v>
      </c>
      <c r="HV114" t="e">
        <f>AND(#REF!,"AAAAAGm7++U=")</f>
        <v>#REF!</v>
      </c>
      <c r="HW114" t="e">
        <f>AND(#REF!,"AAAAAGm7++Y=")</f>
        <v>#REF!</v>
      </c>
      <c r="HX114" t="e">
        <f>AND(#REF!,"AAAAAGm7++c=")</f>
        <v>#REF!</v>
      </c>
      <c r="HY114" t="e">
        <f>AND(#REF!,"AAAAAGm7++g=")</f>
        <v>#REF!</v>
      </c>
      <c r="HZ114" t="e">
        <f>AND(#REF!,"AAAAAGm7++k=")</f>
        <v>#REF!</v>
      </c>
      <c r="IA114" t="e">
        <f>AND(#REF!,"AAAAAGm7++o=")</f>
        <v>#REF!</v>
      </c>
      <c r="IB114" t="e">
        <f>AND(#REF!,"AAAAAGm7++s=")</f>
        <v>#REF!</v>
      </c>
      <c r="IC114" t="e">
        <f>AND(#REF!,"AAAAAGm7++w=")</f>
        <v>#REF!</v>
      </c>
      <c r="ID114" t="e">
        <f>AND(#REF!,"AAAAAGm7++0=")</f>
        <v>#REF!</v>
      </c>
      <c r="IE114" t="e">
        <f>AND(#REF!,"AAAAAGm7++4=")</f>
        <v>#REF!</v>
      </c>
      <c r="IF114" t="e">
        <f>AND(#REF!,"AAAAAGm7++8=")</f>
        <v>#REF!</v>
      </c>
      <c r="IG114" t="e">
        <f>AND(#REF!,"AAAAAGm7+/A=")</f>
        <v>#REF!</v>
      </c>
      <c r="IH114" t="e">
        <f>IF(#REF!,"AAAAAGm7+/E=",0)</f>
        <v>#REF!</v>
      </c>
      <c r="II114" t="e">
        <f>AND(#REF!,"AAAAAGm7+/I=")</f>
        <v>#REF!</v>
      </c>
      <c r="IJ114" t="e">
        <f>AND(#REF!,"AAAAAGm7+/M=")</f>
        <v>#REF!</v>
      </c>
      <c r="IK114" t="e">
        <f>AND(#REF!,"AAAAAGm7+/Q=")</f>
        <v>#REF!</v>
      </c>
      <c r="IL114" t="e">
        <f>AND(#REF!,"AAAAAGm7+/U=")</f>
        <v>#REF!</v>
      </c>
      <c r="IM114" t="e">
        <f>AND(#REF!,"AAAAAGm7+/Y=")</f>
        <v>#REF!</v>
      </c>
      <c r="IN114" t="e">
        <f>AND(#REF!,"AAAAAGm7+/c=")</f>
        <v>#REF!</v>
      </c>
      <c r="IO114" t="e">
        <f>AND(#REF!,"AAAAAGm7+/g=")</f>
        <v>#REF!</v>
      </c>
      <c r="IP114" t="e">
        <f>AND(#REF!,"AAAAAGm7+/k=")</f>
        <v>#REF!</v>
      </c>
      <c r="IQ114" t="e">
        <f>AND(#REF!,"AAAAAGm7+/o=")</f>
        <v>#REF!</v>
      </c>
      <c r="IR114" t="e">
        <f>AND(#REF!,"AAAAAGm7+/s=")</f>
        <v>#REF!</v>
      </c>
      <c r="IS114" t="e">
        <f>AND(#REF!,"AAAAAGm7+/w=")</f>
        <v>#REF!</v>
      </c>
      <c r="IT114" t="e">
        <f>AND(#REF!,"AAAAAGm7+/0=")</f>
        <v>#REF!</v>
      </c>
      <c r="IU114" t="e">
        <f>AND(#REF!,"AAAAAGm7+/4=")</f>
        <v>#REF!</v>
      </c>
      <c r="IV114" t="e">
        <f>AND(#REF!,"AAAAAGm7+/8=")</f>
        <v>#REF!</v>
      </c>
    </row>
    <row r="115" spans="1:256" x14ac:dyDescent="0.2">
      <c r="A115" t="e">
        <f>AND(#REF!,"AAAAAC/+nQA=")</f>
        <v>#REF!</v>
      </c>
      <c r="B115" t="e">
        <f>AND(#REF!,"AAAAAC/+nQE=")</f>
        <v>#REF!</v>
      </c>
      <c r="C115" t="e">
        <f>AND(#REF!,"AAAAAC/+nQI=")</f>
        <v>#REF!</v>
      </c>
      <c r="D115" t="e">
        <f>AND(#REF!,"AAAAAC/+nQM=")</f>
        <v>#REF!</v>
      </c>
      <c r="E115" t="e">
        <f>AND(#REF!,"AAAAAC/+nQQ=")</f>
        <v>#REF!</v>
      </c>
      <c r="F115" t="e">
        <f>AND(#REF!,"AAAAAC/+nQU=")</f>
        <v>#REF!</v>
      </c>
      <c r="G115" t="e">
        <f>AND(#REF!,"AAAAAC/+nQY=")</f>
        <v>#REF!</v>
      </c>
      <c r="H115" t="e">
        <f>AND(#REF!,"AAAAAC/+nQc=")</f>
        <v>#REF!</v>
      </c>
      <c r="I115" t="e">
        <f>AND(#REF!,"AAAAAC/+nQg=")</f>
        <v>#REF!</v>
      </c>
      <c r="J115" t="e">
        <f>AND(#REF!,"AAAAAC/+nQk=")</f>
        <v>#REF!</v>
      </c>
      <c r="K115" t="e">
        <f>AND(#REF!,"AAAAAC/+nQo=")</f>
        <v>#REF!</v>
      </c>
      <c r="L115" t="e">
        <f>AND(#REF!,"AAAAAC/+nQs=")</f>
        <v>#REF!</v>
      </c>
      <c r="M115" t="e">
        <f>AND(#REF!,"AAAAAC/+nQw=")</f>
        <v>#REF!</v>
      </c>
      <c r="N115" t="e">
        <f>IF(#REF!,"AAAAAC/+nQ0=",0)</f>
        <v>#REF!</v>
      </c>
      <c r="O115" t="e">
        <f>AND(#REF!,"AAAAAC/+nQ4=")</f>
        <v>#REF!</v>
      </c>
      <c r="P115" t="e">
        <f>AND(#REF!,"AAAAAC/+nQ8=")</f>
        <v>#REF!</v>
      </c>
      <c r="Q115" t="e">
        <f>AND(#REF!,"AAAAAC/+nRA=")</f>
        <v>#REF!</v>
      </c>
      <c r="R115" t="e">
        <f>AND(#REF!,"AAAAAC/+nRE=")</f>
        <v>#REF!</v>
      </c>
      <c r="S115" t="e">
        <f>AND(#REF!,"AAAAAC/+nRI=")</f>
        <v>#REF!</v>
      </c>
      <c r="T115" t="e">
        <f>AND(#REF!,"AAAAAC/+nRM=")</f>
        <v>#REF!</v>
      </c>
      <c r="U115" t="e">
        <f>AND(#REF!,"AAAAAC/+nRQ=")</f>
        <v>#REF!</v>
      </c>
      <c r="V115" t="e">
        <f>AND(#REF!,"AAAAAC/+nRU=")</f>
        <v>#REF!</v>
      </c>
      <c r="W115" t="e">
        <f>AND(#REF!,"AAAAAC/+nRY=")</f>
        <v>#REF!</v>
      </c>
      <c r="X115" t="e">
        <f>AND(#REF!,"AAAAAC/+nRc=")</f>
        <v>#REF!</v>
      </c>
      <c r="Y115" t="e">
        <f>AND(#REF!,"AAAAAC/+nRg=")</f>
        <v>#REF!</v>
      </c>
      <c r="Z115" t="e">
        <f>AND(#REF!,"AAAAAC/+nRk=")</f>
        <v>#REF!</v>
      </c>
      <c r="AA115" t="e">
        <f>AND(#REF!,"AAAAAC/+nRo=")</f>
        <v>#REF!</v>
      </c>
      <c r="AB115" t="e">
        <f>AND(#REF!,"AAAAAC/+nRs=")</f>
        <v>#REF!</v>
      </c>
      <c r="AC115" t="e">
        <f>AND(#REF!,"AAAAAC/+nRw=")</f>
        <v>#REF!</v>
      </c>
      <c r="AD115" t="e">
        <f>AND(#REF!,"AAAAAC/+nR0=")</f>
        <v>#REF!</v>
      </c>
      <c r="AE115" t="e">
        <f>AND(#REF!,"AAAAAC/+nR4=")</f>
        <v>#REF!</v>
      </c>
      <c r="AF115" t="e">
        <f>AND(#REF!,"AAAAAC/+nR8=")</f>
        <v>#REF!</v>
      </c>
      <c r="AG115" t="e">
        <f>AND(#REF!,"AAAAAC/+nSA=")</f>
        <v>#REF!</v>
      </c>
      <c r="AH115" t="e">
        <f>AND(#REF!,"AAAAAC/+nSE=")</f>
        <v>#REF!</v>
      </c>
      <c r="AI115" t="e">
        <f>AND(#REF!,"AAAAAC/+nSI=")</f>
        <v>#REF!</v>
      </c>
      <c r="AJ115" t="e">
        <f>AND(#REF!,"AAAAAC/+nSM=")</f>
        <v>#REF!</v>
      </c>
      <c r="AK115" t="e">
        <f>AND(#REF!,"AAAAAC/+nSQ=")</f>
        <v>#REF!</v>
      </c>
      <c r="AL115" t="e">
        <f>AND(#REF!,"AAAAAC/+nSU=")</f>
        <v>#REF!</v>
      </c>
      <c r="AM115" t="e">
        <f>AND(#REF!,"AAAAAC/+nSY=")</f>
        <v>#REF!</v>
      </c>
      <c r="AN115" t="e">
        <f>AND(#REF!,"AAAAAC/+nSc=")</f>
        <v>#REF!</v>
      </c>
      <c r="AO115" t="e">
        <f>AND(#REF!,"AAAAAC/+nSg=")</f>
        <v>#REF!</v>
      </c>
      <c r="AP115" t="e">
        <f>IF(#REF!,"AAAAAC/+nSk=",0)</f>
        <v>#REF!</v>
      </c>
      <c r="AQ115" t="e">
        <f>AND(#REF!,"AAAAAC/+nSo=")</f>
        <v>#REF!</v>
      </c>
      <c r="AR115" t="e">
        <f>AND(#REF!,"AAAAAC/+nSs=")</f>
        <v>#REF!</v>
      </c>
      <c r="AS115" t="e">
        <f>AND(#REF!,"AAAAAC/+nSw=")</f>
        <v>#REF!</v>
      </c>
      <c r="AT115" t="e">
        <f>AND(#REF!,"AAAAAC/+nS0=")</f>
        <v>#REF!</v>
      </c>
      <c r="AU115" t="e">
        <f>AND(#REF!,"AAAAAC/+nS4=")</f>
        <v>#REF!</v>
      </c>
      <c r="AV115" t="e">
        <f>AND(#REF!,"AAAAAC/+nS8=")</f>
        <v>#REF!</v>
      </c>
      <c r="AW115" t="e">
        <f>AND(#REF!,"AAAAAC/+nTA=")</f>
        <v>#REF!</v>
      </c>
      <c r="AX115" t="e">
        <f>AND(#REF!,"AAAAAC/+nTE=")</f>
        <v>#REF!</v>
      </c>
      <c r="AY115" t="e">
        <f>AND(#REF!,"AAAAAC/+nTI=")</f>
        <v>#REF!</v>
      </c>
      <c r="AZ115" t="e">
        <f>AND(#REF!,"AAAAAC/+nTM=")</f>
        <v>#REF!</v>
      </c>
      <c r="BA115" t="e">
        <f>AND(#REF!,"AAAAAC/+nTQ=")</f>
        <v>#REF!</v>
      </c>
      <c r="BB115" t="e">
        <f>AND(#REF!,"AAAAAC/+nTU=")</f>
        <v>#REF!</v>
      </c>
      <c r="BC115" t="e">
        <f>AND(#REF!,"AAAAAC/+nTY=")</f>
        <v>#REF!</v>
      </c>
      <c r="BD115" t="e">
        <f>AND(#REF!,"AAAAAC/+nTc=")</f>
        <v>#REF!</v>
      </c>
      <c r="BE115" t="e">
        <f>AND(#REF!,"AAAAAC/+nTg=")</f>
        <v>#REF!</v>
      </c>
      <c r="BF115" t="e">
        <f>AND(#REF!,"AAAAAC/+nTk=")</f>
        <v>#REF!</v>
      </c>
      <c r="BG115" t="e">
        <f>AND(#REF!,"AAAAAC/+nTo=")</f>
        <v>#REF!</v>
      </c>
      <c r="BH115" t="e">
        <f>AND(#REF!,"AAAAAC/+nTs=")</f>
        <v>#REF!</v>
      </c>
      <c r="BI115" t="e">
        <f>AND(#REF!,"AAAAAC/+nTw=")</f>
        <v>#REF!</v>
      </c>
      <c r="BJ115" t="e">
        <f>AND(#REF!,"AAAAAC/+nT0=")</f>
        <v>#REF!</v>
      </c>
      <c r="BK115" t="e">
        <f>AND(#REF!,"AAAAAC/+nT4=")</f>
        <v>#REF!</v>
      </c>
      <c r="BL115" t="e">
        <f>AND(#REF!,"AAAAAC/+nT8=")</f>
        <v>#REF!</v>
      </c>
      <c r="BM115" t="e">
        <f>AND(#REF!,"AAAAAC/+nUA=")</f>
        <v>#REF!</v>
      </c>
      <c r="BN115" t="e">
        <f>AND(#REF!,"AAAAAC/+nUE=")</f>
        <v>#REF!</v>
      </c>
      <c r="BO115" t="e">
        <f>AND(#REF!,"AAAAAC/+nUI=")</f>
        <v>#REF!</v>
      </c>
      <c r="BP115" t="e">
        <f>AND(#REF!,"AAAAAC/+nUM=")</f>
        <v>#REF!</v>
      </c>
      <c r="BQ115" t="e">
        <f>AND(#REF!,"AAAAAC/+nUQ=")</f>
        <v>#REF!</v>
      </c>
      <c r="BR115" t="e">
        <f>IF(#REF!,"AAAAAC/+nUU=",0)</f>
        <v>#REF!</v>
      </c>
      <c r="BS115" t="e">
        <f>AND(#REF!,"AAAAAC/+nUY=")</f>
        <v>#REF!</v>
      </c>
      <c r="BT115" t="e">
        <f>AND(#REF!,"AAAAAC/+nUc=")</f>
        <v>#REF!</v>
      </c>
      <c r="BU115" t="e">
        <f>AND(#REF!,"AAAAAC/+nUg=")</f>
        <v>#REF!</v>
      </c>
      <c r="BV115" t="e">
        <f>AND(#REF!,"AAAAAC/+nUk=")</f>
        <v>#REF!</v>
      </c>
      <c r="BW115" t="e">
        <f>AND(#REF!,"AAAAAC/+nUo=")</f>
        <v>#REF!</v>
      </c>
      <c r="BX115" t="e">
        <f>AND(#REF!,"AAAAAC/+nUs=")</f>
        <v>#REF!</v>
      </c>
      <c r="BY115" t="e">
        <f>AND(#REF!,"AAAAAC/+nUw=")</f>
        <v>#REF!</v>
      </c>
      <c r="BZ115" t="e">
        <f>AND(#REF!,"AAAAAC/+nU0=")</f>
        <v>#REF!</v>
      </c>
      <c r="CA115" t="e">
        <f>AND(#REF!,"AAAAAC/+nU4=")</f>
        <v>#REF!</v>
      </c>
      <c r="CB115" t="e">
        <f>AND(#REF!,"AAAAAC/+nU8=")</f>
        <v>#REF!</v>
      </c>
      <c r="CC115" t="e">
        <f>AND(#REF!,"AAAAAC/+nVA=")</f>
        <v>#REF!</v>
      </c>
      <c r="CD115" t="e">
        <f>AND(#REF!,"AAAAAC/+nVE=")</f>
        <v>#REF!</v>
      </c>
      <c r="CE115" t="e">
        <f>AND(#REF!,"AAAAAC/+nVI=")</f>
        <v>#REF!</v>
      </c>
      <c r="CF115" t="e">
        <f>AND(#REF!,"AAAAAC/+nVM=")</f>
        <v>#REF!</v>
      </c>
      <c r="CG115" t="e">
        <f>AND(#REF!,"AAAAAC/+nVQ=")</f>
        <v>#REF!</v>
      </c>
      <c r="CH115" t="e">
        <f>AND(#REF!,"AAAAAC/+nVU=")</f>
        <v>#REF!</v>
      </c>
      <c r="CI115" t="e">
        <f>AND(#REF!,"AAAAAC/+nVY=")</f>
        <v>#REF!</v>
      </c>
      <c r="CJ115" t="e">
        <f>AND(#REF!,"AAAAAC/+nVc=")</f>
        <v>#REF!</v>
      </c>
      <c r="CK115" t="e">
        <f>AND(#REF!,"AAAAAC/+nVg=")</f>
        <v>#REF!</v>
      </c>
      <c r="CL115" t="e">
        <f>AND(#REF!,"AAAAAC/+nVk=")</f>
        <v>#REF!</v>
      </c>
      <c r="CM115" t="e">
        <f>AND(#REF!,"AAAAAC/+nVo=")</f>
        <v>#REF!</v>
      </c>
      <c r="CN115" t="e">
        <f>AND(#REF!,"AAAAAC/+nVs=")</f>
        <v>#REF!</v>
      </c>
      <c r="CO115" t="e">
        <f>AND(#REF!,"AAAAAC/+nVw=")</f>
        <v>#REF!</v>
      </c>
      <c r="CP115" t="e">
        <f>AND(#REF!,"AAAAAC/+nV0=")</f>
        <v>#REF!</v>
      </c>
      <c r="CQ115" t="e">
        <f>AND(#REF!,"AAAAAC/+nV4=")</f>
        <v>#REF!</v>
      </c>
      <c r="CR115" t="e">
        <f>AND(#REF!,"AAAAAC/+nV8=")</f>
        <v>#REF!</v>
      </c>
      <c r="CS115" t="e">
        <f>AND(#REF!,"AAAAAC/+nWA=")</f>
        <v>#REF!</v>
      </c>
      <c r="CT115" t="e">
        <f>IF(#REF!,"AAAAAC/+nWE=",0)</f>
        <v>#REF!</v>
      </c>
      <c r="CU115" t="e">
        <f>AND(#REF!,"AAAAAC/+nWI=")</f>
        <v>#REF!</v>
      </c>
      <c r="CV115" t="e">
        <f>AND(#REF!,"AAAAAC/+nWM=")</f>
        <v>#REF!</v>
      </c>
      <c r="CW115" t="e">
        <f>AND(#REF!,"AAAAAC/+nWQ=")</f>
        <v>#REF!</v>
      </c>
      <c r="CX115" t="e">
        <f>AND(#REF!,"AAAAAC/+nWU=")</f>
        <v>#REF!</v>
      </c>
      <c r="CY115" t="e">
        <f>AND(#REF!,"AAAAAC/+nWY=")</f>
        <v>#REF!</v>
      </c>
      <c r="CZ115" t="e">
        <f>AND(#REF!,"AAAAAC/+nWc=")</f>
        <v>#REF!</v>
      </c>
      <c r="DA115" t="e">
        <f>AND(#REF!,"AAAAAC/+nWg=")</f>
        <v>#REF!</v>
      </c>
      <c r="DB115" t="e">
        <f>AND(#REF!,"AAAAAC/+nWk=")</f>
        <v>#REF!</v>
      </c>
      <c r="DC115" t="e">
        <f>AND(#REF!,"AAAAAC/+nWo=")</f>
        <v>#REF!</v>
      </c>
      <c r="DD115" t="e">
        <f>AND(#REF!,"AAAAAC/+nWs=")</f>
        <v>#REF!</v>
      </c>
      <c r="DE115" t="e">
        <f>AND(#REF!,"AAAAAC/+nWw=")</f>
        <v>#REF!</v>
      </c>
      <c r="DF115" t="e">
        <f>AND(#REF!,"AAAAAC/+nW0=")</f>
        <v>#REF!</v>
      </c>
      <c r="DG115" t="e">
        <f>AND(#REF!,"AAAAAC/+nW4=")</f>
        <v>#REF!</v>
      </c>
      <c r="DH115" t="e">
        <f>AND(#REF!,"AAAAAC/+nW8=")</f>
        <v>#REF!</v>
      </c>
      <c r="DI115" t="e">
        <f>AND(#REF!,"AAAAAC/+nXA=")</f>
        <v>#REF!</v>
      </c>
      <c r="DJ115" t="e">
        <f>AND(#REF!,"AAAAAC/+nXE=")</f>
        <v>#REF!</v>
      </c>
      <c r="DK115" t="e">
        <f>AND(#REF!,"AAAAAC/+nXI=")</f>
        <v>#REF!</v>
      </c>
      <c r="DL115" t="e">
        <f>AND(#REF!,"AAAAAC/+nXM=")</f>
        <v>#REF!</v>
      </c>
      <c r="DM115" t="e">
        <f>AND(#REF!,"AAAAAC/+nXQ=")</f>
        <v>#REF!</v>
      </c>
      <c r="DN115" t="e">
        <f>AND(#REF!,"AAAAAC/+nXU=")</f>
        <v>#REF!</v>
      </c>
      <c r="DO115" t="e">
        <f>AND(#REF!,"AAAAAC/+nXY=")</f>
        <v>#REF!</v>
      </c>
      <c r="DP115" t="e">
        <f>AND(#REF!,"AAAAAC/+nXc=")</f>
        <v>#REF!</v>
      </c>
      <c r="DQ115" t="e">
        <f>AND(#REF!,"AAAAAC/+nXg=")</f>
        <v>#REF!</v>
      </c>
      <c r="DR115" t="e">
        <f>AND(#REF!,"AAAAAC/+nXk=")</f>
        <v>#REF!</v>
      </c>
      <c r="DS115" t="e">
        <f>AND(#REF!,"AAAAAC/+nXo=")</f>
        <v>#REF!</v>
      </c>
      <c r="DT115" t="e">
        <f>AND(#REF!,"AAAAAC/+nXs=")</f>
        <v>#REF!</v>
      </c>
      <c r="DU115" t="e">
        <f>AND(#REF!,"AAAAAC/+nXw=")</f>
        <v>#REF!</v>
      </c>
      <c r="DV115" t="e">
        <f>IF(#REF!,"AAAAAC/+nX0=",0)</f>
        <v>#REF!</v>
      </c>
      <c r="DW115" t="e">
        <f>AND(#REF!,"AAAAAC/+nX4=")</f>
        <v>#REF!</v>
      </c>
      <c r="DX115" t="e">
        <f>AND(#REF!,"AAAAAC/+nX8=")</f>
        <v>#REF!</v>
      </c>
      <c r="DY115" t="e">
        <f>AND(#REF!,"AAAAAC/+nYA=")</f>
        <v>#REF!</v>
      </c>
      <c r="DZ115" t="e">
        <f>AND(#REF!,"AAAAAC/+nYE=")</f>
        <v>#REF!</v>
      </c>
      <c r="EA115" t="e">
        <f>AND(#REF!,"AAAAAC/+nYI=")</f>
        <v>#REF!</v>
      </c>
      <c r="EB115" t="e">
        <f>AND(#REF!,"AAAAAC/+nYM=")</f>
        <v>#REF!</v>
      </c>
      <c r="EC115" t="e">
        <f>AND(#REF!,"AAAAAC/+nYQ=")</f>
        <v>#REF!</v>
      </c>
      <c r="ED115" t="e">
        <f>AND(#REF!,"AAAAAC/+nYU=")</f>
        <v>#REF!</v>
      </c>
      <c r="EE115" t="e">
        <f>AND(#REF!,"AAAAAC/+nYY=")</f>
        <v>#REF!</v>
      </c>
      <c r="EF115" t="e">
        <f>AND(#REF!,"AAAAAC/+nYc=")</f>
        <v>#REF!</v>
      </c>
      <c r="EG115" t="e">
        <f>AND(#REF!,"AAAAAC/+nYg=")</f>
        <v>#REF!</v>
      </c>
      <c r="EH115" t="e">
        <f>AND(#REF!,"AAAAAC/+nYk=")</f>
        <v>#REF!</v>
      </c>
      <c r="EI115" t="e">
        <f>AND(#REF!,"AAAAAC/+nYo=")</f>
        <v>#REF!</v>
      </c>
      <c r="EJ115" t="e">
        <f>AND(#REF!,"AAAAAC/+nYs=")</f>
        <v>#REF!</v>
      </c>
      <c r="EK115" t="e">
        <f>AND(#REF!,"AAAAAC/+nYw=")</f>
        <v>#REF!</v>
      </c>
      <c r="EL115" t="e">
        <f>AND(#REF!,"AAAAAC/+nY0=")</f>
        <v>#REF!</v>
      </c>
      <c r="EM115" t="e">
        <f>AND(#REF!,"AAAAAC/+nY4=")</f>
        <v>#REF!</v>
      </c>
      <c r="EN115" t="e">
        <f>AND(#REF!,"AAAAAC/+nY8=")</f>
        <v>#REF!</v>
      </c>
      <c r="EO115" t="e">
        <f>AND(#REF!,"AAAAAC/+nZA=")</f>
        <v>#REF!</v>
      </c>
      <c r="EP115" t="e">
        <f>AND(#REF!,"AAAAAC/+nZE=")</f>
        <v>#REF!</v>
      </c>
      <c r="EQ115" t="e">
        <f>AND(#REF!,"AAAAAC/+nZI=")</f>
        <v>#REF!</v>
      </c>
      <c r="ER115" t="e">
        <f>AND(#REF!,"AAAAAC/+nZM=")</f>
        <v>#REF!</v>
      </c>
      <c r="ES115" t="e">
        <f>AND(#REF!,"AAAAAC/+nZQ=")</f>
        <v>#REF!</v>
      </c>
      <c r="ET115" t="e">
        <f>AND(#REF!,"AAAAAC/+nZU=")</f>
        <v>#REF!</v>
      </c>
      <c r="EU115" t="e">
        <f>AND(#REF!,"AAAAAC/+nZY=")</f>
        <v>#REF!</v>
      </c>
      <c r="EV115" t="e">
        <f>AND(#REF!,"AAAAAC/+nZc=")</f>
        <v>#REF!</v>
      </c>
      <c r="EW115" t="e">
        <f>AND(#REF!,"AAAAAC/+nZg=")</f>
        <v>#REF!</v>
      </c>
      <c r="EX115" t="e">
        <f>IF(#REF!,"AAAAAC/+nZk=",0)</f>
        <v>#REF!</v>
      </c>
      <c r="EY115" t="e">
        <f>AND(#REF!,"AAAAAC/+nZo=")</f>
        <v>#REF!</v>
      </c>
      <c r="EZ115" t="e">
        <f>AND(#REF!,"AAAAAC/+nZs=")</f>
        <v>#REF!</v>
      </c>
      <c r="FA115" t="e">
        <f>AND(#REF!,"AAAAAC/+nZw=")</f>
        <v>#REF!</v>
      </c>
      <c r="FB115" t="e">
        <f>AND(#REF!,"AAAAAC/+nZ0=")</f>
        <v>#REF!</v>
      </c>
      <c r="FC115" t="e">
        <f>AND(#REF!,"AAAAAC/+nZ4=")</f>
        <v>#REF!</v>
      </c>
      <c r="FD115" t="e">
        <f>AND(#REF!,"AAAAAC/+nZ8=")</f>
        <v>#REF!</v>
      </c>
      <c r="FE115" t="e">
        <f>AND(#REF!,"AAAAAC/+naA=")</f>
        <v>#REF!</v>
      </c>
      <c r="FF115" t="e">
        <f>AND(#REF!,"AAAAAC/+naE=")</f>
        <v>#REF!</v>
      </c>
      <c r="FG115" t="e">
        <f>AND(#REF!,"AAAAAC/+naI=")</f>
        <v>#REF!</v>
      </c>
      <c r="FH115" t="e">
        <f>AND(#REF!,"AAAAAC/+naM=")</f>
        <v>#REF!</v>
      </c>
      <c r="FI115" t="e">
        <f>AND(#REF!,"AAAAAC/+naQ=")</f>
        <v>#REF!</v>
      </c>
      <c r="FJ115" t="e">
        <f>AND(#REF!,"AAAAAC/+naU=")</f>
        <v>#REF!</v>
      </c>
      <c r="FK115" t="e">
        <f>AND(#REF!,"AAAAAC/+naY=")</f>
        <v>#REF!</v>
      </c>
      <c r="FL115" t="e">
        <f>AND(#REF!,"AAAAAC/+nac=")</f>
        <v>#REF!</v>
      </c>
      <c r="FM115" t="e">
        <f>AND(#REF!,"AAAAAC/+nag=")</f>
        <v>#REF!</v>
      </c>
      <c r="FN115" t="e">
        <f>AND(#REF!,"AAAAAC/+nak=")</f>
        <v>#REF!</v>
      </c>
      <c r="FO115" t="e">
        <f>AND(#REF!,"AAAAAC/+nao=")</f>
        <v>#REF!</v>
      </c>
      <c r="FP115" t="e">
        <f>AND(#REF!,"AAAAAC/+nas=")</f>
        <v>#REF!</v>
      </c>
      <c r="FQ115" t="e">
        <f>AND(#REF!,"AAAAAC/+naw=")</f>
        <v>#REF!</v>
      </c>
      <c r="FR115" t="e">
        <f>AND(#REF!,"AAAAAC/+na0=")</f>
        <v>#REF!</v>
      </c>
      <c r="FS115" t="e">
        <f>AND(#REF!,"AAAAAC/+na4=")</f>
        <v>#REF!</v>
      </c>
      <c r="FT115" t="e">
        <f>AND(#REF!,"AAAAAC/+na8=")</f>
        <v>#REF!</v>
      </c>
      <c r="FU115" t="e">
        <f>AND(#REF!,"AAAAAC/+nbA=")</f>
        <v>#REF!</v>
      </c>
      <c r="FV115" t="e">
        <f>AND(#REF!,"AAAAAC/+nbE=")</f>
        <v>#REF!</v>
      </c>
      <c r="FW115" t="e">
        <f>AND(#REF!,"AAAAAC/+nbI=")</f>
        <v>#REF!</v>
      </c>
      <c r="FX115" t="e">
        <f>AND(#REF!,"AAAAAC/+nbM=")</f>
        <v>#REF!</v>
      </c>
      <c r="FY115" t="e">
        <f>AND(#REF!,"AAAAAC/+nbQ=")</f>
        <v>#REF!</v>
      </c>
      <c r="FZ115" t="e">
        <f>IF(#REF!,"AAAAAC/+nbU=",0)</f>
        <v>#REF!</v>
      </c>
      <c r="GA115" t="e">
        <f>AND(#REF!,"AAAAAC/+nbY=")</f>
        <v>#REF!</v>
      </c>
      <c r="GB115" t="e">
        <f>AND(#REF!,"AAAAAC/+nbc=")</f>
        <v>#REF!</v>
      </c>
      <c r="GC115" t="e">
        <f>AND(#REF!,"AAAAAC/+nbg=")</f>
        <v>#REF!</v>
      </c>
      <c r="GD115" t="e">
        <f>AND(#REF!,"AAAAAC/+nbk=")</f>
        <v>#REF!</v>
      </c>
      <c r="GE115" t="e">
        <f>AND(#REF!,"AAAAAC/+nbo=")</f>
        <v>#REF!</v>
      </c>
      <c r="GF115" t="e">
        <f>AND(#REF!,"AAAAAC/+nbs=")</f>
        <v>#REF!</v>
      </c>
      <c r="GG115" t="e">
        <f>AND(#REF!,"AAAAAC/+nbw=")</f>
        <v>#REF!</v>
      </c>
      <c r="GH115" t="e">
        <f>AND(#REF!,"AAAAAC/+nb0=")</f>
        <v>#REF!</v>
      </c>
      <c r="GI115" t="e">
        <f>AND(#REF!,"AAAAAC/+nb4=")</f>
        <v>#REF!</v>
      </c>
      <c r="GJ115" t="e">
        <f>AND(#REF!,"AAAAAC/+nb8=")</f>
        <v>#REF!</v>
      </c>
      <c r="GK115" t="e">
        <f>AND(#REF!,"AAAAAC/+ncA=")</f>
        <v>#REF!</v>
      </c>
      <c r="GL115" t="e">
        <f>AND(#REF!,"AAAAAC/+ncE=")</f>
        <v>#REF!</v>
      </c>
      <c r="GM115" t="e">
        <f>AND(#REF!,"AAAAAC/+ncI=")</f>
        <v>#REF!</v>
      </c>
      <c r="GN115" t="e">
        <f>AND(#REF!,"AAAAAC/+ncM=")</f>
        <v>#REF!</v>
      </c>
      <c r="GO115" t="e">
        <f>AND(#REF!,"AAAAAC/+ncQ=")</f>
        <v>#REF!</v>
      </c>
      <c r="GP115" t="e">
        <f>AND(#REF!,"AAAAAC/+ncU=")</f>
        <v>#REF!</v>
      </c>
      <c r="GQ115" t="e">
        <f>AND(#REF!,"AAAAAC/+ncY=")</f>
        <v>#REF!</v>
      </c>
      <c r="GR115" t="e">
        <f>AND(#REF!,"AAAAAC/+ncc=")</f>
        <v>#REF!</v>
      </c>
      <c r="GS115" t="e">
        <f>AND(#REF!,"AAAAAC/+ncg=")</f>
        <v>#REF!</v>
      </c>
      <c r="GT115" t="e">
        <f>AND(#REF!,"AAAAAC/+nck=")</f>
        <v>#REF!</v>
      </c>
      <c r="GU115" t="e">
        <f>AND(#REF!,"AAAAAC/+nco=")</f>
        <v>#REF!</v>
      </c>
      <c r="GV115" t="e">
        <f>AND(#REF!,"AAAAAC/+ncs=")</f>
        <v>#REF!</v>
      </c>
      <c r="GW115" t="e">
        <f>AND(#REF!,"AAAAAC/+ncw=")</f>
        <v>#REF!</v>
      </c>
      <c r="GX115" t="e">
        <f>AND(#REF!,"AAAAAC/+nc0=")</f>
        <v>#REF!</v>
      </c>
      <c r="GY115" t="e">
        <f>AND(#REF!,"AAAAAC/+nc4=")</f>
        <v>#REF!</v>
      </c>
      <c r="GZ115" t="e">
        <f>AND(#REF!,"AAAAAC/+nc8=")</f>
        <v>#REF!</v>
      </c>
      <c r="HA115" t="e">
        <f>AND(#REF!,"AAAAAC/+ndA=")</f>
        <v>#REF!</v>
      </c>
      <c r="HB115" t="e">
        <f>IF(#REF!,"AAAAAC/+ndE=",0)</f>
        <v>#REF!</v>
      </c>
      <c r="HC115" t="e">
        <f>AND(#REF!,"AAAAAC/+ndI=")</f>
        <v>#REF!</v>
      </c>
      <c r="HD115" t="e">
        <f>AND(#REF!,"AAAAAC/+ndM=")</f>
        <v>#REF!</v>
      </c>
      <c r="HE115" t="e">
        <f>AND(#REF!,"AAAAAC/+ndQ=")</f>
        <v>#REF!</v>
      </c>
      <c r="HF115" t="e">
        <f>AND(#REF!,"AAAAAC/+ndU=")</f>
        <v>#REF!</v>
      </c>
      <c r="HG115" t="e">
        <f>AND(#REF!,"AAAAAC/+ndY=")</f>
        <v>#REF!</v>
      </c>
      <c r="HH115" t="e">
        <f>AND(#REF!,"AAAAAC/+ndc=")</f>
        <v>#REF!</v>
      </c>
      <c r="HI115" t="e">
        <f>AND(#REF!,"AAAAAC/+ndg=")</f>
        <v>#REF!</v>
      </c>
      <c r="HJ115" t="e">
        <f>AND(#REF!,"AAAAAC/+ndk=")</f>
        <v>#REF!</v>
      </c>
      <c r="HK115" t="e">
        <f>AND(#REF!,"AAAAAC/+ndo=")</f>
        <v>#REF!</v>
      </c>
      <c r="HL115" t="e">
        <f>AND(#REF!,"AAAAAC/+nds=")</f>
        <v>#REF!</v>
      </c>
      <c r="HM115" t="e">
        <f>AND(#REF!,"AAAAAC/+ndw=")</f>
        <v>#REF!</v>
      </c>
      <c r="HN115" t="e">
        <f>AND(#REF!,"AAAAAC/+nd0=")</f>
        <v>#REF!</v>
      </c>
      <c r="HO115" t="e">
        <f>AND(#REF!,"AAAAAC/+nd4=")</f>
        <v>#REF!</v>
      </c>
      <c r="HP115" t="e">
        <f>AND(#REF!,"AAAAAC/+nd8=")</f>
        <v>#REF!</v>
      </c>
      <c r="HQ115" t="e">
        <f>AND(#REF!,"AAAAAC/+neA=")</f>
        <v>#REF!</v>
      </c>
      <c r="HR115" t="e">
        <f>AND(#REF!,"AAAAAC/+neE=")</f>
        <v>#REF!</v>
      </c>
      <c r="HS115" t="e">
        <f>AND(#REF!,"AAAAAC/+neI=")</f>
        <v>#REF!</v>
      </c>
      <c r="HT115" t="e">
        <f>AND(#REF!,"AAAAAC/+neM=")</f>
        <v>#REF!</v>
      </c>
      <c r="HU115" t="e">
        <f>AND(#REF!,"AAAAAC/+neQ=")</f>
        <v>#REF!</v>
      </c>
      <c r="HV115" t="e">
        <f>AND(#REF!,"AAAAAC/+neU=")</f>
        <v>#REF!</v>
      </c>
      <c r="HW115" t="e">
        <f>AND(#REF!,"AAAAAC/+neY=")</f>
        <v>#REF!</v>
      </c>
      <c r="HX115" t="e">
        <f>AND(#REF!,"AAAAAC/+nec=")</f>
        <v>#REF!</v>
      </c>
      <c r="HY115" t="e">
        <f>AND(#REF!,"AAAAAC/+neg=")</f>
        <v>#REF!</v>
      </c>
      <c r="HZ115" t="e">
        <f>AND(#REF!,"AAAAAC/+nek=")</f>
        <v>#REF!</v>
      </c>
      <c r="IA115" t="e">
        <f>AND(#REF!,"AAAAAC/+neo=")</f>
        <v>#REF!</v>
      </c>
      <c r="IB115" t="e">
        <f>AND(#REF!,"AAAAAC/+nes=")</f>
        <v>#REF!</v>
      </c>
      <c r="IC115" t="e">
        <f>AND(#REF!,"AAAAAC/+new=")</f>
        <v>#REF!</v>
      </c>
      <c r="ID115" t="e">
        <f>IF(#REF!,"AAAAAC/+ne0=",0)</f>
        <v>#REF!</v>
      </c>
      <c r="IE115" t="e">
        <f>AND(#REF!,"AAAAAC/+ne4=")</f>
        <v>#REF!</v>
      </c>
      <c r="IF115" t="e">
        <f>AND(#REF!,"AAAAAC/+ne8=")</f>
        <v>#REF!</v>
      </c>
      <c r="IG115" t="e">
        <f>AND(#REF!,"AAAAAC/+nfA=")</f>
        <v>#REF!</v>
      </c>
      <c r="IH115" t="e">
        <f>AND(#REF!,"AAAAAC/+nfE=")</f>
        <v>#REF!</v>
      </c>
      <c r="II115" t="e">
        <f>AND(#REF!,"AAAAAC/+nfI=")</f>
        <v>#REF!</v>
      </c>
      <c r="IJ115" t="e">
        <f>AND(#REF!,"AAAAAC/+nfM=")</f>
        <v>#REF!</v>
      </c>
      <c r="IK115" t="e">
        <f>AND(#REF!,"AAAAAC/+nfQ=")</f>
        <v>#REF!</v>
      </c>
      <c r="IL115" t="e">
        <f>AND(#REF!,"AAAAAC/+nfU=")</f>
        <v>#REF!</v>
      </c>
      <c r="IM115" t="e">
        <f>AND(#REF!,"AAAAAC/+nfY=")</f>
        <v>#REF!</v>
      </c>
      <c r="IN115" t="e">
        <f>AND(#REF!,"AAAAAC/+nfc=")</f>
        <v>#REF!</v>
      </c>
      <c r="IO115" t="e">
        <f>AND(#REF!,"AAAAAC/+nfg=")</f>
        <v>#REF!</v>
      </c>
      <c r="IP115" t="e">
        <f>AND(#REF!,"AAAAAC/+nfk=")</f>
        <v>#REF!</v>
      </c>
      <c r="IQ115" t="e">
        <f>AND(#REF!,"AAAAAC/+nfo=")</f>
        <v>#REF!</v>
      </c>
      <c r="IR115" t="e">
        <f>AND(#REF!,"AAAAAC/+nfs=")</f>
        <v>#REF!</v>
      </c>
      <c r="IS115" t="e">
        <f>AND(#REF!,"AAAAAC/+nfw=")</f>
        <v>#REF!</v>
      </c>
      <c r="IT115" t="e">
        <f>AND(#REF!,"AAAAAC/+nf0=")</f>
        <v>#REF!</v>
      </c>
      <c r="IU115" t="e">
        <f>AND(#REF!,"AAAAAC/+nf4=")</f>
        <v>#REF!</v>
      </c>
      <c r="IV115" t="e">
        <f>AND(#REF!,"AAAAAC/+nf8=")</f>
        <v>#REF!</v>
      </c>
    </row>
    <row r="116" spans="1:256" x14ac:dyDescent="0.2">
      <c r="A116" t="e">
        <f>AND(#REF!,"AAAAAHvvvQA=")</f>
        <v>#REF!</v>
      </c>
      <c r="B116" t="e">
        <f>AND(#REF!,"AAAAAHvvvQE=")</f>
        <v>#REF!</v>
      </c>
      <c r="C116" t="e">
        <f>AND(#REF!,"AAAAAHvvvQI=")</f>
        <v>#REF!</v>
      </c>
      <c r="D116" t="e">
        <f>AND(#REF!,"AAAAAHvvvQM=")</f>
        <v>#REF!</v>
      </c>
      <c r="E116" t="e">
        <f>AND(#REF!,"AAAAAHvvvQQ=")</f>
        <v>#REF!</v>
      </c>
      <c r="F116" t="e">
        <f>AND(#REF!,"AAAAAHvvvQU=")</f>
        <v>#REF!</v>
      </c>
      <c r="G116" t="e">
        <f>AND(#REF!,"AAAAAHvvvQY=")</f>
        <v>#REF!</v>
      </c>
      <c r="H116" t="e">
        <f>AND(#REF!,"AAAAAHvvvQc=")</f>
        <v>#REF!</v>
      </c>
      <c r="I116" t="e">
        <f>AND(#REF!,"AAAAAHvvvQg=")</f>
        <v>#REF!</v>
      </c>
      <c r="J116" t="e">
        <f>IF(#REF!,"AAAAAHvvvQk=",0)</f>
        <v>#REF!</v>
      </c>
      <c r="K116" t="e">
        <f>AND(#REF!,"AAAAAHvvvQo=")</f>
        <v>#REF!</v>
      </c>
      <c r="L116" t="e">
        <f>AND(#REF!,"AAAAAHvvvQs=")</f>
        <v>#REF!</v>
      </c>
      <c r="M116" t="e">
        <f>AND(#REF!,"AAAAAHvvvQw=")</f>
        <v>#REF!</v>
      </c>
      <c r="N116" t="e">
        <f>AND(#REF!,"AAAAAHvvvQ0=")</f>
        <v>#REF!</v>
      </c>
      <c r="O116" t="e">
        <f>AND(#REF!,"AAAAAHvvvQ4=")</f>
        <v>#REF!</v>
      </c>
      <c r="P116" t="e">
        <f>AND(#REF!,"AAAAAHvvvQ8=")</f>
        <v>#REF!</v>
      </c>
      <c r="Q116" t="e">
        <f>AND(#REF!,"AAAAAHvvvRA=")</f>
        <v>#REF!</v>
      </c>
      <c r="R116" t="e">
        <f>AND(#REF!,"AAAAAHvvvRE=")</f>
        <v>#REF!</v>
      </c>
      <c r="S116" t="e">
        <f>AND(#REF!,"AAAAAHvvvRI=")</f>
        <v>#REF!</v>
      </c>
      <c r="T116" t="e">
        <f>AND(#REF!,"AAAAAHvvvRM=")</f>
        <v>#REF!</v>
      </c>
      <c r="U116" t="e">
        <f>AND(#REF!,"AAAAAHvvvRQ=")</f>
        <v>#REF!</v>
      </c>
      <c r="V116" t="e">
        <f>AND(#REF!,"AAAAAHvvvRU=")</f>
        <v>#REF!</v>
      </c>
      <c r="W116" t="e">
        <f>AND(#REF!,"AAAAAHvvvRY=")</f>
        <v>#REF!</v>
      </c>
      <c r="X116" t="e">
        <f>AND(#REF!,"AAAAAHvvvRc=")</f>
        <v>#REF!</v>
      </c>
      <c r="Y116" t="e">
        <f>AND(#REF!,"AAAAAHvvvRg=")</f>
        <v>#REF!</v>
      </c>
      <c r="Z116" t="e">
        <f>AND(#REF!,"AAAAAHvvvRk=")</f>
        <v>#REF!</v>
      </c>
      <c r="AA116" t="e">
        <f>AND(#REF!,"AAAAAHvvvRo=")</f>
        <v>#REF!</v>
      </c>
      <c r="AB116" t="e">
        <f>AND(#REF!,"AAAAAHvvvRs=")</f>
        <v>#REF!</v>
      </c>
      <c r="AC116" t="e">
        <f>AND(#REF!,"AAAAAHvvvRw=")</f>
        <v>#REF!</v>
      </c>
      <c r="AD116" t="e">
        <f>AND(#REF!,"AAAAAHvvvR0=")</f>
        <v>#REF!</v>
      </c>
      <c r="AE116" t="e">
        <f>AND(#REF!,"AAAAAHvvvR4=")</f>
        <v>#REF!</v>
      </c>
      <c r="AF116" t="e">
        <f>AND(#REF!,"AAAAAHvvvR8=")</f>
        <v>#REF!</v>
      </c>
      <c r="AG116" t="e">
        <f>AND(#REF!,"AAAAAHvvvSA=")</f>
        <v>#REF!</v>
      </c>
      <c r="AH116" t="e">
        <f>AND(#REF!,"AAAAAHvvvSE=")</f>
        <v>#REF!</v>
      </c>
      <c r="AI116" t="e">
        <f>AND(#REF!,"AAAAAHvvvSI=")</f>
        <v>#REF!</v>
      </c>
      <c r="AJ116" t="e">
        <f>AND(#REF!,"AAAAAHvvvSM=")</f>
        <v>#REF!</v>
      </c>
      <c r="AK116" t="e">
        <f>AND(#REF!,"AAAAAHvvvSQ=")</f>
        <v>#REF!</v>
      </c>
      <c r="AL116" t="e">
        <f>IF(#REF!,"AAAAAHvvvSU=",0)</f>
        <v>#REF!</v>
      </c>
      <c r="AM116" t="e">
        <f>AND(#REF!,"AAAAAHvvvSY=")</f>
        <v>#REF!</v>
      </c>
      <c r="AN116" t="e">
        <f>AND(#REF!,"AAAAAHvvvSc=")</f>
        <v>#REF!</v>
      </c>
      <c r="AO116" t="e">
        <f>AND(#REF!,"AAAAAHvvvSg=")</f>
        <v>#REF!</v>
      </c>
      <c r="AP116" t="e">
        <f>AND(#REF!,"AAAAAHvvvSk=")</f>
        <v>#REF!</v>
      </c>
      <c r="AQ116" t="e">
        <f>AND(#REF!,"AAAAAHvvvSo=")</f>
        <v>#REF!</v>
      </c>
      <c r="AR116" t="e">
        <f>AND(#REF!,"AAAAAHvvvSs=")</f>
        <v>#REF!</v>
      </c>
      <c r="AS116" t="e">
        <f>AND(#REF!,"AAAAAHvvvSw=")</f>
        <v>#REF!</v>
      </c>
      <c r="AT116" t="e">
        <f>AND(#REF!,"AAAAAHvvvS0=")</f>
        <v>#REF!</v>
      </c>
      <c r="AU116" t="e">
        <f>AND(#REF!,"AAAAAHvvvS4=")</f>
        <v>#REF!</v>
      </c>
      <c r="AV116" t="e">
        <f>AND(#REF!,"AAAAAHvvvS8=")</f>
        <v>#REF!</v>
      </c>
      <c r="AW116" t="e">
        <f>AND(#REF!,"AAAAAHvvvTA=")</f>
        <v>#REF!</v>
      </c>
      <c r="AX116" t="e">
        <f>AND(#REF!,"AAAAAHvvvTE=")</f>
        <v>#REF!</v>
      </c>
      <c r="AY116" t="e">
        <f>AND(#REF!,"AAAAAHvvvTI=")</f>
        <v>#REF!</v>
      </c>
      <c r="AZ116" t="e">
        <f>AND(#REF!,"AAAAAHvvvTM=")</f>
        <v>#REF!</v>
      </c>
      <c r="BA116" t="e">
        <f>AND(#REF!,"AAAAAHvvvTQ=")</f>
        <v>#REF!</v>
      </c>
      <c r="BB116" t="e">
        <f>AND(#REF!,"AAAAAHvvvTU=")</f>
        <v>#REF!</v>
      </c>
      <c r="BC116" t="e">
        <f>AND(#REF!,"AAAAAHvvvTY=")</f>
        <v>#REF!</v>
      </c>
      <c r="BD116" t="e">
        <f>AND(#REF!,"AAAAAHvvvTc=")</f>
        <v>#REF!</v>
      </c>
      <c r="BE116" t="e">
        <f>AND(#REF!,"AAAAAHvvvTg=")</f>
        <v>#REF!</v>
      </c>
      <c r="BF116" t="e">
        <f>AND(#REF!,"AAAAAHvvvTk=")</f>
        <v>#REF!</v>
      </c>
      <c r="BG116" t="e">
        <f>AND(#REF!,"AAAAAHvvvTo=")</f>
        <v>#REF!</v>
      </c>
      <c r="BH116" t="e">
        <f>AND(#REF!,"AAAAAHvvvTs=")</f>
        <v>#REF!</v>
      </c>
      <c r="BI116" t="e">
        <f>AND(#REF!,"AAAAAHvvvTw=")</f>
        <v>#REF!</v>
      </c>
      <c r="BJ116" t="e">
        <f>AND(#REF!,"AAAAAHvvvT0=")</f>
        <v>#REF!</v>
      </c>
      <c r="BK116" t="e">
        <f>AND(#REF!,"AAAAAHvvvT4=")</f>
        <v>#REF!</v>
      </c>
      <c r="BL116" t="e">
        <f>AND(#REF!,"AAAAAHvvvT8=")</f>
        <v>#REF!</v>
      </c>
      <c r="BM116" t="e">
        <f>AND(#REF!,"AAAAAHvvvUA=")</f>
        <v>#REF!</v>
      </c>
      <c r="BN116" t="e">
        <f>IF(#REF!,"AAAAAHvvvUE=",0)</f>
        <v>#REF!</v>
      </c>
      <c r="BO116" t="e">
        <f>AND(#REF!,"AAAAAHvvvUI=")</f>
        <v>#REF!</v>
      </c>
      <c r="BP116" t="e">
        <f>AND(#REF!,"AAAAAHvvvUM=")</f>
        <v>#REF!</v>
      </c>
      <c r="BQ116" t="e">
        <f>AND(#REF!,"AAAAAHvvvUQ=")</f>
        <v>#REF!</v>
      </c>
      <c r="BR116" t="e">
        <f>AND(#REF!,"AAAAAHvvvUU=")</f>
        <v>#REF!</v>
      </c>
      <c r="BS116" t="e">
        <f>AND(#REF!,"AAAAAHvvvUY=")</f>
        <v>#REF!</v>
      </c>
      <c r="BT116" t="e">
        <f>AND(#REF!,"AAAAAHvvvUc=")</f>
        <v>#REF!</v>
      </c>
      <c r="BU116" t="e">
        <f>AND(#REF!,"AAAAAHvvvUg=")</f>
        <v>#REF!</v>
      </c>
      <c r="BV116" t="e">
        <f>AND(#REF!,"AAAAAHvvvUk=")</f>
        <v>#REF!</v>
      </c>
      <c r="BW116" t="e">
        <f>AND(#REF!,"AAAAAHvvvUo=")</f>
        <v>#REF!</v>
      </c>
      <c r="BX116" t="e">
        <f>AND(#REF!,"AAAAAHvvvUs=")</f>
        <v>#REF!</v>
      </c>
      <c r="BY116" t="e">
        <f>AND(#REF!,"AAAAAHvvvUw=")</f>
        <v>#REF!</v>
      </c>
      <c r="BZ116" t="e">
        <f>AND(#REF!,"AAAAAHvvvU0=")</f>
        <v>#REF!</v>
      </c>
      <c r="CA116" t="e">
        <f>AND(#REF!,"AAAAAHvvvU4=")</f>
        <v>#REF!</v>
      </c>
      <c r="CB116" t="e">
        <f>AND(#REF!,"AAAAAHvvvU8=")</f>
        <v>#REF!</v>
      </c>
      <c r="CC116" t="e">
        <f>AND(#REF!,"AAAAAHvvvVA=")</f>
        <v>#REF!</v>
      </c>
      <c r="CD116" t="e">
        <f>AND(#REF!,"AAAAAHvvvVE=")</f>
        <v>#REF!</v>
      </c>
      <c r="CE116" t="e">
        <f>AND(#REF!,"AAAAAHvvvVI=")</f>
        <v>#REF!</v>
      </c>
      <c r="CF116" t="e">
        <f>AND(#REF!,"AAAAAHvvvVM=")</f>
        <v>#REF!</v>
      </c>
      <c r="CG116" t="e">
        <f>AND(#REF!,"AAAAAHvvvVQ=")</f>
        <v>#REF!</v>
      </c>
      <c r="CH116" t="e">
        <f>AND(#REF!,"AAAAAHvvvVU=")</f>
        <v>#REF!</v>
      </c>
      <c r="CI116" t="e">
        <f>AND(#REF!,"AAAAAHvvvVY=")</f>
        <v>#REF!</v>
      </c>
      <c r="CJ116" t="e">
        <f>AND(#REF!,"AAAAAHvvvVc=")</f>
        <v>#REF!</v>
      </c>
      <c r="CK116" t="e">
        <f>AND(#REF!,"AAAAAHvvvVg=")</f>
        <v>#REF!</v>
      </c>
      <c r="CL116" t="e">
        <f>AND(#REF!,"AAAAAHvvvVk=")</f>
        <v>#REF!</v>
      </c>
      <c r="CM116" t="e">
        <f>AND(#REF!,"AAAAAHvvvVo=")</f>
        <v>#REF!</v>
      </c>
      <c r="CN116" t="e">
        <f>AND(#REF!,"AAAAAHvvvVs=")</f>
        <v>#REF!</v>
      </c>
      <c r="CO116" t="e">
        <f>AND(#REF!,"AAAAAHvvvVw=")</f>
        <v>#REF!</v>
      </c>
      <c r="CP116" t="e">
        <f>IF(#REF!,"AAAAAHvvvV0=",0)</f>
        <v>#REF!</v>
      </c>
      <c r="CQ116" t="e">
        <f>AND(#REF!,"AAAAAHvvvV4=")</f>
        <v>#REF!</v>
      </c>
      <c r="CR116" t="e">
        <f>AND(#REF!,"AAAAAHvvvV8=")</f>
        <v>#REF!</v>
      </c>
      <c r="CS116" t="e">
        <f>AND(#REF!,"AAAAAHvvvWA=")</f>
        <v>#REF!</v>
      </c>
      <c r="CT116" t="e">
        <f>AND(#REF!,"AAAAAHvvvWE=")</f>
        <v>#REF!</v>
      </c>
      <c r="CU116" t="e">
        <f>AND(#REF!,"AAAAAHvvvWI=")</f>
        <v>#REF!</v>
      </c>
      <c r="CV116" t="e">
        <f>AND(#REF!,"AAAAAHvvvWM=")</f>
        <v>#REF!</v>
      </c>
      <c r="CW116" t="e">
        <f>AND(#REF!,"AAAAAHvvvWQ=")</f>
        <v>#REF!</v>
      </c>
      <c r="CX116" t="e">
        <f>AND(#REF!,"AAAAAHvvvWU=")</f>
        <v>#REF!</v>
      </c>
      <c r="CY116" t="e">
        <f>AND(#REF!,"AAAAAHvvvWY=")</f>
        <v>#REF!</v>
      </c>
      <c r="CZ116" t="e">
        <f>AND(#REF!,"AAAAAHvvvWc=")</f>
        <v>#REF!</v>
      </c>
      <c r="DA116" t="e">
        <f>AND(#REF!,"AAAAAHvvvWg=")</f>
        <v>#REF!</v>
      </c>
      <c r="DB116" t="e">
        <f>AND(#REF!,"AAAAAHvvvWk=")</f>
        <v>#REF!</v>
      </c>
      <c r="DC116" t="e">
        <f>AND(#REF!,"AAAAAHvvvWo=")</f>
        <v>#REF!</v>
      </c>
      <c r="DD116" t="e">
        <f>AND(#REF!,"AAAAAHvvvWs=")</f>
        <v>#REF!</v>
      </c>
      <c r="DE116" t="e">
        <f>AND(#REF!,"AAAAAHvvvWw=")</f>
        <v>#REF!</v>
      </c>
      <c r="DF116" t="e">
        <f>AND(#REF!,"AAAAAHvvvW0=")</f>
        <v>#REF!</v>
      </c>
      <c r="DG116" t="e">
        <f>AND(#REF!,"AAAAAHvvvW4=")</f>
        <v>#REF!</v>
      </c>
      <c r="DH116" t="e">
        <f>AND(#REF!,"AAAAAHvvvW8=")</f>
        <v>#REF!</v>
      </c>
      <c r="DI116" t="e">
        <f>AND(#REF!,"AAAAAHvvvXA=")</f>
        <v>#REF!</v>
      </c>
      <c r="DJ116" t="e">
        <f>AND(#REF!,"AAAAAHvvvXE=")</f>
        <v>#REF!</v>
      </c>
      <c r="DK116" t="e">
        <f>AND(#REF!,"AAAAAHvvvXI=")</f>
        <v>#REF!</v>
      </c>
      <c r="DL116" t="e">
        <f>AND(#REF!,"AAAAAHvvvXM=")</f>
        <v>#REF!</v>
      </c>
      <c r="DM116" t="e">
        <f>AND(#REF!,"AAAAAHvvvXQ=")</f>
        <v>#REF!</v>
      </c>
      <c r="DN116" t="e">
        <f>AND(#REF!,"AAAAAHvvvXU=")</f>
        <v>#REF!</v>
      </c>
      <c r="DO116" t="e">
        <f>AND(#REF!,"AAAAAHvvvXY=")</f>
        <v>#REF!</v>
      </c>
      <c r="DP116" t="e">
        <f>AND(#REF!,"AAAAAHvvvXc=")</f>
        <v>#REF!</v>
      </c>
      <c r="DQ116" t="e">
        <f>AND(#REF!,"AAAAAHvvvXg=")</f>
        <v>#REF!</v>
      </c>
      <c r="DR116" t="e">
        <f>IF(#REF!,"AAAAAHvvvXk=",0)</f>
        <v>#REF!</v>
      </c>
      <c r="DS116" t="e">
        <f>AND(#REF!,"AAAAAHvvvXo=")</f>
        <v>#REF!</v>
      </c>
      <c r="DT116" t="e">
        <f>AND(#REF!,"AAAAAHvvvXs=")</f>
        <v>#REF!</v>
      </c>
      <c r="DU116" t="e">
        <f>AND(#REF!,"AAAAAHvvvXw=")</f>
        <v>#REF!</v>
      </c>
      <c r="DV116" t="e">
        <f>AND(#REF!,"AAAAAHvvvX0=")</f>
        <v>#REF!</v>
      </c>
      <c r="DW116" t="e">
        <f>AND(#REF!,"AAAAAHvvvX4=")</f>
        <v>#REF!</v>
      </c>
      <c r="DX116" t="e">
        <f>AND(#REF!,"AAAAAHvvvX8=")</f>
        <v>#REF!</v>
      </c>
      <c r="DY116" t="e">
        <f>AND(#REF!,"AAAAAHvvvYA=")</f>
        <v>#REF!</v>
      </c>
      <c r="DZ116" t="e">
        <f>AND(#REF!,"AAAAAHvvvYE=")</f>
        <v>#REF!</v>
      </c>
      <c r="EA116" t="e">
        <f>AND(#REF!,"AAAAAHvvvYI=")</f>
        <v>#REF!</v>
      </c>
      <c r="EB116" t="e">
        <f>AND(#REF!,"AAAAAHvvvYM=")</f>
        <v>#REF!</v>
      </c>
      <c r="EC116" t="e">
        <f>AND(#REF!,"AAAAAHvvvYQ=")</f>
        <v>#REF!</v>
      </c>
      <c r="ED116" t="e">
        <f>AND(#REF!,"AAAAAHvvvYU=")</f>
        <v>#REF!</v>
      </c>
      <c r="EE116" t="e">
        <f>AND(#REF!,"AAAAAHvvvYY=")</f>
        <v>#REF!</v>
      </c>
      <c r="EF116" t="e">
        <f>AND(#REF!,"AAAAAHvvvYc=")</f>
        <v>#REF!</v>
      </c>
      <c r="EG116" t="e">
        <f>AND(#REF!,"AAAAAHvvvYg=")</f>
        <v>#REF!</v>
      </c>
      <c r="EH116" t="e">
        <f>AND(#REF!,"AAAAAHvvvYk=")</f>
        <v>#REF!</v>
      </c>
      <c r="EI116" t="e">
        <f>AND(#REF!,"AAAAAHvvvYo=")</f>
        <v>#REF!</v>
      </c>
      <c r="EJ116" t="e">
        <f>AND(#REF!,"AAAAAHvvvYs=")</f>
        <v>#REF!</v>
      </c>
      <c r="EK116" t="e">
        <f>AND(#REF!,"AAAAAHvvvYw=")</f>
        <v>#REF!</v>
      </c>
      <c r="EL116" t="e">
        <f>AND(#REF!,"AAAAAHvvvY0=")</f>
        <v>#REF!</v>
      </c>
      <c r="EM116" t="e">
        <f>AND(#REF!,"AAAAAHvvvY4=")</f>
        <v>#REF!</v>
      </c>
      <c r="EN116" t="e">
        <f>AND(#REF!,"AAAAAHvvvY8=")</f>
        <v>#REF!</v>
      </c>
      <c r="EO116" t="e">
        <f>AND(#REF!,"AAAAAHvvvZA=")</f>
        <v>#REF!</v>
      </c>
      <c r="EP116" t="e">
        <f>AND(#REF!,"AAAAAHvvvZE=")</f>
        <v>#REF!</v>
      </c>
      <c r="EQ116" t="e">
        <f>AND(#REF!,"AAAAAHvvvZI=")</f>
        <v>#REF!</v>
      </c>
      <c r="ER116" t="e">
        <f>AND(#REF!,"AAAAAHvvvZM=")</f>
        <v>#REF!</v>
      </c>
      <c r="ES116" t="e">
        <f>AND(#REF!,"AAAAAHvvvZQ=")</f>
        <v>#REF!</v>
      </c>
      <c r="ET116" t="e">
        <f>IF(#REF!,"AAAAAHvvvZU=",0)</f>
        <v>#REF!</v>
      </c>
      <c r="EU116" t="e">
        <f>AND(#REF!,"AAAAAHvvvZY=")</f>
        <v>#REF!</v>
      </c>
      <c r="EV116" t="e">
        <f>AND(#REF!,"AAAAAHvvvZc=")</f>
        <v>#REF!</v>
      </c>
      <c r="EW116" t="e">
        <f>AND(#REF!,"AAAAAHvvvZg=")</f>
        <v>#REF!</v>
      </c>
      <c r="EX116" t="e">
        <f>AND(#REF!,"AAAAAHvvvZk=")</f>
        <v>#REF!</v>
      </c>
      <c r="EY116" t="e">
        <f>AND(#REF!,"AAAAAHvvvZo=")</f>
        <v>#REF!</v>
      </c>
      <c r="EZ116" t="e">
        <f>AND(#REF!,"AAAAAHvvvZs=")</f>
        <v>#REF!</v>
      </c>
      <c r="FA116" t="e">
        <f>AND(#REF!,"AAAAAHvvvZw=")</f>
        <v>#REF!</v>
      </c>
      <c r="FB116" t="e">
        <f>AND(#REF!,"AAAAAHvvvZ0=")</f>
        <v>#REF!</v>
      </c>
      <c r="FC116" t="e">
        <f>AND(#REF!,"AAAAAHvvvZ4=")</f>
        <v>#REF!</v>
      </c>
      <c r="FD116" t="e">
        <f>AND(#REF!,"AAAAAHvvvZ8=")</f>
        <v>#REF!</v>
      </c>
      <c r="FE116" t="e">
        <f>AND(#REF!,"AAAAAHvvvaA=")</f>
        <v>#REF!</v>
      </c>
      <c r="FF116" t="e">
        <f>AND(#REF!,"AAAAAHvvvaE=")</f>
        <v>#REF!</v>
      </c>
      <c r="FG116" t="e">
        <f>AND(#REF!,"AAAAAHvvvaI=")</f>
        <v>#REF!</v>
      </c>
      <c r="FH116" t="e">
        <f>AND(#REF!,"AAAAAHvvvaM=")</f>
        <v>#REF!</v>
      </c>
      <c r="FI116" t="e">
        <f>AND(#REF!,"AAAAAHvvvaQ=")</f>
        <v>#REF!</v>
      </c>
      <c r="FJ116" t="e">
        <f>AND(#REF!,"AAAAAHvvvaU=")</f>
        <v>#REF!</v>
      </c>
      <c r="FK116" t="e">
        <f>AND(#REF!,"AAAAAHvvvaY=")</f>
        <v>#REF!</v>
      </c>
      <c r="FL116" t="e">
        <f>AND(#REF!,"AAAAAHvvvac=")</f>
        <v>#REF!</v>
      </c>
      <c r="FM116" t="e">
        <f>AND(#REF!,"AAAAAHvvvag=")</f>
        <v>#REF!</v>
      </c>
      <c r="FN116" t="e">
        <f>AND(#REF!,"AAAAAHvvvak=")</f>
        <v>#REF!</v>
      </c>
      <c r="FO116" t="e">
        <f>AND(#REF!,"AAAAAHvvvao=")</f>
        <v>#REF!</v>
      </c>
      <c r="FP116" t="e">
        <f>AND(#REF!,"AAAAAHvvvas=")</f>
        <v>#REF!</v>
      </c>
      <c r="FQ116" t="e">
        <f>AND(#REF!,"AAAAAHvvvaw=")</f>
        <v>#REF!</v>
      </c>
      <c r="FR116" t="e">
        <f>AND(#REF!,"AAAAAHvvva0=")</f>
        <v>#REF!</v>
      </c>
      <c r="FS116" t="e">
        <f>AND(#REF!,"AAAAAHvvva4=")</f>
        <v>#REF!</v>
      </c>
      <c r="FT116" t="e">
        <f>AND(#REF!,"AAAAAHvvva8=")</f>
        <v>#REF!</v>
      </c>
      <c r="FU116" t="e">
        <f>AND(#REF!,"AAAAAHvvvbA=")</f>
        <v>#REF!</v>
      </c>
      <c r="FV116" t="e">
        <f>IF(#REF!,"AAAAAHvvvbE=",0)</f>
        <v>#REF!</v>
      </c>
      <c r="FW116" t="e">
        <f>AND(#REF!,"AAAAAHvvvbI=")</f>
        <v>#REF!</v>
      </c>
      <c r="FX116" t="e">
        <f>AND(#REF!,"AAAAAHvvvbM=")</f>
        <v>#REF!</v>
      </c>
      <c r="FY116" t="e">
        <f>AND(#REF!,"AAAAAHvvvbQ=")</f>
        <v>#REF!</v>
      </c>
      <c r="FZ116" t="e">
        <f>AND(#REF!,"AAAAAHvvvbU=")</f>
        <v>#REF!</v>
      </c>
      <c r="GA116" t="e">
        <f>AND(#REF!,"AAAAAHvvvbY=")</f>
        <v>#REF!</v>
      </c>
      <c r="GB116" t="e">
        <f>AND(#REF!,"AAAAAHvvvbc=")</f>
        <v>#REF!</v>
      </c>
      <c r="GC116" t="e">
        <f>AND(#REF!,"AAAAAHvvvbg=")</f>
        <v>#REF!</v>
      </c>
      <c r="GD116" t="e">
        <f>AND(#REF!,"AAAAAHvvvbk=")</f>
        <v>#REF!</v>
      </c>
      <c r="GE116" t="e">
        <f>AND(#REF!,"AAAAAHvvvbo=")</f>
        <v>#REF!</v>
      </c>
      <c r="GF116" t="e">
        <f>AND(#REF!,"AAAAAHvvvbs=")</f>
        <v>#REF!</v>
      </c>
      <c r="GG116" t="e">
        <f>AND(#REF!,"AAAAAHvvvbw=")</f>
        <v>#REF!</v>
      </c>
      <c r="GH116" t="e">
        <f>AND(#REF!,"AAAAAHvvvb0=")</f>
        <v>#REF!</v>
      </c>
      <c r="GI116" t="e">
        <f>AND(#REF!,"AAAAAHvvvb4=")</f>
        <v>#REF!</v>
      </c>
      <c r="GJ116" t="e">
        <f>AND(#REF!,"AAAAAHvvvb8=")</f>
        <v>#REF!</v>
      </c>
      <c r="GK116" t="e">
        <f>AND(#REF!,"AAAAAHvvvcA=")</f>
        <v>#REF!</v>
      </c>
      <c r="GL116" t="e">
        <f>AND(#REF!,"AAAAAHvvvcE=")</f>
        <v>#REF!</v>
      </c>
      <c r="GM116" t="e">
        <f>AND(#REF!,"AAAAAHvvvcI=")</f>
        <v>#REF!</v>
      </c>
      <c r="GN116" t="e">
        <f>AND(#REF!,"AAAAAHvvvcM=")</f>
        <v>#REF!</v>
      </c>
      <c r="GO116" t="e">
        <f>AND(#REF!,"AAAAAHvvvcQ=")</f>
        <v>#REF!</v>
      </c>
      <c r="GP116" t="e">
        <f>AND(#REF!,"AAAAAHvvvcU=")</f>
        <v>#REF!</v>
      </c>
      <c r="GQ116" t="e">
        <f>AND(#REF!,"AAAAAHvvvcY=")</f>
        <v>#REF!</v>
      </c>
      <c r="GR116" t="e">
        <f>AND(#REF!,"AAAAAHvvvcc=")</f>
        <v>#REF!</v>
      </c>
      <c r="GS116" t="e">
        <f>AND(#REF!,"AAAAAHvvvcg=")</f>
        <v>#REF!</v>
      </c>
      <c r="GT116" t="e">
        <f>AND(#REF!,"AAAAAHvvvck=")</f>
        <v>#REF!</v>
      </c>
      <c r="GU116" t="e">
        <f>AND(#REF!,"AAAAAHvvvco=")</f>
        <v>#REF!</v>
      </c>
      <c r="GV116" t="e">
        <f>AND(#REF!,"AAAAAHvvvcs=")</f>
        <v>#REF!</v>
      </c>
      <c r="GW116" t="e">
        <f>AND(#REF!,"AAAAAHvvvcw=")</f>
        <v>#REF!</v>
      </c>
      <c r="GX116" t="e">
        <f>IF(#REF!,"AAAAAHvvvc0=",0)</f>
        <v>#REF!</v>
      </c>
      <c r="GY116" t="e">
        <f>AND(#REF!,"AAAAAHvvvc4=")</f>
        <v>#REF!</v>
      </c>
      <c r="GZ116" t="e">
        <f>AND(#REF!,"AAAAAHvvvc8=")</f>
        <v>#REF!</v>
      </c>
      <c r="HA116" t="e">
        <f>AND(#REF!,"AAAAAHvvvdA=")</f>
        <v>#REF!</v>
      </c>
      <c r="HB116" t="e">
        <f>AND(#REF!,"AAAAAHvvvdE=")</f>
        <v>#REF!</v>
      </c>
      <c r="HC116" t="e">
        <f>AND(#REF!,"AAAAAHvvvdI=")</f>
        <v>#REF!</v>
      </c>
      <c r="HD116" t="e">
        <f>AND(#REF!,"AAAAAHvvvdM=")</f>
        <v>#REF!</v>
      </c>
      <c r="HE116" t="e">
        <f>AND(#REF!,"AAAAAHvvvdQ=")</f>
        <v>#REF!</v>
      </c>
      <c r="HF116" t="e">
        <f>AND(#REF!,"AAAAAHvvvdU=")</f>
        <v>#REF!</v>
      </c>
      <c r="HG116" t="e">
        <f>AND(#REF!,"AAAAAHvvvdY=")</f>
        <v>#REF!</v>
      </c>
      <c r="HH116" t="e">
        <f>AND(#REF!,"AAAAAHvvvdc=")</f>
        <v>#REF!</v>
      </c>
      <c r="HI116" t="e">
        <f>AND(#REF!,"AAAAAHvvvdg=")</f>
        <v>#REF!</v>
      </c>
      <c r="HJ116" t="e">
        <f>AND(#REF!,"AAAAAHvvvdk=")</f>
        <v>#REF!</v>
      </c>
      <c r="HK116" t="e">
        <f>AND(#REF!,"AAAAAHvvvdo=")</f>
        <v>#REF!</v>
      </c>
      <c r="HL116" t="e">
        <f>AND(#REF!,"AAAAAHvvvds=")</f>
        <v>#REF!</v>
      </c>
      <c r="HM116" t="e">
        <f>AND(#REF!,"AAAAAHvvvdw=")</f>
        <v>#REF!</v>
      </c>
      <c r="HN116" t="e">
        <f>AND(#REF!,"AAAAAHvvvd0=")</f>
        <v>#REF!</v>
      </c>
      <c r="HO116" t="e">
        <f>AND(#REF!,"AAAAAHvvvd4=")</f>
        <v>#REF!</v>
      </c>
      <c r="HP116" t="e">
        <f>AND(#REF!,"AAAAAHvvvd8=")</f>
        <v>#REF!</v>
      </c>
      <c r="HQ116" t="e">
        <f>AND(#REF!,"AAAAAHvvveA=")</f>
        <v>#REF!</v>
      </c>
      <c r="HR116" t="e">
        <f>AND(#REF!,"AAAAAHvvveE=")</f>
        <v>#REF!</v>
      </c>
      <c r="HS116" t="e">
        <f>AND(#REF!,"AAAAAHvvveI=")</f>
        <v>#REF!</v>
      </c>
      <c r="HT116" t="e">
        <f>AND(#REF!,"AAAAAHvvveM=")</f>
        <v>#REF!</v>
      </c>
      <c r="HU116" t="e">
        <f>AND(#REF!,"AAAAAHvvveQ=")</f>
        <v>#REF!</v>
      </c>
      <c r="HV116" t="e">
        <f>AND(#REF!,"AAAAAHvvveU=")</f>
        <v>#REF!</v>
      </c>
      <c r="HW116" t="e">
        <f>AND(#REF!,"AAAAAHvvveY=")</f>
        <v>#REF!</v>
      </c>
      <c r="HX116" t="e">
        <f>AND(#REF!,"AAAAAHvvvec=")</f>
        <v>#REF!</v>
      </c>
      <c r="HY116" t="e">
        <f>AND(#REF!,"AAAAAHvvveg=")</f>
        <v>#REF!</v>
      </c>
      <c r="HZ116" t="e">
        <f>IF(#REF!,"AAAAAHvvvek=",0)</f>
        <v>#REF!</v>
      </c>
      <c r="IA116" t="e">
        <f>AND(#REF!,"AAAAAHvvveo=")</f>
        <v>#REF!</v>
      </c>
      <c r="IB116" t="e">
        <f>AND(#REF!,"AAAAAHvvves=")</f>
        <v>#REF!</v>
      </c>
      <c r="IC116" t="e">
        <f>AND(#REF!,"AAAAAHvvvew=")</f>
        <v>#REF!</v>
      </c>
      <c r="ID116" t="e">
        <f>AND(#REF!,"AAAAAHvvve0=")</f>
        <v>#REF!</v>
      </c>
      <c r="IE116" t="e">
        <f>AND(#REF!,"AAAAAHvvve4=")</f>
        <v>#REF!</v>
      </c>
      <c r="IF116" t="e">
        <f>AND(#REF!,"AAAAAHvvve8=")</f>
        <v>#REF!</v>
      </c>
      <c r="IG116" t="e">
        <f>AND(#REF!,"AAAAAHvvvfA=")</f>
        <v>#REF!</v>
      </c>
      <c r="IH116" t="e">
        <f>AND(#REF!,"AAAAAHvvvfE=")</f>
        <v>#REF!</v>
      </c>
      <c r="II116" t="e">
        <f>AND(#REF!,"AAAAAHvvvfI=")</f>
        <v>#REF!</v>
      </c>
      <c r="IJ116" t="e">
        <f>AND(#REF!,"AAAAAHvvvfM=")</f>
        <v>#REF!</v>
      </c>
      <c r="IK116" t="e">
        <f>AND(#REF!,"AAAAAHvvvfQ=")</f>
        <v>#REF!</v>
      </c>
      <c r="IL116" t="e">
        <f>AND(#REF!,"AAAAAHvvvfU=")</f>
        <v>#REF!</v>
      </c>
      <c r="IM116" t="e">
        <f>AND(#REF!,"AAAAAHvvvfY=")</f>
        <v>#REF!</v>
      </c>
      <c r="IN116" t="e">
        <f>AND(#REF!,"AAAAAHvvvfc=")</f>
        <v>#REF!</v>
      </c>
      <c r="IO116" t="e">
        <f>AND(#REF!,"AAAAAHvvvfg=")</f>
        <v>#REF!</v>
      </c>
      <c r="IP116" t="e">
        <f>AND(#REF!,"AAAAAHvvvfk=")</f>
        <v>#REF!</v>
      </c>
      <c r="IQ116" t="e">
        <f>AND(#REF!,"AAAAAHvvvfo=")</f>
        <v>#REF!</v>
      </c>
      <c r="IR116" t="e">
        <f>AND(#REF!,"AAAAAHvvvfs=")</f>
        <v>#REF!</v>
      </c>
      <c r="IS116" t="e">
        <f>AND(#REF!,"AAAAAHvvvfw=")</f>
        <v>#REF!</v>
      </c>
      <c r="IT116" t="e">
        <f>AND(#REF!,"AAAAAHvvvf0=")</f>
        <v>#REF!</v>
      </c>
      <c r="IU116" t="e">
        <f>AND(#REF!,"AAAAAHvvvf4=")</f>
        <v>#REF!</v>
      </c>
      <c r="IV116" t="e">
        <f>AND(#REF!,"AAAAAHvvvf8=")</f>
        <v>#REF!</v>
      </c>
    </row>
    <row r="117" spans="1:256" x14ac:dyDescent="0.2">
      <c r="A117" t="e">
        <f>AND(#REF!,"AAAAADffdAA=")</f>
        <v>#REF!</v>
      </c>
      <c r="B117" t="e">
        <f>AND(#REF!,"AAAAADffdAE=")</f>
        <v>#REF!</v>
      </c>
      <c r="C117" t="e">
        <f>AND(#REF!,"AAAAADffdAI=")</f>
        <v>#REF!</v>
      </c>
      <c r="D117" t="e">
        <f>AND(#REF!,"AAAAADffdAM=")</f>
        <v>#REF!</v>
      </c>
      <c r="E117" t="e">
        <f>AND(#REF!,"AAAAADffdAQ=")</f>
        <v>#REF!</v>
      </c>
      <c r="F117" t="e">
        <f>IF(#REF!,"AAAAADffdAU=",0)</f>
        <v>#REF!</v>
      </c>
      <c r="G117" t="e">
        <f>AND(#REF!,"AAAAADffdAY=")</f>
        <v>#REF!</v>
      </c>
      <c r="H117" t="e">
        <f>AND(#REF!,"AAAAADffdAc=")</f>
        <v>#REF!</v>
      </c>
      <c r="I117" t="e">
        <f>AND(#REF!,"AAAAADffdAg=")</f>
        <v>#REF!</v>
      </c>
      <c r="J117" t="e">
        <f>AND(#REF!,"AAAAADffdAk=")</f>
        <v>#REF!</v>
      </c>
      <c r="K117" t="e">
        <f>AND(#REF!,"AAAAADffdAo=")</f>
        <v>#REF!</v>
      </c>
      <c r="L117" t="e">
        <f>AND(#REF!,"AAAAADffdAs=")</f>
        <v>#REF!</v>
      </c>
      <c r="M117" t="e">
        <f>AND(#REF!,"AAAAADffdAw=")</f>
        <v>#REF!</v>
      </c>
      <c r="N117" t="e">
        <f>AND(#REF!,"AAAAADffdA0=")</f>
        <v>#REF!</v>
      </c>
      <c r="O117" t="e">
        <f>AND(#REF!,"AAAAADffdA4=")</f>
        <v>#REF!</v>
      </c>
      <c r="P117" t="e">
        <f>AND(#REF!,"AAAAADffdA8=")</f>
        <v>#REF!</v>
      </c>
      <c r="Q117" t="e">
        <f>AND(#REF!,"AAAAADffdBA=")</f>
        <v>#REF!</v>
      </c>
      <c r="R117" t="e">
        <f>AND(#REF!,"AAAAADffdBE=")</f>
        <v>#REF!</v>
      </c>
      <c r="S117" t="e">
        <f>AND(#REF!,"AAAAADffdBI=")</f>
        <v>#REF!</v>
      </c>
      <c r="T117" t="e">
        <f>AND(#REF!,"AAAAADffdBM=")</f>
        <v>#REF!</v>
      </c>
      <c r="U117" t="e">
        <f>AND(#REF!,"AAAAADffdBQ=")</f>
        <v>#REF!</v>
      </c>
      <c r="V117" t="e">
        <f>AND(#REF!,"AAAAADffdBU=")</f>
        <v>#REF!</v>
      </c>
      <c r="W117" t="e">
        <f>AND(#REF!,"AAAAADffdBY=")</f>
        <v>#REF!</v>
      </c>
      <c r="X117" t="e">
        <f>AND(#REF!,"AAAAADffdBc=")</f>
        <v>#REF!</v>
      </c>
      <c r="Y117" t="e">
        <f>AND(#REF!,"AAAAADffdBg=")</f>
        <v>#REF!</v>
      </c>
      <c r="Z117" t="e">
        <f>AND(#REF!,"AAAAADffdBk=")</f>
        <v>#REF!</v>
      </c>
      <c r="AA117" t="e">
        <f>AND(#REF!,"AAAAADffdBo=")</f>
        <v>#REF!</v>
      </c>
      <c r="AB117" t="e">
        <f>AND(#REF!,"AAAAADffdBs=")</f>
        <v>#REF!</v>
      </c>
      <c r="AC117" t="e">
        <f>AND(#REF!,"AAAAADffdBw=")</f>
        <v>#REF!</v>
      </c>
      <c r="AD117" t="e">
        <f>AND(#REF!,"AAAAADffdB0=")</f>
        <v>#REF!</v>
      </c>
      <c r="AE117" t="e">
        <f>AND(#REF!,"AAAAADffdB4=")</f>
        <v>#REF!</v>
      </c>
      <c r="AF117" t="e">
        <f>AND(#REF!,"AAAAADffdB8=")</f>
        <v>#REF!</v>
      </c>
      <c r="AG117" t="e">
        <f>AND(#REF!,"AAAAADffdCA=")</f>
        <v>#REF!</v>
      </c>
      <c r="AH117" t="e">
        <f>IF(#REF!,"AAAAADffdCE=",0)</f>
        <v>#REF!</v>
      </c>
      <c r="AI117" t="e">
        <f>AND(#REF!,"AAAAADffdCI=")</f>
        <v>#REF!</v>
      </c>
      <c r="AJ117" t="e">
        <f>AND(#REF!,"AAAAADffdCM=")</f>
        <v>#REF!</v>
      </c>
      <c r="AK117" t="e">
        <f>AND(#REF!,"AAAAADffdCQ=")</f>
        <v>#REF!</v>
      </c>
      <c r="AL117" t="e">
        <f>AND(#REF!,"AAAAADffdCU=")</f>
        <v>#REF!</v>
      </c>
      <c r="AM117" t="e">
        <f>AND(#REF!,"AAAAADffdCY=")</f>
        <v>#REF!</v>
      </c>
      <c r="AN117" t="e">
        <f>AND(#REF!,"AAAAADffdCc=")</f>
        <v>#REF!</v>
      </c>
      <c r="AO117" t="e">
        <f>AND(#REF!,"AAAAADffdCg=")</f>
        <v>#REF!</v>
      </c>
      <c r="AP117" t="e">
        <f>AND(#REF!,"AAAAADffdCk=")</f>
        <v>#REF!</v>
      </c>
      <c r="AQ117" t="e">
        <f>AND(#REF!,"AAAAADffdCo=")</f>
        <v>#REF!</v>
      </c>
      <c r="AR117" t="e">
        <f>AND(#REF!,"AAAAADffdCs=")</f>
        <v>#REF!</v>
      </c>
      <c r="AS117" t="e">
        <f>AND(#REF!,"AAAAADffdCw=")</f>
        <v>#REF!</v>
      </c>
      <c r="AT117" t="e">
        <f>AND(#REF!,"AAAAADffdC0=")</f>
        <v>#REF!</v>
      </c>
      <c r="AU117" t="e">
        <f>AND(#REF!,"AAAAADffdC4=")</f>
        <v>#REF!</v>
      </c>
      <c r="AV117" t="e">
        <f>AND(#REF!,"AAAAADffdC8=")</f>
        <v>#REF!</v>
      </c>
      <c r="AW117" t="e">
        <f>AND(#REF!,"AAAAADffdDA=")</f>
        <v>#REF!</v>
      </c>
      <c r="AX117" t="e">
        <f>AND(#REF!,"AAAAADffdDE=")</f>
        <v>#REF!</v>
      </c>
      <c r="AY117" t="e">
        <f>AND(#REF!,"AAAAADffdDI=")</f>
        <v>#REF!</v>
      </c>
      <c r="AZ117" t="e">
        <f>AND(#REF!,"AAAAADffdDM=")</f>
        <v>#REF!</v>
      </c>
      <c r="BA117" t="e">
        <f>AND(#REF!,"AAAAADffdDQ=")</f>
        <v>#REF!</v>
      </c>
      <c r="BB117" t="e">
        <f>AND(#REF!,"AAAAADffdDU=")</f>
        <v>#REF!</v>
      </c>
      <c r="BC117" t="e">
        <f>AND(#REF!,"AAAAADffdDY=")</f>
        <v>#REF!</v>
      </c>
      <c r="BD117" t="e">
        <f>AND(#REF!,"AAAAADffdDc=")</f>
        <v>#REF!</v>
      </c>
      <c r="BE117" t="e">
        <f>AND(#REF!,"AAAAADffdDg=")</f>
        <v>#REF!</v>
      </c>
      <c r="BF117" t="e">
        <f>AND(#REF!,"AAAAADffdDk=")</f>
        <v>#REF!</v>
      </c>
      <c r="BG117" t="e">
        <f>AND(#REF!,"AAAAADffdDo=")</f>
        <v>#REF!</v>
      </c>
      <c r="BH117" t="e">
        <f>AND(#REF!,"AAAAADffdDs=")</f>
        <v>#REF!</v>
      </c>
      <c r="BI117" t="e">
        <f>AND(#REF!,"AAAAADffdDw=")</f>
        <v>#REF!</v>
      </c>
      <c r="BJ117" t="e">
        <f>IF(#REF!,"AAAAADffdD0=",0)</f>
        <v>#REF!</v>
      </c>
      <c r="BK117" t="e">
        <f>AND(#REF!,"AAAAADffdD4=")</f>
        <v>#REF!</v>
      </c>
      <c r="BL117" t="e">
        <f>AND(#REF!,"AAAAADffdD8=")</f>
        <v>#REF!</v>
      </c>
      <c r="BM117" t="e">
        <f>AND(#REF!,"AAAAADffdEA=")</f>
        <v>#REF!</v>
      </c>
      <c r="BN117" t="e">
        <f>AND(#REF!,"AAAAADffdEE=")</f>
        <v>#REF!</v>
      </c>
      <c r="BO117" t="e">
        <f>AND(#REF!,"AAAAADffdEI=")</f>
        <v>#REF!</v>
      </c>
      <c r="BP117" t="e">
        <f>AND(#REF!,"AAAAADffdEM=")</f>
        <v>#REF!</v>
      </c>
      <c r="BQ117" t="e">
        <f>AND(#REF!,"AAAAADffdEQ=")</f>
        <v>#REF!</v>
      </c>
      <c r="BR117" t="e">
        <f>AND(#REF!,"AAAAADffdEU=")</f>
        <v>#REF!</v>
      </c>
      <c r="BS117" t="e">
        <f>AND(#REF!,"AAAAADffdEY=")</f>
        <v>#REF!</v>
      </c>
      <c r="BT117" t="e">
        <f>AND(#REF!,"AAAAADffdEc=")</f>
        <v>#REF!</v>
      </c>
      <c r="BU117" t="e">
        <f>AND(#REF!,"AAAAADffdEg=")</f>
        <v>#REF!</v>
      </c>
      <c r="BV117" t="e">
        <f>AND(#REF!,"AAAAADffdEk=")</f>
        <v>#REF!</v>
      </c>
      <c r="BW117" t="e">
        <f>AND(#REF!,"AAAAADffdEo=")</f>
        <v>#REF!</v>
      </c>
      <c r="BX117" t="e">
        <f>AND(#REF!,"AAAAADffdEs=")</f>
        <v>#REF!</v>
      </c>
      <c r="BY117" t="e">
        <f>AND(#REF!,"AAAAADffdEw=")</f>
        <v>#REF!</v>
      </c>
      <c r="BZ117" t="e">
        <f>AND(#REF!,"AAAAADffdE0=")</f>
        <v>#REF!</v>
      </c>
      <c r="CA117" t="e">
        <f>AND(#REF!,"AAAAADffdE4=")</f>
        <v>#REF!</v>
      </c>
      <c r="CB117" t="e">
        <f>AND(#REF!,"AAAAADffdE8=")</f>
        <v>#REF!</v>
      </c>
      <c r="CC117" t="e">
        <f>AND(#REF!,"AAAAADffdFA=")</f>
        <v>#REF!</v>
      </c>
      <c r="CD117" t="e">
        <f>AND(#REF!,"AAAAADffdFE=")</f>
        <v>#REF!</v>
      </c>
      <c r="CE117" t="e">
        <f>AND(#REF!,"AAAAADffdFI=")</f>
        <v>#REF!</v>
      </c>
      <c r="CF117" t="e">
        <f>AND(#REF!,"AAAAADffdFM=")</f>
        <v>#REF!</v>
      </c>
      <c r="CG117" t="e">
        <f>AND(#REF!,"AAAAADffdFQ=")</f>
        <v>#REF!</v>
      </c>
      <c r="CH117" t="e">
        <f>AND(#REF!,"AAAAADffdFU=")</f>
        <v>#REF!</v>
      </c>
      <c r="CI117" t="e">
        <f>AND(#REF!,"AAAAADffdFY=")</f>
        <v>#REF!</v>
      </c>
      <c r="CJ117" t="e">
        <f>AND(#REF!,"AAAAADffdFc=")</f>
        <v>#REF!</v>
      </c>
      <c r="CK117" t="e">
        <f>AND(#REF!,"AAAAADffdFg=")</f>
        <v>#REF!</v>
      </c>
      <c r="CL117" t="e">
        <f>IF(#REF!,"AAAAADffdFk=",0)</f>
        <v>#REF!</v>
      </c>
      <c r="CM117" t="e">
        <f>AND(#REF!,"AAAAADffdFo=")</f>
        <v>#REF!</v>
      </c>
      <c r="CN117" t="e">
        <f>AND(#REF!,"AAAAADffdFs=")</f>
        <v>#REF!</v>
      </c>
      <c r="CO117" t="e">
        <f>AND(#REF!,"AAAAADffdFw=")</f>
        <v>#REF!</v>
      </c>
      <c r="CP117" t="e">
        <f>AND(#REF!,"AAAAADffdF0=")</f>
        <v>#REF!</v>
      </c>
      <c r="CQ117" t="e">
        <f>AND(#REF!,"AAAAADffdF4=")</f>
        <v>#REF!</v>
      </c>
      <c r="CR117" t="e">
        <f>AND(#REF!,"AAAAADffdF8=")</f>
        <v>#REF!</v>
      </c>
      <c r="CS117" t="e">
        <f>AND(#REF!,"AAAAADffdGA=")</f>
        <v>#REF!</v>
      </c>
      <c r="CT117" t="e">
        <f>AND(#REF!,"AAAAADffdGE=")</f>
        <v>#REF!</v>
      </c>
      <c r="CU117" t="e">
        <f>AND(#REF!,"AAAAADffdGI=")</f>
        <v>#REF!</v>
      </c>
      <c r="CV117" t="e">
        <f>AND(#REF!,"AAAAADffdGM=")</f>
        <v>#REF!</v>
      </c>
      <c r="CW117" t="e">
        <f>AND(#REF!,"AAAAADffdGQ=")</f>
        <v>#REF!</v>
      </c>
      <c r="CX117" t="e">
        <f>AND(#REF!,"AAAAADffdGU=")</f>
        <v>#REF!</v>
      </c>
      <c r="CY117" t="e">
        <f>AND(#REF!,"AAAAADffdGY=")</f>
        <v>#REF!</v>
      </c>
      <c r="CZ117" t="e">
        <f>AND(#REF!,"AAAAADffdGc=")</f>
        <v>#REF!</v>
      </c>
      <c r="DA117" t="e">
        <f>AND(#REF!,"AAAAADffdGg=")</f>
        <v>#REF!</v>
      </c>
      <c r="DB117" t="e">
        <f>AND(#REF!,"AAAAADffdGk=")</f>
        <v>#REF!</v>
      </c>
      <c r="DC117" t="e">
        <f>AND(#REF!,"AAAAADffdGo=")</f>
        <v>#REF!</v>
      </c>
      <c r="DD117" t="e">
        <f>AND(#REF!,"AAAAADffdGs=")</f>
        <v>#REF!</v>
      </c>
      <c r="DE117" t="e">
        <f>AND(#REF!,"AAAAADffdGw=")</f>
        <v>#REF!</v>
      </c>
      <c r="DF117" t="e">
        <f>AND(#REF!,"AAAAADffdG0=")</f>
        <v>#REF!</v>
      </c>
      <c r="DG117" t="e">
        <f>AND(#REF!,"AAAAADffdG4=")</f>
        <v>#REF!</v>
      </c>
      <c r="DH117" t="e">
        <f>AND(#REF!,"AAAAADffdG8=")</f>
        <v>#REF!</v>
      </c>
      <c r="DI117" t="e">
        <f>AND(#REF!,"AAAAADffdHA=")</f>
        <v>#REF!</v>
      </c>
      <c r="DJ117" t="e">
        <f>AND(#REF!,"AAAAADffdHE=")</f>
        <v>#REF!</v>
      </c>
      <c r="DK117" t="e">
        <f>AND(#REF!,"AAAAADffdHI=")</f>
        <v>#REF!</v>
      </c>
      <c r="DL117" t="e">
        <f>AND(#REF!,"AAAAADffdHM=")</f>
        <v>#REF!</v>
      </c>
      <c r="DM117" t="e">
        <f>AND(#REF!,"AAAAADffdHQ=")</f>
        <v>#REF!</v>
      </c>
      <c r="DN117" t="e">
        <f>IF(#REF!,"AAAAADffdHU=",0)</f>
        <v>#REF!</v>
      </c>
      <c r="DO117" t="e">
        <f>AND(#REF!,"AAAAADffdHY=")</f>
        <v>#REF!</v>
      </c>
      <c r="DP117" t="e">
        <f>AND(#REF!,"AAAAADffdHc=")</f>
        <v>#REF!</v>
      </c>
      <c r="DQ117" t="e">
        <f>AND(#REF!,"AAAAADffdHg=")</f>
        <v>#REF!</v>
      </c>
      <c r="DR117" t="e">
        <f>AND(#REF!,"AAAAADffdHk=")</f>
        <v>#REF!</v>
      </c>
      <c r="DS117" t="e">
        <f>AND(#REF!,"AAAAADffdHo=")</f>
        <v>#REF!</v>
      </c>
      <c r="DT117" t="e">
        <f>AND(#REF!,"AAAAADffdHs=")</f>
        <v>#REF!</v>
      </c>
      <c r="DU117" t="e">
        <f>AND(#REF!,"AAAAADffdHw=")</f>
        <v>#REF!</v>
      </c>
      <c r="DV117" t="e">
        <f>AND(#REF!,"AAAAADffdH0=")</f>
        <v>#REF!</v>
      </c>
      <c r="DW117" t="e">
        <f>AND(#REF!,"AAAAADffdH4=")</f>
        <v>#REF!</v>
      </c>
      <c r="DX117" t="e">
        <f>AND(#REF!,"AAAAADffdH8=")</f>
        <v>#REF!</v>
      </c>
      <c r="DY117" t="e">
        <f>AND(#REF!,"AAAAADffdIA=")</f>
        <v>#REF!</v>
      </c>
      <c r="DZ117" t="e">
        <f>AND(#REF!,"AAAAADffdIE=")</f>
        <v>#REF!</v>
      </c>
      <c r="EA117" t="e">
        <f>AND(#REF!,"AAAAADffdII=")</f>
        <v>#REF!</v>
      </c>
      <c r="EB117" t="e">
        <f>AND(#REF!,"AAAAADffdIM=")</f>
        <v>#REF!</v>
      </c>
      <c r="EC117" t="e">
        <f>AND(#REF!,"AAAAADffdIQ=")</f>
        <v>#REF!</v>
      </c>
      <c r="ED117" t="e">
        <f>AND(#REF!,"AAAAADffdIU=")</f>
        <v>#REF!</v>
      </c>
      <c r="EE117" t="e">
        <f>AND(#REF!,"AAAAADffdIY=")</f>
        <v>#REF!</v>
      </c>
      <c r="EF117" t="e">
        <f>AND(#REF!,"AAAAADffdIc=")</f>
        <v>#REF!</v>
      </c>
      <c r="EG117" t="e">
        <f>AND(#REF!,"AAAAADffdIg=")</f>
        <v>#REF!</v>
      </c>
      <c r="EH117" t="e">
        <f>AND(#REF!,"AAAAADffdIk=")</f>
        <v>#REF!</v>
      </c>
      <c r="EI117" t="e">
        <f>AND(#REF!,"AAAAADffdIo=")</f>
        <v>#REF!</v>
      </c>
      <c r="EJ117" t="e">
        <f>AND(#REF!,"AAAAADffdIs=")</f>
        <v>#REF!</v>
      </c>
      <c r="EK117" t="e">
        <f>AND(#REF!,"AAAAADffdIw=")</f>
        <v>#REF!</v>
      </c>
      <c r="EL117" t="e">
        <f>AND(#REF!,"AAAAADffdI0=")</f>
        <v>#REF!</v>
      </c>
      <c r="EM117" t="e">
        <f>AND(#REF!,"AAAAADffdI4=")</f>
        <v>#REF!</v>
      </c>
      <c r="EN117" t="e">
        <f>AND(#REF!,"AAAAADffdI8=")</f>
        <v>#REF!</v>
      </c>
      <c r="EO117" t="e">
        <f>AND(#REF!,"AAAAADffdJA=")</f>
        <v>#REF!</v>
      </c>
      <c r="EP117" t="e">
        <f>IF(#REF!,"AAAAADffdJE=",0)</f>
        <v>#REF!</v>
      </c>
      <c r="EQ117" t="e">
        <f>AND(#REF!,"AAAAADffdJI=")</f>
        <v>#REF!</v>
      </c>
      <c r="ER117" t="e">
        <f>AND(#REF!,"AAAAADffdJM=")</f>
        <v>#REF!</v>
      </c>
      <c r="ES117" t="e">
        <f>AND(#REF!,"AAAAADffdJQ=")</f>
        <v>#REF!</v>
      </c>
      <c r="ET117" t="e">
        <f>AND(#REF!,"AAAAADffdJU=")</f>
        <v>#REF!</v>
      </c>
      <c r="EU117" t="e">
        <f>AND(#REF!,"AAAAADffdJY=")</f>
        <v>#REF!</v>
      </c>
      <c r="EV117" t="e">
        <f>AND(#REF!,"AAAAADffdJc=")</f>
        <v>#REF!</v>
      </c>
      <c r="EW117" t="e">
        <f>AND(#REF!,"AAAAADffdJg=")</f>
        <v>#REF!</v>
      </c>
      <c r="EX117" t="e">
        <f>AND(#REF!,"AAAAADffdJk=")</f>
        <v>#REF!</v>
      </c>
      <c r="EY117" t="e">
        <f>AND(#REF!,"AAAAADffdJo=")</f>
        <v>#REF!</v>
      </c>
      <c r="EZ117" t="e">
        <f>AND(#REF!,"AAAAADffdJs=")</f>
        <v>#REF!</v>
      </c>
      <c r="FA117" t="e">
        <f>AND(#REF!,"AAAAADffdJw=")</f>
        <v>#REF!</v>
      </c>
      <c r="FB117" t="e">
        <f>AND(#REF!,"AAAAADffdJ0=")</f>
        <v>#REF!</v>
      </c>
      <c r="FC117" t="e">
        <f>AND(#REF!,"AAAAADffdJ4=")</f>
        <v>#REF!</v>
      </c>
      <c r="FD117" t="e">
        <f>AND(#REF!,"AAAAADffdJ8=")</f>
        <v>#REF!</v>
      </c>
      <c r="FE117" t="e">
        <f>AND(#REF!,"AAAAADffdKA=")</f>
        <v>#REF!</v>
      </c>
      <c r="FF117" t="e">
        <f>AND(#REF!,"AAAAADffdKE=")</f>
        <v>#REF!</v>
      </c>
      <c r="FG117" t="e">
        <f>AND(#REF!,"AAAAADffdKI=")</f>
        <v>#REF!</v>
      </c>
      <c r="FH117" t="e">
        <f>AND(#REF!,"AAAAADffdKM=")</f>
        <v>#REF!</v>
      </c>
      <c r="FI117" t="e">
        <f>AND(#REF!,"AAAAADffdKQ=")</f>
        <v>#REF!</v>
      </c>
      <c r="FJ117" t="e">
        <f>AND(#REF!,"AAAAADffdKU=")</f>
        <v>#REF!</v>
      </c>
      <c r="FK117" t="e">
        <f>AND(#REF!,"AAAAADffdKY=")</f>
        <v>#REF!</v>
      </c>
      <c r="FL117" t="e">
        <f>AND(#REF!,"AAAAADffdKc=")</f>
        <v>#REF!</v>
      </c>
      <c r="FM117" t="e">
        <f>AND(#REF!,"AAAAADffdKg=")</f>
        <v>#REF!</v>
      </c>
      <c r="FN117" t="e">
        <f>AND(#REF!,"AAAAADffdKk=")</f>
        <v>#REF!</v>
      </c>
      <c r="FO117" t="e">
        <f>AND(#REF!,"AAAAADffdKo=")</f>
        <v>#REF!</v>
      </c>
      <c r="FP117" t="e">
        <f>AND(#REF!,"AAAAADffdKs=")</f>
        <v>#REF!</v>
      </c>
      <c r="FQ117" t="e">
        <f>AND(#REF!,"AAAAADffdKw=")</f>
        <v>#REF!</v>
      </c>
      <c r="FR117" t="e">
        <f>IF(#REF!,"AAAAADffdK0=",0)</f>
        <v>#REF!</v>
      </c>
      <c r="FS117" t="e">
        <f>AND(#REF!,"AAAAADffdK4=")</f>
        <v>#REF!</v>
      </c>
      <c r="FT117" t="e">
        <f>AND(#REF!,"AAAAADffdK8=")</f>
        <v>#REF!</v>
      </c>
      <c r="FU117" t="e">
        <f>AND(#REF!,"AAAAADffdLA=")</f>
        <v>#REF!</v>
      </c>
      <c r="FV117" t="e">
        <f>AND(#REF!,"AAAAADffdLE=")</f>
        <v>#REF!</v>
      </c>
      <c r="FW117" t="e">
        <f>AND(#REF!,"AAAAADffdLI=")</f>
        <v>#REF!</v>
      </c>
      <c r="FX117" t="e">
        <f>AND(#REF!,"AAAAADffdLM=")</f>
        <v>#REF!</v>
      </c>
      <c r="FY117" t="e">
        <f>AND(#REF!,"AAAAADffdLQ=")</f>
        <v>#REF!</v>
      </c>
      <c r="FZ117" t="e">
        <f>AND(#REF!,"AAAAADffdLU=")</f>
        <v>#REF!</v>
      </c>
      <c r="GA117" t="e">
        <f>AND(#REF!,"AAAAADffdLY=")</f>
        <v>#REF!</v>
      </c>
      <c r="GB117" t="e">
        <f>AND(#REF!,"AAAAADffdLc=")</f>
        <v>#REF!</v>
      </c>
      <c r="GC117" t="e">
        <f>AND(#REF!,"AAAAADffdLg=")</f>
        <v>#REF!</v>
      </c>
      <c r="GD117" t="e">
        <f>AND(#REF!,"AAAAADffdLk=")</f>
        <v>#REF!</v>
      </c>
      <c r="GE117" t="e">
        <f>AND(#REF!,"AAAAADffdLo=")</f>
        <v>#REF!</v>
      </c>
      <c r="GF117" t="e">
        <f>AND(#REF!,"AAAAADffdLs=")</f>
        <v>#REF!</v>
      </c>
      <c r="GG117" t="e">
        <f>AND(#REF!,"AAAAADffdLw=")</f>
        <v>#REF!</v>
      </c>
      <c r="GH117" t="e">
        <f>AND(#REF!,"AAAAADffdL0=")</f>
        <v>#REF!</v>
      </c>
      <c r="GI117" t="e">
        <f>AND(#REF!,"AAAAADffdL4=")</f>
        <v>#REF!</v>
      </c>
      <c r="GJ117" t="e">
        <f>AND(#REF!,"AAAAADffdL8=")</f>
        <v>#REF!</v>
      </c>
      <c r="GK117" t="e">
        <f>AND(#REF!,"AAAAADffdMA=")</f>
        <v>#REF!</v>
      </c>
      <c r="GL117" t="e">
        <f>AND(#REF!,"AAAAADffdME=")</f>
        <v>#REF!</v>
      </c>
      <c r="GM117" t="e">
        <f>AND(#REF!,"AAAAADffdMI=")</f>
        <v>#REF!</v>
      </c>
      <c r="GN117" t="e">
        <f>AND(#REF!,"AAAAADffdMM=")</f>
        <v>#REF!</v>
      </c>
      <c r="GO117" t="e">
        <f>AND(#REF!,"AAAAADffdMQ=")</f>
        <v>#REF!</v>
      </c>
      <c r="GP117" t="e">
        <f>AND(#REF!,"AAAAADffdMU=")</f>
        <v>#REF!</v>
      </c>
      <c r="GQ117" t="e">
        <f>AND(#REF!,"AAAAADffdMY=")</f>
        <v>#REF!</v>
      </c>
      <c r="GR117" t="e">
        <f>AND(#REF!,"AAAAADffdMc=")</f>
        <v>#REF!</v>
      </c>
      <c r="GS117" t="e">
        <f>AND(#REF!,"AAAAADffdMg=")</f>
        <v>#REF!</v>
      </c>
      <c r="GT117" t="e">
        <f>IF(#REF!,"AAAAADffdMk=",0)</f>
        <v>#REF!</v>
      </c>
      <c r="GU117" t="e">
        <f>AND(#REF!,"AAAAADffdMo=")</f>
        <v>#REF!</v>
      </c>
      <c r="GV117" t="e">
        <f>AND(#REF!,"AAAAADffdMs=")</f>
        <v>#REF!</v>
      </c>
      <c r="GW117" t="e">
        <f>AND(#REF!,"AAAAADffdMw=")</f>
        <v>#REF!</v>
      </c>
      <c r="GX117" t="e">
        <f>AND(#REF!,"AAAAADffdM0=")</f>
        <v>#REF!</v>
      </c>
      <c r="GY117" t="e">
        <f>AND(#REF!,"AAAAADffdM4=")</f>
        <v>#REF!</v>
      </c>
      <c r="GZ117" t="e">
        <f>AND(#REF!,"AAAAADffdM8=")</f>
        <v>#REF!</v>
      </c>
      <c r="HA117" t="e">
        <f>AND(#REF!,"AAAAADffdNA=")</f>
        <v>#REF!</v>
      </c>
      <c r="HB117" t="e">
        <f>AND(#REF!,"AAAAADffdNE=")</f>
        <v>#REF!</v>
      </c>
      <c r="HC117" t="e">
        <f>AND(#REF!,"AAAAADffdNI=")</f>
        <v>#REF!</v>
      </c>
      <c r="HD117" t="e">
        <f>AND(#REF!,"AAAAADffdNM=")</f>
        <v>#REF!</v>
      </c>
      <c r="HE117" t="e">
        <f>AND(#REF!,"AAAAADffdNQ=")</f>
        <v>#REF!</v>
      </c>
      <c r="HF117" t="e">
        <f>AND(#REF!,"AAAAADffdNU=")</f>
        <v>#REF!</v>
      </c>
      <c r="HG117" t="e">
        <f>AND(#REF!,"AAAAADffdNY=")</f>
        <v>#REF!</v>
      </c>
      <c r="HH117" t="e">
        <f>AND(#REF!,"AAAAADffdNc=")</f>
        <v>#REF!</v>
      </c>
      <c r="HI117" t="e">
        <f>AND(#REF!,"AAAAADffdNg=")</f>
        <v>#REF!</v>
      </c>
      <c r="HJ117" t="e">
        <f>AND(#REF!,"AAAAADffdNk=")</f>
        <v>#REF!</v>
      </c>
      <c r="HK117" t="e">
        <f>AND(#REF!,"AAAAADffdNo=")</f>
        <v>#REF!</v>
      </c>
      <c r="HL117" t="e">
        <f>AND(#REF!,"AAAAADffdNs=")</f>
        <v>#REF!</v>
      </c>
      <c r="HM117" t="e">
        <f>AND(#REF!,"AAAAADffdNw=")</f>
        <v>#REF!</v>
      </c>
      <c r="HN117" t="e">
        <f>AND(#REF!,"AAAAADffdN0=")</f>
        <v>#REF!</v>
      </c>
      <c r="HO117" t="e">
        <f>AND(#REF!,"AAAAADffdN4=")</f>
        <v>#REF!</v>
      </c>
      <c r="HP117" t="e">
        <f>AND(#REF!,"AAAAADffdN8=")</f>
        <v>#REF!</v>
      </c>
      <c r="HQ117" t="e">
        <f>AND(#REF!,"AAAAADffdOA=")</f>
        <v>#REF!</v>
      </c>
      <c r="HR117" t="e">
        <f>AND(#REF!,"AAAAADffdOE=")</f>
        <v>#REF!</v>
      </c>
      <c r="HS117" t="e">
        <f>AND(#REF!,"AAAAADffdOI=")</f>
        <v>#REF!</v>
      </c>
      <c r="HT117" t="e">
        <f>AND(#REF!,"AAAAADffdOM=")</f>
        <v>#REF!</v>
      </c>
      <c r="HU117" t="e">
        <f>AND(#REF!,"AAAAADffdOQ=")</f>
        <v>#REF!</v>
      </c>
      <c r="HV117" t="e">
        <f>IF(#REF!,"AAAAADffdOU=",0)</f>
        <v>#REF!</v>
      </c>
      <c r="HW117" t="e">
        <f>AND(#REF!,"AAAAADffdOY=")</f>
        <v>#REF!</v>
      </c>
      <c r="HX117" t="e">
        <f>AND(#REF!,"AAAAADffdOc=")</f>
        <v>#REF!</v>
      </c>
      <c r="HY117" t="e">
        <f>AND(#REF!,"AAAAADffdOg=")</f>
        <v>#REF!</v>
      </c>
      <c r="HZ117" t="e">
        <f>AND(#REF!,"AAAAADffdOk=")</f>
        <v>#REF!</v>
      </c>
      <c r="IA117" t="e">
        <f>AND(#REF!,"AAAAADffdOo=")</f>
        <v>#REF!</v>
      </c>
      <c r="IB117" t="e">
        <f>AND(#REF!,"AAAAADffdOs=")</f>
        <v>#REF!</v>
      </c>
      <c r="IC117" t="e">
        <f>AND(#REF!,"AAAAADffdOw=")</f>
        <v>#REF!</v>
      </c>
      <c r="ID117" t="e">
        <f>AND(#REF!,"AAAAADffdO0=")</f>
        <v>#REF!</v>
      </c>
      <c r="IE117" t="e">
        <f>AND(#REF!,"AAAAADffdO4=")</f>
        <v>#REF!</v>
      </c>
      <c r="IF117" t="e">
        <f>AND(#REF!,"AAAAADffdO8=")</f>
        <v>#REF!</v>
      </c>
      <c r="IG117" t="e">
        <f>AND(#REF!,"AAAAADffdPA=")</f>
        <v>#REF!</v>
      </c>
      <c r="IH117" t="e">
        <f>AND(#REF!,"AAAAADffdPE=")</f>
        <v>#REF!</v>
      </c>
      <c r="II117" t="e">
        <f>AND(#REF!,"AAAAADffdPI=")</f>
        <v>#REF!</v>
      </c>
      <c r="IJ117" t="e">
        <f>AND(#REF!,"AAAAADffdPM=")</f>
        <v>#REF!</v>
      </c>
      <c r="IK117" t="e">
        <f>AND(#REF!,"AAAAADffdPQ=")</f>
        <v>#REF!</v>
      </c>
      <c r="IL117" t="e">
        <f>AND(#REF!,"AAAAADffdPU=")</f>
        <v>#REF!</v>
      </c>
      <c r="IM117" t="e">
        <f>AND(#REF!,"AAAAADffdPY=")</f>
        <v>#REF!</v>
      </c>
      <c r="IN117" t="e">
        <f>AND(#REF!,"AAAAADffdPc=")</f>
        <v>#REF!</v>
      </c>
      <c r="IO117" t="e">
        <f>AND(#REF!,"AAAAADffdPg=")</f>
        <v>#REF!</v>
      </c>
      <c r="IP117" t="e">
        <f>AND(#REF!,"AAAAADffdPk=")</f>
        <v>#REF!</v>
      </c>
      <c r="IQ117" t="e">
        <f>AND(#REF!,"AAAAADffdPo=")</f>
        <v>#REF!</v>
      </c>
      <c r="IR117" t="e">
        <f>AND(#REF!,"AAAAADffdPs=")</f>
        <v>#REF!</v>
      </c>
      <c r="IS117" t="e">
        <f>AND(#REF!,"AAAAADffdPw=")</f>
        <v>#REF!</v>
      </c>
      <c r="IT117" t="e">
        <f>AND(#REF!,"AAAAADffdP0=")</f>
        <v>#REF!</v>
      </c>
      <c r="IU117" t="e">
        <f>AND(#REF!,"AAAAADffdP4=")</f>
        <v>#REF!</v>
      </c>
      <c r="IV117" t="e">
        <f>AND(#REF!,"AAAAADffdP8=")</f>
        <v>#REF!</v>
      </c>
    </row>
    <row r="118" spans="1:256" x14ac:dyDescent="0.2">
      <c r="A118" t="e">
        <f>AND(#REF!,"AAAAAH3b/wA=")</f>
        <v>#REF!</v>
      </c>
      <c r="B118" t="e">
        <f>IF(#REF!,"AAAAAH3b/wE=",0)</f>
        <v>#REF!</v>
      </c>
      <c r="C118" t="e">
        <f>AND(#REF!,"AAAAAH3b/wI=")</f>
        <v>#REF!</v>
      </c>
      <c r="D118" t="e">
        <f>AND(#REF!,"AAAAAH3b/wM=")</f>
        <v>#REF!</v>
      </c>
      <c r="E118" t="e">
        <f>AND(#REF!,"AAAAAH3b/wQ=")</f>
        <v>#REF!</v>
      </c>
      <c r="F118" t="e">
        <f>AND(#REF!,"AAAAAH3b/wU=")</f>
        <v>#REF!</v>
      </c>
      <c r="G118" t="e">
        <f>AND(#REF!,"AAAAAH3b/wY=")</f>
        <v>#REF!</v>
      </c>
      <c r="H118" t="e">
        <f>AND(#REF!,"AAAAAH3b/wc=")</f>
        <v>#REF!</v>
      </c>
      <c r="I118" t="e">
        <f>AND(#REF!,"AAAAAH3b/wg=")</f>
        <v>#REF!</v>
      </c>
      <c r="J118" t="e">
        <f>AND(#REF!,"AAAAAH3b/wk=")</f>
        <v>#REF!</v>
      </c>
      <c r="K118" t="e">
        <f>AND(#REF!,"AAAAAH3b/wo=")</f>
        <v>#REF!</v>
      </c>
      <c r="L118" t="e">
        <f>AND(#REF!,"AAAAAH3b/ws=")</f>
        <v>#REF!</v>
      </c>
      <c r="M118" t="e">
        <f>AND(#REF!,"AAAAAH3b/ww=")</f>
        <v>#REF!</v>
      </c>
      <c r="N118" t="e">
        <f>AND(#REF!,"AAAAAH3b/w0=")</f>
        <v>#REF!</v>
      </c>
      <c r="O118" t="e">
        <f>AND(#REF!,"AAAAAH3b/w4=")</f>
        <v>#REF!</v>
      </c>
      <c r="P118" t="e">
        <f>AND(#REF!,"AAAAAH3b/w8=")</f>
        <v>#REF!</v>
      </c>
      <c r="Q118" t="e">
        <f>AND(#REF!,"AAAAAH3b/xA=")</f>
        <v>#REF!</v>
      </c>
      <c r="R118" t="e">
        <f>AND(#REF!,"AAAAAH3b/xE=")</f>
        <v>#REF!</v>
      </c>
      <c r="S118" t="e">
        <f>AND(#REF!,"AAAAAH3b/xI=")</f>
        <v>#REF!</v>
      </c>
      <c r="T118" t="e">
        <f>AND(#REF!,"AAAAAH3b/xM=")</f>
        <v>#REF!</v>
      </c>
      <c r="U118" t="e">
        <f>AND(#REF!,"AAAAAH3b/xQ=")</f>
        <v>#REF!</v>
      </c>
      <c r="V118" t="e">
        <f>AND(#REF!,"AAAAAH3b/xU=")</f>
        <v>#REF!</v>
      </c>
      <c r="W118" t="e">
        <f>AND(#REF!,"AAAAAH3b/xY=")</f>
        <v>#REF!</v>
      </c>
      <c r="X118" t="e">
        <f>AND(#REF!,"AAAAAH3b/xc=")</f>
        <v>#REF!</v>
      </c>
      <c r="Y118" t="e">
        <f>AND(#REF!,"AAAAAH3b/xg=")</f>
        <v>#REF!</v>
      </c>
      <c r="Z118" t="e">
        <f>AND(#REF!,"AAAAAH3b/xk=")</f>
        <v>#REF!</v>
      </c>
      <c r="AA118" t="e">
        <f>AND(#REF!,"AAAAAH3b/xo=")</f>
        <v>#REF!</v>
      </c>
      <c r="AB118" t="e">
        <f>AND(#REF!,"AAAAAH3b/xs=")</f>
        <v>#REF!</v>
      </c>
      <c r="AC118" t="e">
        <f>AND(#REF!,"AAAAAH3b/xw=")</f>
        <v>#REF!</v>
      </c>
      <c r="AD118" t="e">
        <f>IF(#REF!,"AAAAAH3b/x0=",0)</f>
        <v>#REF!</v>
      </c>
      <c r="AE118" t="e">
        <f>AND(#REF!,"AAAAAH3b/x4=")</f>
        <v>#REF!</v>
      </c>
      <c r="AF118" t="e">
        <f>AND(#REF!,"AAAAAH3b/x8=")</f>
        <v>#REF!</v>
      </c>
      <c r="AG118" t="e">
        <f>AND(#REF!,"AAAAAH3b/yA=")</f>
        <v>#REF!</v>
      </c>
      <c r="AH118" t="e">
        <f>AND(#REF!,"AAAAAH3b/yE=")</f>
        <v>#REF!</v>
      </c>
      <c r="AI118" t="e">
        <f>AND(#REF!,"AAAAAH3b/yI=")</f>
        <v>#REF!</v>
      </c>
      <c r="AJ118" t="e">
        <f>AND(#REF!,"AAAAAH3b/yM=")</f>
        <v>#REF!</v>
      </c>
      <c r="AK118" t="e">
        <f>AND(#REF!,"AAAAAH3b/yQ=")</f>
        <v>#REF!</v>
      </c>
      <c r="AL118" t="e">
        <f>AND(#REF!,"AAAAAH3b/yU=")</f>
        <v>#REF!</v>
      </c>
      <c r="AM118" t="e">
        <f>AND(#REF!,"AAAAAH3b/yY=")</f>
        <v>#REF!</v>
      </c>
      <c r="AN118" t="e">
        <f>AND(#REF!,"AAAAAH3b/yc=")</f>
        <v>#REF!</v>
      </c>
      <c r="AO118" t="e">
        <f>AND(#REF!,"AAAAAH3b/yg=")</f>
        <v>#REF!</v>
      </c>
      <c r="AP118" t="e">
        <f>AND(#REF!,"AAAAAH3b/yk=")</f>
        <v>#REF!</v>
      </c>
      <c r="AQ118" t="e">
        <f>AND(#REF!,"AAAAAH3b/yo=")</f>
        <v>#REF!</v>
      </c>
      <c r="AR118" t="e">
        <f>AND(#REF!,"AAAAAH3b/ys=")</f>
        <v>#REF!</v>
      </c>
      <c r="AS118" t="e">
        <f>AND(#REF!,"AAAAAH3b/yw=")</f>
        <v>#REF!</v>
      </c>
      <c r="AT118" t="e">
        <f>AND(#REF!,"AAAAAH3b/y0=")</f>
        <v>#REF!</v>
      </c>
      <c r="AU118" t="e">
        <f>AND(#REF!,"AAAAAH3b/y4=")</f>
        <v>#REF!</v>
      </c>
      <c r="AV118" t="e">
        <f>AND(#REF!,"AAAAAH3b/y8=")</f>
        <v>#REF!</v>
      </c>
      <c r="AW118" t="e">
        <f>AND(#REF!,"AAAAAH3b/zA=")</f>
        <v>#REF!</v>
      </c>
      <c r="AX118" t="e">
        <f>AND(#REF!,"AAAAAH3b/zE=")</f>
        <v>#REF!</v>
      </c>
      <c r="AY118" t="e">
        <f>AND(#REF!,"AAAAAH3b/zI=")</f>
        <v>#REF!</v>
      </c>
      <c r="AZ118" t="e">
        <f>AND(#REF!,"AAAAAH3b/zM=")</f>
        <v>#REF!</v>
      </c>
      <c r="BA118" t="e">
        <f>AND(#REF!,"AAAAAH3b/zQ=")</f>
        <v>#REF!</v>
      </c>
      <c r="BB118" t="e">
        <f>AND(#REF!,"AAAAAH3b/zU=")</f>
        <v>#REF!</v>
      </c>
      <c r="BC118" t="e">
        <f>AND(#REF!,"AAAAAH3b/zY=")</f>
        <v>#REF!</v>
      </c>
      <c r="BD118" t="e">
        <f>AND(#REF!,"AAAAAH3b/zc=")</f>
        <v>#REF!</v>
      </c>
      <c r="BE118" t="e">
        <f>AND(#REF!,"AAAAAH3b/zg=")</f>
        <v>#REF!</v>
      </c>
      <c r="BF118" t="e">
        <f>IF(#REF!,"AAAAAH3b/zk=",0)</f>
        <v>#REF!</v>
      </c>
      <c r="BG118" t="e">
        <f>AND(#REF!,"AAAAAH3b/zo=")</f>
        <v>#REF!</v>
      </c>
      <c r="BH118" t="e">
        <f>AND(#REF!,"AAAAAH3b/zs=")</f>
        <v>#REF!</v>
      </c>
      <c r="BI118" t="e">
        <f>AND(#REF!,"AAAAAH3b/zw=")</f>
        <v>#REF!</v>
      </c>
      <c r="BJ118" t="e">
        <f>AND(#REF!,"AAAAAH3b/z0=")</f>
        <v>#REF!</v>
      </c>
      <c r="BK118" t="e">
        <f>AND(#REF!,"AAAAAH3b/z4=")</f>
        <v>#REF!</v>
      </c>
      <c r="BL118" t="e">
        <f>AND(#REF!,"AAAAAH3b/z8=")</f>
        <v>#REF!</v>
      </c>
      <c r="BM118" t="e">
        <f>AND(#REF!,"AAAAAH3b/0A=")</f>
        <v>#REF!</v>
      </c>
      <c r="BN118" t="e">
        <f>AND(#REF!,"AAAAAH3b/0E=")</f>
        <v>#REF!</v>
      </c>
      <c r="BO118" t="e">
        <f>AND(#REF!,"AAAAAH3b/0I=")</f>
        <v>#REF!</v>
      </c>
      <c r="BP118" t="e">
        <f>AND(#REF!,"AAAAAH3b/0M=")</f>
        <v>#REF!</v>
      </c>
      <c r="BQ118" t="e">
        <f>AND(#REF!,"AAAAAH3b/0Q=")</f>
        <v>#REF!</v>
      </c>
      <c r="BR118" t="e">
        <f>AND(#REF!,"AAAAAH3b/0U=")</f>
        <v>#REF!</v>
      </c>
      <c r="BS118" t="e">
        <f>AND(#REF!,"AAAAAH3b/0Y=")</f>
        <v>#REF!</v>
      </c>
      <c r="BT118" t="e">
        <f>AND(#REF!,"AAAAAH3b/0c=")</f>
        <v>#REF!</v>
      </c>
      <c r="BU118" t="e">
        <f>AND(#REF!,"AAAAAH3b/0g=")</f>
        <v>#REF!</v>
      </c>
      <c r="BV118" t="e">
        <f>AND(#REF!,"AAAAAH3b/0k=")</f>
        <v>#REF!</v>
      </c>
      <c r="BW118" t="e">
        <f>AND(#REF!,"AAAAAH3b/0o=")</f>
        <v>#REF!</v>
      </c>
      <c r="BX118" t="e">
        <f>AND(#REF!,"AAAAAH3b/0s=")</f>
        <v>#REF!</v>
      </c>
      <c r="BY118" t="e">
        <f>AND(#REF!,"AAAAAH3b/0w=")</f>
        <v>#REF!</v>
      </c>
      <c r="BZ118" t="e">
        <f>AND(#REF!,"AAAAAH3b/00=")</f>
        <v>#REF!</v>
      </c>
      <c r="CA118" t="e">
        <f>AND(#REF!,"AAAAAH3b/04=")</f>
        <v>#REF!</v>
      </c>
      <c r="CB118" t="e">
        <f>AND(#REF!,"AAAAAH3b/08=")</f>
        <v>#REF!</v>
      </c>
      <c r="CC118" t="e">
        <f>AND(#REF!,"AAAAAH3b/1A=")</f>
        <v>#REF!</v>
      </c>
      <c r="CD118" t="e">
        <f>AND(#REF!,"AAAAAH3b/1E=")</f>
        <v>#REF!</v>
      </c>
      <c r="CE118" t="e">
        <f>AND(#REF!,"AAAAAH3b/1I=")</f>
        <v>#REF!</v>
      </c>
      <c r="CF118" t="e">
        <f>AND(#REF!,"AAAAAH3b/1M=")</f>
        <v>#REF!</v>
      </c>
      <c r="CG118" t="e">
        <f>AND(#REF!,"AAAAAH3b/1Q=")</f>
        <v>#REF!</v>
      </c>
      <c r="CH118" t="e">
        <f>IF(#REF!,"AAAAAH3b/1U=",0)</f>
        <v>#REF!</v>
      </c>
      <c r="CI118" t="e">
        <f>AND(#REF!,"AAAAAH3b/1Y=")</f>
        <v>#REF!</v>
      </c>
      <c r="CJ118" t="e">
        <f>AND(#REF!,"AAAAAH3b/1c=")</f>
        <v>#REF!</v>
      </c>
      <c r="CK118" t="e">
        <f>AND(#REF!,"AAAAAH3b/1g=")</f>
        <v>#REF!</v>
      </c>
      <c r="CL118" t="e">
        <f>AND(#REF!,"AAAAAH3b/1k=")</f>
        <v>#REF!</v>
      </c>
      <c r="CM118" t="e">
        <f>AND(#REF!,"AAAAAH3b/1o=")</f>
        <v>#REF!</v>
      </c>
      <c r="CN118" t="e">
        <f>AND(#REF!,"AAAAAH3b/1s=")</f>
        <v>#REF!</v>
      </c>
      <c r="CO118" t="e">
        <f>AND(#REF!,"AAAAAH3b/1w=")</f>
        <v>#REF!</v>
      </c>
      <c r="CP118" t="e">
        <f>AND(#REF!,"AAAAAH3b/10=")</f>
        <v>#REF!</v>
      </c>
      <c r="CQ118" t="e">
        <f>AND(#REF!,"AAAAAH3b/14=")</f>
        <v>#REF!</v>
      </c>
      <c r="CR118" t="e">
        <f>AND(#REF!,"AAAAAH3b/18=")</f>
        <v>#REF!</v>
      </c>
      <c r="CS118" t="e">
        <f>AND(#REF!,"AAAAAH3b/2A=")</f>
        <v>#REF!</v>
      </c>
      <c r="CT118" t="e">
        <f>AND(#REF!,"AAAAAH3b/2E=")</f>
        <v>#REF!</v>
      </c>
      <c r="CU118" t="e">
        <f>AND(#REF!,"AAAAAH3b/2I=")</f>
        <v>#REF!</v>
      </c>
      <c r="CV118" t="e">
        <f>AND(#REF!,"AAAAAH3b/2M=")</f>
        <v>#REF!</v>
      </c>
      <c r="CW118" t="e">
        <f>AND(#REF!,"AAAAAH3b/2Q=")</f>
        <v>#REF!</v>
      </c>
      <c r="CX118" t="e">
        <f>AND(#REF!,"AAAAAH3b/2U=")</f>
        <v>#REF!</v>
      </c>
      <c r="CY118" t="e">
        <f>AND(#REF!,"AAAAAH3b/2Y=")</f>
        <v>#REF!</v>
      </c>
      <c r="CZ118" t="e">
        <f>AND(#REF!,"AAAAAH3b/2c=")</f>
        <v>#REF!</v>
      </c>
      <c r="DA118" t="e">
        <f>AND(#REF!,"AAAAAH3b/2g=")</f>
        <v>#REF!</v>
      </c>
      <c r="DB118" t="e">
        <f>AND(#REF!,"AAAAAH3b/2k=")</f>
        <v>#REF!</v>
      </c>
      <c r="DC118" t="e">
        <f>AND(#REF!,"AAAAAH3b/2o=")</f>
        <v>#REF!</v>
      </c>
      <c r="DD118" t="e">
        <f>AND(#REF!,"AAAAAH3b/2s=")</f>
        <v>#REF!</v>
      </c>
      <c r="DE118" t="e">
        <f>AND(#REF!,"AAAAAH3b/2w=")</f>
        <v>#REF!</v>
      </c>
      <c r="DF118" t="e">
        <f>AND(#REF!,"AAAAAH3b/20=")</f>
        <v>#REF!</v>
      </c>
      <c r="DG118" t="e">
        <f>AND(#REF!,"AAAAAH3b/24=")</f>
        <v>#REF!</v>
      </c>
      <c r="DH118" t="e">
        <f>AND(#REF!,"AAAAAH3b/28=")</f>
        <v>#REF!</v>
      </c>
      <c r="DI118" t="e">
        <f>AND(#REF!,"AAAAAH3b/3A=")</f>
        <v>#REF!</v>
      </c>
      <c r="DJ118" t="e">
        <f>IF(#REF!,"AAAAAH3b/3E=",0)</f>
        <v>#REF!</v>
      </c>
      <c r="DK118" t="e">
        <f>AND(#REF!,"AAAAAH3b/3I=")</f>
        <v>#REF!</v>
      </c>
      <c r="DL118" t="e">
        <f>AND(#REF!,"AAAAAH3b/3M=")</f>
        <v>#REF!</v>
      </c>
      <c r="DM118" t="e">
        <f>AND(#REF!,"AAAAAH3b/3Q=")</f>
        <v>#REF!</v>
      </c>
      <c r="DN118" t="e">
        <f>AND(#REF!,"AAAAAH3b/3U=")</f>
        <v>#REF!</v>
      </c>
      <c r="DO118" t="e">
        <f>AND(#REF!,"AAAAAH3b/3Y=")</f>
        <v>#REF!</v>
      </c>
      <c r="DP118" t="e">
        <f>AND(#REF!,"AAAAAH3b/3c=")</f>
        <v>#REF!</v>
      </c>
      <c r="DQ118" t="e">
        <f>AND(#REF!,"AAAAAH3b/3g=")</f>
        <v>#REF!</v>
      </c>
      <c r="DR118" t="e">
        <f>AND(#REF!,"AAAAAH3b/3k=")</f>
        <v>#REF!</v>
      </c>
      <c r="DS118" t="e">
        <f>AND(#REF!,"AAAAAH3b/3o=")</f>
        <v>#REF!</v>
      </c>
      <c r="DT118" t="e">
        <f>AND(#REF!,"AAAAAH3b/3s=")</f>
        <v>#REF!</v>
      </c>
      <c r="DU118" t="e">
        <f>AND(#REF!,"AAAAAH3b/3w=")</f>
        <v>#REF!</v>
      </c>
      <c r="DV118" t="e">
        <f>AND(#REF!,"AAAAAH3b/30=")</f>
        <v>#REF!</v>
      </c>
      <c r="DW118" t="e">
        <f>AND(#REF!,"AAAAAH3b/34=")</f>
        <v>#REF!</v>
      </c>
      <c r="DX118" t="e">
        <f>AND(#REF!,"AAAAAH3b/38=")</f>
        <v>#REF!</v>
      </c>
      <c r="DY118" t="e">
        <f>AND(#REF!,"AAAAAH3b/4A=")</f>
        <v>#REF!</v>
      </c>
      <c r="DZ118" t="e">
        <f>AND(#REF!,"AAAAAH3b/4E=")</f>
        <v>#REF!</v>
      </c>
      <c r="EA118" t="e">
        <f>AND(#REF!,"AAAAAH3b/4I=")</f>
        <v>#REF!</v>
      </c>
      <c r="EB118" t="e">
        <f>AND(#REF!,"AAAAAH3b/4M=")</f>
        <v>#REF!</v>
      </c>
      <c r="EC118" t="e">
        <f>AND(#REF!,"AAAAAH3b/4Q=")</f>
        <v>#REF!</v>
      </c>
      <c r="ED118" t="e">
        <f>AND(#REF!,"AAAAAH3b/4U=")</f>
        <v>#REF!</v>
      </c>
      <c r="EE118" t="e">
        <f>AND(#REF!,"AAAAAH3b/4Y=")</f>
        <v>#REF!</v>
      </c>
      <c r="EF118" t="e">
        <f>AND(#REF!,"AAAAAH3b/4c=")</f>
        <v>#REF!</v>
      </c>
      <c r="EG118" t="e">
        <f>AND(#REF!,"AAAAAH3b/4g=")</f>
        <v>#REF!</v>
      </c>
      <c r="EH118" t="e">
        <f>AND(#REF!,"AAAAAH3b/4k=")</f>
        <v>#REF!</v>
      </c>
      <c r="EI118" t="e">
        <f>AND(#REF!,"AAAAAH3b/4o=")</f>
        <v>#REF!</v>
      </c>
      <c r="EJ118" t="e">
        <f>AND(#REF!,"AAAAAH3b/4s=")</f>
        <v>#REF!</v>
      </c>
      <c r="EK118" t="e">
        <f>AND(#REF!,"AAAAAH3b/4w=")</f>
        <v>#REF!</v>
      </c>
      <c r="EL118" t="e">
        <f>IF(#REF!,"AAAAAH3b/40=",0)</f>
        <v>#REF!</v>
      </c>
      <c r="EM118" t="e">
        <f>AND(#REF!,"AAAAAH3b/44=")</f>
        <v>#REF!</v>
      </c>
      <c r="EN118" t="e">
        <f>AND(#REF!,"AAAAAH3b/48=")</f>
        <v>#REF!</v>
      </c>
      <c r="EO118" t="e">
        <f>AND(#REF!,"AAAAAH3b/5A=")</f>
        <v>#REF!</v>
      </c>
      <c r="EP118" t="e">
        <f>AND(#REF!,"AAAAAH3b/5E=")</f>
        <v>#REF!</v>
      </c>
      <c r="EQ118" t="e">
        <f>AND(#REF!,"AAAAAH3b/5I=")</f>
        <v>#REF!</v>
      </c>
      <c r="ER118" t="e">
        <f>AND(#REF!,"AAAAAH3b/5M=")</f>
        <v>#REF!</v>
      </c>
      <c r="ES118" t="e">
        <f>AND(#REF!,"AAAAAH3b/5Q=")</f>
        <v>#REF!</v>
      </c>
      <c r="ET118" t="e">
        <f>AND(#REF!,"AAAAAH3b/5U=")</f>
        <v>#REF!</v>
      </c>
      <c r="EU118" t="e">
        <f>AND(#REF!,"AAAAAH3b/5Y=")</f>
        <v>#REF!</v>
      </c>
      <c r="EV118" t="e">
        <f>AND(#REF!,"AAAAAH3b/5c=")</f>
        <v>#REF!</v>
      </c>
      <c r="EW118" t="e">
        <f>AND(#REF!,"AAAAAH3b/5g=")</f>
        <v>#REF!</v>
      </c>
      <c r="EX118" t="e">
        <f>AND(#REF!,"AAAAAH3b/5k=")</f>
        <v>#REF!</v>
      </c>
      <c r="EY118" t="e">
        <f>AND(#REF!,"AAAAAH3b/5o=")</f>
        <v>#REF!</v>
      </c>
      <c r="EZ118" t="e">
        <f>AND(#REF!,"AAAAAH3b/5s=")</f>
        <v>#REF!</v>
      </c>
      <c r="FA118" t="e">
        <f>AND(#REF!,"AAAAAH3b/5w=")</f>
        <v>#REF!</v>
      </c>
      <c r="FB118" t="e">
        <f>AND(#REF!,"AAAAAH3b/50=")</f>
        <v>#REF!</v>
      </c>
      <c r="FC118" t="e">
        <f>AND(#REF!,"AAAAAH3b/54=")</f>
        <v>#REF!</v>
      </c>
      <c r="FD118" t="e">
        <f>AND(#REF!,"AAAAAH3b/58=")</f>
        <v>#REF!</v>
      </c>
      <c r="FE118" t="e">
        <f>AND(#REF!,"AAAAAH3b/6A=")</f>
        <v>#REF!</v>
      </c>
      <c r="FF118" t="e">
        <f>AND(#REF!,"AAAAAH3b/6E=")</f>
        <v>#REF!</v>
      </c>
      <c r="FG118" t="e">
        <f>AND(#REF!,"AAAAAH3b/6I=")</f>
        <v>#REF!</v>
      </c>
      <c r="FH118" t="e">
        <f>AND(#REF!,"AAAAAH3b/6M=")</f>
        <v>#REF!</v>
      </c>
      <c r="FI118" t="e">
        <f>AND(#REF!,"AAAAAH3b/6Q=")</f>
        <v>#REF!</v>
      </c>
      <c r="FJ118" t="e">
        <f>AND(#REF!,"AAAAAH3b/6U=")</f>
        <v>#REF!</v>
      </c>
      <c r="FK118" t="e">
        <f>AND(#REF!,"AAAAAH3b/6Y=")</f>
        <v>#REF!</v>
      </c>
      <c r="FL118" t="e">
        <f>AND(#REF!,"AAAAAH3b/6c=")</f>
        <v>#REF!</v>
      </c>
      <c r="FM118" t="e">
        <f>AND(#REF!,"AAAAAH3b/6g=")</f>
        <v>#REF!</v>
      </c>
      <c r="FN118" t="e">
        <f>IF(#REF!,"AAAAAH3b/6k=",0)</f>
        <v>#REF!</v>
      </c>
      <c r="FO118" t="e">
        <f>AND(#REF!,"AAAAAH3b/6o=")</f>
        <v>#REF!</v>
      </c>
      <c r="FP118" t="e">
        <f>AND(#REF!,"AAAAAH3b/6s=")</f>
        <v>#REF!</v>
      </c>
      <c r="FQ118" t="e">
        <f>AND(#REF!,"AAAAAH3b/6w=")</f>
        <v>#REF!</v>
      </c>
      <c r="FR118" t="e">
        <f>AND(#REF!,"AAAAAH3b/60=")</f>
        <v>#REF!</v>
      </c>
      <c r="FS118" t="e">
        <f>AND(#REF!,"AAAAAH3b/64=")</f>
        <v>#REF!</v>
      </c>
      <c r="FT118" t="e">
        <f>AND(#REF!,"AAAAAH3b/68=")</f>
        <v>#REF!</v>
      </c>
      <c r="FU118" t="e">
        <f>AND(#REF!,"AAAAAH3b/7A=")</f>
        <v>#REF!</v>
      </c>
      <c r="FV118" t="e">
        <f>AND(#REF!,"AAAAAH3b/7E=")</f>
        <v>#REF!</v>
      </c>
      <c r="FW118" t="e">
        <f>AND(#REF!,"AAAAAH3b/7I=")</f>
        <v>#REF!</v>
      </c>
      <c r="FX118" t="e">
        <f>AND(#REF!,"AAAAAH3b/7M=")</f>
        <v>#REF!</v>
      </c>
      <c r="FY118" t="e">
        <f>AND(#REF!,"AAAAAH3b/7Q=")</f>
        <v>#REF!</v>
      </c>
      <c r="FZ118" t="e">
        <f>AND(#REF!,"AAAAAH3b/7U=")</f>
        <v>#REF!</v>
      </c>
      <c r="GA118" t="e">
        <f>AND(#REF!,"AAAAAH3b/7Y=")</f>
        <v>#REF!</v>
      </c>
      <c r="GB118" t="e">
        <f>AND(#REF!,"AAAAAH3b/7c=")</f>
        <v>#REF!</v>
      </c>
      <c r="GC118" t="e">
        <f>AND(#REF!,"AAAAAH3b/7g=")</f>
        <v>#REF!</v>
      </c>
      <c r="GD118" t="e">
        <f>AND(#REF!,"AAAAAH3b/7k=")</f>
        <v>#REF!</v>
      </c>
      <c r="GE118" t="e">
        <f>AND(#REF!,"AAAAAH3b/7o=")</f>
        <v>#REF!</v>
      </c>
      <c r="GF118" t="e">
        <f>AND(#REF!,"AAAAAH3b/7s=")</f>
        <v>#REF!</v>
      </c>
      <c r="GG118" t="e">
        <f>AND(#REF!,"AAAAAH3b/7w=")</f>
        <v>#REF!</v>
      </c>
      <c r="GH118" t="e">
        <f>AND(#REF!,"AAAAAH3b/70=")</f>
        <v>#REF!</v>
      </c>
      <c r="GI118" t="e">
        <f>AND(#REF!,"AAAAAH3b/74=")</f>
        <v>#REF!</v>
      </c>
      <c r="GJ118" t="e">
        <f>AND(#REF!,"AAAAAH3b/78=")</f>
        <v>#REF!</v>
      </c>
      <c r="GK118" t="e">
        <f>AND(#REF!,"AAAAAH3b/8A=")</f>
        <v>#REF!</v>
      </c>
      <c r="GL118" t="e">
        <f>AND(#REF!,"AAAAAH3b/8E=")</f>
        <v>#REF!</v>
      </c>
      <c r="GM118" t="e">
        <f>AND(#REF!,"AAAAAH3b/8I=")</f>
        <v>#REF!</v>
      </c>
      <c r="GN118" t="e">
        <f>AND(#REF!,"AAAAAH3b/8M=")</f>
        <v>#REF!</v>
      </c>
      <c r="GO118" t="e">
        <f>AND(#REF!,"AAAAAH3b/8Q=")</f>
        <v>#REF!</v>
      </c>
      <c r="GP118" t="e">
        <f>IF(#REF!,"AAAAAH3b/8U=",0)</f>
        <v>#REF!</v>
      </c>
      <c r="GQ118" t="e">
        <f>AND(#REF!,"AAAAAH3b/8Y=")</f>
        <v>#REF!</v>
      </c>
      <c r="GR118" t="e">
        <f>AND(#REF!,"AAAAAH3b/8c=")</f>
        <v>#REF!</v>
      </c>
      <c r="GS118" t="e">
        <f>AND(#REF!,"AAAAAH3b/8g=")</f>
        <v>#REF!</v>
      </c>
      <c r="GT118" t="e">
        <f>AND(#REF!,"AAAAAH3b/8k=")</f>
        <v>#REF!</v>
      </c>
      <c r="GU118" t="e">
        <f>AND(#REF!,"AAAAAH3b/8o=")</f>
        <v>#REF!</v>
      </c>
      <c r="GV118" t="e">
        <f>AND(#REF!,"AAAAAH3b/8s=")</f>
        <v>#REF!</v>
      </c>
      <c r="GW118" t="e">
        <f>AND(#REF!,"AAAAAH3b/8w=")</f>
        <v>#REF!</v>
      </c>
      <c r="GX118" t="e">
        <f>AND(#REF!,"AAAAAH3b/80=")</f>
        <v>#REF!</v>
      </c>
      <c r="GY118" t="e">
        <f>AND(#REF!,"AAAAAH3b/84=")</f>
        <v>#REF!</v>
      </c>
      <c r="GZ118" t="e">
        <f>AND(#REF!,"AAAAAH3b/88=")</f>
        <v>#REF!</v>
      </c>
      <c r="HA118" t="e">
        <f>AND(#REF!,"AAAAAH3b/9A=")</f>
        <v>#REF!</v>
      </c>
      <c r="HB118" t="e">
        <f>AND(#REF!,"AAAAAH3b/9E=")</f>
        <v>#REF!</v>
      </c>
      <c r="HC118" t="e">
        <f>AND(#REF!,"AAAAAH3b/9I=")</f>
        <v>#REF!</v>
      </c>
      <c r="HD118" t="e">
        <f>AND(#REF!,"AAAAAH3b/9M=")</f>
        <v>#REF!</v>
      </c>
      <c r="HE118" t="e">
        <f>AND(#REF!,"AAAAAH3b/9Q=")</f>
        <v>#REF!</v>
      </c>
      <c r="HF118" t="e">
        <f>AND(#REF!,"AAAAAH3b/9U=")</f>
        <v>#REF!</v>
      </c>
      <c r="HG118" t="e">
        <f>AND(#REF!,"AAAAAH3b/9Y=")</f>
        <v>#REF!</v>
      </c>
      <c r="HH118" t="e">
        <f>AND(#REF!,"AAAAAH3b/9c=")</f>
        <v>#REF!</v>
      </c>
      <c r="HI118" t="e">
        <f>AND(#REF!,"AAAAAH3b/9g=")</f>
        <v>#REF!</v>
      </c>
      <c r="HJ118" t="e">
        <f>AND(#REF!,"AAAAAH3b/9k=")</f>
        <v>#REF!</v>
      </c>
      <c r="HK118" t="e">
        <f>AND(#REF!,"AAAAAH3b/9o=")</f>
        <v>#REF!</v>
      </c>
      <c r="HL118" t="e">
        <f>AND(#REF!,"AAAAAH3b/9s=")</f>
        <v>#REF!</v>
      </c>
      <c r="HM118" t="e">
        <f>AND(#REF!,"AAAAAH3b/9w=")</f>
        <v>#REF!</v>
      </c>
      <c r="HN118" t="e">
        <f>AND(#REF!,"AAAAAH3b/90=")</f>
        <v>#REF!</v>
      </c>
      <c r="HO118" t="e">
        <f>AND(#REF!,"AAAAAH3b/94=")</f>
        <v>#REF!</v>
      </c>
      <c r="HP118" t="e">
        <f>AND(#REF!,"AAAAAH3b/98=")</f>
        <v>#REF!</v>
      </c>
      <c r="HQ118" t="e">
        <f>AND(#REF!,"AAAAAH3b/+A=")</f>
        <v>#REF!</v>
      </c>
      <c r="HR118" t="e">
        <f>IF(#REF!,"AAAAAH3b/+E=",0)</f>
        <v>#REF!</v>
      </c>
      <c r="HS118" t="e">
        <f>AND(#REF!,"AAAAAH3b/+I=")</f>
        <v>#REF!</v>
      </c>
      <c r="HT118" t="e">
        <f>AND(#REF!,"AAAAAH3b/+M=")</f>
        <v>#REF!</v>
      </c>
      <c r="HU118" t="e">
        <f>AND(#REF!,"AAAAAH3b/+Q=")</f>
        <v>#REF!</v>
      </c>
      <c r="HV118" t="e">
        <f>AND(#REF!,"AAAAAH3b/+U=")</f>
        <v>#REF!</v>
      </c>
      <c r="HW118" t="e">
        <f>AND(#REF!,"AAAAAH3b/+Y=")</f>
        <v>#REF!</v>
      </c>
      <c r="HX118" t="e">
        <f>AND(#REF!,"AAAAAH3b/+c=")</f>
        <v>#REF!</v>
      </c>
      <c r="HY118" t="e">
        <f>AND(#REF!,"AAAAAH3b/+g=")</f>
        <v>#REF!</v>
      </c>
      <c r="HZ118" t="e">
        <f>AND(#REF!,"AAAAAH3b/+k=")</f>
        <v>#REF!</v>
      </c>
      <c r="IA118" t="e">
        <f>AND(#REF!,"AAAAAH3b/+o=")</f>
        <v>#REF!</v>
      </c>
      <c r="IB118" t="e">
        <f>AND(#REF!,"AAAAAH3b/+s=")</f>
        <v>#REF!</v>
      </c>
      <c r="IC118" t="e">
        <f>AND(#REF!,"AAAAAH3b/+w=")</f>
        <v>#REF!</v>
      </c>
      <c r="ID118" t="e">
        <f>AND(#REF!,"AAAAAH3b/+0=")</f>
        <v>#REF!</v>
      </c>
      <c r="IE118" t="e">
        <f>AND(#REF!,"AAAAAH3b/+4=")</f>
        <v>#REF!</v>
      </c>
      <c r="IF118" t="e">
        <f>AND(#REF!,"AAAAAH3b/+8=")</f>
        <v>#REF!</v>
      </c>
      <c r="IG118" t="e">
        <f>AND(#REF!,"AAAAAH3b//A=")</f>
        <v>#REF!</v>
      </c>
      <c r="IH118" t="e">
        <f>AND(#REF!,"AAAAAH3b//E=")</f>
        <v>#REF!</v>
      </c>
      <c r="II118" t="e">
        <f>AND(#REF!,"AAAAAH3b//I=")</f>
        <v>#REF!</v>
      </c>
      <c r="IJ118" t="e">
        <f>AND(#REF!,"AAAAAH3b//M=")</f>
        <v>#REF!</v>
      </c>
      <c r="IK118" t="e">
        <f>AND(#REF!,"AAAAAH3b//Q=")</f>
        <v>#REF!</v>
      </c>
      <c r="IL118" t="e">
        <f>AND(#REF!,"AAAAAH3b//U=")</f>
        <v>#REF!</v>
      </c>
      <c r="IM118" t="e">
        <f>AND(#REF!,"AAAAAH3b//Y=")</f>
        <v>#REF!</v>
      </c>
      <c r="IN118" t="e">
        <f>AND(#REF!,"AAAAAH3b//c=")</f>
        <v>#REF!</v>
      </c>
      <c r="IO118" t="e">
        <f>AND(#REF!,"AAAAAH3b//g=")</f>
        <v>#REF!</v>
      </c>
      <c r="IP118" t="e">
        <f>AND(#REF!,"AAAAAH3b//k=")</f>
        <v>#REF!</v>
      </c>
      <c r="IQ118" t="e">
        <f>AND(#REF!,"AAAAAH3b//o=")</f>
        <v>#REF!</v>
      </c>
      <c r="IR118" t="e">
        <f>AND(#REF!,"AAAAAH3b//s=")</f>
        <v>#REF!</v>
      </c>
      <c r="IS118" t="e">
        <f>AND(#REF!,"AAAAAH3b//w=")</f>
        <v>#REF!</v>
      </c>
      <c r="IT118" t="e">
        <f>IF(#REF!,"AAAAAH3b//0=",0)</f>
        <v>#REF!</v>
      </c>
      <c r="IU118" t="e">
        <f>AND(#REF!,"AAAAAH3b//4=")</f>
        <v>#REF!</v>
      </c>
      <c r="IV118" t="e">
        <f>AND(#REF!,"AAAAAH3b//8=")</f>
        <v>#REF!</v>
      </c>
    </row>
    <row r="119" spans="1:256" x14ac:dyDescent="0.2">
      <c r="A119" t="e">
        <f>AND(#REF!,"AAAAAF29uQA=")</f>
        <v>#REF!</v>
      </c>
      <c r="B119" t="e">
        <f>AND(#REF!,"AAAAAF29uQE=")</f>
        <v>#REF!</v>
      </c>
      <c r="C119" t="e">
        <f>AND(#REF!,"AAAAAF29uQI=")</f>
        <v>#REF!</v>
      </c>
      <c r="D119" t="e">
        <f>AND(#REF!,"AAAAAF29uQM=")</f>
        <v>#REF!</v>
      </c>
      <c r="E119" t="e">
        <f>AND(#REF!,"AAAAAF29uQQ=")</f>
        <v>#REF!</v>
      </c>
      <c r="F119" t="e">
        <f>AND(#REF!,"AAAAAF29uQU=")</f>
        <v>#REF!</v>
      </c>
      <c r="G119" t="e">
        <f>AND(#REF!,"AAAAAF29uQY=")</f>
        <v>#REF!</v>
      </c>
      <c r="H119" t="e">
        <f>AND(#REF!,"AAAAAF29uQc=")</f>
        <v>#REF!</v>
      </c>
      <c r="I119" t="e">
        <f>AND(#REF!,"AAAAAF29uQg=")</f>
        <v>#REF!</v>
      </c>
      <c r="J119" t="e">
        <f>AND(#REF!,"AAAAAF29uQk=")</f>
        <v>#REF!</v>
      </c>
      <c r="K119" t="e">
        <f>AND(#REF!,"AAAAAF29uQo=")</f>
        <v>#REF!</v>
      </c>
      <c r="L119" t="e">
        <f>AND(#REF!,"AAAAAF29uQs=")</f>
        <v>#REF!</v>
      </c>
      <c r="M119" t="e">
        <f>AND(#REF!,"AAAAAF29uQw=")</f>
        <v>#REF!</v>
      </c>
      <c r="N119" t="e">
        <f>AND(#REF!,"AAAAAF29uQ0=")</f>
        <v>#REF!</v>
      </c>
      <c r="O119" t="e">
        <f>AND(#REF!,"AAAAAF29uQ4=")</f>
        <v>#REF!</v>
      </c>
      <c r="P119" t="e">
        <f>AND(#REF!,"AAAAAF29uQ8=")</f>
        <v>#REF!</v>
      </c>
      <c r="Q119" t="e">
        <f>AND(#REF!,"AAAAAF29uRA=")</f>
        <v>#REF!</v>
      </c>
      <c r="R119" t="e">
        <f>AND(#REF!,"AAAAAF29uRE=")</f>
        <v>#REF!</v>
      </c>
      <c r="S119" t="e">
        <f>AND(#REF!,"AAAAAF29uRI=")</f>
        <v>#REF!</v>
      </c>
      <c r="T119" t="e">
        <f>AND(#REF!,"AAAAAF29uRM=")</f>
        <v>#REF!</v>
      </c>
      <c r="U119" t="e">
        <f>AND(#REF!,"AAAAAF29uRQ=")</f>
        <v>#REF!</v>
      </c>
      <c r="V119" t="e">
        <f>AND(#REF!,"AAAAAF29uRU=")</f>
        <v>#REF!</v>
      </c>
      <c r="W119" t="e">
        <f>AND(#REF!,"AAAAAF29uRY=")</f>
        <v>#REF!</v>
      </c>
      <c r="X119" t="e">
        <f>AND(#REF!,"AAAAAF29uRc=")</f>
        <v>#REF!</v>
      </c>
      <c r="Y119" t="e">
        <f>AND(#REF!,"AAAAAF29uRg=")</f>
        <v>#REF!</v>
      </c>
      <c r="Z119" t="e">
        <f>IF(#REF!,"AAAAAF29uRk=",0)</f>
        <v>#REF!</v>
      </c>
      <c r="AA119" t="e">
        <f>IF(#REF!,"AAAAAF29uRo=",0)</f>
        <v>#REF!</v>
      </c>
      <c r="AB119" t="e">
        <f>IF(#REF!,"AAAAAF29uRs=",0)</f>
        <v>#REF!</v>
      </c>
      <c r="AC119" t="e">
        <f>IF(#REF!,"AAAAAF29uRw=",0)</f>
        <v>#REF!</v>
      </c>
      <c r="AD119" t="e">
        <f>IF(#REF!,"AAAAAF29uR0=",0)</f>
        <v>#REF!</v>
      </c>
      <c r="AE119" t="e">
        <f>IF(#REF!,"AAAAAF29uR4=",0)</f>
        <v>#REF!</v>
      </c>
      <c r="AF119" t="e">
        <f>IF(#REF!,"AAAAAF29uR8=",0)</f>
        <v>#REF!</v>
      </c>
      <c r="AG119" t="e">
        <f>IF(#REF!,"AAAAAF29uSA=",0)</f>
        <v>#REF!</v>
      </c>
      <c r="AH119" t="e">
        <f>IF(#REF!,"AAAAAF29uSE=",0)</f>
        <v>#REF!</v>
      </c>
      <c r="AI119" t="e">
        <f>IF(#REF!,"AAAAAF29uSI=",0)</f>
        <v>#REF!</v>
      </c>
      <c r="AJ119" t="e">
        <f>IF(#REF!,"AAAAAF29uSM=",0)</f>
        <v>#REF!</v>
      </c>
      <c r="AK119" t="e">
        <f>IF(#REF!,"AAAAAF29uSQ=",0)</f>
        <v>#REF!</v>
      </c>
      <c r="AL119" t="e">
        <f>IF(#REF!,"AAAAAF29uSU=",0)</f>
        <v>#REF!</v>
      </c>
      <c r="AM119" t="e">
        <f>IF(#REF!,"AAAAAF29uSY=",0)</f>
        <v>#REF!</v>
      </c>
      <c r="AN119" t="e">
        <f>IF(#REF!,"AAAAAF29uSc=",0)</f>
        <v>#REF!</v>
      </c>
      <c r="AO119" t="e">
        <f>IF(#REF!,"AAAAAF29uSg=",0)</f>
        <v>#REF!</v>
      </c>
      <c r="AP119" t="e">
        <f>IF(#REF!,"AAAAAF29uSk=",0)</f>
        <v>#REF!</v>
      </c>
      <c r="AQ119" t="e">
        <f>IF(#REF!,"AAAAAF29uSo=",0)</f>
        <v>#REF!</v>
      </c>
      <c r="AR119" t="e">
        <f>IF(#REF!,"AAAAAF29uSs=",0)</f>
        <v>#REF!</v>
      </c>
      <c r="AS119" t="e">
        <f>IF(#REF!,"AAAAAF29uSw=",0)</f>
        <v>#REF!</v>
      </c>
      <c r="AT119" t="e">
        <f>IF(#REF!,"AAAAAF29uS0=",0)</f>
        <v>#REF!</v>
      </c>
      <c r="AU119" t="e">
        <f>IF(#REF!,"AAAAAF29uS4=",0)</f>
        <v>#REF!</v>
      </c>
      <c r="AV119" t="e">
        <f>IF(#REF!,"AAAAAF29uS8=",0)</f>
        <v>#REF!</v>
      </c>
      <c r="AW119" t="e">
        <f>IF(#REF!,"AAAAAF29uTA=",0)</f>
        <v>#REF!</v>
      </c>
      <c r="AX119" t="e">
        <f>IF(#REF!,"AAAAAF29uTE=",0)</f>
        <v>#REF!</v>
      </c>
      <c r="AY119" t="e">
        <f>IF(#REF!,"AAAAAF29uTI=",0)</f>
        <v>#REF!</v>
      </c>
      <c r="AZ119" t="e">
        <f>IF(#REF!,"AAAAAF29uTM=",0)</f>
        <v>#REF!</v>
      </c>
      <c r="BA119" t="e">
        <f>IF(#REF!,"AAAAAF29uTQ=",0)</f>
        <v>#REF!</v>
      </c>
      <c r="BB119" t="e">
        <f>IF(#REF!,"AAAAAF29uTU=",0)</f>
        <v>#REF!</v>
      </c>
      <c r="BC119" t="e">
        <f>IF(#REF!,"AAAAAF29uTY=",0)</f>
        <v>#REF!</v>
      </c>
      <c r="BD119" t="e">
        <f>AND(#REF!,"AAAAAF29uTc=")</f>
        <v>#REF!</v>
      </c>
      <c r="BE119" t="e">
        <f>AND(#REF!,"AAAAAF29uTg=")</f>
        <v>#REF!</v>
      </c>
      <c r="BF119" t="e">
        <f>AND(#REF!,"AAAAAF29uTk=")</f>
        <v>#REF!</v>
      </c>
      <c r="BG119" t="e">
        <f>AND(#REF!,"AAAAAF29uTo=")</f>
        <v>#REF!</v>
      </c>
      <c r="BH119" t="e">
        <f>AND(#REF!,"AAAAAF29uTs=")</f>
        <v>#REF!</v>
      </c>
      <c r="BI119" t="e">
        <f>AND(#REF!,"AAAAAF29uTw=")</f>
        <v>#REF!</v>
      </c>
      <c r="BJ119" t="e">
        <f>AND(#REF!,"AAAAAF29uT0=")</f>
        <v>#REF!</v>
      </c>
      <c r="BK119" t="e">
        <f>AND(#REF!,"AAAAAF29uT4=")</f>
        <v>#REF!</v>
      </c>
      <c r="BL119" t="e">
        <f>AND(#REF!,"AAAAAF29uT8=")</f>
        <v>#REF!</v>
      </c>
      <c r="BM119" t="e">
        <f>AND(#REF!,"AAAAAF29uUA=")</f>
        <v>#REF!</v>
      </c>
      <c r="BN119" t="e">
        <f>AND(#REF!,"AAAAAF29uUE=")</f>
        <v>#REF!</v>
      </c>
      <c r="BO119" t="e">
        <f>AND(#REF!,"AAAAAF29uUI=")</f>
        <v>#REF!</v>
      </c>
      <c r="BP119" t="e">
        <f>AND(#REF!,"AAAAAF29uUM=")</f>
        <v>#REF!</v>
      </c>
      <c r="BQ119" t="e">
        <f>AND(#REF!,"AAAAAF29uUQ=")</f>
        <v>#REF!</v>
      </c>
      <c r="BR119" t="e">
        <f>AND(#REF!,"AAAAAF29uUU=")</f>
        <v>#REF!</v>
      </c>
      <c r="BS119" t="e">
        <f>AND(#REF!,"AAAAAF29uUY=")</f>
        <v>#REF!</v>
      </c>
      <c r="BT119" t="e">
        <f>AND(#REF!,"AAAAAF29uUc=")</f>
        <v>#REF!</v>
      </c>
      <c r="BU119" t="e">
        <f>AND(#REF!,"AAAAAF29uUg=")</f>
        <v>#REF!</v>
      </c>
      <c r="BV119" t="e">
        <f>AND(#REF!,"AAAAAF29uUk=")</f>
        <v>#REF!</v>
      </c>
      <c r="BW119" t="e">
        <f>IF(#REF!,"AAAAAF29uUo=",0)</f>
        <v>#REF!</v>
      </c>
      <c r="BX119" t="e">
        <f>AND(#REF!,"AAAAAF29uUs=")</f>
        <v>#REF!</v>
      </c>
      <c r="BY119" t="e">
        <f>AND(#REF!,"AAAAAF29uUw=")</f>
        <v>#REF!</v>
      </c>
      <c r="BZ119" t="e">
        <f>AND(#REF!,"AAAAAF29uU0=")</f>
        <v>#REF!</v>
      </c>
      <c r="CA119" t="e">
        <f>AND(#REF!,"AAAAAF29uU4=")</f>
        <v>#REF!</v>
      </c>
      <c r="CB119" t="e">
        <f>AND(#REF!,"AAAAAF29uU8=")</f>
        <v>#REF!</v>
      </c>
      <c r="CC119" t="e">
        <f>AND(#REF!,"AAAAAF29uVA=")</f>
        <v>#REF!</v>
      </c>
      <c r="CD119" t="e">
        <f>AND(#REF!,"AAAAAF29uVE=")</f>
        <v>#REF!</v>
      </c>
      <c r="CE119" t="e">
        <f>AND(#REF!,"AAAAAF29uVI=")</f>
        <v>#REF!</v>
      </c>
      <c r="CF119" t="e">
        <f>AND(#REF!,"AAAAAF29uVM=")</f>
        <v>#REF!</v>
      </c>
      <c r="CG119" t="e">
        <f>AND(#REF!,"AAAAAF29uVQ=")</f>
        <v>#REF!</v>
      </c>
      <c r="CH119" t="e">
        <f>AND(#REF!,"AAAAAF29uVU=")</f>
        <v>#REF!</v>
      </c>
      <c r="CI119" t="e">
        <f>AND(#REF!,"AAAAAF29uVY=")</f>
        <v>#REF!</v>
      </c>
      <c r="CJ119" t="e">
        <f>AND(#REF!,"AAAAAF29uVc=")</f>
        <v>#REF!</v>
      </c>
      <c r="CK119" t="e">
        <f>AND(#REF!,"AAAAAF29uVg=")</f>
        <v>#REF!</v>
      </c>
      <c r="CL119" t="e">
        <f>AND(#REF!,"AAAAAF29uVk=")</f>
        <v>#REF!</v>
      </c>
      <c r="CM119" t="e">
        <f>AND(#REF!,"AAAAAF29uVo=")</f>
        <v>#REF!</v>
      </c>
      <c r="CN119" t="e">
        <f>AND(#REF!,"AAAAAF29uVs=")</f>
        <v>#REF!</v>
      </c>
      <c r="CO119" t="e">
        <f>AND(#REF!,"AAAAAF29uVw=")</f>
        <v>#REF!</v>
      </c>
      <c r="CP119" t="e">
        <f>AND(#REF!,"AAAAAF29uV0=")</f>
        <v>#REF!</v>
      </c>
      <c r="CQ119" t="e">
        <f>IF(#REF!,"AAAAAF29uV4=",0)</f>
        <v>#REF!</v>
      </c>
      <c r="CR119" t="e">
        <f>AND(#REF!,"AAAAAF29uV8=")</f>
        <v>#REF!</v>
      </c>
      <c r="CS119" t="e">
        <f>AND(#REF!,"AAAAAF29uWA=")</f>
        <v>#REF!</v>
      </c>
      <c r="CT119" t="e">
        <f>AND(#REF!,"AAAAAF29uWE=")</f>
        <v>#REF!</v>
      </c>
      <c r="CU119" t="e">
        <f>AND(#REF!,"AAAAAF29uWI=")</f>
        <v>#REF!</v>
      </c>
      <c r="CV119" t="e">
        <f>AND(#REF!,"AAAAAF29uWM=")</f>
        <v>#REF!</v>
      </c>
      <c r="CW119" t="e">
        <f>AND(#REF!,"AAAAAF29uWQ=")</f>
        <v>#REF!</v>
      </c>
      <c r="CX119" t="e">
        <f>AND(#REF!,"AAAAAF29uWU=")</f>
        <v>#REF!</v>
      </c>
      <c r="CY119" t="e">
        <f>AND(#REF!,"AAAAAF29uWY=")</f>
        <v>#REF!</v>
      </c>
      <c r="CZ119" t="e">
        <f>AND(#REF!,"AAAAAF29uWc=")</f>
        <v>#REF!</v>
      </c>
      <c r="DA119" t="e">
        <f>AND(#REF!,"AAAAAF29uWg=")</f>
        <v>#REF!</v>
      </c>
      <c r="DB119" t="e">
        <f>AND(#REF!,"AAAAAF29uWk=")</f>
        <v>#REF!</v>
      </c>
      <c r="DC119" t="e">
        <f>AND(#REF!,"AAAAAF29uWo=")</f>
        <v>#REF!</v>
      </c>
      <c r="DD119" t="e">
        <f>AND(#REF!,"AAAAAF29uWs=")</f>
        <v>#REF!</v>
      </c>
      <c r="DE119" t="e">
        <f>AND(#REF!,"AAAAAF29uWw=")</f>
        <v>#REF!</v>
      </c>
      <c r="DF119" t="e">
        <f>AND(#REF!,"AAAAAF29uW0=")</f>
        <v>#REF!</v>
      </c>
      <c r="DG119" t="e">
        <f>AND(#REF!,"AAAAAF29uW4=")</f>
        <v>#REF!</v>
      </c>
      <c r="DH119" t="e">
        <f>AND(#REF!,"AAAAAF29uW8=")</f>
        <v>#REF!</v>
      </c>
      <c r="DI119" t="e">
        <f>AND(#REF!,"AAAAAF29uXA=")</f>
        <v>#REF!</v>
      </c>
      <c r="DJ119" t="e">
        <f>AND(#REF!,"AAAAAF29uXE=")</f>
        <v>#REF!</v>
      </c>
      <c r="DK119" t="e">
        <f>IF(#REF!,"AAAAAF29uXI=",0)</f>
        <v>#REF!</v>
      </c>
      <c r="DL119" t="e">
        <f>AND(#REF!,"AAAAAF29uXM=")</f>
        <v>#REF!</v>
      </c>
      <c r="DM119" t="e">
        <f>AND(#REF!,"AAAAAF29uXQ=")</f>
        <v>#REF!</v>
      </c>
      <c r="DN119" t="e">
        <f>AND(#REF!,"AAAAAF29uXU=")</f>
        <v>#REF!</v>
      </c>
      <c r="DO119" t="e">
        <f>AND(#REF!,"AAAAAF29uXY=")</f>
        <v>#REF!</v>
      </c>
      <c r="DP119" t="e">
        <f>AND(#REF!,"AAAAAF29uXc=")</f>
        <v>#REF!</v>
      </c>
      <c r="DQ119" t="e">
        <f>AND(#REF!,"AAAAAF29uXg=")</f>
        <v>#REF!</v>
      </c>
      <c r="DR119" t="e">
        <f>AND(#REF!,"AAAAAF29uXk=")</f>
        <v>#REF!</v>
      </c>
      <c r="DS119" t="e">
        <f>AND(#REF!,"AAAAAF29uXo=")</f>
        <v>#REF!</v>
      </c>
      <c r="DT119" t="e">
        <f>AND(#REF!,"AAAAAF29uXs=")</f>
        <v>#REF!</v>
      </c>
      <c r="DU119" t="e">
        <f>AND(#REF!,"AAAAAF29uXw=")</f>
        <v>#REF!</v>
      </c>
      <c r="DV119" t="e">
        <f>AND(#REF!,"AAAAAF29uX0=")</f>
        <v>#REF!</v>
      </c>
      <c r="DW119" t="e">
        <f>AND(#REF!,"AAAAAF29uX4=")</f>
        <v>#REF!</v>
      </c>
      <c r="DX119" t="e">
        <f>AND(#REF!,"AAAAAF29uX8=")</f>
        <v>#REF!</v>
      </c>
      <c r="DY119" t="e">
        <f>AND(#REF!,"AAAAAF29uYA=")</f>
        <v>#REF!</v>
      </c>
      <c r="DZ119" t="e">
        <f>AND(#REF!,"AAAAAF29uYE=")</f>
        <v>#REF!</v>
      </c>
      <c r="EA119" t="e">
        <f>AND(#REF!,"AAAAAF29uYI=")</f>
        <v>#REF!</v>
      </c>
      <c r="EB119" t="e">
        <f>AND(#REF!,"AAAAAF29uYM=")</f>
        <v>#REF!</v>
      </c>
      <c r="EC119" t="e">
        <f>AND(#REF!,"AAAAAF29uYQ=")</f>
        <v>#REF!</v>
      </c>
      <c r="ED119" t="e">
        <f>AND(#REF!,"AAAAAF29uYU=")</f>
        <v>#REF!</v>
      </c>
      <c r="EE119" t="e">
        <f>IF(#REF!,"AAAAAF29uYY=",0)</f>
        <v>#REF!</v>
      </c>
      <c r="EF119" t="e">
        <f>AND(#REF!,"AAAAAF29uYc=")</f>
        <v>#REF!</v>
      </c>
      <c r="EG119" t="e">
        <f>AND(#REF!,"AAAAAF29uYg=")</f>
        <v>#REF!</v>
      </c>
      <c r="EH119" t="e">
        <f>AND(#REF!,"AAAAAF29uYk=")</f>
        <v>#REF!</v>
      </c>
      <c r="EI119" t="e">
        <f>AND(#REF!,"AAAAAF29uYo=")</f>
        <v>#REF!</v>
      </c>
      <c r="EJ119" t="e">
        <f>AND(#REF!,"AAAAAF29uYs=")</f>
        <v>#REF!</v>
      </c>
      <c r="EK119" t="e">
        <f>AND(#REF!,"AAAAAF29uYw=")</f>
        <v>#REF!</v>
      </c>
      <c r="EL119" t="e">
        <f>AND(#REF!,"AAAAAF29uY0=")</f>
        <v>#REF!</v>
      </c>
      <c r="EM119" t="e">
        <f>AND(#REF!,"AAAAAF29uY4=")</f>
        <v>#REF!</v>
      </c>
      <c r="EN119" t="e">
        <f>AND(#REF!,"AAAAAF29uY8=")</f>
        <v>#REF!</v>
      </c>
      <c r="EO119" t="e">
        <f>AND(#REF!,"AAAAAF29uZA=")</f>
        <v>#REF!</v>
      </c>
      <c r="EP119" t="e">
        <f>AND(#REF!,"AAAAAF29uZE=")</f>
        <v>#REF!</v>
      </c>
      <c r="EQ119" t="e">
        <f>AND(#REF!,"AAAAAF29uZI=")</f>
        <v>#REF!</v>
      </c>
      <c r="ER119" t="e">
        <f>AND(#REF!,"AAAAAF29uZM=")</f>
        <v>#REF!</v>
      </c>
      <c r="ES119" t="e">
        <f>AND(#REF!,"AAAAAF29uZQ=")</f>
        <v>#REF!</v>
      </c>
      <c r="ET119" t="e">
        <f>AND(#REF!,"AAAAAF29uZU=")</f>
        <v>#REF!</v>
      </c>
      <c r="EU119" t="e">
        <f>AND(#REF!,"AAAAAF29uZY=")</f>
        <v>#REF!</v>
      </c>
      <c r="EV119" t="e">
        <f>AND(#REF!,"AAAAAF29uZc=")</f>
        <v>#REF!</v>
      </c>
      <c r="EW119" t="e">
        <f>AND(#REF!,"AAAAAF29uZg=")</f>
        <v>#REF!</v>
      </c>
      <c r="EX119" t="e">
        <f>AND(#REF!,"AAAAAF29uZk=")</f>
        <v>#REF!</v>
      </c>
      <c r="EY119" t="e">
        <f>IF(#REF!,"AAAAAF29uZo=",0)</f>
        <v>#REF!</v>
      </c>
      <c r="EZ119" t="e">
        <f>AND(#REF!,"AAAAAF29uZs=")</f>
        <v>#REF!</v>
      </c>
      <c r="FA119" t="e">
        <f>AND(#REF!,"AAAAAF29uZw=")</f>
        <v>#REF!</v>
      </c>
      <c r="FB119" t="e">
        <f>AND(#REF!,"AAAAAF29uZ0=")</f>
        <v>#REF!</v>
      </c>
      <c r="FC119" t="e">
        <f>AND(#REF!,"AAAAAF29uZ4=")</f>
        <v>#REF!</v>
      </c>
      <c r="FD119" t="e">
        <f>AND(#REF!,"AAAAAF29uZ8=")</f>
        <v>#REF!</v>
      </c>
      <c r="FE119" t="e">
        <f>AND(#REF!,"AAAAAF29uaA=")</f>
        <v>#REF!</v>
      </c>
      <c r="FF119" t="e">
        <f>AND(#REF!,"AAAAAF29uaE=")</f>
        <v>#REF!</v>
      </c>
      <c r="FG119" t="e">
        <f>AND(#REF!,"AAAAAF29uaI=")</f>
        <v>#REF!</v>
      </c>
      <c r="FH119" t="e">
        <f>AND(#REF!,"AAAAAF29uaM=")</f>
        <v>#REF!</v>
      </c>
      <c r="FI119" t="e">
        <f>AND(#REF!,"AAAAAF29uaQ=")</f>
        <v>#REF!</v>
      </c>
      <c r="FJ119" t="e">
        <f>AND(#REF!,"AAAAAF29uaU=")</f>
        <v>#REF!</v>
      </c>
      <c r="FK119" t="e">
        <f>AND(#REF!,"AAAAAF29uaY=")</f>
        <v>#REF!</v>
      </c>
      <c r="FL119" t="e">
        <f>AND(#REF!,"AAAAAF29uac=")</f>
        <v>#REF!</v>
      </c>
      <c r="FM119" t="e">
        <f>AND(#REF!,"AAAAAF29uag=")</f>
        <v>#REF!</v>
      </c>
      <c r="FN119" t="e">
        <f>AND(#REF!,"AAAAAF29uak=")</f>
        <v>#REF!</v>
      </c>
      <c r="FO119" t="e">
        <f>AND(#REF!,"AAAAAF29uao=")</f>
        <v>#REF!</v>
      </c>
      <c r="FP119" t="e">
        <f>AND(#REF!,"AAAAAF29uas=")</f>
        <v>#REF!</v>
      </c>
      <c r="FQ119" t="e">
        <f>AND(#REF!,"AAAAAF29uaw=")</f>
        <v>#REF!</v>
      </c>
      <c r="FR119" t="e">
        <f>AND(#REF!,"AAAAAF29ua0=")</f>
        <v>#REF!</v>
      </c>
      <c r="FS119" t="e">
        <f>IF(#REF!,"AAAAAF29ua4=",0)</f>
        <v>#REF!</v>
      </c>
      <c r="FT119" t="e">
        <f>AND(#REF!,"AAAAAF29ua8=")</f>
        <v>#REF!</v>
      </c>
      <c r="FU119" t="e">
        <f>AND(#REF!,"AAAAAF29ubA=")</f>
        <v>#REF!</v>
      </c>
      <c r="FV119" t="e">
        <f>AND(#REF!,"AAAAAF29ubE=")</f>
        <v>#REF!</v>
      </c>
      <c r="FW119" t="e">
        <f>AND(#REF!,"AAAAAF29ubI=")</f>
        <v>#REF!</v>
      </c>
      <c r="FX119" t="e">
        <f>AND(#REF!,"AAAAAF29ubM=")</f>
        <v>#REF!</v>
      </c>
      <c r="FY119" t="e">
        <f>AND(#REF!,"AAAAAF29ubQ=")</f>
        <v>#REF!</v>
      </c>
      <c r="FZ119" t="e">
        <f>AND(#REF!,"AAAAAF29ubU=")</f>
        <v>#REF!</v>
      </c>
      <c r="GA119" t="e">
        <f>AND(#REF!,"AAAAAF29ubY=")</f>
        <v>#REF!</v>
      </c>
      <c r="GB119" t="e">
        <f>AND(#REF!,"AAAAAF29ubc=")</f>
        <v>#REF!</v>
      </c>
      <c r="GC119" t="e">
        <f>AND(#REF!,"AAAAAF29ubg=")</f>
        <v>#REF!</v>
      </c>
      <c r="GD119" t="e">
        <f>AND(#REF!,"AAAAAF29ubk=")</f>
        <v>#REF!</v>
      </c>
      <c r="GE119" t="e">
        <f>AND(#REF!,"AAAAAF29ubo=")</f>
        <v>#REF!</v>
      </c>
      <c r="GF119" t="e">
        <f>AND(#REF!,"AAAAAF29ubs=")</f>
        <v>#REF!</v>
      </c>
      <c r="GG119" t="e">
        <f>AND(#REF!,"AAAAAF29ubw=")</f>
        <v>#REF!</v>
      </c>
      <c r="GH119" t="e">
        <f>AND(#REF!,"AAAAAF29ub0=")</f>
        <v>#REF!</v>
      </c>
      <c r="GI119" t="e">
        <f>AND(#REF!,"AAAAAF29ub4=")</f>
        <v>#REF!</v>
      </c>
      <c r="GJ119" t="e">
        <f>AND(#REF!,"AAAAAF29ub8=")</f>
        <v>#REF!</v>
      </c>
      <c r="GK119" t="e">
        <f>AND(#REF!,"AAAAAF29ucA=")</f>
        <v>#REF!</v>
      </c>
      <c r="GL119" t="e">
        <f>AND(#REF!,"AAAAAF29ucE=")</f>
        <v>#REF!</v>
      </c>
      <c r="GM119" t="e">
        <f>IF(#REF!,"AAAAAF29ucI=",0)</f>
        <v>#REF!</v>
      </c>
      <c r="GN119" t="e">
        <f>AND(#REF!,"AAAAAF29ucM=")</f>
        <v>#REF!</v>
      </c>
      <c r="GO119" t="e">
        <f>AND(#REF!,"AAAAAF29ucQ=")</f>
        <v>#REF!</v>
      </c>
      <c r="GP119" t="e">
        <f>AND(#REF!,"AAAAAF29ucU=")</f>
        <v>#REF!</v>
      </c>
      <c r="GQ119" t="e">
        <f>AND(#REF!,"AAAAAF29ucY=")</f>
        <v>#REF!</v>
      </c>
      <c r="GR119" t="e">
        <f>AND(#REF!,"AAAAAF29ucc=")</f>
        <v>#REF!</v>
      </c>
      <c r="GS119" t="e">
        <f>AND(#REF!,"AAAAAF29ucg=")</f>
        <v>#REF!</v>
      </c>
      <c r="GT119" t="e">
        <f>AND(#REF!,"AAAAAF29uck=")</f>
        <v>#REF!</v>
      </c>
      <c r="GU119" t="e">
        <f>AND(#REF!,"AAAAAF29uco=")</f>
        <v>#REF!</v>
      </c>
      <c r="GV119" t="e">
        <f>AND(#REF!,"AAAAAF29ucs=")</f>
        <v>#REF!</v>
      </c>
      <c r="GW119" t="e">
        <f>AND(#REF!,"AAAAAF29ucw=")</f>
        <v>#REF!</v>
      </c>
      <c r="GX119" t="e">
        <f>AND(#REF!,"AAAAAF29uc0=")</f>
        <v>#REF!</v>
      </c>
      <c r="GY119" t="e">
        <f>AND(#REF!,"AAAAAF29uc4=")</f>
        <v>#REF!</v>
      </c>
      <c r="GZ119" t="e">
        <f>AND(#REF!,"AAAAAF29uc8=")</f>
        <v>#REF!</v>
      </c>
      <c r="HA119" t="e">
        <f>AND(#REF!,"AAAAAF29udA=")</f>
        <v>#REF!</v>
      </c>
      <c r="HB119" t="e">
        <f>AND(#REF!,"AAAAAF29udE=")</f>
        <v>#REF!</v>
      </c>
      <c r="HC119" t="e">
        <f>AND(#REF!,"AAAAAF29udI=")</f>
        <v>#REF!</v>
      </c>
      <c r="HD119" t="e">
        <f>AND(#REF!,"AAAAAF29udM=")</f>
        <v>#REF!</v>
      </c>
      <c r="HE119" t="e">
        <f>AND(#REF!,"AAAAAF29udQ=")</f>
        <v>#REF!</v>
      </c>
      <c r="HF119" t="e">
        <f>AND(#REF!,"AAAAAF29udU=")</f>
        <v>#REF!</v>
      </c>
      <c r="HG119" t="e">
        <f>IF(#REF!,"AAAAAF29udY=",0)</f>
        <v>#REF!</v>
      </c>
      <c r="HH119" t="e">
        <f>AND(#REF!,"AAAAAF29udc=")</f>
        <v>#REF!</v>
      </c>
      <c r="HI119" t="e">
        <f>AND(#REF!,"AAAAAF29udg=")</f>
        <v>#REF!</v>
      </c>
      <c r="HJ119" t="e">
        <f>AND(#REF!,"AAAAAF29udk=")</f>
        <v>#REF!</v>
      </c>
      <c r="HK119" t="e">
        <f>AND(#REF!,"AAAAAF29udo=")</f>
        <v>#REF!</v>
      </c>
      <c r="HL119" t="e">
        <f>AND(#REF!,"AAAAAF29uds=")</f>
        <v>#REF!</v>
      </c>
      <c r="HM119" t="e">
        <f>AND(#REF!,"AAAAAF29udw=")</f>
        <v>#REF!</v>
      </c>
      <c r="HN119" t="e">
        <f>AND(#REF!,"AAAAAF29ud0=")</f>
        <v>#REF!</v>
      </c>
      <c r="HO119" t="e">
        <f>AND(#REF!,"AAAAAF29ud4=")</f>
        <v>#REF!</v>
      </c>
      <c r="HP119" t="e">
        <f>AND(#REF!,"AAAAAF29ud8=")</f>
        <v>#REF!</v>
      </c>
      <c r="HQ119" t="e">
        <f>AND(#REF!,"AAAAAF29ueA=")</f>
        <v>#REF!</v>
      </c>
      <c r="HR119" t="e">
        <f>AND(#REF!,"AAAAAF29ueE=")</f>
        <v>#REF!</v>
      </c>
      <c r="HS119" t="e">
        <f>AND(#REF!,"AAAAAF29ueI=")</f>
        <v>#REF!</v>
      </c>
      <c r="HT119" t="e">
        <f>AND(#REF!,"AAAAAF29ueM=")</f>
        <v>#REF!</v>
      </c>
      <c r="HU119" t="e">
        <f>AND(#REF!,"AAAAAF29ueQ=")</f>
        <v>#REF!</v>
      </c>
      <c r="HV119" t="e">
        <f>AND(#REF!,"AAAAAF29ueU=")</f>
        <v>#REF!</v>
      </c>
      <c r="HW119" t="e">
        <f>AND(#REF!,"AAAAAF29ueY=")</f>
        <v>#REF!</v>
      </c>
      <c r="HX119" t="e">
        <f>AND(#REF!,"AAAAAF29uec=")</f>
        <v>#REF!</v>
      </c>
      <c r="HY119" t="e">
        <f>AND(#REF!,"AAAAAF29ueg=")</f>
        <v>#REF!</v>
      </c>
      <c r="HZ119" t="e">
        <f>AND(#REF!,"AAAAAF29uek=")</f>
        <v>#REF!</v>
      </c>
      <c r="IA119" t="e">
        <f>IF(#REF!,"AAAAAF29ueo=",0)</f>
        <v>#REF!</v>
      </c>
      <c r="IB119" t="e">
        <f>AND(#REF!,"AAAAAF29ues=")</f>
        <v>#REF!</v>
      </c>
      <c r="IC119" t="e">
        <f>AND(#REF!,"AAAAAF29uew=")</f>
        <v>#REF!</v>
      </c>
      <c r="ID119" t="e">
        <f>AND(#REF!,"AAAAAF29ue0=")</f>
        <v>#REF!</v>
      </c>
      <c r="IE119" t="e">
        <f>AND(#REF!,"AAAAAF29ue4=")</f>
        <v>#REF!</v>
      </c>
      <c r="IF119" t="e">
        <f>AND(#REF!,"AAAAAF29ue8=")</f>
        <v>#REF!</v>
      </c>
      <c r="IG119" t="e">
        <f>AND(#REF!,"AAAAAF29ufA=")</f>
        <v>#REF!</v>
      </c>
      <c r="IH119" t="e">
        <f>AND(#REF!,"AAAAAF29ufE=")</f>
        <v>#REF!</v>
      </c>
      <c r="II119" t="e">
        <f>AND(#REF!,"AAAAAF29ufI=")</f>
        <v>#REF!</v>
      </c>
      <c r="IJ119" t="e">
        <f>AND(#REF!,"AAAAAF29ufM=")</f>
        <v>#REF!</v>
      </c>
      <c r="IK119" t="e">
        <f>AND(#REF!,"AAAAAF29ufQ=")</f>
        <v>#REF!</v>
      </c>
      <c r="IL119" t="e">
        <f>AND(#REF!,"AAAAAF29ufU=")</f>
        <v>#REF!</v>
      </c>
      <c r="IM119" t="e">
        <f>AND(#REF!,"AAAAAF29ufY=")</f>
        <v>#REF!</v>
      </c>
      <c r="IN119" t="e">
        <f>AND(#REF!,"AAAAAF29ufc=")</f>
        <v>#REF!</v>
      </c>
      <c r="IO119" t="e">
        <f>AND(#REF!,"AAAAAF29ufg=")</f>
        <v>#REF!</v>
      </c>
      <c r="IP119" t="e">
        <f>AND(#REF!,"AAAAAF29ufk=")</f>
        <v>#REF!</v>
      </c>
      <c r="IQ119" t="e">
        <f>AND(#REF!,"AAAAAF29ufo=")</f>
        <v>#REF!</v>
      </c>
      <c r="IR119" t="e">
        <f>AND(#REF!,"AAAAAF29ufs=")</f>
        <v>#REF!</v>
      </c>
      <c r="IS119" t="e">
        <f>AND(#REF!,"AAAAAF29ufw=")</f>
        <v>#REF!</v>
      </c>
      <c r="IT119" t="e">
        <f>AND(#REF!,"AAAAAF29uf0=")</f>
        <v>#REF!</v>
      </c>
      <c r="IU119" t="e">
        <f>IF(#REF!,"AAAAAF29uf4=",0)</f>
        <v>#REF!</v>
      </c>
      <c r="IV119" t="e">
        <f>AND(#REF!,"AAAAAF29uf8=")</f>
        <v>#REF!</v>
      </c>
    </row>
    <row r="120" spans="1:256" x14ac:dyDescent="0.2">
      <c r="A120" t="e">
        <f>AND(#REF!,"AAAAAHf28wA=")</f>
        <v>#REF!</v>
      </c>
      <c r="B120" t="e">
        <f>AND(#REF!,"AAAAAHf28wE=")</f>
        <v>#REF!</v>
      </c>
      <c r="C120" t="e">
        <f>AND(#REF!,"AAAAAHf28wI=")</f>
        <v>#REF!</v>
      </c>
      <c r="D120" t="e">
        <f>AND(#REF!,"AAAAAHf28wM=")</f>
        <v>#REF!</v>
      </c>
      <c r="E120" t="e">
        <f>AND(#REF!,"AAAAAHf28wQ=")</f>
        <v>#REF!</v>
      </c>
      <c r="F120" t="e">
        <f>AND(#REF!,"AAAAAHf28wU=")</f>
        <v>#REF!</v>
      </c>
      <c r="G120" t="e">
        <f>AND(#REF!,"AAAAAHf28wY=")</f>
        <v>#REF!</v>
      </c>
      <c r="H120" t="e">
        <f>AND(#REF!,"AAAAAHf28wc=")</f>
        <v>#REF!</v>
      </c>
      <c r="I120" t="e">
        <f>AND(#REF!,"AAAAAHf28wg=")</f>
        <v>#REF!</v>
      </c>
      <c r="J120" t="e">
        <f>AND(#REF!,"AAAAAHf28wk=")</f>
        <v>#REF!</v>
      </c>
      <c r="K120" t="e">
        <f>AND(#REF!,"AAAAAHf28wo=")</f>
        <v>#REF!</v>
      </c>
      <c r="L120" t="e">
        <f>AND(#REF!,"AAAAAHf28ws=")</f>
        <v>#REF!</v>
      </c>
      <c r="M120" t="e">
        <f>AND(#REF!,"AAAAAHf28ww=")</f>
        <v>#REF!</v>
      </c>
      <c r="N120" t="e">
        <f>AND(#REF!,"AAAAAHf28w0=")</f>
        <v>#REF!</v>
      </c>
      <c r="O120" t="e">
        <f>AND(#REF!,"AAAAAHf28w4=")</f>
        <v>#REF!</v>
      </c>
      <c r="P120" t="e">
        <f>AND(#REF!,"AAAAAHf28w8=")</f>
        <v>#REF!</v>
      </c>
      <c r="Q120" t="e">
        <f>AND(#REF!,"AAAAAHf28xA=")</f>
        <v>#REF!</v>
      </c>
      <c r="R120" t="e">
        <f>AND(#REF!,"AAAAAHf28xE=")</f>
        <v>#REF!</v>
      </c>
      <c r="S120" t="e">
        <f>IF(#REF!,"AAAAAHf28xI=",0)</f>
        <v>#REF!</v>
      </c>
      <c r="T120" t="e">
        <f>AND(#REF!,"AAAAAHf28xM=")</f>
        <v>#REF!</v>
      </c>
      <c r="U120" t="e">
        <f>AND(#REF!,"AAAAAHf28xQ=")</f>
        <v>#REF!</v>
      </c>
      <c r="V120" t="e">
        <f>AND(#REF!,"AAAAAHf28xU=")</f>
        <v>#REF!</v>
      </c>
      <c r="W120" t="e">
        <f>AND(#REF!,"AAAAAHf28xY=")</f>
        <v>#REF!</v>
      </c>
      <c r="X120" t="e">
        <f>AND(#REF!,"AAAAAHf28xc=")</f>
        <v>#REF!</v>
      </c>
      <c r="Y120" t="e">
        <f>AND(#REF!,"AAAAAHf28xg=")</f>
        <v>#REF!</v>
      </c>
      <c r="Z120" t="e">
        <f>AND(#REF!,"AAAAAHf28xk=")</f>
        <v>#REF!</v>
      </c>
      <c r="AA120" t="e">
        <f>AND(#REF!,"AAAAAHf28xo=")</f>
        <v>#REF!</v>
      </c>
      <c r="AB120" t="e">
        <f>AND(#REF!,"AAAAAHf28xs=")</f>
        <v>#REF!</v>
      </c>
      <c r="AC120" t="e">
        <f>AND(#REF!,"AAAAAHf28xw=")</f>
        <v>#REF!</v>
      </c>
      <c r="AD120" t="e">
        <f>AND(#REF!,"AAAAAHf28x0=")</f>
        <v>#REF!</v>
      </c>
      <c r="AE120" t="e">
        <f>AND(#REF!,"AAAAAHf28x4=")</f>
        <v>#REF!</v>
      </c>
      <c r="AF120" t="e">
        <f>AND(#REF!,"AAAAAHf28x8=")</f>
        <v>#REF!</v>
      </c>
      <c r="AG120" t="e">
        <f>AND(#REF!,"AAAAAHf28yA=")</f>
        <v>#REF!</v>
      </c>
      <c r="AH120" t="e">
        <f>AND(#REF!,"AAAAAHf28yE=")</f>
        <v>#REF!</v>
      </c>
      <c r="AI120" t="e">
        <f>AND(#REF!,"AAAAAHf28yI=")</f>
        <v>#REF!</v>
      </c>
      <c r="AJ120" t="e">
        <f>AND(#REF!,"AAAAAHf28yM=")</f>
        <v>#REF!</v>
      </c>
      <c r="AK120" t="e">
        <f>AND(#REF!,"AAAAAHf28yQ=")</f>
        <v>#REF!</v>
      </c>
      <c r="AL120" t="e">
        <f>AND(#REF!,"AAAAAHf28yU=")</f>
        <v>#REF!</v>
      </c>
      <c r="AM120" t="e">
        <f>IF(#REF!,"AAAAAHf28yY=",0)</f>
        <v>#REF!</v>
      </c>
      <c r="AN120" t="e">
        <f>AND(#REF!,"AAAAAHf28yc=")</f>
        <v>#REF!</v>
      </c>
      <c r="AO120" t="e">
        <f>AND(#REF!,"AAAAAHf28yg=")</f>
        <v>#REF!</v>
      </c>
      <c r="AP120" t="e">
        <f>AND(#REF!,"AAAAAHf28yk=")</f>
        <v>#REF!</v>
      </c>
      <c r="AQ120" t="e">
        <f>AND(#REF!,"AAAAAHf28yo=")</f>
        <v>#REF!</v>
      </c>
      <c r="AR120" t="e">
        <f>AND(#REF!,"AAAAAHf28ys=")</f>
        <v>#REF!</v>
      </c>
      <c r="AS120" t="e">
        <f>AND(#REF!,"AAAAAHf28yw=")</f>
        <v>#REF!</v>
      </c>
      <c r="AT120" t="e">
        <f>AND(#REF!,"AAAAAHf28y0=")</f>
        <v>#REF!</v>
      </c>
      <c r="AU120" t="e">
        <f>AND(#REF!,"AAAAAHf28y4=")</f>
        <v>#REF!</v>
      </c>
      <c r="AV120" t="e">
        <f>AND(#REF!,"AAAAAHf28y8=")</f>
        <v>#REF!</v>
      </c>
      <c r="AW120" t="e">
        <f>AND(#REF!,"AAAAAHf28zA=")</f>
        <v>#REF!</v>
      </c>
      <c r="AX120" t="e">
        <f>AND(#REF!,"AAAAAHf28zE=")</f>
        <v>#REF!</v>
      </c>
      <c r="AY120" t="e">
        <f>AND(#REF!,"AAAAAHf28zI=")</f>
        <v>#REF!</v>
      </c>
      <c r="AZ120" t="e">
        <f>AND(#REF!,"AAAAAHf28zM=")</f>
        <v>#REF!</v>
      </c>
      <c r="BA120" t="e">
        <f>AND(#REF!,"AAAAAHf28zQ=")</f>
        <v>#REF!</v>
      </c>
      <c r="BB120" t="e">
        <f>AND(#REF!,"AAAAAHf28zU=")</f>
        <v>#REF!</v>
      </c>
      <c r="BC120" t="e">
        <f>AND(#REF!,"AAAAAHf28zY=")</f>
        <v>#REF!</v>
      </c>
      <c r="BD120" t="e">
        <f>AND(#REF!,"AAAAAHf28zc=")</f>
        <v>#REF!</v>
      </c>
      <c r="BE120" t="e">
        <f>AND(#REF!,"AAAAAHf28zg=")</f>
        <v>#REF!</v>
      </c>
      <c r="BF120" t="e">
        <f>AND(#REF!,"AAAAAHf28zk=")</f>
        <v>#REF!</v>
      </c>
      <c r="BG120" t="e">
        <f>IF(#REF!,"AAAAAHf28zo=",0)</f>
        <v>#REF!</v>
      </c>
      <c r="BH120" t="e">
        <f>AND(#REF!,"AAAAAHf28zs=")</f>
        <v>#REF!</v>
      </c>
      <c r="BI120" t="e">
        <f>AND(#REF!,"AAAAAHf28zw=")</f>
        <v>#REF!</v>
      </c>
      <c r="BJ120" t="e">
        <f>AND(#REF!,"AAAAAHf28z0=")</f>
        <v>#REF!</v>
      </c>
      <c r="BK120" t="e">
        <f>AND(#REF!,"AAAAAHf28z4=")</f>
        <v>#REF!</v>
      </c>
      <c r="BL120" t="e">
        <f>AND(#REF!,"AAAAAHf28z8=")</f>
        <v>#REF!</v>
      </c>
      <c r="BM120" t="e">
        <f>AND(#REF!,"AAAAAHf280A=")</f>
        <v>#REF!</v>
      </c>
      <c r="BN120" t="e">
        <f>AND(#REF!,"AAAAAHf280E=")</f>
        <v>#REF!</v>
      </c>
      <c r="BO120" t="e">
        <f>AND(#REF!,"AAAAAHf280I=")</f>
        <v>#REF!</v>
      </c>
      <c r="BP120" t="e">
        <f>AND(#REF!,"AAAAAHf280M=")</f>
        <v>#REF!</v>
      </c>
      <c r="BQ120" t="e">
        <f>AND(#REF!,"AAAAAHf280Q=")</f>
        <v>#REF!</v>
      </c>
      <c r="BR120" t="e">
        <f>AND(#REF!,"AAAAAHf280U=")</f>
        <v>#REF!</v>
      </c>
      <c r="BS120" t="e">
        <f>AND(#REF!,"AAAAAHf280Y=")</f>
        <v>#REF!</v>
      </c>
      <c r="BT120" t="e">
        <f>AND(#REF!,"AAAAAHf280c=")</f>
        <v>#REF!</v>
      </c>
      <c r="BU120" t="e">
        <f>AND(#REF!,"AAAAAHf280g=")</f>
        <v>#REF!</v>
      </c>
      <c r="BV120" t="e">
        <f>AND(#REF!,"AAAAAHf280k=")</f>
        <v>#REF!</v>
      </c>
      <c r="BW120" t="e">
        <f>AND(#REF!,"AAAAAHf280o=")</f>
        <v>#REF!</v>
      </c>
      <c r="BX120" t="e">
        <f>AND(#REF!,"AAAAAHf280s=")</f>
        <v>#REF!</v>
      </c>
      <c r="BY120" t="e">
        <f>AND(#REF!,"AAAAAHf280w=")</f>
        <v>#REF!</v>
      </c>
      <c r="BZ120" t="e">
        <f>AND(#REF!,"AAAAAHf2800=")</f>
        <v>#REF!</v>
      </c>
      <c r="CA120" t="e">
        <f>IF(#REF!,"AAAAAHf2804=",0)</f>
        <v>#REF!</v>
      </c>
      <c r="CB120" t="e">
        <f>AND(#REF!,"AAAAAHf2808=")</f>
        <v>#REF!</v>
      </c>
      <c r="CC120" t="e">
        <f>AND(#REF!,"AAAAAHf281A=")</f>
        <v>#REF!</v>
      </c>
      <c r="CD120" t="e">
        <f>AND(#REF!,"AAAAAHf281E=")</f>
        <v>#REF!</v>
      </c>
      <c r="CE120" t="e">
        <f>AND(#REF!,"AAAAAHf281I=")</f>
        <v>#REF!</v>
      </c>
      <c r="CF120" t="e">
        <f>AND(#REF!,"AAAAAHf281M=")</f>
        <v>#REF!</v>
      </c>
      <c r="CG120" t="e">
        <f>AND(#REF!,"AAAAAHf281Q=")</f>
        <v>#REF!</v>
      </c>
      <c r="CH120" t="e">
        <f>AND(#REF!,"AAAAAHf281U=")</f>
        <v>#REF!</v>
      </c>
      <c r="CI120" t="e">
        <f>AND(#REF!,"AAAAAHf281Y=")</f>
        <v>#REF!</v>
      </c>
      <c r="CJ120" t="e">
        <f>AND(#REF!,"AAAAAHf281c=")</f>
        <v>#REF!</v>
      </c>
      <c r="CK120" t="e">
        <f>AND(#REF!,"AAAAAHf281g=")</f>
        <v>#REF!</v>
      </c>
      <c r="CL120" t="e">
        <f>AND(#REF!,"AAAAAHf281k=")</f>
        <v>#REF!</v>
      </c>
      <c r="CM120" t="e">
        <f>AND(#REF!,"AAAAAHf281o=")</f>
        <v>#REF!</v>
      </c>
      <c r="CN120" t="e">
        <f>AND(#REF!,"AAAAAHf281s=")</f>
        <v>#REF!</v>
      </c>
      <c r="CO120" t="e">
        <f>AND(#REF!,"AAAAAHf281w=")</f>
        <v>#REF!</v>
      </c>
      <c r="CP120" t="e">
        <f>AND(#REF!,"AAAAAHf2810=")</f>
        <v>#REF!</v>
      </c>
      <c r="CQ120" t="e">
        <f>AND(#REF!,"AAAAAHf2814=")</f>
        <v>#REF!</v>
      </c>
      <c r="CR120" t="e">
        <f>AND(#REF!,"AAAAAHf2818=")</f>
        <v>#REF!</v>
      </c>
      <c r="CS120" t="e">
        <f>AND(#REF!,"AAAAAHf282A=")</f>
        <v>#REF!</v>
      </c>
      <c r="CT120" t="e">
        <f>AND(#REF!,"AAAAAHf282E=")</f>
        <v>#REF!</v>
      </c>
      <c r="CU120" t="e">
        <f>IF(#REF!,"AAAAAHf282I=",0)</f>
        <v>#REF!</v>
      </c>
      <c r="CV120" t="e">
        <f>AND(#REF!,"AAAAAHf282M=")</f>
        <v>#REF!</v>
      </c>
      <c r="CW120" t="e">
        <f>AND(#REF!,"AAAAAHf282Q=")</f>
        <v>#REF!</v>
      </c>
      <c r="CX120" t="e">
        <f>AND(#REF!,"AAAAAHf282U=")</f>
        <v>#REF!</v>
      </c>
      <c r="CY120" t="e">
        <f>AND(#REF!,"AAAAAHf282Y=")</f>
        <v>#REF!</v>
      </c>
      <c r="CZ120" t="e">
        <f>AND(#REF!,"AAAAAHf282c=")</f>
        <v>#REF!</v>
      </c>
      <c r="DA120" t="e">
        <f>AND(#REF!,"AAAAAHf282g=")</f>
        <v>#REF!</v>
      </c>
      <c r="DB120" t="e">
        <f>AND(#REF!,"AAAAAHf282k=")</f>
        <v>#REF!</v>
      </c>
      <c r="DC120" t="e">
        <f>AND(#REF!,"AAAAAHf282o=")</f>
        <v>#REF!</v>
      </c>
      <c r="DD120" t="e">
        <f>AND(#REF!,"AAAAAHf282s=")</f>
        <v>#REF!</v>
      </c>
      <c r="DE120" t="e">
        <f>AND(#REF!,"AAAAAHf282w=")</f>
        <v>#REF!</v>
      </c>
      <c r="DF120" t="e">
        <f>AND(#REF!,"AAAAAHf2820=")</f>
        <v>#REF!</v>
      </c>
      <c r="DG120" t="e">
        <f>AND(#REF!,"AAAAAHf2824=")</f>
        <v>#REF!</v>
      </c>
      <c r="DH120" t="e">
        <f>AND(#REF!,"AAAAAHf2828=")</f>
        <v>#REF!</v>
      </c>
      <c r="DI120" t="e">
        <f>AND(#REF!,"AAAAAHf283A=")</f>
        <v>#REF!</v>
      </c>
      <c r="DJ120" t="e">
        <f>AND(#REF!,"AAAAAHf283E=")</f>
        <v>#REF!</v>
      </c>
      <c r="DK120" t="e">
        <f>AND(#REF!,"AAAAAHf283I=")</f>
        <v>#REF!</v>
      </c>
      <c r="DL120" t="e">
        <f>AND(#REF!,"AAAAAHf283M=")</f>
        <v>#REF!</v>
      </c>
      <c r="DM120" t="e">
        <f>AND(#REF!,"AAAAAHf283Q=")</f>
        <v>#REF!</v>
      </c>
      <c r="DN120" t="e">
        <f>AND(#REF!,"AAAAAHf283U=")</f>
        <v>#REF!</v>
      </c>
      <c r="DO120" t="e">
        <f>IF(#REF!,"AAAAAHf283Y=",0)</f>
        <v>#REF!</v>
      </c>
      <c r="DP120" t="e">
        <f>AND(#REF!,"AAAAAHf283c=")</f>
        <v>#REF!</v>
      </c>
      <c r="DQ120" t="e">
        <f>AND(#REF!,"AAAAAHf283g=")</f>
        <v>#REF!</v>
      </c>
      <c r="DR120" t="e">
        <f>AND(#REF!,"AAAAAHf283k=")</f>
        <v>#REF!</v>
      </c>
      <c r="DS120" t="e">
        <f>AND(#REF!,"AAAAAHf283o=")</f>
        <v>#REF!</v>
      </c>
      <c r="DT120" t="e">
        <f>AND(#REF!,"AAAAAHf283s=")</f>
        <v>#REF!</v>
      </c>
      <c r="DU120" t="e">
        <f>AND(#REF!,"AAAAAHf283w=")</f>
        <v>#REF!</v>
      </c>
      <c r="DV120" t="e">
        <f>AND(#REF!,"AAAAAHf2830=")</f>
        <v>#REF!</v>
      </c>
      <c r="DW120" t="e">
        <f>AND(#REF!,"AAAAAHf2834=")</f>
        <v>#REF!</v>
      </c>
      <c r="DX120" t="e">
        <f>AND(#REF!,"AAAAAHf2838=")</f>
        <v>#REF!</v>
      </c>
      <c r="DY120" t="e">
        <f>AND(#REF!,"AAAAAHf284A=")</f>
        <v>#REF!</v>
      </c>
      <c r="DZ120" t="e">
        <f>AND(#REF!,"AAAAAHf284E=")</f>
        <v>#REF!</v>
      </c>
      <c r="EA120" t="e">
        <f>AND(#REF!,"AAAAAHf284I=")</f>
        <v>#REF!</v>
      </c>
      <c r="EB120" t="e">
        <f>AND(#REF!,"AAAAAHf284M=")</f>
        <v>#REF!</v>
      </c>
      <c r="EC120" t="e">
        <f>AND(#REF!,"AAAAAHf284Q=")</f>
        <v>#REF!</v>
      </c>
      <c r="ED120" t="e">
        <f>AND(#REF!,"AAAAAHf284U=")</f>
        <v>#REF!</v>
      </c>
      <c r="EE120" t="e">
        <f>AND(#REF!,"AAAAAHf284Y=")</f>
        <v>#REF!</v>
      </c>
      <c r="EF120" t="e">
        <f>AND(#REF!,"AAAAAHf284c=")</f>
        <v>#REF!</v>
      </c>
      <c r="EG120" t="e">
        <f>AND(#REF!,"AAAAAHf284g=")</f>
        <v>#REF!</v>
      </c>
      <c r="EH120" t="e">
        <f>AND(#REF!,"AAAAAHf284k=")</f>
        <v>#REF!</v>
      </c>
      <c r="EI120" t="e">
        <f>IF(#REF!,"AAAAAHf284o=",0)</f>
        <v>#REF!</v>
      </c>
      <c r="EJ120" t="e">
        <f>AND(#REF!,"AAAAAHf284s=")</f>
        <v>#REF!</v>
      </c>
      <c r="EK120" t="e">
        <f>AND(#REF!,"AAAAAHf284w=")</f>
        <v>#REF!</v>
      </c>
      <c r="EL120" t="e">
        <f>AND(#REF!,"AAAAAHf2840=")</f>
        <v>#REF!</v>
      </c>
      <c r="EM120" t="e">
        <f>AND(#REF!,"AAAAAHf2844=")</f>
        <v>#REF!</v>
      </c>
      <c r="EN120" t="e">
        <f>AND(#REF!,"AAAAAHf2848=")</f>
        <v>#REF!</v>
      </c>
      <c r="EO120" t="e">
        <f>AND(#REF!,"AAAAAHf285A=")</f>
        <v>#REF!</v>
      </c>
      <c r="EP120" t="e">
        <f>AND(#REF!,"AAAAAHf285E=")</f>
        <v>#REF!</v>
      </c>
      <c r="EQ120" t="e">
        <f>AND(#REF!,"AAAAAHf285I=")</f>
        <v>#REF!</v>
      </c>
      <c r="ER120" t="e">
        <f>AND(#REF!,"AAAAAHf285M=")</f>
        <v>#REF!</v>
      </c>
      <c r="ES120" t="e">
        <f>AND(#REF!,"AAAAAHf285Q=")</f>
        <v>#REF!</v>
      </c>
      <c r="ET120" t="e">
        <f>AND(#REF!,"AAAAAHf285U=")</f>
        <v>#REF!</v>
      </c>
      <c r="EU120" t="e">
        <f>AND(#REF!,"AAAAAHf285Y=")</f>
        <v>#REF!</v>
      </c>
      <c r="EV120" t="e">
        <f>AND(#REF!,"AAAAAHf285c=")</f>
        <v>#REF!</v>
      </c>
      <c r="EW120" t="e">
        <f>AND(#REF!,"AAAAAHf285g=")</f>
        <v>#REF!</v>
      </c>
      <c r="EX120" t="e">
        <f>AND(#REF!,"AAAAAHf285k=")</f>
        <v>#REF!</v>
      </c>
      <c r="EY120" t="e">
        <f>AND(#REF!,"AAAAAHf285o=")</f>
        <v>#REF!</v>
      </c>
      <c r="EZ120" t="e">
        <f>AND(#REF!,"AAAAAHf285s=")</f>
        <v>#REF!</v>
      </c>
      <c r="FA120" t="e">
        <f>AND(#REF!,"AAAAAHf285w=")</f>
        <v>#REF!</v>
      </c>
      <c r="FB120" t="e">
        <f>AND(#REF!,"AAAAAHf2850=")</f>
        <v>#REF!</v>
      </c>
      <c r="FC120" t="e">
        <f>IF(#REF!,"AAAAAHf2854=",0)</f>
        <v>#REF!</v>
      </c>
      <c r="FD120" t="e">
        <f>AND(#REF!,"AAAAAHf2858=")</f>
        <v>#REF!</v>
      </c>
      <c r="FE120" t="e">
        <f>AND(#REF!,"AAAAAHf286A=")</f>
        <v>#REF!</v>
      </c>
      <c r="FF120" t="e">
        <f>AND(#REF!,"AAAAAHf286E=")</f>
        <v>#REF!</v>
      </c>
      <c r="FG120" t="e">
        <f>AND(#REF!,"AAAAAHf286I=")</f>
        <v>#REF!</v>
      </c>
      <c r="FH120" t="e">
        <f>AND(#REF!,"AAAAAHf286M=")</f>
        <v>#REF!</v>
      </c>
      <c r="FI120" t="e">
        <f>AND(#REF!,"AAAAAHf286Q=")</f>
        <v>#REF!</v>
      </c>
      <c r="FJ120" t="e">
        <f>AND(#REF!,"AAAAAHf286U=")</f>
        <v>#REF!</v>
      </c>
      <c r="FK120" t="e">
        <f>AND(#REF!,"AAAAAHf286Y=")</f>
        <v>#REF!</v>
      </c>
      <c r="FL120" t="e">
        <f>AND(#REF!,"AAAAAHf286c=")</f>
        <v>#REF!</v>
      </c>
      <c r="FM120" t="e">
        <f>AND(#REF!,"AAAAAHf286g=")</f>
        <v>#REF!</v>
      </c>
      <c r="FN120" t="e">
        <f>AND(#REF!,"AAAAAHf286k=")</f>
        <v>#REF!</v>
      </c>
      <c r="FO120" t="e">
        <f>AND(#REF!,"AAAAAHf286o=")</f>
        <v>#REF!</v>
      </c>
      <c r="FP120" t="e">
        <f>AND(#REF!,"AAAAAHf286s=")</f>
        <v>#REF!</v>
      </c>
      <c r="FQ120" t="e">
        <f>AND(#REF!,"AAAAAHf286w=")</f>
        <v>#REF!</v>
      </c>
      <c r="FR120" t="e">
        <f>AND(#REF!,"AAAAAHf2860=")</f>
        <v>#REF!</v>
      </c>
      <c r="FS120" t="e">
        <f>AND(#REF!,"AAAAAHf2864=")</f>
        <v>#REF!</v>
      </c>
      <c r="FT120" t="e">
        <f>AND(#REF!,"AAAAAHf2868=")</f>
        <v>#REF!</v>
      </c>
      <c r="FU120" t="e">
        <f>AND(#REF!,"AAAAAHf287A=")</f>
        <v>#REF!</v>
      </c>
      <c r="FV120" t="e">
        <f>AND(#REF!,"AAAAAHf287E=")</f>
        <v>#REF!</v>
      </c>
      <c r="FW120" t="e">
        <f>IF(#REF!,"AAAAAHf287I=",0)</f>
        <v>#REF!</v>
      </c>
      <c r="FX120" t="e">
        <f>AND(#REF!,"AAAAAHf287M=")</f>
        <v>#REF!</v>
      </c>
      <c r="FY120" t="e">
        <f>AND(#REF!,"AAAAAHf287Q=")</f>
        <v>#REF!</v>
      </c>
      <c r="FZ120" t="e">
        <f>AND(#REF!,"AAAAAHf287U=")</f>
        <v>#REF!</v>
      </c>
      <c r="GA120" t="e">
        <f>AND(#REF!,"AAAAAHf287Y=")</f>
        <v>#REF!</v>
      </c>
      <c r="GB120" t="e">
        <f>AND(#REF!,"AAAAAHf287c=")</f>
        <v>#REF!</v>
      </c>
      <c r="GC120" t="e">
        <f>AND(#REF!,"AAAAAHf287g=")</f>
        <v>#REF!</v>
      </c>
      <c r="GD120" t="e">
        <f>AND(#REF!,"AAAAAHf287k=")</f>
        <v>#REF!</v>
      </c>
      <c r="GE120" t="e">
        <f>AND(#REF!,"AAAAAHf287o=")</f>
        <v>#REF!</v>
      </c>
      <c r="GF120" t="e">
        <f>AND(#REF!,"AAAAAHf287s=")</f>
        <v>#REF!</v>
      </c>
      <c r="GG120" t="e">
        <f>AND(#REF!,"AAAAAHf287w=")</f>
        <v>#REF!</v>
      </c>
      <c r="GH120" t="e">
        <f>AND(#REF!,"AAAAAHf2870=")</f>
        <v>#REF!</v>
      </c>
      <c r="GI120" t="e">
        <f>AND(#REF!,"AAAAAHf2874=")</f>
        <v>#REF!</v>
      </c>
      <c r="GJ120" t="e">
        <f>AND(#REF!,"AAAAAHf2878=")</f>
        <v>#REF!</v>
      </c>
      <c r="GK120" t="e">
        <f>AND(#REF!,"AAAAAHf288A=")</f>
        <v>#REF!</v>
      </c>
      <c r="GL120" t="e">
        <f>AND(#REF!,"AAAAAHf288E=")</f>
        <v>#REF!</v>
      </c>
      <c r="GM120" t="e">
        <f>AND(#REF!,"AAAAAHf288I=")</f>
        <v>#REF!</v>
      </c>
      <c r="GN120" t="e">
        <f>AND(#REF!,"AAAAAHf288M=")</f>
        <v>#REF!</v>
      </c>
      <c r="GO120" t="e">
        <f>AND(#REF!,"AAAAAHf288Q=")</f>
        <v>#REF!</v>
      </c>
      <c r="GP120" t="e">
        <f>AND(#REF!,"AAAAAHf288U=")</f>
        <v>#REF!</v>
      </c>
      <c r="GQ120" t="e">
        <f>IF(#REF!,"AAAAAHf288Y=",0)</f>
        <v>#REF!</v>
      </c>
      <c r="GR120" t="e">
        <f>AND(#REF!,"AAAAAHf288c=")</f>
        <v>#REF!</v>
      </c>
      <c r="GS120" t="e">
        <f>AND(#REF!,"AAAAAHf288g=")</f>
        <v>#REF!</v>
      </c>
      <c r="GT120" t="e">
        <f>AND(#REF!,"AAAAAHf288k=")</f>
        <v>#REF!</v>
      </c>
      <c r="GU120" t="e">
        <f>AND(#REF!,"AAAAAHf288o=")</f>
        <v>#REF!</v>
      </c>
      <c r="GV120" t="e">
        <f>AND(#REF!,"AAAAAHf288s=")</f>
        <v>#REF!</v>
      </c>
      <c r="GW120" t="e">
        <f>AND(#REF!,"AAAAAHf288w=")</f>
        <v>#REF!</v>
      </c>
      <c r="GX120" t="e">
        <f>AND(#REF!,"AAAAAHf2880=")</f>
        <v>#REF!</v>
      </c>
      <c r="GY120" t="e">
        <f>AND(#REF!,"AAAAAHf2884=")</f>
        <v>#REF!</v>
      </c>
      <c r="GZ120" t="e">
        <f>AND(#REF!,"AAAAAHf2888=")</f>
        <v>#REF!</v>
      </c>
      <c r="HA120" t="e">
        <f>AND(#REF!,"AAAAAHf289A=")</f>
        <v>#REF!</v>
      </c>
      <c r="HB120" t="e">
        <f>AND(#REF!,"AAAAAHf289E=")</f>
        <v>#REF!</v>
      </c>
      <c r="HC120" t="e">
        <f>AND(#REF!,"AAAAAHf289I=")</f>
        <v>#REF!</v>
      </c>
      <c r="HD120" t="e">
        <f>AND(#REF!,"AAAAAHf289M=")</f>
        <v>#REF!</v>
      </c>
      <c r="HE120" t="e">
        <f>AND(#REF!,"AAAAAHf289Q=")</f>
        <v>#REF!</v>
      </c>
      <c r="HF120" t="e">
        <f>AND(#REF!,"AAAAAHf289U=")</f>
        <v>#REF!</v>
      </c>
      <c r="HG120" t="e">
        <f>AND(#REF!,"AAAAAHf289Y=")</f>
        <v>#REF!</v>
      </c>
      <c r="HH120" t="e">
        <f>AND(#REF!,"AAAAAHf289c=")</f>
        <v>#REF!</v>
      </c>
      <c r="HI120" t="e">
        <f>AND(#REF!,"AAAAAHf289g=")</f>
        <v>#REF!</v>
      </c>
      <c r="HJ120" t="e">
        <f>AND(#REF!,"AAAAAHf289k=")</f>
        <v>#REF!</v>
      </c>
      <c r="HK120" t="e">
        <f>IF(#REF!,"AAAAAHf289o=",0)</f>
        <v>#REF!</v>
      </c>
      <c r="HL120" t="e">
        <f>AND(#REF!,"AAAAAHf289s=")</f>
        <v>#REF!</v>
      </c>
      <c r="HM120" t="e">
        <f>AND(#REF!,"AAAAAHf289w=")</f>
        <v>#REF!</v>
      </c>
      <c r="HN120" t="e">
        <f>AND(#REF!,"AAAAAHf2890=")</f>
        <v>#REF!</v>
      </c>
      <c r="HO120" t="e">
        <f>AND(#REF!,"AAAAAHf2894=")</f>
        <v>#REF!</v>
      </c>
      <c r="HP120" t="e">
        <f>AND(#REF!,"AAAAAHf2898=")</f>
        <v>#REF!</v>
      </c>
      <c r="HQ120" t="e">
        <f>AND(#REF!,"AAAAAHf28+A=")</f>
        <v>#REF!</v>
      </c>
      <c r="HR120" t="e">
        <f>AND(#REF!,"AAAAAHf28+E=")</f>
        <v>#REF!</v>
      </c>
      <c r="HS120" t="e">
        <f>AND(#REF!,"AAAAAHf28+I=")</f>
        <v>#REF!</v>
      </c>
      <c r="HT120" t="e">
        <f>AND(#REF!,"AAAAAHf28+M=")</f>
        <v>#REF!</v>
      </c>
      <c r="HU120" t="e">
        <f>AND(#REF!,"AAAAAHf28+Q=")</f>
        <v>#REF!</v>
      </c>
      <c r="HV120" t="e">
        <f>AND(#REF!,"AAAAAHf28+U=")</f>
        <v>#REF!</v>
      </c>
      <c r="HW120" t="e">
        <f>AND(#REF!,"AAAAAHf28+Y=")</f>
        <v>#REF!</v>
      </c>
      <c r="HX120" t="e">
        <f>AND(#REF!,"AAAAAHf28+c=")</f>
        <v>#REF!</v>
      </c>
      <c r="HY120" t="e">
        <f>AND(#REF!,"AAAAAHf28+g=")</f>
        <v>#REF!</v>
      </c>
      <c r="HZ120" t="e">
        <f>AND(#REF!,"AAAAAHf28+k=")</f>
        <v>#REF!</v>
      </c>
      <c r="IA120" t="e">
        <f>AND(#REF!,"AAAAAHf28+o=")</f>
        <v>#REF!</v>
      </c>
      <c r="IB120" t="e">
        <f>AND(#REF!,"AAAAAHf28+s=")</f>
        <v>#REF!</v>
      </c>
      <c r="IC120" t="e">
        <f>AND(#REF!,"AAAAAHf28+w=")</f>
        <v>#REF!</v>
      </c>
      <c r="ID120" t="e">
        <f>AND(#REF!,"AAAAAHf28+0=")</f>
        <v>#REF!</v>
      </c>
      <c r="IE120" t="e">
        <f>IF(#REF!,"AAAAAHf28+4=",0)</f>
        <v>#REF!</v>
      </c>
      <c r="IF120" t="e">
        <f>AND(#REF!,"AAAAAHf28+8=")</f>
        <v>#REF!</v>
      </c>
      <c r="IG120" t="e">
        <f>AND(#REF!,"AAAAAHf28/A=")</f>
        <v>#REF!</v>
      </c>
      <c r="IH120" t="e">
        <f>AND(#REF!,"AAAAAHf28/E=")</f>
        <v>#REF!</v>
      </c>
      <c r="II120" t="e">
        <f>AND(#REF!,"AAAAAHf28/I=")</f>
        <v>#REF!</v>
      </c>
      <c r="IJ120" t="e">
        <f>AND(#REF!,"AAAAAHf28/M=")</f>
        <v>#REF!</v>
      </c>
      <c r="IK120" t="e">
        <f>AND(#REF!,"AAAAAHf28/Q=")</f>
        <v>#REF!</v>
      </c>
      <c r="IL120" t="e">
        <f>AND(#REF!,"AAAAAHf28/U=")</f>
        <v>#REF!</v>
      </c>
      <c r="IM120" t="e">
        <f>AND(#REF!,"AAAAAHf28/Y=")</f>
        <v>#REF!</v>
      </c>
      <c r="IN120" t="e">
        <f>AND(#REF!,"AAAAAHf28/c=")</f>
        <v>#REF!</v>
      </c>
      <c r="IO120" t="e">
        <f>AND(#REF!,"AAAAAHf28/g=")</f>
        <v>#REF!</v>
      </c>
      <c r="IP120" t="e">
        <f>AND(#REF!,"AAAAAHf28/k=")</f>
        <v>#REF!</v>
      </c>
      <c r="IQ120" t="e">
        <f>AND(#REF!,"AAAAAHf28/o=")</f>
        <v>#REF!</v>
      </c>
      <c r="IR120" t="e">
        <f>AND(#REF!,"AAAAAHf28/s=")</f>
        <v>#REF!</v>
      </c>
      <c r="IS120" t="e">
        <f>AND(#REF!,"AAAAAHf28/w=")</f>
        <v>#REF!</v>
      </c>
      <c r="IT120" t="e">
        <f>AND(#REF!,"AAAAAHf28/0=")</f>
        <v>#REF!</v>
      </c>
      <c r="IU120" t="e">
        <f>AND(#REF!,"AAAAAHf28/4=")</f>
        <v>#REF!</v>
      </c>
      <c r="IV120" t="e">
        <f>AND(#REF!,"AAAAAHf28/8=")</f>
        <v>#REF!</v>
      </c>
    </row>
    <row r="121" spans="1:256" x14ac:dyDescent="0.2">
      <c r="A121" t="e">
        <f>AND(#REF!,"AAAAAHn/dwA=")</f>
        <v>#REF!</v>
      </c>
      <c r="B121" t="e">
        <f>AND(#REF!,"AAAAAHn/dwE=")</f>
        <v>#REF!</v>
      </c>
      <c r="C121" t="e">
        <f>IF(#REF!,"AAAAAHn/dwI=",0)</f>
        <v>#REF!</v>
      </c>
      <c r="D121" t="e">
        <f>AND(#REF!,"AAAAAHn/dwM=")</f>
        <v>#REF!</v>
      </c>
      <c r="E121" t="e">
        <f>AND(#REF!,"AAAAAHn/dwQ=")</f>
        <v>#REF!</v>
      </c>
      <c r="F121" t="e">
        <f>AND(#REF!,"AAAAAHn/dwU=")</f>
        <v>#REF!</v>
      </c>
      <c r="G121" t="e">
        <f>AND(#REF!,"AAAAAHn/dwY=")</f>
        <v>#REF!</v>
      </c>
      <c r="H121" t="e">
        <f>AND(#REF!,"AAAAAHn/dwc=")</f>
        <v>#REF!</v>
      </c>
      <c r="I121" t="e">
        <f>AND(#REF!,"AAAAAHn/dwg=")</f>
        <v>#REF!</v>
      </c>
      <c r="J121" t="e">
        <f>AND(#REF!,"AAAAAHn/dwk=")</f>
        <v>#REF!</v>
      </c>
      <c r="K121" t="e">
        <f>AND(#REF!,"AAAAAHn/dwo=")</f>
        <v>#REF!</v>
      </c>
      <c r="L121" t="e">
        <f>AND(#REF!,"AAAAAHn/dws=")</f>
        <v>#REF!</v>
      </c>
      <c r="M121" t="e">
        <f>AND(#REF!,"AAAAAHn/dww=")</f>
        <v>#REF!</v>
      </c>
      <c r="N121" t="e">
        <f>AND(#REF!,"AAAAAHn/dw0=")</f>
        <v>#REF!</v>
      </c>
      <c r="O121" t="e">
        <f>AND(#REF!,"AAAAAHn/dw4=")</f>
        <v>#REF!</v>
      </c>
      <c r="P121" t="e">
        <f>AND(#REF!,"AAAAAHn/dw8=")</f>
        <v>#REF!</v>
      </c>
      <c r="Q121" t="e">
        <f>AND(#REF!,"AAAAAHn/dxA=")</f>
        <v>#REF!</v>
      </c>
      <c r="R121" t="e">
        <f>AND(#REF!,"AAAAAHn/dxE=")</f>
        <v>#REF!</v>
      </c>
      <c r="S121" t="e">
        <f>AND(#REF!,"AAAAAHn/dxI=")</f>
        <v>#REF!</v>
      </c>
      <c r="T121" t="e">
        <f>AND(#REF!,"AAAAAHn/dxM=")</f>
        <v>#REF!</v>
      </c>
      <c r="U121" t="e">
        <f>AND(#REF!,"AAAAAHn/dxQ=")</f>
        <v>#REF!</v>
      </c>
      <c r="V121" t="e">
        <f>AND(#REF!,"AAAAAHn/dxU=")</f>
        <v>#REF!</v>
      </c>
      <c r="W121" t="e">
        <f>IF(#REF!,"AAAAAHn/dxY=",0)</f>
        <v>#REF!</v>
      </c>
      <c r="X121" t="e">
        <f>AND(#REF!,"AAAAAHn/dxc=")</f>
        <v>#REF!</v>
      </c>
      <c r="Y121" t="e">
        <f>AND(#REF!,"AAAAAHn/dxg=")</f>
        <v>#REF!</v>
      </c>
      <c r="Z121" t="e">
        <f>AND(#REF!,"AAAAAHn/dxk=")</f>
        <v>#REF!</v>
      </c>
      <c r="AA121" t="e">
        <f>AND(#REF!,"AAAAAHn/dxo=")</f>
        <v>#REF!</v>
      </c>
      <c r="AB121" t="e">
        <f>AND(#REF!,"AAAAAHn/dxs=")</f>
        <v>#REF!</v>
      </c>
      <c r="AC121" t="e">
        <f>AND(#REF!,"AAAAAHn/dxw=")</f>
        <v>#REF!</v>
      </c>
      <c r="AD121" t="e">
        <f>AND(#REF!,"AAAAAHn/dx0=")</f>
        <v>#REF!</v>
      </c>
      <c r="AE121" t="e">
        <f>AND(#REF!,"AAAAAHn/dx4=")</f>
        <v>#REF!</v>
      </c>
      <c r="AF121" t="e">
        <f>AND(#REF!,"AAAAAHn/dx8=")</f>
        <v>#REF!</v>
      </c>
      <c r="AG121" t="e">
        <f>AND(#REF!,"AAAAAHn/dyA=")</f>
        <v>#REF!</v>
      </c>
      <c r="AH121" t="e">
        <f>AND(#REF!,"AAAAAHn/dyE=")</f>
        <v>#REF!</v>
      </c>
      <c r="AI121" t="e">
        <f>AND(#REF!,"AAAAAHn/dyI=")</f>
        <v>#REF!</v>
      </c>
      <c r="AJ121" t="e">
        <f>AND(#REF!,"AAAAAHn/dyM=")</f>
        <v>#REF!</v>
      </c>
      <c r="AK121" t="e">
        <f>AND(#REF!,"AAAAAHn/dyQ=")</f>
        <v>#REF!</v>
      </c>
      <c r="AL121" t="e">
        <f>AND(#REF!,"AAAAAHn/dyU=")</f>
        <v>#REF!</v>
      </c>
      <c r="AM121" t="e">
        <f>AND(#REF!,"AAAAAHn/dyY=")</f>
        <v>#REF!</v>
      </c>
      <c r="AN121" t="e">
        <f>AND(#REF!,"AAAAAHn/dyc=")</f>
        <v>#REF!</v>
      </c>
      <c r="AO121" t="e">
        <f>AND(#REF!,"AAAAAHn/dyg=")</f>
        <v>#REF!</v>
      </c>
      <c r="AP121" t="e">
        <f>AND(#REF!,"AAAAAHn/dyk=")</f>
        <v>#REF!</v>
      </c>
      <c r="AQ121" t="e">
        <f>IF(#REF!,"AAAAAHn/dyo=",0)</f>
        <v>#REF!</v>
      </c>
      <c r="AR121" t="e">
        <f>AND(#REF!,"AAAAAHn/dys=")</f>
        <v>#REF!</v>
      </c>
      <c r="AS121" t="e">
        <f>AND(#REF!,"AAAAAHn/dyw=")</f>
        <v>#REF!</v>
      </c>
      <c r="AT121" t="e">
        <f>AND(#REF!,"AAAAAHn/dy0=")</f>
        <v>#REF!</v>
      </c>
      <c r="AU121" t="e">
        <f>AND(#REF!,"AAAAAHn/dy4=")</f>
        <v>#REF!</v>
      </c>
      <c r="AV121" t="e">
        <f>AND(#REF!,"AAAAAHn/dy8=")</f>
        <v>#REF!</v>
      </c>
      <c r="AW121" t="e">
        <f>AND(#REF!,"AAAAAHn/dzA=")</f>
        <v>#REF!</v>
      </c>
      <c r="AX121" t="e">
        <f>AND(#REF!,"AAAAAHn/dzE=")</f>
        <v>#REF!</v>
      </c>
      <c r="AY121" t="e">
        <f>AND(#REF!,"AAAAAHn/dzI=")</f>
        <v>#REF!</v>
      </c>
      <c r="AZ121" t="e">
        <f>AND(#REF!,"AAAAAHn/dzM=")</f>
        <v>#REF!</v>
      </c>
      <c r="BA121" t="e">
        <f>AND(#REF!,"AAAAAHn/dzQ=")</f>
        <v>#REF!</v>
      </c>
      <c r="BB121" t="e">
        <f>AND(#REF!,"AAAAAHn/dzU=")</f>
        <v>#REF!</v>
      </c>
      <c r="BC121" t="e">
        <f>AND(#REF!,"AAAAAHn/dzY=")</f>
        <v>#REF!</v>
      </c>
      <c r="BD121" t="e">
        <f>AND(#REF!,"AAAAAHn/dzc=")</f>
        <v>#REF!</v>
      </c>
      <c r="BE121" t="e">
        <f>AND(#REF!,"AAAAAHn/dzg=")</f>
        <v>#REF!</v>
      </c>
      <c r="BF121" t="e">
        <f>AND(#REF!,"AAAAAHn/dzk=")</f>
        <v>#REF!</v>
      </c>
      <c r="BG121" t="e">
        <f>AND(#REF!,"AAAAAHn/dzo=")</f>
        <v>#REF!</v>
      </c>
      <c r="BH121" t="e">
        <f>AND(#REF!,"AAAAAHn/dzs=")</f>
        <v>#REF!</v>
      </c>
      <c r="BI121" t="e">
        <f>AND(#REF!,"AAAAAHn/dzw=")</f>
        <v>#REF!</v>
      </c>
      <c r="BJ121" t="e">
        <f>AND(#REF!,"AAAAAHn/dz0=")</f>
        <v>#REF!</v>
      </c>
      <c r="BK121" t="e">
        <f>IF(#REF!,"AAAAAHn/dz4=",0)</f>
        <v>#REF!</v>
      </c>
      <c r="BL121" t="e">
        <f>AND(#REF!,"AAAAAHn/dz8=")</f>
        <v>#REF!</v>
      </c>
      <c r="BM121" t="e">
        <f>AND(#REF!,"AAAAAHn/d0A=")</f>
        <v>#REF!</v>
      </c>
      <c r="BN121" t="e">
        <f>AND(#REF!,"AAAAAHn/d0E=")</f>
        <v>#REF!</v>
      </c>
      <c r="BO121" t="e">
        <f>AND(#REF!,"AAAAAHn/d0I=")</f>
        <v>#REF!</v>
      </c>
      <c r="BP121" t="e">
        <f>AND(#REF!,"AAAAAHn/d0M=")</f>
        <v>#REF!</v>
      </c>
      <c r="BQ121" t="e">
        <f>AND(#REF!,"AAAAAHn/d0Q=")</f>
        <v>#REF!</v>
      </c>
      <c r="BR121" t="e">
        <f>AND(#REF!,"AAAAAHn/d0U=")</f>
        <v>#REF!</v>
      </c>
      <c r="BS121" t="e">
        <f>AND(#REF!,"AAAAAHn/d0Y=")</f>
        <v>#REF!</v>
      </c>
      <c r="BT121" t="e">
        <f>AND(#REF!,"AAAAAHn/d0c=")</f>
        <v>#REF!</v>
      </c>
      <c r="BU121" t="e">
        <f>AND(#REF!,"AAAAAHn/d0g=")</f>
        <v>#REF!</v>
      </c>
      <c r="BV121" t="e">
        <f>AND(#REF!,"AAAAAHn/d0k=")</f>
        <v>#REF!</v>
      </c>
      <c r="BW121" t="e">
        <f>AND(#REF!,"AAAAAHn/d0o=")</f>
        <v>#REF!</v>
      </c>
      <c r="BX121" t="e">
        <f>AND(#REF!,"AAAAAHn/d0s=")</f>
        <v>#REF!</v>
      </c>
      <c r="BY121" t="e">
        <f>AND(#REF!,"AAAAAHn/d0w=")</f>
        <v>#REF!</v>
      </c>
      <c r="BZ121" t="e">
        <f>AND(#REF!,"AAAAAHn/d00=")</f>
        <v>#REF!</v>
      </c>
      <c r="CA121" t="e">
        <f>AND(#REF!,"AAAAAHn/d04=")</f>
        <v>#REF!</v>
      </c>
      <c r="CB121" t="e">
        <f>AND(#REF!,"AAAAAHn/d08=")</f>
        <v>#REF!</v>
      </c>
      <c r="CC121" t="e">
        <f>AND(#REF!,"AAAAAHn/d1A=")</f>
        <v>#REF!</v>
      </c>
      <c r="CD121" t="e">
        <f>AND(#REF!,"AAAAAHn/d1E=")</f>
        <v>#REF!</v>
      </c>
      <c r="CE121" t="e">
        <f>IF(#REF!,"AAAAAHn/d1I=",0)</f>
        <v>#REF!</v>
      </c>
      <c r="CF121" t="e">
        <f>AND(#REF!,"AAAAAHn/d1M=")</f>
        <v>#REF!</v>
      </c>
      <c r="CG121" t="e">
        <f>AND(#REF!,"AAAAAHn/d1Q=")</f>
        <v>#REF!</v>
      </c>
      <c r="CH121" t="e">
        <f>AND(#REF!,"AAAAAHn/d1U=")</f>
        <v>#REF!</v>
      </c>
      <c r="CI121" t="e">
        <f>AND(#REF!,"AAAAAHn/d1Y=")</f>
        <v>#REF!</v>
      </c>
      <c r="CJ121" t="e">
        <f>AND(#REF!,"AAAAAHn/d1c=")</f>
        <v>#REF!</v>
      </c>
      <c r="CK121" t="e">
        <f>AND(#REF!,"AAAAAHn/d1g=")</f>
        <v>#REF!</v>
      </c>
      <c r="CL121" t="e">
        <f>AND(#REF!,"AAAAAHn/d1k=")</f>
        <v>#REF!</v>
      </c>
      <c r="CM121" t="e">
        <f>AND(#REF!,"AAAAAHn/d1o=")</f>
        <v>#REF!</v>
      </c>
      <c r="CN121" t="e">
        <f>AND(#REF!,"AAAAAHn/d1s=")</f>
        <v>#REF!</v>
      </c>
      <c r="CO121" t="e">
        <f>AND(#REF!,"AAAAAHn/d1w=")</f>
        <v>#REF!</v>
      </c>
      <c r="CP121" t="e">
        <f>AND(#REF!,"AAAAAHn/d10=")</f>
        <v>#REF!</v>
      </c>
      <c r="CQ121" t="e">
        <f>AND(#REF!,"AAAAAHn/d14=")</f>
        <v>#REF!</v>
      </c>
      <c r="CR121" t="e">
        <f>AND(#REF!,"AAAAAHn/d18=")</f>
        <v>#REF!</v>
      </c>
      <c r="CS121" t="e">
        <f>AND(#REF!,"AAAAAHn/d2A=")</f>
        <v>#REF!</v>
      </c>
      <c r="CT121" t="e">
        <f>AND(#REF!,"AAAAAHn/d2E=")</f>
        <v>#REF!</v>
      </c>
      <c r="CU121" t="e">
        <f>AND(#REF!,"AAAAAHn/d2I=")</f>
        <v>#REF!</v>
      </c>
      <c r="CV121" t="e">
        <f>AND(#REF!,"AAAAAHn/d2M=")</f>
        <v>#REF!</v>
      </c>
      <c r="CW121" t="e">
        <f>AND(#REF!,"AAAAAHn/d2Q=")</f>
        <v>#REF!</v>
      </c>
      <c r="CX121" t="e">
        <f>AND(#REF!,"AAAAAHn/d2U=")</f>
        <v>#REF!</v>
      </c>
      <c r="CY121" t="e">
        <f>IF(#REF!,"AAAAAHn/d2Y=",0)</f>
        <v>#REF!</v>
      </c>
      <c r="CZ121" t="e">
        <f>AND(#REF!,"AAAAAHn/d2c=")</f>
        <v>#REF!</v>
      </c>
      <c r="DA121" t="e">
        <f>AND(#REF!,"AAAAAHn/d2g=")</f>
        <v>#REF!</v>
      </c>
      <c r="DB121" t="e">
        <f>AND(#REF!,"AAAAAHn/d2k=")</f>
        <v>#REF!</v>
      </c>
      <c r="DC121" t="e">
        <f>AND(#REF!,"AAAAAHn/d2o=")</f>
        <v>#REF!</v>
      </c>
      <c r="DD121" t="e">
        <f>AND(#REF!,"AAAAAHn/d2s=")</f>
        <v>#REF!</v>
      </c>
      <c r="DE121" t="e">
        <f>AND(#REF!,"AAAAAHn/d2w=")</f>
        <v>#REF!</v>
      </c>
      <c r="DF121" t="e">
        <f>AND(#REF!,"AAAAAHn/d20=")</f>
        <v>#REF!</v>
      </c>
      <c r="DG121" t="e">
        <f>AND(#REF!,"AAAAAHn/d24=")</f>
        <v>#REF!</v>
      </c>
      <c r="DH121" t="e">
        <f>AND(#REF!,"AAAAAHn/d28=")</f>
        <v>#REF!</v>
      </c>
      <c r="DI121" t="e">
        <f>AND(#REF!,"AAAAAHn/d3A=")</f>
        <v>#REF!</v>
      </c>
      <c r="DJ121" t="e">
        <f>AND(#REF!,"AAAAAHn/d3E=")</f>
        <v>#REF!</v>
      </c>
      <c r="DK121" t="e">
        <f>AND(#REF!,"AAAAAHn/d3I=")</f>
        <v>#REF!</v>
      </c>
      <c r="DL121" t="e">
        <f>AND(#REF!,"AAAAAHn/d3M=")</f>
        <v>#REF!</v>
      </c>
      <c r="DM121" t="e">
        <f>AND(#REF!,"AAAAAHn/d3Q=")</f>
        <v>#REF!</v>
      </c>
      <c r="DN121" t="e">
        <f>AND(#REF!,"AAAAAHn/d3U=")</f>
        <v>#REF!</v>
      </c>
      <c r="DO121" t="e">
        <f>AND(#REF!,"AAAAAHn/d3Y=")</f>
        <v>#REF!</v>
      </c>
      <c r="DP121" t="e">
        <f>AND(#REF!,"AAAAAHn/d3c=")</f>
        <v>#REF!</v>
      </c>
      <c r="DQ121" t="e">
        <f>AND(#REF!,"AAAAAHn/d3g=")</f>
        <v>#REF!</v>
      </c>
      <c r="DR121" t="e">
        <f>AND(#REF!,"AAAAAHn/d3k=")</f>
        <v>#REF!</v>
      </c>
      <c r="DS121" t="e">
        <f>IF(#REF!,"AAAAAHn/d3o=",0)</f>
        <v>#REF!</v>
      </c>
      <c r="DT121" t="e">
        <f>AND(#REF!,"AAAAAHn/d3s=")</f>
        <v>#REF!</v>
      </c>
      <c r="DU121" t="e">
        <f>AND(#REF!,"AAAAAHn/d3w=")</f>
        <v>#REF!</v>
      </c>
      <c r="DV121" t="e">
        <f>AND(#REF!,"AAAAAHn/d30=")</f>
        <v>#REF!</v>
      </c>
      <c r="DW121" t="e">
        <f>AND(#REF!,"AAAAAHn/d34=")</f>
        <v>#REF!</v>
      </c>
      <c r="DX121" t="e">
        <f>AND(#REF!,"AAAAAHn/d38=")</f>
        <v>#REF!</v>
      </c>
      <c r="DY121" t="e">
        <f>AND(#REF!,"AAAAAHn/d4A=")</f>
        <v>#REF!</v>
      </c>
      <c r="DZ121" t="e">
        <f>AND(#REF!,"AAAAAHn/d4E=")</f>
        <v>#REF!</v>
      </c>
      <c r="EA121" t="e">
        <f>AND(#REF!,"AAAAAHn/d4I=")</f>
        <v>#REF!</v>
      </c>
      <c r="EB121" t="e">
        <f>AND(#REF!,"AAAAAHn/d4M=")</f>
        <v>#REF!</v>
      </c>
      <c r="EC121" t="e">
        <f>AND(#REF!,"AAAAAHn/d4Q=")</f>
        <v>#REF!</v>
      </c>
      <c r="ED121" t="e">
        <f>AND(#REF!,"AAAAAHn/d4U=")</f>
        <v>#REF!</v>
      </c>
      <c r="EE121" t="e">
        <f>AND(#REF!,"AAAAAHn/d4Y=")</f>
        <v>#REF!</v>
      </c>
      <c r="EF121" t="e">
        <f>AND(#REF!,"AAAAAHn/d4c=")</f>
        <v>#REF!</v>
      </c>
      <c r="EG121" t="e">
        <f>AND(#REF!,"AAAAAHn/d4g=")</f>
        <v>#REF!</v>
      </c>
      <c r="EH121" t="e">
        <f>AND(#REF!,"AAAAAHn/d4k=")</f>
        <v>#REF!</v>
      </c>
      <c r="EI121" t="e">
        <f>AND(#REF!,"AAAAAHn/d4o=")</f>
        <v>#REF!</v>
      </c>
      <c r="EJ121" t="e">
        <f>AND(#REF!,"AAAAAHn/d4s=")</f>
        <v>#REF!</v>
      </c>
      <c r="EK121" t="e">
        <f>AND(#REF!,"AAAAAHn/d4w=")</f>
        <v>#REF!</v>
      </c>
      <c r="EL121" t="e">
        <f>AND(#REF!,"AAAAAHn/d40=")</f>
        <v>#REF!</v>
      </c>
      <c r="EM121" t="e">
        <f>IF(#REF!,"AAAAAHn/d44=",0)</f>
        <v>#REF!</v>
      </c>
      <c r="EN121" t="e">
        <f>AND(#REF!,"AAAAAHn/d48=")</f>
        <v>#REF!</v>
      </c>
      <c r="EO121" t="e">
        <f>AND(#REF!,"AAAAAHn/d5A=")</f>
        <v>#REF!</v>
      </c>
      <c r="EP121" t="e">
        <f>AND(#REF!,"AAAAAHn/d5E=")</f>
        <v>#REF!</v>
      </c>
      <c r="EQ121" t="e">
        <f>AND(#REF!,"AAAAAHn/d5I=")</f>
        <v>#REF!</v>
      </c>
      <c r="ER121" t="e">
        <f>AND(#REF!,"AAAAAHn/d5M=")</f>
        <v>#REF!</v>
      </c>
      <c r="ES121" t="e">
        <f>AND(#REF!,"AAAAAHn/d5Q=")</f>
        <v>#REF!</v>
      </c>
      <c r="ET121" t="e">
        <f>AND(#REF!,"AAAAAHn/d5U=")</f>
        <v>#REF!</v>
      </c>
      <c r="EU121" t="e">
        <f>AND(#REF!,"AAAAAHn/d5Y=")</f>
        <v>#REF!</v>
      </c>
      <c r="EV121" t="e">
        <f>AND(#REF!,"AAAAAHn/d5c=")</f>
        <v>#REF!</v>
      </c>
      <c r="EW121" t="e">
        <f>AND(#REF!,"AAAAAHn/d5g=")</f>
        <v>#REF!</v>
      </c>
      <c r="EX121" t="e">
        <f>AND(#REF!,"AAAAAHn/d5k=")</f>
        <v>#REF!</v>
      </c>
      <c r="EY121" t="e">
        <f>AND(#REF!,"AAAAAHn/d5o=")</f>
        <v>#REF!</v>
      </c>
      <c r="EZ121" t="e">
        <f>AND(#REF!,"AAAAAHn/d5s=")</f>
        <v>#REF!</v>
      </c>
      <c r="FA121" t="e">
        <f>AND(#REF!,"AAAAAHn/d5w=")</f>
        <v>#REF!</v>
      </c>
      <c r="FB121" t="e">
        <f>AND(#REF!,"AAAAAHn/d50=")</f>
        <v>#REF!</v>
      </c>
      <c r="FC121" t="e">
        <f>AND(#REF!,"AAAAAHn/d54=")</f>
        <v>#REF!</v>
      </c>
      <c r="FD121" t="e">
        <f>AND(#REF!,"AAAAAHn/d58=")</f>
        <v>#REF!</v>
      </c>
      <c r="FE121" t="e">
        <f>AND(#REF!,"AAAAAHn/d6A=")</f>
        <v>#REF!</v>
      </c>
      <c r="FF121" t="e">
        <f>AND(#REF!,"AAAAAHn/d6E=")</f>
        <v>#REF!</v>
      </c>
      <c r="FG121" t="e">
        <f>IF(#REF!,"AAAAAHn/d6I=",0)</f>
        <v>#REF!</v>
      </c>
      <c r="FH121" t="e">
        <f>AND(#REF!,"AAAAAHn/d6M=")</f>
        <v>#REF!</v>
      </c>
      <c r="FI121" t="e">
        <f>AND(#REF!,"AAAAAHn/d6Q=")</f>
        <v>#REF!</v>
      </c>
      <c r="FJ121" t="e">
        <f>AND(#REF!,"AAAAAHn/d6U=")</f>
        <v>#REF!</v>
      </c>
      <c r="FK121" t="e">
        <f>AND(#REF!,"AAAAAHn/d6Y=")</f>
        <v>#REF!</v>
      </c>
      <c r="FL121" t="e">
        <f>AND(#REF!,"AAAAAHn/d6c=")</f>
        <v>#REF!</v>
      </c>
      <c r="FM121" t="e">
        <f>AND(#REF!,"AAAAAHn/d6g=")</f>
        <v>#REF!</v>
      </c>
      <c r="FN121" t="e">
        <f>AND(#REF!,"AAAAAHn/d6k=")</f>
        <v>#REF!</v>
      </c>
      <c r="FO121" t="e">
        <f>AND(#REF!,"AAAAAHn/d6o=")</f>
        <v>#REF!</v>
      </c>
      <c r="FP121" t="e">
        <f>AND(#REF!,"AAAAAHn/d6s=")</f>
        <v>#REF!</v>
      </c>
      <c r="FQ121" t="e">
        <f>AND(#REF!,"AAAAAHn/d6w=")</f>
        <v>#REF!</v>
      </c>
      <c r="FR121" t="e">
        <f>AND(#REF!,"AAAAAHn/d60=")</f>
        <v>#REF!</v>
      </c>
      <c r="FS121" t="e">
        <f>AND(#REF!,"AAAAAHn/d64=")</f>
        <v>#REF!</v>
      </c>
      <c r="FT121" t="e">
        <f>AND(#REF!,"AAAAAHn/d68=")</f>
        <v>#REF!</v>
      </c>
      <c r="FU121" t="e">
        <f>AND(#REF!,"AAAAAHn/d7A=")</f>
        <v>#REF!</v>
      </c>
      <c r="FV121" t="e">
        <f>AND(#REF!,"AAAAAHn/d7E=")</f>
        <v>#REF!</v>
      </c>
      <c r="FW121" t="e">
        <f>AND(#REF!,"AAAAAHn/d7I=")</f>
        <v>#REF!</v>
      </c>
      <c r="FX121" t="e">
        <f>AND(#REF!,"AAAAAHn/d7M=")</f>
        <v>#REF!</v>
      </c>
      <c r="FY121" t="e">
        <f>AND(#REF!,"AAAAAHn/d7Q=")</f>
        <v>#REF!</v>
      </c>
      <c r="FZ121" t="e">
        <f>AND(#REF!,"AAAAAHn/d7U=")</f>
        <v>#REF!</v>
      </c>
      <c r="GA121" t="e">
        <f>IF(#REF!,"AAAAAHn/d7Y=",0)</f>
        <v>#REF!</v>
      </c>
      <c r="GB121" t="e">
        <f>AND(#REF!,"AAAAAHn/d7c=")</f>
        <v>#REF!</v>
      </c>
      <c r="GC121" t="e">
        <f>AND(#REF!,"AAAAAHn/d7g=")</f>
        <v>#REF!</v>
      </c>
      <c r="GD121" t="e">
        <f>AND(#REF!,"AAAAAHn/d7k=")</f>
        <v>#REF!</v>
      </c>
      <c r="GE121" t="e">
        <f>AND(#REF!,"AAAAAHn/d7o=")</f>
        <v>#REF!</v>
      </c>
      <c r="GF121" t="e">
        <f>AND(#REF!,"AAAAAHn/d7s=")</f>
        <v>#REF!</v>
      </c>
      <c r="GG121" t="e">
        <f>AND(#REF!,"AAAAAHn/d7w=")</f>
        <v>#REF!</v>
      </c>
      <c r="GH121" t="e">
        <f>AND(#REF!,"AAAAAHn/d70=")</f>
        <v>#REF!</v>
      </c>
      <c r="GI121" t="e">
        <f>AND(#REF!,"AAAAAHn/d74=")</f>
        <v>#REF!</v>
      </c>
      <c r="GJ121" t="e">
        <f>AND(#REF!,"AAAAAHn/d78=")</f>
        <v>#REF!</v>
      </c>
      <c r="GK121" t="e">
        <f>AND(#REF!,"AAAAAHn/d8A=")</f>
        <v>#REF!</v>
      </c>
      <c r="GL121" t="e">
        <f>AND(#REF!,"AAAAAHn/d8E=")</f>
        <v>#REF!</v>
      </c>
      <c r="GM121" t="e">
        <f>AND(#REF!,"AAAAAHn/d8I=")</f>
        <v>#REF!</v>
      </c>
      <c r="GN121" t="e">
        <f>AND(#REF!,"AAAAAHn/d8M=")</f>
        <v>#REF!</v>
      </c>
      <c r="GO121" t="e">
        <f>AND(#REF!,"AAAAAHn/d8Q=")</f>
        <v>#REF!</v>
      </c>
      <c r="GP121" t="e">
        <f>AND(#REF!,"AAAAAHn/d8U=")</f>
        <v>#REF!</v>
      </c>
      <c r="GQ121" t="e">
        <f>AND(#REF!,"AAAAAHn/d8Y=")</f>
        <v>#REF!</v>
      </c>
      <c r="GR121" t="e">
        <f>AND(#REF!,"AAAAAHn/d8c=")</f>
        <v>#REF!</v>
      </c>
      <c r="GS121" t="e">
        <f>AND(#REF!,"AAAAAHn/d8g=")</f>
        <v>#REF!</v>
      </c>
      <c r="GT121" t="e">
        <f>AND(#REF!,"AAAAAHn/d8k=")</f>
        <v>#REF!</v>
      </c>
      <c r="GU121" t="e">
        <f>IF(#REF!,"AAAAAHn/d8o=",0)</f>
        <v>#REF!</v>
      </c>
      <c r="GV121" t="e">
        <f>AND(#REF!,"AAAAAHn/d8s=")</f>
        <v>#REF!</v>
      </c>
      <c r="GW121" t="e">
        <f>AND(#REF!,"AAAAAHn/d8w=")</f>
        <v>#REF!</v>
      </c>
      <c r="GX121" t="e">
        <f>AND(#REF!,"AAAAAHn/d80=")</f>
        <v>#REF!</v>
      </c>
      <c r="GY121" t="e">
        <f>AND(#REF!,"AAAAAHn/d84=")</f>
        <v>#REF!</v>
      </c>
      <c r="GZ121" t="e">
        <f>AND(#REF!,"AAAAAHn/d88=")</f>
        <v>#REF!</v>
      </c>
      <c r="HA121" t="e">
        <f>AND(#REF!,"AAAAAHn/d9A=")</f>
        <v>#REF!</v>
      </c>
      <c r="HB121" t="e">
        <f>AND(#REF!,"AAAAAHn/d9E=")</f>
        <v>#REF!</v>
      </c>
      <c r="HC121" t="e">
        <f>AND(#REF!,"AAAAAHn/d9I=")</f>
        <v>#REF!</v>
      </c>
      <c r="HD121" t="e">
        <f>AND(#REF!,"AAAAAHn/d9M=")</f>
        <v>#REF!</v>
      </c>
      <c r="HE121" t="e">
        <f>AND(#REF!,"AAAAAHn/d9Q=")</f>
        <v>#REF!</v>
      </c>
      <c r="HF121" t="e">
        <f>AND(#REF!,"AAAAAHn/d9U=")</f>
        <v>#REF!</v>
      </c>
      <c r="HG121" t="e">
        <f>AND(#REF!,"AAAAAHn/d9Y=")</f>
        <v>#REF!</v>
      </c>
      <c r="HH121" t="e">
        <f>AND(#REF!,"AAAAAHn/d9c=")</f>
        <v>#REF!</v>
      </c>
      <c r="HI121" t="e">
        <f>AND(#REF!,"AAAAAHn/d9g=")</f>
        <v>#REF!</v>
      </c>
      <c r="HJ121" t="e">
        <f>AND(#REF!,"AAAAAHn/d9k=")</f>
        <v>#REF!</v>
      </c>
      <c r="HK121" t="e">
        <f>AND(#REF!,"AAAAAHn/d9o=")</f>
        <v>#REF!</v>
      </c>
      <c r="HL121" t="e">
        <f>AND(#REF!,"AAAAAHn/d9s=")</f>
        <v>#REF!</v>
      </c>
      <c r="HM121" t="e">
        <f>AND(#REF!,"AAAAAHn/d9w=")</f>
        <v>#REF!</v>
      </c>
      <c r="HN121" t="e">
        <f>AND(#REF!,"AAAAAHn/d90=")</f>
        <v>#REF!</v>
      </c>
      <c r="HO121" t="e">
        <f>IF(#REF!,"AAAAAHn/d94=",0)</f>
        <v>#REF!</v>
      </c>
      <c r="HP121" t="e">
        <f>AND(#REF!,"AAAAAHn/d98=")</f>
        <v>#REF!</v>
      </c>
      <c r="HQ121" t="e">
        <f>AND(#REF!,"AAAAAHn/d+A=")</f>
        <v>#REF!</v>
      </c>
      <c r="HR121" t="e">
        <f>AND(#REF!,"AAAAAHn/d+E=")</f>
        <v>#REF!</v>
      </c>
      <c r="HS121" t="e">
        <f>AND(#REF!,"AAAAAHn/d+I=")</f>
        <v>#REF!</v>
      </c>
      <c r="HT121" t="e">
        <f>AND(#REF!,"AAAAAHn/d+M=")</f>
        <v>#REF!</v>
      </c>
      <c r="HU121" t="e">
        <f>AND(#REF!,"AAAAAHn/d+Q=")</f>
        <v>#REF!</v>
      </c>
      <c r="HV121" t="e">
        <f>AND(#REF!,"AAAAAHn/d+U=")</f>
        <v>#REF!</v>
      </c>
      <c r="HW121" t="e">
        <f>AND(#REF!,"AAAAAHn/d+Y=")</f>
        <v>#REF!</v>
      </c>
      <c r="HX121" t="e">
        <f>AND(#REF!,"AAAAAHn/d+c=")</f>
        <v>#REF!</v>
      </c>
      <c r="HY121" t="e">
        <f>AND(#REF!,"AAAAAHn/d+g=")</f>
        <v>#REF!</v>
      </c>
      <c r="HZ121" t="e">
        <f>AND(#REF!,"AAAAAHn/d+k=")</f>
        <v>#REF!</v>
      </c>
      <c r="IA121" t="e">
        <f>AND(#REF!,"AAAAAHn/d+o=")</f>
        <v>#REF!</v>
      </c>
      <c r="IB121" t="e">
        <f>AND(#REF!,"AAAAAHn/d+s=")</f>
        <v>#REF!</v>
      </c>
      <c r="IC121" t="e">
        <f>AND(#REF!,"AAAAAHn/d+w=")</f>
        <v>#REF!</v>
      </c>
      <c r="ID121" t="e">
        <f>AND(#REF!,"AAAAAHn/d+0=")</f>
        <v>#REF!</v>
      </c>
      <c r="IE121" t="e">
        <f>AND(#REF!,"AAAAAHn/d+4=")</f>
        <v>#REF!</v>
      </c>
      <c r="IF121" t="e">
        <f>AND(#REF!,"AAAAAHn/d+8=")</f>
        <v>#REF!</v>
      </c>
      <c r="IG121" t="e">
        <f>AND(#REF!,"AAAAAHn/d/A=")</f>
        <v>#REF!</v>
      </c>
      <c r="IH121" t="e">
        <f>AND(#REF!,"AAAAAHn/d/E=")</f>
        <v>#REF!</v>
      </c>
      <c r="II121" t="e">
        <f>IF(#REF!,"AAAAAHn/d/I=",0)</f>
        <v>#REF!</v>
      </c>
      <c r="IJ121" t="e">
        <f>AND(#REF!,"AAAAAHn/d/M=")</f>
        <v>#REF!</v>
      </c>
      <c r="IK121" t="e">
        <f>AND(#REF!,"AAAAAHn/d/Q=")</f>
        <v>#REF!</v>
      </c>
      <c r="IL121" t="e">
        <f>AND(#REF!,"AAAAAHn/d/U=")</f>
        <v>#REF!</v>
      </c>
      <c r="IM121" t="e">
        <f>AND(#REF!,"AAAAAHn/d/Y=")</f>
        <v>#REF!</v>
      </c>
      <c r="IN121" t="e">
        <f>AND(#REF!,"AAAAAHn/d/c=")</f>
        <v>#REF!</v>
      </c>
      <c r="IO121" t="e">
        <f>AND(#REF!,"AAAAAHn/d/g=")</f>
        <v>#REF!</v>
      </c>
      <c r="IP121" t="e">
        <f>AND(#REF!,"AAAAAHn/d/k=")</f>
        <v>#REF!</v>
      </c>
      <c r="IQ121" t="e">
        <f>AND(#REF!,"AAAAAHn/d/o=")</f>
        <v>#REF!</v>
      </c>
      <c r="IR121" t="e">
        <f>AND(#REF!,"AAAAAHn/d/s=")</f>
        <v>#REF!</v>
      </c>
      <c r="IS121" t="e">
        <f>AND(#REF!,"AAAAAHn/d/w=")</f>
        <v>#REF!</v>
      </c>
      <c r="IT121" t="e">
        <f>AND(#REF!,"AAAAAHn/d/0=")</f>
        <v>#REF!</v>
      </c>
      <c r="IU121" t="e">
        <f>AND(#REF!,"AAAAAHn/d/4=")</f>
        <v>#REF!</v>
      </c>
      <c r="IV121" t="e">
        <f>AND(#REF!,"AAAAAHn/d/8=")</f>
        <v>#REF!</v>
      </c>
    </row>
    <row r="122" spans="1:256" x14ac:dyDescent="0.2">
      <c r="A122" t="e">
        <f>AND(#REF!,"AAAAAB7f3wA=")</f>
        <v>#REF!</v>
      </c>
      <c r="B122" t="e">
        <f>AND(#REF!,"AAAAAB7f3wE=")</f>
        <v>#REF!</v>
      </c>
      <c r="C122" t="e">
        <f>AND(#REF!,"AAAAAB7f3wI=")</f>
        <v>#REF!</v>
      </c>
      <c r="D122" t="e">
        <f>AND(#REF!,"AAAAAB7f3wM=")</f>
        <v>#REF!</v>
      </c>
      <c r="E122" t="e">
        <f>AND(#REF!,"AAAAAB7f3wQ=")</f>
        <v>#REF!</v>
      </c>
      <c r="F122" t="e">
        <f>AND(#REF!,"AAAAAB7f3wU=")</f>
        <v>#REF!</v>
      </c>
      <c r="G122" t="e">
        <f>IF(#REF!,"AAAAAB7f3wY=",0)</f>
        <v>#REF!</v>
      </c>
      <c r="H122" t="e">
        <f>AND(#REF!,"AAAAAB7f3wc=")</f>
        <v>#REF!</v>
      </c>
      <c r="I122" t="e">
        <f>AND(#REF!,"AAAAAB7f3wg=")</f>
        <v>#REF!</v>
      </c>
      <c r="J122" t="e">
        <f>AND(#REF!,"AAAAAB7f3wk=")</f>
        <v>#REF!</v>
      </c>
      <c r="K122" t="e">
        <f>AND(#REF!,"AAAAAB7f3wo=")</f>
        <v>#REF!</v>
      </c>
      <c r="L122" t="e">
        <f>AND(#REF!,"AAAAAB7f3ws=")</f>
        <v>#REF!</v>
      </c>
      <c r="M122" t="e">
        <f>AND(#REF!,"AAAAAB7f3ww=")</f>
        <v>#REF!</v>
      </c>
      <c r="N122" t="e">
        <f>AND(#REF!,"AAAAAB7f3w0=")</f>
        <v>#REF!</v>
      </c>
      <c r="O122" t="e">
        <f>AND(#REF!,"AAAAAB7f3w4=")</f>
        <v>#REF!</v>
      </c>
      <c r="P122" t="e">
        <f>AND(#REF!,"AAAAAB7f3w8=")</f>
        <v>#REF!</v>
      </c>
      <c r="Q122" t="e">
        <f>AND(#REF!,"AAAAAB7f3xA=")</f>
        <v>#REF!</v>
      </c>
      <c r="R122" t="e">
        <f>AND(#REF!,"AAAAAB7f3xE=")</f>
        <v>#REF!</v>
      </c>
      <c r="S122" t="e">
        <f>AND(#REF!,"AAAAAB7f3xI=")</f>
        <v>#REF!</v>
      </c>
      <c r="T122" t="e">
        <f>AND(#REF!,"AAAAAB7f3xM=")</f>
        <v>#REF!</v>
      </c>
      <c r="U122" t="e">
        <f>AND(#REF!,"AAAAAB7f3xQ=")</f>
        <v>#REF!</v>
      </c>
      <c r="V122" t="e">
        <f>AND(#REF!,"AAAAAB7f3xU=")</f>
        <v>#REF!</v>
      </c>
      <c r="W122" t="e">
        <f>AND(#REF!,"AAAAAB7f3xY=")</f>
        <v>#REF!</v>
      </c>
      <c r="X122" t="e">
        <f>AND(#REF!,"AAAAAB7f3xc=")</f>
        <v>#REF!</v>
      </c>
      <c r="Y122" t="e">
        <f>AND(#REF!,"AAAAAB7f3xg=")</f>
        <v>#REF!</v>
      </c>
      <c r="Z122" t="e">
        <f>AND(#REF!,"AAAAAB7f3xk=")</f>
        <v>#REF!</v>
      </c>
      <c r="AA122" t="e">
        <f>IF(#REF!,"AAAAAB7f3xo=",0)</f>
        <v>#REF!</v>
      </c>
      <c r="AB122" t="e">
        <f>AND(#REF!,"AAAAAB7f3xs=")</f>
        <v>#REF!</v>
      </c>
      <c r="AC122" t="e">
        <f>AND(#REF!,"AAAAAB7f3xw=")</f>
        <v>#REF!</v>
      </c>
      <c r="AD122" t="e">
        <f>AND(#REF!,"AAAAAB7f3x0=")</f>
        <v>#REF!</v>
      </c>
      <c r="AE122" t="e">
        <f>AND(#REF!,"AAAAAB7f3x4=")</f>
        <v>#REF!</v>
      </c>
      <c r="AF122" t="e">
        <f>AND(#REF!,"AAAAAB7f3x8=")</f>
        <v>#REF!</v>
      </c>
      <c r="AG122" t="e">
        <f>AND(#REF!,"AAAAAB7f3yA=")</f>
        <v>#REF!</v>
      </c>
      <c r="AH122" t="e">
        <f>AND(#REF!,"AAAAAB7f3yE=")</f>
        <v>#REF!</v>
      </c>
      <c r="AI122" t="e">
        <f>AND(#REF!,"AAAAAB7f3yI=")</f>
        <v>#REF!</v>
      </c>
      <c r="AJ122" t="e">
        <f>AND(#REF!,"AAAAAB7f3yM=")</f>
        <v>#REF!</v>
      </c>
      <c r="AK122" t="e">
        <f>AND(#REF!,"AAAAAB7f3yQ=")</f>
        <v>#REF!</v>
      </c>
      <c r="AL122" t="e">
        <f>AND(#REF!,"AAAAAB7f3yU=")</f>
        <v>#REF!</v>
      </c>
      <c r="AM122" t="e">
        <f>AND(#REF!,"AAAAAB7f3yY=")</f>
        <v>#REF!</v>
      </c>
      <c r="AN122" t="e">
        <f>AND(#REF!,"AAAAAB7f3yc=")</f>
        <v>#REF!</v>
      </c>
      <c r="AO122" t="e">
        <f>AND(#REF!,"AAAAAB7f3yg=")</f>
        <v>#REF!</v>
      </c>
      <c r="AP122" t="e">
        <f>AND(#REF!,"AAAAAB7f3yk=")</f>
        <v>#REF!</v>
      </c>
      <c r="AQ122" t="e">
        <f>AND(#REF!,"AAAAAB7f3yo=")</f>
        <v>#REF!</v>
      </c>
      <c r="AR122" t="e">
        <f>AND(#REF!,"AAAAAB7f3ys=")</f>
        <v>#REF!</v>
      </c>
      <c r="AS122" t="e">
        <f>AND(#REF!,"AAAAAB7f3yw=")</f>
        <v>#REF!</v>
      </c>
      <c r="AT122" t="e">
        <f>AND(#REF!,"AAAAAB7f3y0=")</f>
        <v>#REF!</v>
      </c>
      <c r="AU122" t="e">
        <f>IF(#REF!,"AAAAAB7f3y4=",0)</f>
        <v>#REF!</v>
      </c>
      <c r="AV122" t="e">
        <f>AND(#REF!,"AAAAAB7f3y8=")</f>
        <v>#REF!</v>
      </c>
      <c r="AW122" t="e">
        <f>AND(#REF!,"AAAAAB7f3zA=")</f>
        <v>#REF!</v>
      </c>
      <c r="AX122" t="e">
        <f>AND(#REF!,"AAAAAB7f3zE=")</f>
        <v>#REF!</v>
      </c>
      <c r="AY122" t="e">
        <f>AND(#REF!,"AAAAAB7f3zI=")</f>
        <v>#REF!</v>
      </c>
      <c r="AZ122" t="e">
        <f>AND(#REF!,"AAAAAB7f3zM=")</f>
        <v>#REF!</v>
      </c>
      <c r="BA122" t="e">
        <f>AND(#REF!,"AAAAAB7f3zQ=")</f>
        <v>#REF!</v>
      </c>
      <c r="BB122" t="e">
        <f>AND(#REF!,"AAAAAB7f3zU=")</f>
        <v>#REF!</v>
      </c>
      <c r="BC122" t="e">
        <f>AND(#REF!,"AAAAAB7f3zY=")</f>
        <v>#REF!</v>
      </c>
      <c r="BD122" t="e">
        <f>AND(#REF!,"AAAAAB7f3zc=")</f>
        <v>#REF!</v>
      </c>
      <c r="BE122" t="e">
        <f>AND(#REF!,"AAAAAB7f3zg=")</f>
        <v>#REF!</v>
      </c>
      <c r="BF122" t="e">
        <f>AND(#REF!,"AAAAAB7f3zk=")</f>
        <v>#REF!</v>
      </c>
      <c r="BG122" t="e">
        <f>AND(#REF!,"AAAAAB7f3zo=")</f>
        <v>#REF!</v>
      </c>
      <c r="BH122" t="e">
        <f>AND(#REF!,"AAAAAB7f3zs=")</f>
        <v>#REF!</v>
      </c>
      <c r="BI122" t="e">
        <f>AND(#REF!,"AAAAAB7f3zw=")</f>
        <v>#REF!</v>
      </c>
      <c r="BJ122" t="e">
        <f>AND(#REF!,"AAAAAB7f3z0=")</f>
        <v>#REF!</v>
      </c>
      <c r="BK122" t="e">
        <f>AND(#REF!,"AAAAAB7f3z4=")</f>
        <v>#REF!</v>
      </c>
      <c r="BL122" t="e">
        <f>AND(#REF!,"AAAAAB7f3z8=")</f>
        <v>#REF!</v>
      </c>
      <c r="BM122" t="e">
        <f>AND(#REF!,"AAAAAB7f30A=")</f>
        <v>#REF!</v>
      </c>
      <c r="BN122" t="e">
        <f>AND(#REF!,"AAAAAB7f30E=")</f>
        <v>#REF!</v>
      </c>
      <c r="BO122" t="e">
        <f>IF(#REF!,"AAAAAB7f30I=",0)</f>
        <v>#REF!</v>
      </c>
      <c r="BP122" t="e">
        <f>AND(#REF!,"AAAAAB7f30M=")</f>
        <v>#REF!</v>
      </c>
      <c r="BQ122" t="e">
        <f>AND(#REF!,"AAAAAB7f30Q=")</f>
        <v>#REF!</v>
      </c>
      <c r="BR122" t="e">
        <f>AND(#REF!,"AAAAAB7f30U=")</f>
        <v>#REF!</v>
      </c>
      <c r="BS122" t="e">
        <f>AND(#REF!,"AAAAAB7f30Y=")</f>
        <v>#REF!</v>
      </c>
      <c r="BT122" t="e">
        <f>AND(#REF!,"AAAAAB7f30c=")</f>
        <v>#REF!</v>
      </c>
      <c r="BU122" t="e">
        <f>AND(#REF!,"AAAAAB7f30g=")</f>
        <v>#REF!</v>
      </c>
      <c r="BV122" t="e">
        <f>AND(#REF!,"AAAAAB7f30k=")</f>
        <v>#REF!</v>
      </c>
      <c r="BW122" t="e">
        <f>AND(#REF!,"AAAAAB7f30o=")</f>
        <v>#REF!</v>
      </c>
      <c r="BX122" t="e">
        <f>AND(#REF!,"AAAAAB7f30s=")</f>
        <v>#REF!</v>
      </c>
      <c r="BY122" t="e">
        <f>AND(#REF!,"AAAAAB7f30w=")</f>
        <v>#REF!</v>
      </c>
      <c r="BZ122" t="e">
        <f>AND(#REF!,"AAAAAB7f300=")</f>
        <v>#REF!</v>
      </c>
      <c r="CA122" t="e">
        <f>AND(#REF!,"AAAAAB7f304=")</f>
        <v>#REF!</v>
      </c>
      <c r="CB122" t="e">
        <f>AND(#REF!,"AAAAAB7f308=")</f>
        <v>#REF!</v>
      </c>
      <c r="CC122" t="e">
        <f>AND(#REF!,"AAAAAB7f31A=")</f>
        <v>#REF!</v>
      </c>
      <c r="CD122" t="e">
        <f>AND(#REF!,"AAAAAB7f31E=")</f>
        <v>#REF!</v>
      </c>
      <c r="CE122" t="e">
        <f>AND(#REF!,"AAAAAB7f31I=")</f>
        <v>#REF!</v>
      </c>
      <c r="CF122" t="e">
        <f>AND(#REF!,"AAAAAB7f31M=")</f>
        <v>#REF!</v>
      </c>
      <c r="CG122" t="e">
        <f>AND(#REF!,"AAAAAB7f31Q=")</f>
        <v>#REF!</v>
      </c>
      <c r="CH122" t="e">
        <f>AND(#REF!,"AAAAAB7f31U=")</f>
        <v>#REF!</v>
      </c>
      <c r="CI122" t="e">
        <f>IF(#REF!,"AAAAAB7f31Y=",0)</f>
        <v>#REF!</v>
      </c>
      <c r="CJ122" t="e">
        <f>AND(#REF!,"AAAAAB7f31c=")</f>
        <v>#REF!</v>
      </c>
      <c r="CK122" t="e">
        <f>AND(#REF!,"AAAAAB7f31g=")</f>
        <v>#REF!</v>
      </c>
      <c r="CL122" t="e">
        <f>AND(#REF!,"AAAAAB7f31k=")</f>
        <v>#REF!</v>
      </c>
      <c r="CM122" t="e">
        <f>AND(#REF!,"AAAAAB7f31o=")</f>
        <v>#REF!</v>
      </c>
      <c r="CN122" t="e">
        <f>AND(#REF!,"AAAAAB7f31s=")</f>
        <v>#REF!</v>
      </c>
      <c r="CO122" t="e">
        <f>AND(#REF!,"AAAAAB7f31w=")</f>
        <v>#REF!</v>
      </c>
      <c r="CP122" t="e">
        <f>AND(#REF!,"AAAAAB7f310=")</f>
        <v>#REF!</v>
      </c>
      <c r="CQ122" t="e">
        <f>AND(#REF!,"AAAAAB7f314=")</f>
        <v>#REF!</v>
      </c>
      <c r="CR122" t="e">
        <f>AND(#REF!,"AAAAAB7f318=")</f>
        <v>#REF!</v>
      </c>
      <c r="CS122" t="e">
        <f>AND(#REF!,"AAAAAB7f32A=")</f>
        <v>#REF!</v>
      </c>
      <c r="CT122" t="e">
        <f>AND(#REF!,"AAAAAB7f32E=")</f>
        <v>#REF!</v>
      </c>
      <c r="CU122" t="e">
        <f>AND(#REF!,"AAAAAB7f32I=")</f>
        <v>#REF!</v>
      </c>
      <c r="CV122" t="e">
        <f>AND(#REF!,"AAAAAB7f32M=")</f>
        <v>#REF!</v>
      </c>
      <c r="CW122" t="e">
        <f>AND(#REF!,"AAAAAB7f32Q=")</f>
        <v>#REF!</v>
      </c>
      <c r="CX122" t="e">
        <f>AND(#REF!,"AAAAAB7f32U=")</f>
        <v>#REF!</v>
      </c>
      <c r="CY122" t="e">
        <f>AND(#REF!,"AAAAAB7f32Y=")</f>
        <v>#REF!</v>
      </c>
      <c r="CZ122" t="e">
        <f>AND(#REF!,"AAAAAB7f32c=")</f>
        <v>#REF!</v>
      </c>
      <c r="DA122" t="e">
        <f>AND(#REF!,"AAAAAB7f32g=")</f>
        <v>#REF!</v>
      </c>
      <c r="DB122" t="e">
        <f>AND(#REF!,"AAAAAB7f32k=")</f>
        <v>#REF!</v>
      </c>
      <c r="DC122" t="e">
        <f>IF(#REF!,"AAAAAB7f32o=",0)</f>
        <v>#REF!</v>
      </c>
      <c r="DD122" t="e">
        <f>AND(#REF!,"AAAAAB7f32s=")</f>
        <v>#REF!</v>
      </c>
      <c r="DE122" t="e">
        <f>AND(#REF!,"AAAAAB7f32w=")</f>
        <v>#REF!</v>
      </c>
      <c r="DF122" t="e">
        <f>AND(#REF!,"AAAAAB7f320=")</f>
        <v>#REF!</v>
      </c>
      <c r="DG122" t="e">
        <f>AND(#REF!,"AAAAAB7f324=")</f>
        <v>#REF!</v>
      </c>
      <c r="DH122" t="e">
        <f>AND(#REF!,"AAAAAB7f328=")</f>
        <v>#REF!</v>
      </c>
      <c r="DI122" t="e">
        <f>AND(#REF!,"AAAAAB7f33A=")</f>
        <v>#REF!</v>
      </c>
      <c r="DJ122" t="e">
        <f>AND(#REF!,"AAAAAB7f33E=")</f>
        <v>#REF!</v>
      </c>
      <c r="DK122" t="e">
        <f>AND(#REF!,"AAAAAB7f33I=")</f>
        <v>#REF!</v>
      </c>
      <c r="DL122" t="e">
        <f>AND(#REF!,"AAAAAB7f33M=")</f>
        <v>#REF!</v>
      </c>
      <c r="DM122" t="e">
        <f>AND(#REF!,"AAAAAB7f33Q=")</f>
        <v>#REF!</v>
      </c>
      <c r="DN122" t="e">
        <f>AND(#REF!,"AAAAAB7f33U=")</f>
        <v>#REF!</v>
      </c>
      <c r="DO122" t="e">
        <f>AND(#REF!,"AAAAAB7f33Y=")</f>
        <v>#REF!</v>
      </c>
      <c r="DP122" t="e">
        <f>AND(#REF!,"AAAAAB7f33c=")</f>
        <v>#REF!</v>
      </c>
      <c r="DQ122" t="e">
        <f>AND(#REF!,"AAAAAB7f33g=")</f>
        <v>#REF!</v>
      </c>
      <c r="DR122" t="e">
        <f>AND(#REF!,"AAAAAB7f33k=")</f>
        <v>#REF!</v>
      </c>
      <c r="DS122" t="e">
        <f>AND(#REF!,"AAAAAB7f33o=")</f>
        <v>#REF!</v>
      </c>
      <c r="DT122" t="e">
        <f>AND(#REF!,"AAAAAB7f33s=")</f>
        <v>#REF!</v>
      </c>
      <c r="DU122" t="e">
        <f>AND(#REF!,"AAAAAB7f33w=")</f>
        <v>#REF!</v>
      </c>
      <c r="DV122" t="e">
        <f>AND(#REF!,"AAAAAB7f330=")</f>
        <v>#REF!</v>
      </c>
      <c r="DW122" t="e">
        <f>IF(#REF!,"AAAAAB7f334=",0)</f>
        <v>#REF!</v>
      </c>
      <c r="DX122" t="e">
        <f>AND(#REF!,"AAAAAB7f338=")</f>
        <v>#REF!</v>
      </c>
      <c r="DY122" t="e">
        <f>AND(#REF!,"AAAAAB7f34A=")</f>
        <v>#REF!</v>
      </c>
      <c r="DZ122" t="e">
        <f>AND(#REF!,"AAAAAB7f34E=")</f>
        <v>#REF!</v>
      </c>
      <c r="EA122" t="e">
        <f>AND(#REF!,"AAAAAB7f34I=")</f>
        <v>#REF!</v>
      </c>
      <c r="EB122" t="e">
        <f>AND(#REF!,"AAAAAB7f34M=")</f>
        <v>#REF!</v>
      </c>
      <c r="EC122" t="e">
        <f>AND(#REF!,"AAAAAB7f34Q=")</f>
        <v>#REF!</v>
      </c>
      <c r="ED122" t="e">
        <f>AND(#REF!,"AAAAAB7f34U=")</f>
        <v>#REF!</v>
      </c>
      <c r="EE122" t="e">
        <f>AND(#REF!,"AAAAAB7f34Y=")</f>
        <v>#REF!</v>
      </c>
      <c r="EF122" t="e">
        <f>AND(#REF!,"AAAAAB7f34c=")</f>
        <v>#REF!</v>
      </c>
      <c r="EG122" t="e">
        <f>AND(#REF!,"AAAAAB7f34g=")</f>
        <v>#REF!</v>
      </c>
      <c r="EH122" t="e">
        <f>AND(#REF!,"AAAAAB7f34k=")</f>
        <v>#REF!</v>
      </c>
      <c r="EI122" t="e">
        <f>AND(#REF!,"AAAAAB7f34o=")</f>
        <v>#REF!</v>
      </c>
      <c r="EJ122" t="e">
        <f>AND(#REF!,"AAAAAB7f34s=")</f>
        <v>#REF!</v>
      </c>
      <c r="EK122" t="e">
        <f>AND(#REF!,"AAAAAB7f34w=")</f>
        <v>#REF!</v>
      </c>
      <c r="EL122" t="e">
        <f>AND(#REF!,"AAAAAB7f340=")</f>
        <v>#REF!</v>
      </c>
      <c r="EM122" t="e">
        <f>AND(#REF!,"AAAAAB7f344=")</f>
        <v>#REF!</v>
      </c>
      <c r="EN122" t="e">
        <f>AND(#REF!,"AAAAAB7f348=")</f>
        <v>#REF!</v>
      </c>
      <c r="EO122" t="e">
        <f>AND(#REF!,"AAAAAB7f35A=")</f>
        <v>#REF!</v>
      </c>
      <c r="EP122" t="e">
        <f>AND(#REF!,"AAAAAB7f35E=")</f>
        <v>#REF!</v>
      </c>
      <c r="EQ122" t="e">
        <f>IF(#REF!,"AAAAAB7f35I=",0)</f>
        <v>#REF!</v>
      </c>
      <c r="ER122" t="e">
        <f>AND(#REF!,"AAAAAB7f35M=")</f>
        <v>#REF!</v>
      </c>
      <c r="ES122" t="e">
        <f>AND(#REF!,"AAAAAB7f35Q=")</f>
        <v>#REF!</v>
      </c>
      <c r="ET122" t="e">
        <f>AND(#REF!,"AAAAAB7f35U=")</f>
        <v>#REF!</v>
      </c>
      <c r="EU122" t="e">
        <f>AND(#REF!,"AAAAAB7f35Y=")</f>
        <v>#REF!</v>
      </c>
      <c r="EV122" t="e">
        <f>AND(#REF!,"AAAAAB7f35c=")</f>
        <v>#REF!</v>
      </c>
      <c r="EW122" t="e">
        <f>AND(#REF!,"AAAAAB7f35g=")</f>
        <v>#REF!</v>
      </c>
      <c r="EX122" t="e">
        <f>AND(#REF!,"AAAAAB7f35k=")</f>
        <v>#REF!</v>
      </c>
      <c r="EY122" t="e">
        <f>AND(#REF!,"AAAAAB7f35o=")</f>
        <v>#REF!</v>
      </c>
      <c r="EZ122" t="e">
        <f>AND(#REF!,"AAAAAB7f35s=")</f>
        <v>#REF!</v>
      </c>
      <c r="FA122" t="e">
        <f>AND(#REF!,"AAAAAB7f35w=")</f>
        <v>#REF!</v>
      </c>
      <c r="FB122" t="e">
        <f>AND(#REF!,"AAAAAB7f350=")</f>
        <v>#REF!</v>
      </c>
      <c r="FC122" t="e">
        <f>AND(#REF!,"AAAAAB7f354=")</f>
        <v>#REF!</v>
      </c>
      <c r="FD122" t="e">
        <f>AND(#REF!,"AAAAAB7f358=")</f>
        <v>#REF!</v>
      </c>
      <c r="FE122" t="e">
        <f>AND(#REF!,"AAAAAB7f36A=")</f>
        <v>#REF!</v>
      </c>
      <c r="FF122" t="e">
        <f>AND(#REF!,"AAAAAB7f36E=")</f>
        <v>#REF!</v>
      </c>
      <c r="FG122" t="e">
        <f>AND(#REF!,"AAAAAB7f36I=")</f>
        <v>#REF!</v>
      </c>
      <c r="FH122" t="e">
        <f>AND(#REF!,"AAAAAB7f36M=")</f>
        <v>#REF!</v>
      </c>
      <c r="FI122" t="e">
        <f>AND(#REF!,"AAAAAB7f36Q=")</f>
        <v>#REF!</v>
      </c>
      <c r="FJ122" t="e">
        <f>AND(#REF!,"AAAAAB7f36U=")</f>
        <v>#REF!</v>
      </c>
      <c r="FK122" t="e">
        <f>IF(#REF!,"AAAAAB7f36Y=",0)</f>
        <v>#REF!</v>
      </c>
      <c r="FL122" t="e">
        <f>AND(#REF!,"AAAAAB7f36c=")</f>
        <v>#REF!</v>
      </c>
      <c r="FM122" t="e">
        <f>AND(#REF!,"AAAAAB7f36g=")</f>
        <v>#REF!</v>
      </c>
      <c r="FN122" t="e">
        <f>AND(#REF!,"AAAAAB7f36k=")</f>
        <v>#REF!</v>
      </c>
      <c r="FO122" t="e">
        <f>AND(#REF!,"AAAAAB7f36o=")</f>
        <v>#REF!</v>
      </c>
      <c r="FP122" t="e">
        <f>AND(#REF!,"AAAAAB7f36s=")</f>
        <v>#REF!</v>
      </c>
      <c r="FQ122" t="e">
        <f>AND(#REF!,"AAAAAB7f36w=")</f>
        <v>#REF!</v>
      </c>
      <c r="FR122" t="e">
        <f>AND(#REF!,"AAAAAB7f360=")</f>
        <v>#REF!</v>
      </c>
      <c r="FS122" t="e">
        <f>AND(#REF!,"AAAAAB7f364=")</f>
        <v>#REF!</v>
      </c>
      <c r="FT122" t="e">
        <f>AND(#REF!,"AAAAAB7f368=")</f>
        <v>#REF!</v>
      </c>
      <c r="FU122" t="e">
        <f>AND(#REF!,"AAAAAB7f37A=")</f>
        <v>#REF!</v>
      </c>
      <c r="FV122" t="e">
        <f>AND(#REF!,"AAAAAB7f37E=")</f>
        <v>#REF!</v>
      </c>
      <c r="FW122" t="e">
        <f>AND(#REF!,"AAAAAB7f37I=")</f>
        <v>#REF!</v>
      </c>
      <c r="FX122" t="e">
        <f>AND(#REF!,"AAAAAB7f37M=")</f>
        <v>#REF!</v>
      </c>
      <c r="FY122" t="e">
        <f>AND(#REF!,"AAAAAB7f37Q=")</f>
        <v>#REF!</v>
      </c>
      <c r="FZ122" t="e">
        <f>AND(#REF!,"AAAAAB7f37U=")</f>
        <v>#REF!</v>
      </c>
      <c r="GA122" t="e">
        <f>AND(#REF!,"AAAAAB7f37Y=")</f>
        <v>#REF!</v>
      </c>
      <c r="GB122" t="e">
        <f>AND(#REF!,"AAAAAB7f37c=")</f>
        <v>#REF!</v>
      </c>
      <c r="GC122" t="e">
        <f>AND(#REF!,"AAAAAB7f37g=")</f>
        <v>#REF!</v>
      </c>
      <c r="GD122" t="e">
        <f>AND(#REF!,"AAAAAB7f37k=")</f>
        <v>#REF!</v>
      </c>
      <c r="GE122" t="e">
        <f>IF(#REF!,"AAAAAB7f37o=",0)</f>
        <v>#REF!</v>
      </c>
      <c r="GF122" t="e">
        <f>AND(#REF!,"AAAAAB7f37s=")</f>
        <v>#REF!</v>
      </c>
      <c r="GG122" t="e">
        <f>AND(#REF!,"AAAAAB7f37w=")</f>
        <v>#REF!</v>
      </c>
      <c r="GH122" t="e">
        <f>AND(#REF!,"AAAAAB7f370=")</f>
        <v>#REF!</v>
      </c>
      <c r="GI122" t="e">
        <f>AND(#REF!,"AAAAAB7f374=")</f>
        <v>#REF!</v>
      </c>
      <c r="GJ122" t="e">
        <f>AND(#REF!,"AAAAAB7f378=")</f>
        <v>#REF!</v>
      </c>
      <c r="GK122" t="e">
        <f>AND(#REF!,"AAAAAB7f38A=")</f>
        <v>#REF!</v>
      </c>
      <c r="GL122" t="e">
        <f>AND(#REF!,"AAAAAB7f38E=")</f>
        <v>#REF!</v>
      </c>
      <c r="GM122" t="e">
        <f>AND(#REF!,"AAAAAB7f38I=")</f>
        <v>#REF!</v>
      </c>
      <c r="GN122" t="e">
        <f>AND(#REF!,"AAAAAB7f38M=")</f>
        <v>#REF!</v>
      </c>
      <c r="GO122" t="e">
        <f>AND(#REF!,"AAAAAB7f38Q=")</f>
        <v>#REF!</v>
      </c>
      <c r="GP122" t="e">
        <f>AND(#REF!,"AAAAAB7f38U=")</f>
        <v>#REF!</v>
      </c>
      <c r="GQ122" t="e">
        <f>AND(#REF!,"AAAAAB7f38Y=")</f>
        <v>#REF!</v>
      </c>
      <c r="GR122" t="e">
        <f>AND(#REF!,"AAAAAB7f38c=")</f>
        <v>#REF!</v>
      </c>
      <c r="GS122" t="e">
        <f>AND(#REF!,"AAAAAB7f38g=")</f>
        <v>#REF!</v>
      </c>
      <c r="GT122" t="e">
        <f>AND(#REF!,"AAAAAB7f38k=")</f>
        <v>#REF!</v>
      </c>
      <c r="GU122" t="e">
        <f>AND(#REF!,"AAAAAB7f38o=")</f>
        <v>#REF!</v>
      </c>
      <c r="GV122" t="e">
        <f>AND(#REF!,"AAAAAB7f38s=")</f>
        <v>#REF!</v>
      </c>
      <c r="GW122" t="e">
        <f>AND(#REF!,"AAAAAB7f38w=")</f>
        <v>#REF!</v>
      </c>
      <c r="GX122" t="e">
        <f>AND(#REF!,"AAAAAB7f380=")</f>
        <v>#REF!</v>
      </c>
      <c r="GY122" t="e">
        <f>IF(#REF!,"AAAAAB7f384=",0)</f>
        <v>#REF!</v>
      </c>
      <c r="GZ122" t="e">
        <f>AND(#REF!,"AAAAAB7f388=")</f>
        <v>#REF!</v>
      </c>
      <c r="HA122" t="e">
        <f>AND(#REF!,"AAAAAB7f39A=")</f>
        <v>#REF!</v>
      </c>
      <c r="HB122" t="e">
        <f>AND(#REF!,"AAAAAB7f39E=")</f>
        <v>#REF!</v>
      </c>
      <c r="HC122" t="e">
        <f>AND(#REF!,"AAAAAB7f39I=")</f>
        <v>#REF!</v>
      </c>
      <c r="HD122" t="e">
        <f>AND(#REF!,"AAAAAB7f39M=")</f>
        <v>#REF!</v>
      </c>
      <c r="HE122" t="e">
        <f>AND(#REF!,"AAAAAB7f39Q=")</f>
        <v>#REF!</v>
      </c>
      <c r="HF122" t="e">
        <f>AND(#REF!,"AAAAAB7f39U=")</f>
        <v>#REF!</v>
      </c>
      <c r="HG122" t="e">
        <f>AND(#REF!,"AAAAAB7f39Y=")</f>
        <v>#REF!</v>
      </c>
      <c r="HH122" t="e">
        <f>AND(#REF!,"AAAAAB7f39c=")</f>
        <v>#REF!</v>
      </c>
      <c r="HI122" t="e">
        <f>AND(#REF!,"AAAAAB7f39g=")</f>
        <v>#REF!</v>
      </c>
      <c r="HJ122" t="e">
        <f>AND(#REF!,"AAAAAB7f39k=")</f>
        <v>#REF!</v>
      </c>
      <c r="HK122" t="e">
        <f>AND(#REF!,"AAAAAB7f39o=")</f>
        <v>#REF!</v>
      </c>
      <c r="HL122" t="e">
        <f>AND(#REF!,"AAAAAB7f39s=")</f>
        <v>#REF!</v>
      </c>
      <c r="HM122" t="e">
        <f>AND(#REF!,"AAAAAB7f39w=")</f>
        <v>#REF!</v>
      </c>
      <c r="HN122" t="e">
        <f>AND(#REF!,"AAAAAB7f390=")</f>
        <v>#REF!</v>
      </c>
      <c r="HO122" t="e">
        <f>AND(#REF!,"AAAAAB7f394=")</f>
        <v>#REF!</v>
      </c>
      <c r="HP122" t="e">
        <f>AND(#REF!,"AAAAAB7f398=")</f>
        <v>#REF!</v>
      </c>
      <c r="HQ122" t="e">
        <f>AND(#REF!,"AAAAAB7f3+A=")</f>
        <v>#REF!</v>
      </c>
      <c r="HR122" t="e">
        <f>AND(#REF!,"AAAAAB7f3+E=")</f>
        <v>#REF!</v>
      </c>
      <c r="HS122" t="e">
        <f>IF(#REF!,"AAAAAB7f3+I=",0)</f>
        <v>#REF!</v>
      </c>
      <c r="HT122" t="e">
        <f>AND(#REF!,"AAAAAB7f3+M=")</f>
        <v>#REF!</v>
      </c>
      <c r="HU122" t="e">
        <f>AND(#REF!,"AAAAAB7f3+Q=")</f>
        <v>#REF!</v>
      </c>
      <c r="HV122" t="e">
        <f>AND(#REF!,"AAAAAB7f3+U=")</f>
        <v>#REF!</v>
      </c>
      <c r="HW122" t="e">
        <f>AND(#REF!,"AAAAAB7f3+Y=")</f>
        <v>#REF!</v>
      </c>
      <c r="HX122" t="e">
        <f>AND(#REF!,"AAAAAB7f3+c=")</f>
        <v>#REF!</v>
      </c>
      <c r="HY122" t="e">
        <f>AND(#REF!,"AAAAAB7f3+g=")</f>
        <v>#REF!</v>
      </c>
      <c r="HZ122" t="e">
        <f>AND(#REF!,"AAAAAB7f3+k=")</f>
        <v>#REF!</v>
      </c>
      <c r="IA122" t="e">
        <f>AND(#REF!,"AAAAAB7f3+o=")</f>
        <v>#REF!</v>
      </c>
      <c r="IB122" t="e">
        <f>AND(#REF!,"AAAAAB7f3+s=")</f>
        <v>#REF!</v>
      </c>
      <c r="IC122" t="e">
        <f>AND(#REF!,"AAAAAB7f3+w=")</f>
        <v>#REF!</v>
      </c>
      <c r="ID122" t="e">
        <f>AND(#REF!,"AAAAAB7f3+0=")</f>
        <v>#REF!</v>
      </c>
      <c r="IE122" t="e">
        <f>AND(#REF!,"AAAAAB7f3+4=")</f>
        <v>#REF!</v>
      </c>
      <c r="IF122" t="e">
        <f>AND(#REF!,"AAAAAB7f3+8=")</f>
        <v>#REF!</v>
      </c>
      <c r="IG122" t="e">
        <f>AND(#REF!,"AAAAAB7f3/A=")</f>
        <v>#REF!</v>
      </c>
      <c r="IH122" t="e">
        <f>AND(#REF!,"AAAAAB7f3/E=")</f>
        <v>#REF!</v>
      </c>
      <c r="II122" t="e">
        <f>AND(#REF!,"AAAAAB7f3/I=")</f>
        <v>#REF!</v>
      </c>
      <c r="IJ122" t="e">
        <f>AND(#REF!,"AAAAAB7f3/M=")</f>
        <v>#REF!</v>
      </c>
      <c r="IK122" t="e">
        <f>AND(#REF!,"AAAAAB7f3/Q=")</f>
        <v>#REF!</v>
      </c>
      <c r="IL122" t="e">
        <f>AND(#REF!,"AAAAAB7f3/U=")</f>
        <v>#REF!</v>
      </c>
      <c r="IM122" t="e">
        <f>IF(#REF!,"AAAAAB7f3/Y=",0)</f>
        <v>#REF!</v>
      </c>
      <c r="IN122" t="e">
        <f>AND(#REF!,"AAAAAB7f3/c=")</f>
        <v>#REF!</v>
      </c>
      <c r="IO122" t="e">
        <f>AND(#REF!,"AAAAAB7f3/g=")</f>
        <v>#REF!</v>
      </c>
      <c r="IP122" t="e">
        <f>AND(#REF!,"AAAAAB7f3/k=")</f>
        <v>#REF!</v>
      </c>
      <c r="IQ122" t="e">
        <f>AND(#REF!,"AAAAAB7f3/o=")</f>
        <v>#REF!</v>
      </c>
      <c r="IR122" t="e">
        <f>AND(#REF!,"AAAAAB7f3/s=")</f>
        <v>#REF!</v>
      </c>
      <c r="IS122" t="e">
        <f>AND(#REF!,"AAAAAB7f3/w=")</f>
        <v>#REF!</v>
      </c>
      <c r="IT122" t="e">
        <f>AND(#REF!,"AAAAAB7f3/0=")</f>
        <v>#REF!</v>
      </c>
      <c r="IU122" t="e">
        <f>AND(#REF!,"AAAAAB7f3/4=")</f>
        <v>#REF!</v>
      </c>
      <c r="IV122" t="e">
        <f>AND(#REF!,"AAAAAB7f3/8=")</f>
        <v>#REF!</v>
      </c>
    </row>
    <row r="123" spans="1:256" x14ac:dyDescent="0.2">
      <c r="A123" t="e">
        <f>AND(#REF!,"AAAAAHdv7AA=")</f>
        <v>#REF!</v>
      </c>
      <c r="B123" t="e">
        <f>AND(#REF!,"AAAAAHdv7AE=")</f>
        <v>#REF!</v>
      </c>
      <c r="C123" t="e">
        <f>AND(#REF!,"AAAAAHdv7AI=")</f>
        <v>#REF!</v>
      </c>
      <c r="D123" t="e">
        <f>AND(#REF!,"AAAAAHdv7AM=")</f>
        <v>#REF!</v>
      </c>
      <c r="E123" t="e">
        <f>AND(#REF!,"AAAAAHdv7AQ=")</f>
        <v>#REF!</v>
      </c>
      <c r="F123" t="e">
        <f>AND(#REF!,"AAAAAHdv7AU=")</f>
        <v>#REF!</v>
      </c>
      <c r="G123" t="e">
        <f>AND(#REF!,"AAAAAHdv7AY=")</f>
        <v>#REF!</v>
      </c>
      <c r="H123" t="e">
        <f>AND(#REF!,"AAAAAHdv7Ac=")</f>
        <v>#REF!</v>
      </c>
      <c r="I123" t="e">
        <f>AND(#REF!,"AAAAAHdv7Ag=")</f>
        <v>#REF!</v>
      </c>
      <c r="J123" t="e">
        <f>AND(#REF!,"AAAAAHdv7Ak=")</f>
        <v>#REF!</v>
      </c>
      <c r="K123" t="e">
        <f>IF(#REF!,"AAAAAHdv7Ao=",0)</f>
        <v>#REF!</v>
      </c>
      <c r="L123" t="e">
        <f>AND(#REF!,"AAAAAHdv7As=")</f>
        <v>#REF!</v>
      </c>
      <c r="M123" t="e">
        <f>AND(#REF!,"AAAAAHdv7Aw=")</f>
        <v>#REF!</v>
      </c>
      <c r="N123" t="e">
        <f>AND(#REF!,"AAAAAHdv7A0=")</f>
        <v>#REF!</v>
      </c>
      <c r="O123" t="e">
        <f>AND(#REF!,"AAAAAHdv7A4=")</f>
        <v>#REF!</v>
      </c>
      <c r="P123" t="e">
        <f>AND(#REF!,"AAAAAHdv7A8=")</f>
        <v>#REF!</v>
      </c>
      <c r="Q123" t="e">
        <f>AND(#REF!,"AAAAAHdv7BA=")</f>
        <v>#REF!</v>
      </c>
      <c r="R123" t="e">
        <f>AND(#REF!,"AAAAAHdv7BE=")</f>
        <v>#REF!</v>
      </c>
      <c r="S123" t="e">
        <f>AND(#REF!,"AAAAAHdv7BI=")</f>
        <v>#REF!</v>
      </c>
      <c r="T123" t="e">
        <f>AND(#REF!,"AAAAAHdv7BM=")</f>
        <v>#REF!</v>
      </c>
      <c r="U123" t="e">
        <f>AND(#REF!,"AAAAAHdv7BQ=")</f>
        <v>#REF!</v>
      </c>
      <c r="V123" t="e">
        <f>AND(#REF!,"AAAAAHdv7BU=")</f>
        <v>#REF!</v>
      </c>
      <c r="W123" t="e">
        <f>AND(#REF!,"AAAAAHdv7BY=")</f>
        <v>#REF!</v>
      </c>
      <c r="X123" t="e">
        <f>AND(#REF!,"AAAAAHdv7Bc=")</f>
        <v>#REF!</v>
      </c>
      <c r="Y123" t="e">
        <f>AND(#REF!,"AAAAAHdv7Bg=")</f>
        <v>#REF!</v>
      </c>
      <c r="Z123" t="e">
        <f>AND(#REF!,"AAAAAHdv7Bk=")</f>
        <v>#REF!</v>
      </c>
      <c r="AA123" t="e">
        <f>AND(#REF!,"AAAAAHdv7Bo=")</f>
        <v>#REF!</v>
      </c>
      <c r="AB123" t="e">
        <f>AND(#REF!,"AAAAAHdv7Bs=")</f>
        <v>#REF!</v>
      </c>
      <c r="AC123" t="e">
        <f>AND(#REF!,"AAAAAHdv7Bw=")</f>
        <v>#REF!</v>
      </c>
      <c r="AD123" t="e">
        <f>AND(#REF!,"AAAAAHdv7B0=")</f>
        <v>#REF!</v>
      </c>
      <c r="AE123" t="e">
        <f>IF(#REF!,"AAAAAHdv7B4=",0)</f>
        <v>#REF!</v>
      </c>
      <c r="AF123" t="e">
        <f>AND(#REF!,"AAAAAHdv7B8=")</f>
        <v>#REF!</v>
      </c>
      <c r="AG123" t="e">
        <f>AND(#REF!,"AAAAAHdv7CA=")</f>
        <v>#REF!</v>
      </c>
      <c r="AH123" t="e">
        <f>AND(#REF!,"AAAAAHdv7CE=")</f>
        <v>#REF!</v>
      </c>
      <c r="AI123" t="e">
        <f>AND(#REF!,"AAAAAHdv7CI=")</f>
        <v>#REF!</v>
      </c>
      <c r="AJ123" t="e">
        <f>AND(#REF!,"AAAAAHdv7CM=")</f>
        <v>#REF!</v>
      </c>
      <c r="AK123" t="e">
        <f>AND(#REF!,"AAAAAHdv7CQ=")</f>
        <v>#REF!</v>
      </c>
      <c r="AL123" t="e">
        <f>AND(#REF!,"AAAAAHdv7CU=")</f>
        <v>#REF!</v>
      </c>
      <c r="AM123" t="e">
        <f>AND(#REF!,"AAAAAHdv7CY=")</f>
        <v>#REF!</v>
      </c>
      <c r="AN123" t="e">
        <f>AND(#REF!,"AAAAAHdv7Cc=")</f>
        <v>#REF!</v>
      </c>
      <c r="AO123" t="e">
        <f>AND(#REF!,"AAAAAHdv7Cg=")</f>
        <v>#REF!</v>
      </c>
      <c r="AP123" t="e">
        <f>AND(#REF!,"AAAAAHdv7Ck=")</f>
        <v>#REF!</v>
      </c>
      <c r="AQ123" t="e">
        <f>AND(#REF!,"AAAAAHdv7Co=")</f>
        <v>#REF!</v>
      </c>
      <c r="AR123" t="e">
        <f>AND(#REF!,"AAAAAHdv7Cs=")</f>
        <v>#REF!</v>
      </c>
      <c r="AS123" t="e">
        <f>AND(#REF!,"AAAAAHdv7Cw=")</f>
        <v>#REF!</v>
      </c>
      <c r="AT123" t="e">
        <f>AND(#REF!,"AAAAAHdv7C0=")</f>
        <v>#REF!</v>
      </c>
      <c r="AU123" t="e">
        <f>AND(#REF!,"AAAAAHdv7C4=")</f>
        <v>#REF!</v>
      </c>
      <c r="AV123" t="e">
        <f>AND(#REF!,"AAAAAHdv7C8=")</f>
        <v>#REF!</v>
      </c>
      <c r="AW123" t="e">
        <f>AND(#REF!,"AAAAAHdv7DA=")</f>
        <v>#REF!</v>
      </c>
      <c r="AX123" t="e">
        <f>AND(#REF!,"AAAAAHdv7DE=")</f>
        <v>#REF!</v>
      </c>
      <c r="AY123" t="e">
        <f>IF(#REF!,"AAAAAHdv7DI=",0)</f>
        <v>#REF!</v>
      </c>
      <c r="AZ123" t="e">
        <f>AND(#REF!,"AAAAAHdv7DM=")</f>
        <v>#REF!</v>
      </c>
      <c r="BA123" t="e">
        <f>AND(#REF!,"AAAAAHdv7DQ=")</f>
        <v>#REF!</v>
      </c>
      <c r="BB123" t="e">
        <f>AND(#REF!,"AAAAAHdv7DU=")</f>
        <v>#REF!</v>
      </c>
      <c r="BC123" t="e">
        <f>AND(#REF!,"AAAAAHdv7DY=")</f>
        <v>#REF!</v>
      </c>
      <c r="BD123" t="e">
        <f>AND(#REF!,"AAAAAHdv7Dc=")</f>
        <v>#REF!</v>
      </c>
      <c r="BE123" t="e">
        <f>AND(#REF!,"AAAAAHdv7Dg=")</f>
        <v>#REF!</v>
      </c>
      <c r="BF123" t="e">
        <f>AND(#REF!,"AAAAAHdv7Dk=")</f>
        <v>#REF!</v>
      </c>
      <c r="BG123" t="e">
        <f>AND(#REF!,"AAAAAHdv7Do=")</f>
        <v>#REF!</v>
      </c>
      <c r="BH123" t="e">
        <f>AND(#REF!,"AAAAAHdv7Ds=")</f>
        <v>#REF!</v>
      </c>
      <c r="BI123" t="e">
        <f>AND(#REF!,"AAAAAHdv7Dw=")</f>
        <v>#REF!</v>
      </c>
      <c r="BJ123" t="e">
        <f>AND(#REF!,"AAAAAHdv7D0=")</f>
        <v>#REF!</v>
      </c>
      <c r="BK123" t="e">
        <f>AND(#REF!,"AAAAAHdv7D4=")</f>
        <v>#REF!</v>
      </c>
      <c r="BL123" t="e">
        <f>AND(#REF!,"AAAAAHdv7D8=")</f>
        <v>#REF!</v>
      </c>
      <c r="BM123" t="e">
        <f>AND(#REF!,"AAAAAHdv7EA=")</f>
        <v>#REF!</v>
      </c>
      <c r="BN123" t="e">
        <f>AND(#REF!,"AAAAAHdv7EE=")</f>
        <v>#REF!</v>
      </c>
      <c r="BO123" t="e">
        <f>AND(#REF!,"AAAAAHdv7EI=")</f>
        <v>#REF!</v>
      </c>
      <c r="BP123" t="e">
        <f>AND(#REF!,"AAAAAHdv7EM=")</f>
        <v>#REF!</v>
      </c>
      <c r="BQ123" t="e">
        <f>AND(#REF!,"AAAAAHdv7EQ=")</f>
        <v>#REF!</v>
      </c>
      <c r="BR123" t="e">
        <f>AND(#REF!,"AAAAAHdv7EU=")</f>
        <v>#REF!</v>
      </c>
      <c r="BS123" t="e">
        <f>IF(#REF!,"AAAAAHdv7EY=",0)</f>
        <v>#REF!</v>
      </c>
      <c r="BT123" t="e">
        <f>AND(#REF!,"AAAAAHdv7Ec=")</f>
        <v>#REF!</v>
      </c>
      <c r="BU123" t="e">
        <f>AND(#REF!,"AAAAAHdv7Eg=")</f>
        <v>#REF!</v>
      </c>
      <c r="BV123" t="e">
        <f>AND(#REF!,"AAAAAHdv7Ek=")</f>
        <v>#REF!</v>
      </c>
      <c r="BW123" t="e">
        <f>AND(#REF!,"AAAAAHdv7Eo=")</f>
        <v>#REF!</v>
      </c>
      <c r="BX123" t="e">
        <f>AND(#REF!,"AAAAAHdv7Es=")</f>
        <v>#REF!</v>
      </c>
      <c r="BY123" t="e">
        <f>AND(#REF!,"AAAAAHdv7Ew=")</f>
        <v>#REF!</v>
      </c>
      <c r="BZ123" t="e">
        <f>AND(#REF!,"AAAAAHdv7E0=")</f>
        <v>#REF!</v>
      </c>
      <c r="CA123" t="e">
        <f>AND(#REF!,"AAAAAHdv7E4=")</f>
        <v>#REF!</v>
      </c>
      <c r="CB123" t="e">
        <f>AND(#REF!,"AAAAAHdv7E8=")</f>
        <v>#REF!</v>
      </c>
      <c r="CC123" t="e">
        <f>AND(#REF!,"AAAAAHdv7FA=")</f>
        <v>#REF!</v>
      </c>
      <c r="CD123" t="e">
        <f>AND(#REF!,"AAAAAHdv7FE=")</f>
        <v>#REF!</v>
      </c>
      <c r="CE123" t="e">
        <f>AND(#REF!,"AAAAAHdv7FI=")</f>
        <v>#REF!</v>
      </c>
      <c r="CF123" t="e">
        <f>AND(#REF!,"AAAAAHdv7FM=")</f>
        <v>#REF!</v>
      </c>
      <c r="CG123" t="e">
        <f>AND(#REF!,"AAAAAHdv7FQ=")</f>
        <v>#REF!</v>
      </c>
      <c r="CH123" t="e">
        <f>AND(#REF!,"AAAAAHdv7FU=")</f>
        <v>#REF!</v>
      </c>
      <c r="CI123" t="e">
        <f>AND(#REF!,"AAAAAHdv7FY=")</f>
        <v>#REF!</v>
      </c>
      <c r="CJ123" t="e">
        <f>AND(#REF!,"AAAAAHdv7Fc=")</f>
        <v>#REF!</v>
      </c>
      <c r="CK123" t="e">
        <f>AND(#REF!,"AAAAAHdv7Fg=")</f>
        <v>#REF!</v>
      </c>
      <c r="CL123" t="e">
        <f>AND(#REF!,"AAAAAHdv7Fk=")</f>
        <v>#REF!</v>
      </c>
      <c r="CM123" t="e">
        <f>IF(#REF!,"AAAAAHdv7Fo=",0)</f>
        <v>#REF!</v>
      </c>
      <c r="CN123" t="e">
        <f>AND(#REF!,"AAAAAHdv7Fs=")</f>
        <v>#REF!</v>
      </c>
      <c r="CO123" t="e">
        <f>AND(#REF!,"AAAAAHdv7Fw=")</f>
        <v>#REF!</v>
      </c>
      <c r="CP123" t="e">
        <f>AND(#REF!,"AAAAAHdv7F0=")</f>
        <v>#REF!</v>
      </c>
      <c r="CQ123" t="e">
        <f>AND(#REF!,"AAAAAHdv7F4=")</f>
        <v>#REF!</v>
      </c>
      <c r="CR123" t="e">
        <f>AND(#REF!,"AAAAAHdv7F8=")</f>
        <v>#REF!</v>
      </c>
      <c r="CS123" t="e">
        <f>AND(#REF!,"AAAAAHdv7GA=")</f>
        <v>#REF!</v>
      </c>
      <c r="CT123" t="e">
        <f>AND(#REF!,"AAAAAHdv7GE=")</f>
        <v>#REF!</v>
      </c>
      <c r="CU123" t="e">
        <f>AND(#REF!,"AAAAAHdv7GI=")</f>
        <v>#REF!</v>
      </c>
      <c r="CV123" t="e">
        <f>AND(#REF!,"AAAAAHdv7GM=")</f>
        <v>#REF!</v>
      </c>
      <c r="CW123" t="e">
        <f>AND(#REF!,"AAAAAHdv7GQ=")</f>
        <v>#REF!</v>
      </c>
      <c r="CX123" t="e">
        <f>AND(#REF!,"AAAAAHdv7GU=")</f>
        <v>#REF!</v>
      </c>
      <c r="CY123" t="e">
        <f>AND(#REF!,"AAAAAHdv7GY=")</f>
        <v>#REF!</v>
      </c>
      <c r="CZ123" t="e">
        <f>AND(#REF!,"AAAAAHdv7Gc=")</f>
        <v>#REF!</v>
      </c>
      <c r="DA123" t="e">
        <f>AND(#REF!,"AAAAAHdv7Gg=")</f>
        <v>#REF!</v>
      </c>
      <c r="DB123" t="e">
        <f>AND(#REF!,"AAAAAHdv7Gk=")</f>
        <v>#REF!</v>
      </c>
      <c r="DC123" t="e">
        <f>AND(#REF!,"AAAAAHdv7Go=")</f>
        <v>#REF!</v>
      </c>
      <c r="DD123" t="e">
        <f>AND(#REF!,"AAAAAHdv7Gs=")</f>
        <v>#REF!</v>
      </c>
      <c r="DE123" t="e">
        <f>AND(#REF!,"AAAAAHdv7Gw=")</f>
        <v>#REF!</v>
      </c>
      <c r="DF123" t="e">
        <f>AND(#REF!,"AAAAAHdv7G0=")</f>
        <v>#REF!</v>
      </c>
      <c r="DG123" t="e">
        <f>IF(#REF!,"AAAAAHdv7G4=",0)</f>
        <v>#REF!</v>
      </c>
      <c r="DH123" t="e">
        <f>AND(#REF!,"AAAAAHdv7G8=")</f>
        <v>#REF!</v>
      </c>
      <c r="DI123" t="e">
        <f>AND(#REF!,"AAAAAHdv7HA=")</f>
        <v>#REF!</v>
      </c>
      <c r="DJ123" t="e">
        <f>AND(#REF!,"AAAAAHdv7HE=")</f>
        <v>#REF!</v>
      </c>
      <c r="DK123" t="e">
        <f>AND(#REF!,"AAAAAHdv7HI=")</f>
        <v>#REF!</v>
      </c>
      <c r="DL123" t="e">
        <f>AND(#REF!,"AAAAAHdv7HM=")</f>
        <v>#REF!</v>
      </c>
      <c r="DM123" t="e">
        <f>AND(#REF!,"AAAAAHdv7HQ=")</f>
        <v>#REF!</v>
      </c>
      <c r="DN123" t="e">
        <f>AND(#REF!,"AAAAAHdv7HU=")</f>
        <v>#REF!</v>
      </c>
      <c r="DO123" t="e">
        <f>AND(#REF!,"AAAAAHdv7HY=")</f>
        <v>#REF!</v>
      </c>
      <c r="DP123" t="e">
        <f>AND(#REF!,"AAAAAHdv7Hc=")</f>
        <v>#REF!</v>
      </c>
      <c r="DQ123" t="e">
        <f>AND(#REF!,"AAAAAHdv7Hg=")</f>
        <v>#REF!</v>
      </c>
      <c r="DR123" t="e">
        <f>AND(#REF!,"AAAAAHdv7Hk=")</f>
        <v>#REF!</v>
      </c>
      <c r="DS123" t="e">
        <f>AND(#REF!,"AAAAAHdv7Ho=")</f>
        <v>#REF!</v>
      </c>
      <c r="DT123" t="e">
        <f>AND(#REF!,"AAAAAHdv7Hs=")</f>
        <v>#REF!</v>
      </c>
      <c r="DU123" t="e">
        <f>AND(#REF!,"AAAAAHdv7Hw=")</f>
        <v>#REF!</v>
      </c>
      <c r="DV123" t="e">
        <f>AND(#REF!,"AAAAAHdv7H0=")</f>
        <v>#REF!</v>
      </c>
      <c r="DW123" t="e">
        <f>AND(#REF!,"AAAAAHdv7H4=")</f>
        <v>#REF!</v>
      </c>
      <c r="DX123" t="e">
        <f>AND(#REF!,"AAAAAHdv7H8=")</f>
        <v>#REF!</v>
      </c>
      <c r="DY123" t="e">
        <f>AND(#REF!,"AAAAAHdv7IA=")</f>
        <v>#REF!</v>
      </c>
      <c r="DZ123" t="e">
        <f>AND(#REF!,"AAAAAHdv7IE=")</f>
        <v>#REF!</v>
      </c>
      <c r="EA123" t="e">
        <f>IF(#REF!,"AAAAAHdv7II=",0)</f>
        <v>#REF!</v>
      </c>
      <c r="EB123" t="e">
        <f>AND(#REF!,"AAAAAHdv7IM=")</f>
        <v>#REF!</v>
      </c>
      <c r="EC123" t="e">
        <f>AND(#REF!,"AAAAAHdv7IQ=")</f>
        <v>#REF!</v>
      </c>
      <c r="ED123" t="e">
        <f>AND(#REF!,"AAAAAHdv7IU=")</f>
        <v>#REF!</v>
      </c>
      <c r="EE123" t="e">
        <f>AND(#REF!,"AAAAAHdv7IY=")</f>
        <v>#REF!</v>
      </c>
      <c r="EF123" t="e">
        <f>AND(#REF!,"AAAAAHdv7Ic=")</f>
        <v>#REF!</v>
      </c>
      <c r="EG123" t="e">
        <f>AND(#REF!,"AAAAAHdv7Ig=")</f>
        <v>#REF!</v>
      </c>
      <c r="EH123" t="e">
        <f>AND(#REF!,"AAAAAHdv7Ik=")</f>
        <v>#REF!</v>
      </c>
      <c r="EI123" t="e">
        <f>AND(#REF!,"AAAAAHdv7Io=")</f>
        <v>#REF!</v>
      </c>
      <c r="EJ123" t="e">
        <f>AND(#REF!,"AAAAAHdv7Is=")</f>
        <v>#REF!</v>
      </c>
      <c r="EK123" t="e">
        <f>AND(#REF!,"AAAAAHdv7Iw=")</f>
        <v>#REF!</v>
      </c>
      <c r="EL123" t="e">
        <f>AND(#REF!,"AAAAAHdv7I0=")</f>
        <v>#REF!</v>
      </c>
      <c r="EM123" t="e">
        <f>AND(#REF!,"AAAAAHdv7I4=")</f>
        <v>#REF!</v>
      </c>
      <c r="EN123" t="e">
        <f>AND(#REF!,"AAAAAHdv7I8=")</f>
        <v>#REF!</v>
      </c>
      <c r="EO123" t="e">
        <f>AND(#REF!,"AAAAAHdv7JA=")</f>
        <v>#REF!</v>
      </c>
      <c r="EP123" t="e">
        <f>AND(#REF!,"AAAAAHdv7JE=")</f>
        <v>#REF!</v>
      </c>
      <c r="EQ123" t="e">
        <f>AND(#REF!,"AAAAAHdv7JI=")</f>
        <v>#REF!</v>
      </c>
      <c r="ER123" t="e">
        <f>AND(#REF!,"AAAAAHdv7JM=")</f>
        <v>#REF!</v>
      </c>
      <c r="ES123" t="e">
        <f>AND(#REF!,"AAAAAHdv7JQ=")</f>
        <v>#REF!</v>
      </c>
      <c r="ET123" t="e">
        <f>AND(#REF!,"AAAAAHdv7JU=")</f>
        <v>#REF!</v>
      </c>
      <c r="EU123" t="e">
        <f>IF(#REF!,"AAAAAHdv7JY=",0)</f>
        <v>#REF!</v>
      </c>
      <c r="EV123" t="e">
        <f>AND(#REF!,"AAAAAHdv7Jc=")</f>
        <v>#REF!</v>
      </c>
      <c r="EW123" t="e">
        <f>AND(#REF!,"AAAAAHdv7Jg=")</f>
        <v>#REF!</v>
      </c>
      <c r="EX123" t="e">
        <f>AND(#REF!,"AAAAAHdv7Jk=")</f>
        <v>#REF!</v>
      </c>
      <c r="EY123" t="e">
        <f>AND(#REF!,"AAAAAHdv7Jo=")</f>
        <v>#REF!</v>
      </c>
      <c r="EZ123" t="e">
        <f>AND(#REF!,"AAAAAHdv7Js=")</f>
        <v>#REF!</v>
      </c>
      <c r="FA123" t="e">
        <f>AND(#REF!,"AAAAAHdv7Jw=")</f>
        <v>#REF!</v>
      </c>
      <c r="FB123" t="e">
        <f>AND(#REF!,"AAAAAHdv7J0=")</f>
        <v>#REF!</v>
      </c>
      <c r="FC123" t="e">
        <f>AND(#REF!,"AAAAAHdv7J4=")</f>
        <v>#REF!</v>
      </c>
      <c r="FD123" t="e">
        <f>AND(#REF!,"AAAAAHdv7J8=")</f>
        <v>#REF!</v>
      </c>
      <c r="FE123" t="e">
        <f>AND(#REF!,"AAAAAHdv7KA=")</f>
        <v>#REF!</v>
      </c>
      <c r="FF123" t="e">
        <f>AND(#REF!,"AAAAAHdv7KE=")</f>
        <v>#REF!</v>
      </c>
      <c r="FG123" t="e">
        <f>AND(#REF!,"AAAAAHdv7KI=")</f>
        <v>#REF!</v>
      </c>
      <c r="FH123" t="e">
        <f>AND(#REF!,"AAAAAHdv7KM=")</f>
        <v>#REF!</v>
      </c>
      <c r="FI123" t="e">
        <f>AND(#REF!,"AAAAAHdv7KQ=")</f>
        <v>#REF!</v>
      </c>
      <c r="FJ123" t="e">
        <f>AND(#REF!,"AAAAAHdv7KU=")</f>
        <v>#REF!</v>
      </c>
      <c r="FK123" t="e">
        <f>AND(#REF!,"AAAAAHdv7KY=")</f>
        <v>#REF!</v>
      </c>
      <c r="FL123" t="e">
        <f>AND(#REF!,"AAAAAHdv7Kc=")</f>
        <v>#REF!</v>
      </c>
      <c r="FM123" t="e">
        <f>AND(#REF!,"AAAAAHdv7Kg=")</f>
        <v>#REF!</v>
      </c>
      <c r="FN123" t="e">
        <f>AND(#REF!,"AAAAAHdv7Kk=")</f>
        <v>#REF!</v>
      </c>
      <c r="FO123" t="e">
        <f>IF(#REF!,"AAAAAHdv7Ko=",0)</f>
        <v>#REF!</v>
      </c>
      <c r="FP123" t="e">
        <f>AND(#REF!,"AAAAAHdv7Ks=")</f>
        <v>#REF!</v>
      </c>
      <c r="FQ123" t="e">
        <f>AND(#REF!,"AAAAAHdv7Kw=")</f>
        <v>#REF!</v>
      </c>
      <c r="FR123" t="e">
        <f>AND(#REF!,"AAAAAHdv7K0=")</f>
        <v>#REF!</v>
      </c>
      <c r="FS123" t="e">
        <f>AND(#REF!,"AAAAAHdv7K4=")</f>
        <v>#REF!</v>
      </c>
      <c r="FT123" t="e">
        <f>AND(#REF!,"AAAAAHdv7K8=")</f>
        <v>#REF!</v>
      </c>
      <c r="FU123" t="e">
        <f>AND(#REF!,"AAAAAHdv7LA=")</f>
        <v>#REF!</v>
      </c>
      <c r="FV123" t="e">
        <f>AND(#REF!,"AAAAAHdv7LE=")</f>
        <v>#REF!</v>
      </c>
      <c r="FW123" t="e">
        <f>AND(#REF!,"AAAAAHdv7LI=")</f>
        <v>#REF!</v>
      </c>
      <c r="FX123" t="e">
        <f>AND(#REF!,"AAAAAHdv7LM=")</f>
        <v>#REF!</v>
      </c>
      <c r="FY123" t="e">
        <f>AND(#REF!,"AAAAAHdv7LQ=")</f>
        <v>#REF!</v>
      </c>
      <c r="FZ123" t="e">
        <f>AND(#REF!,"AAAAAHdv7LU=")</f>
        <v>#REF!</v>
      </c>
      <c r="GA123" t="e">
        <f>AND(#REF!,"AAAAAHdv7LY=")</f>
        <v>#REF!</v>
      </c>
      <c r="GB123" t="e">
        <f>AND(#REF!,"AAAAAHdv7Lc=")</f>
        <v>#REF!</v>
      </c>
      <c r="GC123" t="e">
        <f>AND(#REF!,"AAAAAHdv7Lg=")</f>
        <v>#REF!</v>
      </c>
      <c r="GD123" t="e">
        <f>AND(#REF!,"AAAAAHdv7Lk=")</f>
        <v>#REF!</v>
      </c>
      <c r="GE123" t="e">
        <f>AND(#REF!,"AAAAAHdv7Lo=")</f>
        <v>#REF!</v>
      </c>
      <c r="GF123" t="e">
        <f>AND(#REF!,"AAAAAHdv7Ls=")</f>
        <v>#REF!</v>
      </c>
      <c r="GG123" t="e">
        <f>AND(#REF!,"AAAAAHdv7Lw=")</f>
        <v>#REF!</v>
      </c>
      <c r="GH123" t="e">
        <f>AND(#REF!,"AAAAAHdv7L0=")</f>
        <v>#REF!</v>
      </c>
      <c r="GI123" t="e">
        <f>IF(#REF!,"AAAAAHdv7L4=",0)</f>
        <v>#REF!</v>
      </c>
      <c r="GJ123" t="e">
        <f>AND(#REF!,"AAAAAHdv7L8=")</f>
        <v>#REF!</v>
      </c>
      <c r="GK123" t="e">
        <f>AND(#REF!,"AAAAAHdv7MA=")</f>
        <v>#REF!</v>
      </c>
      <c r="GL123" t="e">
        <f>AND(#REF!,"AAAAAHdv7ME=")</f>
        <v>#REF!</v>
      </c>
      <c r="GM123" t="e">
        <f>AND(#REF!,"AAAAAHdv7MI=")</f>
        <v>#REF!</v>
      </c>
      <c r="GN123" t="e">
        <f>AND(#REF!,"AAAAAHdv7MM=")</f>
        <v>#REF!</v>
      </c>
      <c r="GO123" t="e">
        <f>AND(#REF!,"AAAAAHdv7MQ=")</f>
        <v>#REF!</v>
      </c>
      <c r="GP123" t="e">
        <f>AND(#REF!,"AAAAAHdv7MU=")</f>
        <v>#REF!</v>
      </c>
      <c r="GQ123" t="e">
        <f>AND(#REF!,"AAAAAHdv7MY=")</f>
        <v>#REF!</v>
      </c>
      <c r="GR123" t="e">
        <f>AND(#REF!,"AAAAAHdv7Mc=")</f>
        <v>#REF!</v>
      </c>
      <c r="GS123" t="e">
        <f>AND(#REF!,"AAAAAHdv7Mg=")</f>
        <v>#REF!</v>
      </c>
      <c r="GT123" t="e">
        <f>AND(#REF!,"AAAAAHdv7Mk=")</f>
        <v>#REF!</v>
      </c>
      <c r="GU123" t="e">
        <f>AND(#REF!,"AAAAAHdv7Mo=")</f>
        <v>#REF!</v>
      </c>
      <c r="GV123" t="e">
        <f>AND(#REF!,"AAAAAHdv7Ms=")</f>
        <v>#REF!</v>
      </c>
      <c r="GW123" t="e">
        <f>AND(#REF!,"AAAAAHdv7Mw=")</f>
        <v>#REF!</v>
      </c>
      <c r="GX123" t="e">
        <f>AND(#REF!,"AAAAAHdv7M0=")</f>
        <v>#REF!</v>
      </c>
      <c r="GY123" t="e">
        <f>AND(#REF!,"AAAAAHdv7M4=")</f>
        <v>#REF!</v>
      </c>
      <c r="GZ123" t="e">
        <f>AND(#REF!,"AAAAAHdv7M8=")</f>
        <v>#REF!</v>
      </c>
      <c r="HA123" t="e">
        <f>AND(#REF!,"AAAAAHdv7NA=")</f>
        <v>#REF!</v>
      </c>
      <c r="HB123" t="e">
        <f>AND(#REF!,"AAAAAHdv7NE=")</f>
        <v>#REF!</v>
      </c>
      <c r="HC123" t="e">
        <f>IF(#REF!,"AAAAAHdv7NI=",0)</f>
        <v>#REF!</v>
      </c>
      <c r="HD123" t="e">
        <f>AND(#REF!,"AAAAAHdv7NM=")</f>
        <v>#REF!</v>
      </c>
      <c r="HE123" t="e">
        <f>AND(#REF!,"AAAAAHdv7NQ=")</f>
        <v>#REF!</v>
      </c>
      <c r="HF123" t="e">
        <f>AND(#REF!,"AAAAAHdv7NU=")</f>
        <v>#REF!</v>
      </c>
      <c r="HG123" t="e">
        <f>AND(#REF!,"AAAAAHdv7NY=")</f>
        <v>#REF!</v>
      </c>
      <c r="HH123" t="e">
        <f>AND(#REF!,"AAAAAHdv7Nc=")</f>
        <v>#REF!</v>
      </c>
      <c r="HI123" t="e">
        <f>AND(#REF!,"AAAAAHdv7Ng=")</f>
        <v>#REF!</v>
      </c>
      <c r="HJ123" t="e">
        <f>AND(#REF!,"AAAAAHdv7Nk=")</f>
        <v>#REF!</v>
      </c>
      <c r="HK123" t="e">
        <f>AND(#REF!,"AAAAAHdv7No=")</f>
        <v>#REF!</v>
      </c>
      <c r="HL123" t="e">
        <f>AND(#REF!,"AAAAAHdv7Ns=")</f>
        <v>#REF!</v>
      </c>
      <c r="HM123" t="e">
        <f>AND(#REF!,"AAAAAHdv7Nw=")</f>
        <v>#REF!</v>
      </c>
      <c r="HN123" t="e">
        <f>AND(#REF!,"AAAAAHdv7N0=")</f>
        <v>#REF!</v>
      </c>
      <c r="HO123" t="e">
        <f>AND(#REF!,"AAAAAHdv7N4=")</f>
        <v>#REF!</v>
      </c>
      <c r="HP123" t="e">
        <f>AND(#REF!,"AAAAAHdv7N8=")</f>
        <v>#REF!</v>
      </c>
      <c r="HQ123" t="e">
        <f>AND(#REF!,"AAAAAHdv7OA=")</f>
        <v>#REF!</v>
      </c>
      <c r="HR123" t="e">
        <f>AND(#REF!,"AAAAAHdv7OE=")</f>
        <v>#REF!</v>
      </c>
      <c r="HS123" t="e">
        <f>AND(#REF!,"AAAAAHdv7OI=")</f>
        <v>#REF!</v>
      </c>
      <c r="HT123" t="e">
        <f>AND(#REF!,"AAAAAHdv7OM=")</f>
        <v>#REF!</v>
      </c>
      <c r="HU123" t="e">
        <f>AND(#REF!,"AAAAAHdv7OQ=")</f>
        <v>#REF!</v>
      </c>
      <c r="HV123" t="e">
        <f>AND(#REF!,"AAAAAHdv7OU=")</f>
        <v>#REF!</v>
      </c>
      <c r="HW123" t="e">
        <f>IF(#REF!,"AAAAAHdv7OY=",0)</f>
        <v>#REF!</v>
      </c>
      <c r="HX123" t="e">
        <f>AND(#REF!,"AAAAAHdv7Oc=")</f>
        <v>#REF!</v>
      </c>
      <c r="HY123" t="e">
        <f>AND(#REF!,"AAAAAHdv7Og=")</f>
        <v>#REF!</v>
      </c>
      <c r="HZ123" t="e">
        <f>AND(#REF!,"AAAAAHdv7Ok=")</f>
        <v>#REF!</v>
      </c>
      <c r="IA123" t="e">
        <f>AND(#REF!,"AAAAAHdv7Oo=")</f>
        <v>#REF!</v>
      </c>
      <c r="IB123" t="e">
        <f>AND(#REF!,"AAAAAHdv7Os=")</f>
        <v>#REF!</v>
      </c>
      <c r="IC123" t="e">
        <f>AND(#REF!,"AAAAAHdv7Ow=")</f>
        <v>#REF!</v>
      </c>
      <c r="ID123" t="e">
        <f>AND(#REF!,"AAAAAHdv7O0=")</f>
        <v>#REF!</v>
      </c>
      <c r="IE123" t="e">
        <f>AND(#REF!,"AAAAAHdv7O4=")</f>
        <v>#REF!</v>
      </c>
      <c r="IF123" t="e">
        <f>AND(#REF!,"AAAAAHdv7O8=")</f>
        <v>#REF!</v>
      </c>
      <c r="IG123" t="e">
        <f>AND(#REF!,"AAAAAHdv7PA=")</f>
        <v>#REF!</v>
      </c>
      <c r="IH123" t="e">
        <f>AND(#REF!,"AAAAAHdv7PE=")</f>
        <v>#REF!</v>
      </c>
      <c r="II123" t="e">
        <f>AND(#REF!,"AAAAAHdv7PI=")</f>
        <v>#REF!</v>
      </c>
      <c r="IJ123" t="e">
        <f>AND(#REF!,"AAAAAHdv7PM=")</f>
        <v>#REF!</v>
      </c>
      <c r="IK123" t="e">
        <f>AND(#REF!,"AAAAAHdv7PQ=")</f>
        <v>#REF!</v>
      </c>
      <c r="IL123" t="e">
        <f>AND(#REF!,"AAAAAHdv7PU=")</f>
        <v>#REF!</v>
      </c>
      <c r="IM123" t="e">
        <f>AND(#REF!,"AAAAAHdv7PY=")</f>
        <v>#REF!</v>
      </c>
      <c r="IN123" t="e">
        <f>AND(#REF!,"AAAAAHdv7Pc=")</f>
        <v>#REF!</v>
      </c>
      <c r="IO123" t="e">
        <f>AND(#REF!,"AAAAAHdv7Pg=")</f>
        <v>#REF!</v>
      </c>
      <c r="IP123" t="e">
        <f>AND(#REF!,"AAAAAHdv7Pk=")</f>
        <v>#REF!</v>
      </c>
      <c r="IQ123" t="e">
        <f>IF(#REF!,"AAAAAHdv7Po=",0)</f>
        <v>#REF!</v>
      </c>
      <c r="IR123" t="e">
        <f>AND(#REF!,"AAAAAHdv7Ps=")</f>
        <v>#REF!</v>
      </c>
      <c r="IS123" t="e">
        <f>AND(#REF!,"AAAAAHdv7Pw=")</f>
        <v>#REF!</v>
      </c>
      <c r="IT123" t="e">
        <f>AND(#REF!,"AAAAAHdv7P0=")</f>
        <v>#REF!</v>
      </c>
      <c r="IU123" t="e">
        <f>AND(#REF!,"AAAAAHdv7P4=")</f>
        <v>#REF!</v>
      </c>
      <c r="IV123" t="e">
        <f>AND(#REF!,"AAAAAHdv7P8=")</f>
        <v>#REF!</v>
      </c>
    </row>
    <row r="124" spans="1:256" x14ac:dyDescent="0.2">
      <c r="A124" t="e">
        <f>AND(#REF!,"AAAAAC3fLgA=")</f>
        <v>#REF!</v>
      </c>
      <c r="B124" t="e">
        <f>AND(#REF!,"AAAAAC3fLgE=")</f>
        <v>#REF!</v>
      </c>
      <c r="C124" t="e">
        <f>AND(#REF!,"AAAAAC3fLgI=")</f>
        <v>#REF!</v>
      </c>
      <c r="D124" t="e">
        <f>AND(#REF!,"AAAAAC3fLgM=")</f>
        <v>#REF!</v>
      </c>
      <c r="E124" t="e">
        <f>AND(#REF!,"AAAAAC3fLgQ=")</f>
        <v>#REF!</v>
      </c>
      <c r="F124" t="e">
        <f>AND(#REF!,"AAAAAC3fLgU=")</f>
        <v>#REF!</v>
      </c>
      <c r="G124" t="e">
        <f>AND(#REF!,"AAAAAC3fLgY=")</f>
        <v>#REF!</v>
      </c>
      <c r="H124" t="e">
        <f>AND(#REF!,"AAAAAC3fLgc=")</f>
        <v>#REF!</v>
      </c>
      <c r="I124" t="e">
        <f>AND(#REF!,"AAAAAC3fLgg=")</f>
        <v>#REF!</v>
      </c>
      <c r="J124" t="e">
        <f>AND(#REF!,"AAAAAC3fLgk=")</f>
        <v>#REF!</v>
      </c>
      <c r="K124" t="e">
        <f>AND(#REF!,"AAAAAC3fLgo=")</f>
        <v>#REF!</v>
      </c>
      <c r="L124" t="e">
        <f>AND(#REF!,"AAAAAC3fLgs=")</f>
        <v>#REF!</v>
      </c>
      <c r="M124" t="e">
        <f>AND(#REF!,"AAAAAC3fLgw=")</f>
        <v>#REF!</v>
      </c>
      <c r="N124" t="e">
        <f>AND(#REF!,"AAAAAC3fLg0=")</f>
        <v>#REF!</v>
      </c>
      <c r="O124" t="e">
        <f>IF(#REF!,"AAAAAC3fLg4=",0)</f>
        <v>#REF!</v>
      </c>
      <c r="P124" t="e">
        <f>AND(#REF!,"AAAAAC3fLg8=")</f>
        <v>#REF!</v>
      </c>
      <c r="Q124" t="e">
        <f>AND(#REF!,"AAAAAC3fLhA=")</f>
        <v>#REF!</v>
      </c>
      <c r="R124" t="e">
        <f>AND(#REF!,"AAAAAC3fLhE=")</f>
        <v>#REF!</v>
      </c>
      <c r="S124" t="e">
        <f>AND(#REF!,"AAAAAC3fLhI=")</f>
        <v>#REF!</v>
      </c>
      <c r="T124" t="e">
        <f>AND(#REF!,"AAAAAC3fLhM=")</f>
        <v>#REF!</v>
      </c>
      <c r="U124" t="e">
        <f>AND(#REF!,"AAAAAC3fLhQ=")</f>
        <v>#REF!</v>
      </c>
      <c r="V124" t="e">
        <f>AND(#REF!,"AAAAAC3fLhU=")</f>
        <v>#REF!</v>
      </c>
      <c r="W124" t="e">
        <f>AND(#REF!,"AAAAAC3fLhY=")</f>
        <v>#REF!</v>
      </c>
      <c r="X124" t="e">
        <f>AND(#REF!,"AAAAAC3fLhc=")</f>
        <v>#REF!</v>
      </c>
      <c r="Y124" t="e">
        <f>AND(#REF!,"AAAAAC3fLhg=")</f>
        <v>#REF!</v>
      </c>
      <c r="Z124" t="e">
        <f>AND(#REF!,"AAAAAC3fLhk=")</f>
        <v>#REF!</v>
      </c>
      <c r="AA124" t="e">
        <f>AND(#REF!,"AAAAAC3fLho=")</f>
        <v>#REF!</v>
      </c>
      <c r="AB124" t="e">
        <f>AND(#REF!,"AAAAAC3fLhs=")</f>
        <v>#REF!</v>
      </c>
      <c r="AC124" t="e">
        <f>AND(#REF!,"AAAAAC3fLhw=")</f>
        <v>#REF!</v>
      </c>
      <c r="AD124" t="e">
        <f>AND(#REF!,"AAAAAC3fLh0=")</f>
        <v>#REF!</v>
      </c>
      <c r="AE124" t="e">
        <f>AND(#REF!,"AAAAAC3fLh4=")</f>
        <v>#REF!</v>
      </c>
      <c r="AF124" t="e">
        <f>AND(#REF!,"AAAAAC3fLh8=")</f>
        <v>#REF!</v>
      </c>
      <c r="AG124" t="e">
        <f>AND(#REF!,"AAAAAC3fLiA=")</f>
        <v>#REF!</v>
      </c>
      <c r="AH124" t="e">
        <f>AND(#REF!,"AAAAAC3fLiE=")</f>
        <v>#REF!</v>
      </c>
      <c r="AI124" t="e">
        <f>IF(#REF!,"AAAAAC3fLiI=",0)</f>
        <v>#REF!</v>
      </c>
      <c r="AJ124" t="e">
        <f>AND(#REF!,"AAAAAC3fLiM=")</f>
        <v>#REF!</v>
      </c>
      <c r="AK124" t="e">
        <f>AND(#REF!,"AAAAAC3fLiQ=")</f>
        <v>#REF!</v>
      </c>
      <c r="AL124" t="e">
        <f>AND(#REF!,"AAAAAC3fLiU=")</f>
        <v>#REF!</v>
      </c>
      <c r="AM124" t="e">
        <f>AND(#REF!,"AAAAAC3fLiY=")</f>
        <v>#REF!</v>
      </c>
      <c r="AN124" t="e">
        <f>AND(#REF!,"AAAAAC3fLic=")</f>
        <v>#REF!</v>
      </c>
      <c r="AO124" t="e">
        <f>AND(#REF!,"AAAAAC3fLig=")</f>
        <v>#REF!</v>
      </c>
      <c r="AP124" t="e">
        <f>AND(#REF!,"AAAAAC3fLik=")</f>
        <v>#REF!</v>
      </c>
      <c r="AQ124" t="e">
        <f>AND(#REF!,"AAAAAC3fLio=")</f>
        <v>#REF!</v>
      </c>
      <c r="AR124" t="e">
        <f>AND(#REF!,"AAAAAC3fLis=")</f>
        <v>#REF!</v>
      </c>
      <c r="AS124" t="e">
        <f>AND(#REF!,"AAAAAC3fLiw=")</f>
        <v>#REF!</v>
      </c>
      <c r="AT124" t="e">
        <f>AND(#REF!,"AAAAAC3fLi0=")</f>
        <v>#REF!</v>
      </c>
      <c r="AU124" t="e">
        <f>AND(#REF!,"AAAAAC3fLi4=")</f>
        <v>#REF!</v>
      </c>
      <c r="AV124" t="e">
        <f>AND(#REF!,"AAAAAC3fLi8=")</f>
        <v>#REF!</v>
      </c>
      <c r="AW124" t="e">
        <f>AND(#REF!,"AAAAAC3fLjA=")</f>
        <v>#REF!</v>
      </c>
      <c r="AX124" t="e">
        <f>AND(#REF!,"AAAAAC3fLjE=")</f>
        <v>#REF!</v>
      </c>
      <c r="AY124" t="e">
        <f>AND(#REF!,"AAAAAC3fLjI=")</f>
        <v>#REF!</v>
      </c>
      <c r="AZ124" t="e">
        <f>AND(#REF!,"AAAAAC3fLjM=")</f>
        <v>#REF!</v>
      </c>
      <c r="BA124" t="e">
        <f>AND(#REF!,"AAAAAC3fLjQ=")</f>
        <v>#REF!</v>
      </c>
      <c r="BB124" t="e">
        <f>AND(#REF!,"AAAAAC3fLjU=")</f>
        <v>#REF!</v>
      </c>
      <c r="BC124" t="e">
        <f>IF(#REF!,"AAAAAC3fLjY=",0)</f>
        <v>#REF!</v>
      </c>
      <c r="BD124" t="e">
        <f>AND(#REF!,"AAAAAC3fLjc=")</f>
        <v>#REF!</v>
      </c>
      <c r="BE124" t="e">
        <f>AND(#REF!,"AAAAAC3fLjg=")</f>
        <v>#REF!</v>
      </c>
      <c r="BF124" t="e">
        <f>AND(#REF!,"AAAAAC3fLjk=")</f>
        <v>#REF!</v>
      </c>
      <c r="BG124" t="e">
        <f>AND(#REF!,"AAAAAC3fLjo=")</f>
        <v>#REF!</v>
      </c>
      <c r="BH124" t="e">
        <f>AND(#REF!,"AAAAAC3fLjs=")</f>
        <v>#REF!</v>
      </c>
      <c r="BI124" t="e">
        <f>AND(#REF!,"AAAAAC3fLjw=")</f>
        <v>#REF!</v>
      </c>
      <c r="BJ124" t="e">
        <f>AND(#REF!,"AAAAAC3fLj0=")</f>
        <v>#REF!</v>
      </c>
      <c r="BK124" t="e">
        <f>AND(#REF!,"AAAAAC3fLj4=")</f>
        <v>#REF!</v>
      </c>
      <c r="BL124" t="e">
        <f>AND(#REF!,"AAAAAC3fLj8=")</f>
        <v>#REF!</v>
      </c>
      <c r="BM124" t="e">
        <f>AND(#REF!,"AAAAAC3fLkA=")</f>
        <v>#REF!</v>
      </c>
      <c r="BN124" t="e">
        <f>AND(#REF!,"AAAAAC3fLkE=")</f>
        <v>#REF!</v>
      </c>
      <c r="BO124" t="e">
        <f>AND(#REF!,"AAAAAC3fLkI=")</f>
        <v>#REF!</v>
      </c>
      <c r="BP124" t="e">
        <f>AND(#REF!,"AAAAAC3fLkM=")</f>
        <v>#REF!</v>
      </c>
      <c r="BQ124" t="e">
        <f>AND(#REF!,"AAAAAC3fLkQ=")</f>
        <v>#REF!</v>
      </c>
      <c r="BR124" t="e">
        <f>AND(#REF!,"AAAAAC3fLkU=")</f>
        <v>#REF!</v>
      </c>
      <c r="BS124" t="e">
        <f>AND(#REF!,"AAAAAC3fLkY=")</f>
        <v>#REF!</v>
      </c>
      <c r="BT124" t="e">
        <f>AND(#REF!,"AAAAAC3fLkc=")</f>
        <v>#REF!</v>
      </c>
      <c r="BU124" t="e">
        <f>AND(#REF!,"AAAAAC3fLkg=")</f>
        <v>#REF!</v>
      </c>
      <c r="BV124" t="e">
        <f>AND(#REF!,"AAAAAC3fLkk=")</f>
        <v>#REF!</v>
      </c>
      <c r="BW124" t="e">
        <f>IF(#REF!,"AAAAAC3fLko=",0)</f>
        <v>#REF!</v>
      </c>
      <c r="BX124" t="e">
        <f>AND(#REF!,"AAAAAC3fLks=")</f>
        <v>#REF!</v>
      </c>
      <c r="BY124" t="e">
        <f>AND(#REF!,"AAAAAC3fLkw=")</f>
        <v>#REF!</v>
      </c>
      <c r="BZ124" t="e">
        <f>AND(#REF!,"AAAAAC3fLk0=")</f>
        <v>#REF!</v>
      </c>
      <c r="CA124" t="e">
        <f>AND(#REF!,"AAAAAC3fLk4=")</f>
        <v>#REF!</v>
      </c>
      <c r="CB124" t="e">
        <f>AND(#REF!,"AAAAAC3fLk8=")</f>
        <v>#REF!</v>
      </c>
      <c r="CC124" t="e">
        <f>AND(#REF!,"AAAAAC3fLlA=")</f>
        <v>#REF!</v>
      </c>
      <c r="CD124" t="e">
        <f>AND(#REF!,"AAAAAC3fLlE=")</f>
        <v>#REF!</v>
      </c>
      <c r="CE124" t="e">
        <f>AND(#REF!,"AAAAAC3fLlI=")</f>
        <v>#REF!</v>
      </c>
      <c r="CF124" t="e">
        <f>AND(#REF!,"AAAAAC3fLlM=")</f>
        <v>#REF!</v>
      </c>
      <c r="CG124" t="e">
        <f>AND(#REF!,"AAAAAC3fLlQ=")</f>
        <v>#REF!</v>
      </c>
      <c r="CH124" t="e">
        <f>AND(#REF!,"AAAAAC3fLlU=")</f>
        <v>#REF!</v>
      </c>
      <c r="CI124" t="e">
        <f>AND(#REF!,"AAAAAC3fLlY=")</f>
        <v>#REF!</v>
      </c>
      <c r="CJ124" t="e">
        <f>AND(#REF!,"AAAAAC3fLlc=")</f>
        <v>#REF!</v>
      </c>
      <c r="CK124" t="e">
        <f>AND(#REF!,"AAAAAC3fLlg=")</f>
        <v>#REF!</v>
      </c>
      <c r="CL124" t="e">
        <f>AND(#REF!,"AAAAAC3fLlk=")</f>
        <v>#REF!</v>
      </c>
      <c r="CM124" t="e">
        <f>AND(#REF!,"AAAAAC3fLlo=")</f>
        <v>#REF!</v>
      </c>
      <c r="CN124" t="e">
        <f>AND(#REF!,"AAAAAC3fLls=")</f>
        <v>#REF!</v>
      </c>
      <c r="CO124" t="e">
        <f>AND(#REF!,"AAAAAC3fLlw=")</f>
        <v>#REF!</v>
      </c>
      <c r="CP124" t="e">
        <f>AND(#REF!,"AAAAAC3fLl0=")</f>
        <v>#REF!</v>
      </c>
      <c r="CQ124" t="e">
        <f>IF(#REF!,"AAAAAC3fLl4=",0)</f>
        <v>#REF!</v>
      </c>
      <c r="CR124" t="e">
        <f>AND(#REF!,"AAAAAC3fLl8=")</f>
        <v>#REF!</v>
      </c>
      <c r="CS124" t="e">
        <f>AND(#REF!,"AAAAAC3fLmA=")</f>
        <v>#REF!</v>
      </c>
      <c r="CT124" t="e">
        <f>AND(#REF!,"AAAAAC3fLmE=")</f>
        <v>#REF!</v>
      </c>
      <c r="CU124" t="e">
        <f>AND(#REF!,"AAAAAC3fLmI=")</f>
        <v>#REF!</v>
      </c>
      <c r="CV124" t="e">
        <f>AND(#REF!,"AAAAAC3fLmM=")</f>
        <v>#REF!</v>
      </c>
      <c r="CW124" t="e">
        <f>AND(#REF!,"AAAAAC3fLmQ=")</f>
        <v>#REF!</v>
      </c>
      <c r="CX124" t="e">
        <f>AND(#REF!,"AAAAAC3fLmU=")</f>
        <v>#REF!</v>
      </c>
      <c r="CY124" t="e">
        <f>AND(#REF!,"AAAAAC3fLmY=")</f>
        <v>#REF!</v>
      </c>
      <c r="CZ124" t="e">
        <f>AND(#REF!,"AAAAAC3fLmc=")</f>
        <v>#REF!</v>
      </c>
      <c r="DA124" t="e">
        <f>AND(#REF!,"AAAAAC3fLmg=")</f>
        <v>#REF!</v>
      </c>
      <c r="DB124" t="e">
        <f>AND(#REF!,"AAAAAC3fLmk=")</f>
        <v>#REF!</v>
      </c>
      <c r="DC124" t="e">
        <f>AND(#REF!,"AAAAAC3fLmo=")</f>
        <v>#REF!</v>
      </c>
      <c r="DD124" t="e">
        <f>AND(#REF!,"AAAAAC3fLms=")</f>
        <v>#REF!</v>
      </c>
      <c r="DE124" t="e">
        <f>AND(#REF!,"AAAAAC3fLmw=")</f>
        <v>#REF!</v>
      </c>
      <c r="DF124" t="e">
        <f>AND(#REF!,"AAAAAC3fLm0=")</f>
        <v>#REF!</v>
      </c>
      <c r="DG124" t="e">
        <f>AND(#REF!,"AAAAAC3fLm4=")</f>
        <v>#REF!</v>
      </c>
      <c r="DH124" t="e">
        <f>AND(#REF!,"AAAAAC3fLm8=")</f>
        <v>#REF!</v>
      </c>
      <c r="DI124" t="e">
        <f>AND(#REF!,"AAAAAC3fLnA=")</f>
        <v>#REF!</v>
      </c>
      <c r="DJ124" t="e">
        <f>AND(#REF!,"AAAAAC3fLnE=")</f>
        <v>#REF!</v>
      </c>
      <c r="DK124" t="e">
        <f>IF(#REF!,"AAAAAC3fLnI=",0)</f>
        <v>#REF!</v>
      </c>
      <c r="DL124" t="e">
        <f>AND(#REF!,"AAAAAC3fLnM=")</f>
        <v>#REF!</v>
      </c>
      <c r="DM124" t="e">
        <f>AND(#REF!,"AAAAAC3fLnQ=")</f>
        <v>#REF!</v>
      </c>
      <c r="DN124" t="e">
        <f>AND(#REF!,"AAAAAC3fLnU=")</f>
        <v>#REF!</v>
      </c>
      <c r="DO124" t="e">
        <f>AND(#REF!,"AAAAAC3fLnY=")</f>
        <v>#REF!</v>
      </c>
      <c r="DP124" t="e">
        <f>AND(#REF!,"AAAAAC3fLnc=")</f>
        <v>#REF!</v>
      </c>
      <c r="DQ124" t="e">
        <f>AND(#REF!,"AAAAAC3fLng=")</f>
        <v>#REF!</v>
      </c>
      <c r="DR124" t="e">
        <f>AND(#REF!,"AAAAAC3fLnk=")</f>
        <v>#REF!</v>
      </c>
      <c r="DS124" t="e">
        <f>AND(#REF!,"AAAAAC3fLno=")</f>
        <v>#REF!</v>
      </c>
      <c r="DT124" t="e">
        <f>AND(#REF!,"AAAAAC3fLns=")</f>
        <v>#REF!</v>
      </c>
      <c r="DU124" t="e">
        <f>AND(#REF!,"AAAAAC3fLnw=")</f>
        <v>#REF!</v>
      </c>
      <c r="DV124" t="e">
        <f>AND(#REF!,"AAAAAC3fLn0=")</f>
        <v>#REF!</v>
      </c>
      <c r="DW124" t="e">
        <f>AND(#REF!,"AAAAAC3fLn4=")</f>
        <v>#REF!</v>
      </c>
      <c r="DX124" t="e">
        <f>AND(#REF!,"AAAAAC3fLn8=")</f>
        <v>#REF!</v>
      </c>
      <c r="DY124" t="e">
        <f>AND(#REF!,"AAAAAC3fLoA=")</f>
        <v>#REF!</v>
      </c>
      <c r="DZ124" t="e">
        <f>AND(#REF!,"AAAAAC3fLoE=")</f>
        <v>#REF!</v>
      </c>
      <c r="EA124" t="e">
        <f>AND(#REF!,"AAAAAC3fLoI=")</f>
        <v>#REF!</v>
      </c>
      <c r="EB124" t="e">
        <f>AND(#REF!,"AAAAAC3fLoM=")</f>
        <v>#REF!</v>
      </c>
      <c r="EC124" t="e">
        <f>AND(#REF!,"AAAAAC3fLoQ=")</f>
        <v>#REF!</v>
      </c>
      <c r="ED124" t="e">
        <f>AND(#REF!,"AAAAAC3fLoU=")</f>
        <v>#REF!</v>
      </c>
      <c r="EE124" t="e">
        <f>IF(#REF!,"AAAAAC3fLoY=",0)</f>
        <v>#REF!</v>
      </c>
      <c r="EF124" t="e">
        <f>AND(#REF!,"AAAAAC3fLoc=")</f>
        <v>#REF!</v>
      </c>
      <c r="EG124" t="e">
        <f>AND(#REF!,"AAAAAC3fLog=")</f>
        <v>#REF!</v>
      </c>
      <c r="EH124" t="e">
        <f>AND(#REF!,"AAAAAC3fLok=")</f>
        <v>#REF!</v>
      </c>
      <c r="EI124" t="e">
        <f>AND(#REF!,"AAAAAC3fLoo=")</f>
        <v>#REF!</v>
      </c>
      <c r="EJ124" t="e">
        <f>AND(#REF!,"AAAAAC3fLos=")</f>
        <v>#REF!</v>
      </c>
      <c r="EK124" t="e">
        <f>AND(#REF!,"AAAAAC3fLow=")</f>
        <v>#REF!</v>
      </c>
      <c r="EL124" t="e">
        <f>AND(#REF!,"AAAAAC3fLo0=")</f>
        <v>#REF!</v>
      </c>
      <c r="EM124" t="e">
        <f>AND(#REF!,"AAAAAC3fLo4=")</f>
        <v>#REF!</v>
      </c>
      <c r="EN124" t="e">
        <f>AND(#REF!,"AAAAAC3fLo8=")</f>
        <v>#REF!</v>
      </c>
      <c r="EO124" t="e">
        <f>AND(#REF!,"AAAAAC3fLpA=")</f>
        <v>#REF!</v>
      </c>
      <c r="EP124" t="e">
        <f>AND(#REF!,"AAAAAC3fLpE=")</f>
        <v>#REF!</v>
      </c>
      <c r="EQ124" t="e">
        <f>AND(#REF!,"AAAAAC3fLpI=")</f>
        <v>#REF!</v>
      </c>
      <c r="ER124" t="e">
        <f>AND(#REF!,"AAAAAC3fLpM=")</f>
        <v>#REF!</v>
      </c>
      <c r="ES124" t="e">
        <f>AND(#REF!,"AAAAAC3fLpQ=")</f>
        <v>#REF!</v>
      </c>
      <c r="ET124" t="e">
        <f>AND(#REF!,"AAAAAC3fLpU=")</f>
        <v>#REF!</v>
      </c>
      <c r="EU124" t="e">
        <f>AND(#REF!,"AAAAAC3fLpY=")</f>
        <v>#REF!</v>
      </c>
      <c r="EV124" t="e">
        <f>AND(#REF!,"AAAAAC3fLpc=")</f>
        <v>#REF!</v>
      </c>
      <c r="EW124" t="e">
        <f>AND(#REF!,"AAAAAC3fLpg=")</f>
        <v>#REF!</v>
      </c>
      <c r="EX124" t="e">
        <f>AND(#REF!,"AAAAAC3fLpk=")</f>
        <v>#REF!</v>
      </c>
      <c r="EY124" t="e">
        <f>IF(#REF!,"AAAAAC3fLpo=",0)</f>
        <v>#REF!</v>
      </c>
      <c r="EZ124" t="e">
        <f>AND(#REF!,"AAAAAC3fLps=")</f>
        <v>#REF!</v>
      </c>
      <c r="FA124" t="e">
        <f>AND(#REF!,"AAAAAC3fLpw=")</f>
        <v>#REF!</v>
      </c>
      <c r="FB124" t="e">
        <f>AND(#REF!,"AAAAAC3fLp0=")</f>
        <v>#REF!</v>
      </c>
      <c r="FC124" t="e">
        <f>AND(#REF!,"AAAAAC3fLp4=")</f>
        <v>#REF!</v>
      </c>
      <c r="FD124" t="e">
        <f>AND(#REF!,"AAAAAC3fLp8=")</f>
        <v>#REF!</v>
      </c>
      <c r="FE124" t="e">
        <f>AND(#REF!,"AAAAAC3fLqA=")</f>
        <v>#REF!</v>
      </c>
      <c r="FF124" t="e">
        <f>AND(#REF!,"AAAAAC3fLqE=")</f>
        <v>#REF!</v>
      </c>
      <c r="FG124" t="e">
        <f>AND(#REF!,"AAAAAC3fLqI=")</f>
        <v>#REF!</v>
      </c>
      <c r="FH124" t="e">
        <f>AND(#REF!,"AAAAAC3fLqM=")</f>
        <v>#REF!</v>
      </c>
      <c r="FI124" t="e">
        <f>AND(#REF!,"AAAAAC3fLqQ=")</f>
        <v>#REF!</v>
      </c>
      <c r="FJ124" t="e">
        <f>AND(#REF!,"AAAAAC3fLqU=")</f>
        <v>#REF!</v>
      </c>
      <c r="FK124" t="e">
        <f>AND(#REF!,"AAAAAC3fLqY=")</f>
        <v>#REF!</v>
      </c>
      <c r="FL124" t="e">
        <f>AND(#REF!,"AAAAAC3fLqc=")</f>
        <v>#REF!</v>
      </c>
      <c r="FM124" t="e">
        <f>AND(#REF!,"AAAAAC3fLqg=")</f>
        <v>#REF!</v>
      </c>
      <c r="FN124" t="e">
        <f>AND(#REF!,"AAAAAC3fLqk=")</f>
        <v>#REF!</v>
      </c>
      <c r="FO124" t="e">
        <f>AND(#REF!,"AAAAAC3fLqo=")</f>
        <v>#REF!</v>
      </c>
      <c r="FP124" t="e">
        <f>AND(#REF!,"AAAAAC3fLqs=")</f>
        <v>#REF!</v>
      </c>
      <c r="FQ124" t="e">
        <f>AND(#REF!,"AAAAAC3fLqw=")</f>
        <v>#REF!</v>
      </c>
      <c r="FR124" t="e">
        <f>AND(#REF!,"AAAAAC3fLq0=")</f>
        <v>#REF!</v>
      </c>
      <c r="FS124" t="e">
        <f>IF(#REF!,"AAAAAC3fLq4=",0)</f>
        <v>#REF!</v>
      </c>
      <c r="FT124" t="e">
        <f>AND(#REF!,"AAAAAC3fLq8=")</f>
        <v>#REF!</v>
      </c>
      <c r="FU124" t="e">
        <f>AND(#REF!,"AAAAAC3fLrA=")</f>
        <v>#REF!</v>
      </c>
      <c r="FV124" t="e">
        <f>AND(#REF!,"AAAAAC3fLrE=")</f>
        <v>#REF!</v>
      </c>
      <c r="FW124" t="e">
        <f>AND(#REF!,"AAAAAC3fLrI=")</f>
        <v>#REF!</v>
      </c>
      <c r="FX124" t="e">
        <f>AND(#REF!,"AAAAAC3fLrM=")</f>
        <v>#REF!</v>
      </c>
      <c r="FY124" t="e">
        <f>AND(#REF!,"AAAAAC3fLrQ=")</f>
        <v>#REF!</v>
      </c>
      <c r="FZ124" t="e">
        <f>AND(#REF!,"AAAAAC3fLrU=")</f>
        <v>#REF!</v>
      </c>
      <c r="GA124" t="e">
        <f>AND(#REF!,"AAAAAC3fLrY=")</f>
        <v>#REF!</v>
      </c>
      <c r="GB124" t="e">
        <f>AND(#REF!,"AAAAAC3fLrc=")</f>
        <v>#REF!</v>
      </c>
      <c r="GC124" t="e">
        <f>AND(#REF!,"AAAAAC3fLrg=")</f>
        <v>#REF!</v>
      </c>
      <c r="GD124" t="e">
        <f>AND(#REF!,"AAAAAC3fLrk=")</f>
        <v>#REF!</v>
      </c>
      <c r="GE124" t="e">
        <f>AND(#REF!,"AAAAAC3fLro=")</f>
        <v>#REF!</v>
      </c>
      <c r="GF124" t="e">
        <f>AND(#REF!,"AAAAAC3fLrs=")</f>
        <v>#REF!</v>
      </c>
      <c r="GG124" t="e">
        <f>AND(#REF!,"AAAAAC3fLrw=")</f>
        <v>#REF!</v>
      </c>
      <c r="GH124" t="e">
        <f>AND(#REF!,"AAAAAC3fLr0=")</f>
        <v>#REF!</v>
      </c>
      <c r="GI124" t="e">
        <f>AND(#REF!,"AAAAAC3fLr4=")</f>
        <v>#REF!</v>
      </c>
      <c r="GJ124" t="e">
        <f>AND(#REF!,"AAAAAC3fLr8=")</f>
        <v>#REF!</v>
      </c>
      <c r="GK124" t="e">
        <f>AND(#REF!,"AAAAAC3fLsA=")</f>
        <v>#REF!</v>
      </c>
      <c r="GL124" t="e">
        <f>AND(#REF!,"AAAAAC3fLsE=")</f>
        <v>#REF!</v>
      </c>
      <c r="GM124" t="e">
        <f>IF(#REF!,"AAAAAC3fLsI=",0)</f>
        <v>#REF!</v>
      </c>
      <c r="GN124" t="e">
        <f>AND(#REF!,"AAAAAC3fLsM=")</f>
        <v>#REF!</v>
      </c>
      <c r="GO124" t="e">
        <f>AND(#REF!,"AAAAAC3fLsQ=")</f>
        <v>#REF!</v>
      </c>
      <c r="GP124" t="e">
        <f>AND(#REF!,"AAAAAC3fLsU=")</f>
        <v>#REF!</v>
      </c>
      <c r="GQ124" t="e">
        <f>AND(#REF!,"AAAAAC3fLsY=")</f>
        <v>#REF!</v>
      </c>
      <c r="GR124" t="e">
        <f>AND(#REF!,"AAAAAC3fLsc=")</f>
        <v>#REF!</v>
      </c>
      <c r="GS124" t="e">
        <f>AND(#REF!,"AAAAAC3fLsg=")</f>
        <v>#REF!</v>
      </c>
      <c r="GT124" t="e">
        <f>AND(#REF!,"AAAAAC3fLsk=")</f>
        <v>#REF!</v>
      </c>
      <c r="GU124" t="e">
        <f>AND(#REF!,"AAAAAC3fLso=")</f>
        <v>#REF!</v>
      </c>
      <c r="GV124" t="e">
        <f>AND(#REF!,"AAAAAC3fLss=")</f>
        <v>#REF!</v>
      </c>
      <c r="GW124" t="e">
        <f>AND(#REF!,"AAAAAC3fLsw=")</f>
        <v>#REF!</v>
      </c>
      <c r="GX124" t="e">
        <f>AND(#REF!,"AAAAAC3fLs0=")</f>
        <v>#REF!</v>
      </c>
      <c r="GY124" t="e">
        <f>AND(#REF!,"AAAAAC3fLs4=")</f>
        <v>#REF!</v>
      </c>
      <c r="GZ124" t="e">
        <f>AND(#REF!,"AAAAAC3fLs8=")</f>
        <v>#REF!</v>
      </c>
      <c r="HA124" t="e">
        <f>AND(#REF!,"AAAAAC3fLtA=")</f>
        <v>#REF!</v>
      </c>
      <c r="HB124" t="e">
        <f>AND(#REF!,"AAAAAC3fLtE=")</f>
        <v>#REF!</v>
      </c>
      <c r="HC124" t="e">
        <f>AND(#REF!,"AAAAAC3fLtI=")</f>
        <v>#REF!</v>
      </c>
      <c r="HD124" t="e">
        <f>AND(#REF!,"AAAAAC3fLtM=")</f>
        <v>#REF!</v>
      </c>
      <c r="HE124" t="e">
        <f>AND(#REF!,"AAAAAC3fLtQ=")</f>
        <v>#REF!</v>
      </c>
      <c r="HF124" t="e">
        <f>AND(#REF!,"AAAAAC3fLtU=")</f>
        <v>#REF!</v>
      </c>
      <c r="HG124" t="e">
        <f>IF(#REF!,"AAAAAC3fLtY=",0)</f>
        <v>#REF!</v>
      </c>
      <c r="HH124" t="e">
        <f>AND(#REF!,"AAAAAC3fLtc=")</f>
        <v>#REF!</v>
      </c>
      <c r="HI124" t="e">
        <f>AND(#REF!,"AAAAAC3fLtg=")</f>
        <v>#REF!</v>
      </c>
      <c r="HJ124" t="e">
        <f>AND(#REF!,"AAAAAC3fLtk=")</f>
        <v>#REF!</v>
      </c>
      <c r="HK124" t="e">
        <f>AND(#REF!,"AAAAAC3fLto=")</f>
        <v>#REF!</v>
      </c>
      <c r="HL124" t="e">
        <f>AND(#REF!,"AAAAAC3fLts=")</f>
        <v>#REF!</v>
      </c>
      <c r="HM124" t="e">
        <f>AND(#REF!,"AAAAAC3fLtw=")</f>
        <v>#REF!</v>
      </c>
      <c r="HN124" t="e">
        <f>AND(#REF!,"AAAAAC3fLt0=")</f>
        <v>#REF!</v>
      </c>
      <c r="HO124" t="e">
        <f>AND(#REF!,"AAAAAC3fLt4=")</f>
        <v>#REF!</v>
      </c>
      <c r="HP124" t="e">
        <f>AND(#REF!,"AAAAAC3fLt8=")</f>
        <v>#REF!</v>
      </c>
      <c r="HQ124" t="e">
        <f>AND(#REF!,"AAAAAC3fLuA=")</f>
        <v>#REF!</v>
      </c>
      <c r="HR124" t="e">
        <f>AND(#REF!,"AAAAAC3fLuE=")</f>
        <v>#REF!</v>
      </c>
      <c r="HS124" t="e">
        <f>AND(#REF!,"AAAAAC3fLuI=")</f>
        <v>#REF!</v>
      </c>
      <c r="HT124" t="e">
        <f>AND(#REF!,"AAAAAC3fLuM=")</f>
        <v>#REF!</v>
      </c>
      <c r="HU124" t="e">
        <f>AND(#REF!,"AAAAAC3fLuQ=")</f>
        <v>#REF!</v>
      </c>
      <c r="HV124" t="e">
        <f>AND(#REF!,"AAAAAC3fLuU=")</f>
        <v>#REF!</v>
      </c>
      <c r="HW124" t="e">
        <f>AND(#REF!,"AAAAAC3fLuY=")</f>
        <v>#REF!</v>
      </c>
      <c r="HX124" t="e">
        <f>AND(#REF!,"AAAAAC3fLuc=")</f>
        <v>#REF!</v>
      </c>
      <c r="HY124" t="e">
        <f>AND(#REF!,"AAAAAC3fLug=")</f>
        <v>#REF!</v>
      </c>
      <c r="HZ124" t="e">
        <f>AND(#REF!,"AAAAAC3fLuk=")</f>
        <v>#REF!</v>
      </c>
      <c r="IA124" t="e">
        <f>IF(#REF!,"AAAAAC3fLuo=",0)</f>
        <v>#REF!</v>
      </c>
      <c r="IB124" t="e">
        <f>AND(#REF!,"AAAAAC3fLus=")</f>
        <v>#REF!</v>
      </c>
      <c r="IC124" t="e">
        <f>AND(#REF!,"AAAAAC3fLuw=")</f>
        <v>#REF!</v>
      </c>
      <c r="ID124" t="e">
        <f>AND(#REF!,"AAAAAC3fLu0=")</f>
        <v>#REF!</v>
      </c>
      <c r="IE124" t="e">
        <f>AND(#REF!,"AAAAAC3fLu4=")</f>
        <v>#REF!</v>
      </c>
      <c r="IF124" t="e">
        <f>AND(#REF!,"AAAAAC3fLu8=")</f>
        <v>#REF!</v>
      </c>
      <c r="IG124" t="e">
        <f>AND(#REF!,"AAAAAC3fLvA=")</f>
        <v>#REF!</v>
      </c>
      <c r="IH124" t="e">
        <f>AND(#REF!,"AAAAAC3fLvE=")</f>
        <v>#REF!</v>
      </c>
      <c r="II124" t="e">
        <f>AND(#REF!,"AAAAAC3fLvI=")</f>
        <v>#REF!</v>
      </c>
      <c r="IJ124" t="e">
        <f>AND(#REF!,"AAAAAC3fLvM=")</f>
        <v>#REF!</v>
      </c>
      <c r="IK124" t="e">
        <f>AND(#REF!,"AAAAAC3fLvQ=")</f>
        <v>#REF!</v>
      </c>
      <c r="IL124" t="e">
        <f>AND(#REF!,"AAAAAC3fLvU=")</f>
        <v>#REF!</v>
      </c>
      <c r="IM124" t="e">
        <f>AND(#REF!,"AAAAAC3fLvY=")</f>
        <v>#REF!</v>
      </c>
      <c r="IN124" t="e">
        <f>AND(#REF!,"AAAAAC3fLvc=")</f>
        <v>#REF!</v>
      </c>
      <c r="IO124" t="e">
        <f>AND(#REF!,"AAAAAC3fLvg=")</f>
        <v>#REF!</v>
      </c>
      <c r="IP124" t="e">
        <f>AND(#REF!,"AAAAAC3fLvk=")</f>
        <v>#REF!</v>
      </c>
      <c r="IQ124" t="e">
        <f>AND(#REF!,"AAAAAC3fLvo=")</f>
        <v>#REF!</v>
      </c>
      <c r="IR124" t="e">
        <f>AND(#REF!,"AAAAAC3fLvs=")</f>
        <v>#REF!</v>
      </c>
      <c r="IS124" t="e">
        <f>AND(#REF!,"AAAAAC3fLvw=")</f>
        <v>#REF!</v>
      </c>
      <c r="IT124" t="e">
        <f>AND(#REF!,"AAAAAC3fLv0=")</f>
        <v>#REF!</v>
      </c>
      <c r="IU124" t="e">
        <f>IF(#REF!,"AAAAAC3fLv4=",0)</f>
        <v>#REF!</v>
      </c>
      <c r="IV124" t="e">
        <f>AND(#REF!,"AAAAAC3fLv8=")</f>
        <v>#REF!</v>
      </c>
    </row>
    <row r="125" spans="1:256" x14ac:dyDescent="0.2">
      <c r="A125" t="e">
        <f>AND(#REF!,"AAAAAA/TewA=")</f>
        <v>#REF!</v>
      </c>
      <c r="B125" t="e">
        <f>AND(#REF!,"AAAAAA/TewE=")</f>
        <v>#REF!</v>
      </c>
      <c r="C125" t="e">
        <f>AND(#REF!,"AAAAAA/TewI=")</f>
        <v>#REF!</v>
      </c>
      <c r="D125" t="e">
        <f>AND(#REF!,"AAAAAA/TewM=")</f>
        <v>#REF!</v>
      </c>
      <c r="E125" t="e">
        <f>AND(#REF!,"AAAAAA/TewQ=")</f>
        <v>#REF!</v>
      </c>
      <c r="F125" t="e">
        <f>AND(#REF!,"AAAAAA/TewU=")</f>
        <v>#REF!</v>
      </c>
      <c r="G125" t="e">
        <f>AND(#REF!,"AAAAAA/TewY=")</f>
        <v>#REF!</v>
      </c>
      <c r="H125" t="e">
        <f>AND(#REF!,"AAAAAA/Tewc=")</f>
        <v>#REF!</v>
      </c>
      <c r="I125" t="e">
        <f>AND(#REF!,"AAAAAA/Tewg=")</f>
        <v>#REF!</v>
      </c>
      <c r="J125" t="e">
        <f>AND(#REF!,"AAAAAA/Tewk=")</f>
        <v>#REF!</v>
      </c>
      <c r="K125" t="e">
        <f>AND(#REF!,"AAAAAA/Tewo=")</f>
        <v>#REF!</v>
      </c>
      <c r="L125" t="e">
        <f>AND(#REF!,"AAAAAA/Tews=")</f>
        <v>#REF!</v>
      </c>
      <c r="M125" t="e">
        <f>AND(#REF!,"AAAAAA/Teww=")</f>
        <v>#REF!</v>
      </c>
      <c r="N125" t="e">
        <f>AND(#REF!,"AAAAAA/Tew0=")</f>
        <v>#REF!</v>
      </c>
      <c r="O125" t="e">
        <f>AND(#REF!,"AAAAAA/Tew4=")</f>
        <v>#REF!</v>
      </c>
      <c r="P125" t="e">
        <f>AND(#REF!,"AAAAAA/Tew8=")</f>
        <v>#REF!</v>
      </c>
      <c r="Q125" t="e">
        <f>AND(#REF!,"AAAAAA/TexA=")</f>
        <v>#REF!</v>
      </c>
      <c r="R125" t="e">
        <f>AND(#REF!,"AAAAAA/TexE=")</f>
        <v>#REF!</v>
      </c>
      <c r="S125" t="e">
        <f>IF(#REF!,"AAAAAA/TexI=",0)</f>
        <v>#REF!</v>
      </c>
      <c r="T125" t="e">
        <f>AND(#REF!,"AAAAAA/TexM=")</f>
        <v>#REF!</v>
      </c>
      <c r="U125" t="e">
        <f>AND(#REF!,"AAAAAA/TexQ=")</f>
        <v>#REF!</v>
      </c>
      <c r="V125" t="e">
        <f>AND(#REF!,"AAAAAA/TexU=")</f>
        <v>#REF!</v>
      </c>
      <c r="W125" t="e">
        <f>AND(#REF!,"AAAAAA/TexY=")</f>
        <v>#REF!</v>
      </c>
      <c r="X125" t="e">
        <f>AND(#REF!,"AAAAAA/Texc=")</f>
        <v>#REF!</v>
      </c>
      <c r="Y125" t="e">
        <f>AND(#REF!,"AAAAAA/Texg=")</f>
        <v>#REF!</v>
      </c>
      <c r="Z125" t="e">
        <f>AND(#REF!,"AAAAAA/Texk=")</f>
        <v>#REF!</v>
      </c>
      <c r="AA125" t="e">
        <f>AND(#REF!,"AAAAAA/Texo=")</f>
        <v>#REF!</v>
      </c>
      <c r="AB125" t="e">
        <f>AND(#REF!,"AAAAAA/Texs=")</f>
        <v>#REF!</v>
      </c>
      <c r="AC125" t="e">
        <f>AND(#REF!,"AAAAAA/Texw=")</f>
        <v>#REF!</v>
      </c>
      <c r="AD125" t="e">
        <f>AND(#REF!,"AAAAAA/Tex0=")</f>
        <v>#REF!</v>
      </c>
      <c r="AE125" t="e">
        <f>AND(#REF!,"AAAAAA/Tex4=")</f>
        <v>#REF!</v>
      </c>
      <c r="AF125" t="e">
        <f>AND(#REF!,"AAAAAA/Tex8=")</f>
        <v>#REF!</v>
      </c>
      <c r="AG125" t="e">
        <f>AND(#REF!,"AAAAAA/TeyA=")</f>
        <v>#REF!</v>
      </c>
      <c r="AH125" t="e">
        <f>AND(#REF!,"AAAAAA/TeyE=")</f>
        <v>#REF!</v>
      </c>
      <c r="AI125" t="e">
        <f>AND(#REF!,"AAAAAA/TeyI=")</f>
        <v>#REF!</v>
      </c>
      <c r="AJ125" t="e">
        <f>AND(#REF!,"AAAAAA/TeyM=")</f>
        <v>#REF!</v>
      </c>
      <c r="AK125" t="e">
        <f>AND(#REF!,"AAAAAA/TeyQ=")</f>
        <v>#REF!</v>
      </c>
      <c r="AL125" t="e">
        <f>AND(#REF!,"AAAAAA/TeyU=")</f>
        <v>#REF!</v>
      </c>
      <c r="AM125" t="e">
        <f>IF(#REF!,"AAAAAA/TeyY=",0)</f>
        <v>#REF!</v>
      </c>
      <c r="AN125" t="e">
        <f>AND(#REF!,"AAAAAA/Teyc=")</f>
        <v>#REF!</v>
      </c>
      <c r="AO125" t="e">
        <f>AND(#REF!,"AAAAAA/Teyg=")</f>
        <v>#REF!</v>
      </c>
      <c r="AP125" t="e">
        <f>AND(#REF!,"AAAAAA/Teyk=")</f>
        <v>#REF!</v>
      </c>
      <c r="AQ125" t="e">
        <f>AND(#REF!,"AAAAAA/Teyo=")</f>
        <v>#REF!</v>
      </c>
      <c r="AR125" t="e">
        <f>AND(#REF!,"AAAAAA/Teys=")</f>
        <v>#REF!</v>
      </c>
      <c r="AS125" t="e">
        <f>AND(#REF!,"AAAAAA/Teyw=")</f>
        <v>#REF!</v>
      </c>
      <c r="AT125" t="e">
        <f>AND(#REF!,"AAAAAA/Tey0=")</f>
        <v>#REF!</v>
      </c>
      <c r="AU125" t="e">
        <f>AND(#REF!,"AAAAAA/Tey4=")</f>
        <v>#REF!</v>
      </c>
      <c r="AV125" t="e">
        <f>AND(#REF!,"AAAAAA/Tey8=")</f>
        <v>#REF!</v>
      </c>
      <c r="AW125" t="e">
        <f>AND(#REF!,"AAAAAA/TezA=")</f>
        <v>#REF!</v>
      </c>
      <c r="AX125" t="e">
        <f>AND(#REF!,"AAAAAA/TezE=")</f>
        <v>#REF!</v>
      </c>
      <c r="AY125" t="e">
        <f>AND(#REF!,"AAAAAA/TezI=")</f>
        <v>#REF!</v>
      </c>
      <c r="AZ125" t="e">
        <f>AND(#REF!,"AAAAAA/TezM=")</f>
        <v>#REF!</v>
      </c>
      <c r="BA125" t="e">
        <f>AND(#REF!,"AAAAAA/TezQ=")</f>
        <v>#REF!</v>
      </c>
      <c r="BB125" t="e">
        <f>AND(#REF!,"AAAAAA/TezU=")</f>
        <v>#REF!</v>
      </c>
      <c r="BC125" t="e">
        <f>AND(#REF!,"AAAAAA/TezY=")</f>
        <v>#REF!</v>
      </c>
      <c r="BD125" t="e">
        <f>AND(#REF!,"AAAAAA/Tezc=")</f>
        <v>#REF!</v>
      </c>
      <c r="BE125" t="e">
        <f>AND(#REF!,"AAAAAA/Tezg=")</f>
        <v>#REF!</v>
      </c>
      <c r="BF125" t="e">
        <f>AND(#REF!,"AAAAAA/Tezk=")</f>
        <v>#REF!</v>
      </c>
      <c r="BG125" t="e">
        <f>IF(#REF!,"AAAAAA/Tezo=",0)</f>
        <v>#REF!</v>
      </c>
      <c r="BH125" t="e">
        <f>AND(#REF!,"AAAAAA/Tezs=")</f>
        <v>#REF!</v>
      </c>
      <c r="BI125" t="e">
        <f>AND(#REF!,"AAAAAA/Tezw=")</f>
        <v>#REF!</v>
      </c>
      <c r="BJ125" t="e">
        <f>AND(#REF!,"AAAAAA/Tez0=")</f>
        <v>#REF!</v>
      </c>
      <c r="BK125" t="e">
        <f>AND(#REF!,"AAAAAA/Tez4=")</f>
        <v>#REF!</v>
      </c>
      <c r="BL125" t="e">
        <f>AND(#REF!,"AAAAAA/Tez8=")</f>
        <v>#REF!</v>
      </c>
      <c r="BM125" t="e">
        <f>AND(#REF!,"AAAAAA/Te0A=")</f>
        <v>#REF!</v>
      </c>
      <c r="BN125" t="e">
        <f>AND(#REF!,"AAAAAA/Te0E=")</f>
        <v>#REF!</v>
      </c>
      <c r="BO125" t="e">
        <f>AND(#REF!,"AAAAAA/Te0I=")</f>
        <v>#REF!</v>
      </c>
      <c r="BP125" t="e">
        <f>AND(#REF!,"AAAAAA/Te0M=")</f>
        <v>#REF!</v>
      </c>
      <c r="BQ125" t="e">
        <f>AND(#REF!,"AAAAAA/Te0Q=")</f>
        <v>#REF!</v>
      </c>
      <c r="BR125" t="e">
        <f>AND(#REF!,"AAAAAA/Te0U=")</f>
        <v>#REF!</v>
      </c>
      <c r="BS125" t="e">
        <f>AND(#REF!,"AAAAAA/Te0Y=")</f>
        <v>#REF!</v>
      </c>
      <c r="BT125" t="e">
        <f>AND(#REF!,"AAAAAA/Te0c=")</f>
        <v>#REF!</v>
      </c>
      <c r="BU125" t="e">
        <f>AND(#REF!,"AAAAAA/Te0g=")</f>
        <v>#REF!</v>
      </c>
      <c r="BV125" t="e">
        <f>AND(#REF!,"AAAAAA/Te0k=")</f>
        <v>#REF!</v>
      </c>
      <c r="BW125" t="e">
        <f>AND(#REF!,"AAAAAA/Te0o=")</f>
        <v>#REF!</v>
      </c>
      <c r="BX125" t="e">
        <f>AND(#REF!,"AAAAAA/Te0s=")</f>
        <v>#REF!</v>
      </c>
      <c r="BY125" t="e">
        <f>AND(#REF!,"AAAAAA/Te0w=")</f>
        <v>#REF!</v>
      </c>
      <c r="BZ125" t="e">
        <f>AND(#REF!,"AAAAAA/Te00=")</f>
        <v>#REF!</v>
      </c>
      <c r="CA125" t="e">
        <f>IF(#REF!,"AAAAAA/Te04=",0)</f>
        <v>#REF!</v>
      </c>
      <c r="CB125" t="e">
        <f>AND(#REF!,"AAAAAA/Te08=")</f>
        <v>#REF!</v>
      </c>
      <c r="CC125" t="e">
        <f>AND(#REF!,"AAAAAA/Te1A=")</f>
        <v>#REF!</v>
      </c>
      <c r="CD125" t="e">
        <f>AND(#REF!,"AAAAAA/Te1E=")</f>
        <v>#REF!</v>
      </c>
      <c r="CE125" t="e">
        <f>AND(#REF!,"AAAAAA/Te1I=")</f>
        <v>#REF!</v>
      </c>
      <c r="CF125" t="e">
        <f>AND(#REF!,"AAAAAA/Te1M=")</f>
        <v>#REF!</v>
      </c>
      <c r="CG125" t="e">
        <f>AND(#REF!,"AAAAAA/Te1Q=")</f>
        <v>#REF!</v>
      </c>
      <c r="CH125" t="e">
        <f>AND(#REF!,"AAAAAA/Te1U=")</f>
        <v>#REF!</v>
      </c>
      <c r="CI125" t="e">
        <f>AND(#REF!,"AAAAAA/Te1Y=")</f>
        <v>#REF!</v>
      </c>
      <c r="CJ125" t="e">
        <f>AND(#REF!,"AAAAAA/Te1c=")</f>
        <v>#REF!</v>
      </c>
      <c r="CK125" t="e">
        <f>AND(#REF!,"AAAAAA/Te1g=")</f>
        <v>#REF!</v>
      </c>
      <c r="CL125" t="e">
        <f>AND(#REF!,"AAAAAA/Te1k=")</f>
        <v>#REF!</v>
      </c>
      <c r="CM125" t="e">
        <f>AND(#REF!,"AAAAAA/Te1o=")</f>
        <v>#REF!</v>
      </c>
      <c r="CN125" t="e">
        <f>AND(#REF!,"AAAAAA/Te1s=")</f>
        <v>#REF!</v>
      </c>
      <c r="CO125" t="e">
        <f>AND(#REF!,"AAAAAA/Te1w=")</f>
        <v>#REF!</v>
      </c>
      <c r="CP125" t="e">
        <f>AND(#REF!,"AAAAAA/Te10=")</f>
        <v>#REF!</v>
      </c>
      <c r="CQ125" t="e">
        <f>AND(#REF!,"AAAAAA/Te14=")</f>
        <v>#REF!</v>
      </c>
      <c r="CR125" t="e">
        <f>AND(#REF!,"AAAAAA/Te18=")</f>
        <v>#REF!</v>
      </c>
      <c r="CS125" t="e">
        <f>AND(#REF!,"AAAAAA/Te2A=")</f>
        <v>#REF!</v>
      </c>
      <c r="CT125" t="e">
        <f>AND(#REF!,"AAAAAA/Te2E=")</f>
        <v>#REF!</v>
      </c>
      <c r="CU125" t="e">
        <f>IF(#REF!,"AAAAAA/Te2I=",0)</f>
        <v>#REF!</v>
      </c>
      <c r="CV125" t="e">
        <f>AND(#REF!,"AAAAAA/Te2M=")</f>
        <v>#REF!</v>
      </c>
      <c r="CW125" t="e">
        <f>AND(#REF!,"AAAAAA/Te2Q=")</f>
        <v>#REF!</v>
      </c>
      <c r="CX125" t="e">
        <f>AND(#REF!,"AAAAAA/Te2U=")</f>
        <v>#REF!</v>
      </c>
      <c r="CY125" t="e">
        <f>AND(#REF!,"AAAAAA/Te2Y=")</f>
        <v>#REF!</v>
      </c>
      <c r="CZ125" t="e">
        <f>AND(#REF!,"AAAAAA/Te2c=")</f>
        <v>#REF!</v>
      </c>
      <c r="DA125" t="e">
        <f>AND(#REF!,"AAAAAA/Te2g=")</f>
        <v>#REF!</v>
      </c>
      <c r="DB125" t="e">
        <f>AND(#REF!,"AAAAAA/Te2k=")</f>
        <v>#REF!</v>
      </c>
      <c r="DC125" t="e">
        <f>AND(#REF!,"AAAAAA/Te2o=")</f>
        <v>#REF!</v>
      </c>
      <c r="DD125" t="e">
        <f>AND(#REF!,"AAAAAA/Te2s=")</f>
        <v>#REF!</v>
      </c>
      <c r="DE125" t="e">
        <f>AND(#REF!,"AAAAAA/Te2w=")</f>
        <v>#REF!</v>
      </c>
      <c r="DF125" t="e">
        <f>AND(#REF!,"AAAAAA/Te20=")</f>
        <v>#REF!</v>
      </c>
      <c r="DG125" t="e">
        <f>AND(#REF!,"AAAAAA/Te24=")</f>
        <v>#REF!</v>
      </c>
      <c r="DH125" t="e">
        <f>AND(#REF!,"AAAAAA/Te28=")</f>
        <v>#REF!</v>
      </c>
      <c r="DI125" t="e">
        <f>AND(#REF!,"AAAAAA/Te3A=")</f>
        <v>#REF!</v>
      </c>
      <c r="DJ125" t="e">
        <f>AND(#REF!,"AAAAAA/Te3E=")</f>
        <v>#REF!</v>
      </c>
      <c r="DK125" t="e">
        <f>AND(#REF!,"AAAAAA/Te3I=")</f>
        <v>#REF!</v>
      </c>
      <c r="DL125" t="e">
        <f>AND(#REF!,"AAAAAA/Te3M=")</f>
        <v>#REF!</v>
      </c>
      <c r="DM125" t="e">
        <f>AND(#REF!,"AAAAAA/Te3Q=")</f>
        <v>#REF!</v>
      </c>
      <c r="DN125" t="e">
        <f>AND(#REF!,"AAAAAA/Te3U=")</f>
        <v>#REF!</v>
      </c>
      <c r="DO125" t="e">
        <f>IF(#REF!,"AAAAAA/Te3Y=",0)</f>
        <v>#REF!</v>
      </c>
      <c r="DP125" t="e">
        <f>AND(#REF!,"AAAAAA/Te3c=")</f>
        <v>#REF!</v>
      </c>
      <c r="DQ125" t="e">
        <f>AND(#REF!,"AAAAAA/Te3g=")</f>
        <v>#REF!</v>
      </c>
      <c r="DR125" t="e">
        <f>AND(#REF!,"AAAAAA/Te3k=")</f>
        <v>#REF!</v>
      </c>
      <c r="DS125" t="e">
        <f>AND(#REF!,"AAAAAA/Te3o=")</f>
        <v>#REF!</v>
      </c>
      <c r="DT125" t="e">
        <f>AND(#REF!,"AAAAAA/Te3s=")</f>
        <v>#REF!</v>
      </c>
      <c r="DU125" t="e">
        <f>AND(#REF!,"AAAAAA/Te3w=")</f>
        <v>#REF!</v>
      </c>
      <c r="DV125" t="e">
        <f>AND(#REF!,"AAAAAA/Te30=")</f>
        <v>#REF!</v>
      </c>
      <c r="DW125" t="e">
        <f>AND(#REF!,"AAAAAA/Te34=")</f>
        <v>#REF!</v>
      </c>
      <c r="DX125" t="e">
        <f>AND(#REF!,"AAAAAA/Te38=")</f>
        <v>#REF!</v>
      </c>
      <c r="DY125" t="e">
        <f>AND(#REF!,"AAAAAA/Te4A=")</f>
        <v>#REF!</v>
      </c>
      <c r="DZ125" t="e">
        <f>AND(#REF!,"AAAAAA/Te4E=")</f>
        <v>#REF!</v>
      </c>
      <c r="EA125" t="e">
        <f>AND(#REF!,"AAAAAA/Te4I=")</f>
        <v>#REF!</v>
      </c>
      <c r="EB125" t="e">
        <f>AND(#REF!,"AAAAAA/Te4M=")</f>
        <v>#REF!</v>
      </c>
      <c r="EC125" t="e">
        <f>AND(#REF!,"AAAAAA/Te4Q=")</f>
        <v>#REF!</v>
      </c>
      <c r="ED125" t="e">
        <f>AND(#REF!,"AAAAAA/Te4U=")</f>
        <v>#REF!</v>
      </c>
      <c r="EE125" t="e">
        <f>AND(#REF!,"AAAAAA/Te4Y=")</f>
        <v>#REF!</v>
      </c>
      <c r="EF125" t="e">
        <f>AND(#REF!,"AAAAAA/Te4c=")</f>
        <v>#REF!</v>
      </c>
      <c r="EG125" t="e">
        <f>AND(#REF!,"AAAAAA/Te4g=")</f>
        <v>#REF!</v>
      </c>
      <c r="EH125" t="e">
        <f>AND(#REF!,"AAAAAA/Te4k=")</f>
        <v>#REF!</v>
      </c>
      <c r="EI125" t="e">
        <f>IF(#REF!,"AAAAAA/Te4o=",0)</f>
        <v>#REF!</v>
      </c>
      <c r="EJ125" t="e">
        <f>AND(#REF!,"AAAAAA/Te4s=")</f>
        <v>#REF!</v>
      </c>
      <c r="EK125" t="e">
        <f>AND(#REF!,"AAAAAA/Te4w=")</f>
        <v>#REF!</v>
      </c>
      <c r="EL125" t="e">
        <f>AND(#REF!,"AAAAAA/Te40=")</f>
        <v>#REF!</v>
      </c>
      <c r="EM125" t="e">
        <f>AND(#REF!,"AAAAAA/Te44=")</f>
        <v>#REF!</v>
      </c>
      <c r="EN125" t="e">
        <f>AND(#REF!,"AAAAAA/Te48=")</f>
        <v>#REF!</v>
      </c>
      <c r="EO125" t="e">
        <f>AND(#REF!,"AAAAAA/Te5A=")</f>
        <v>#REF!</v>
      </c>
      <c r="EP125" t="e">
        <f>AND(#REF!,"AAAAAA/Te5E=")</f>
        <v>#REF!</v>
      </c>
      <c r="EQ125" t="e">
        <f>AND(#REF!,"AAAAAA/Te5I=")</f>
        <v>#REF!</v>
      </c>
      <c r="ER125" t="e">
        <f>AND(#REF!,"AAAAAA/Te5M=")</f>
        <v>#REF!</v>
      </c>
      <c r="ES125" t="e">
        <f>AND(#REF!,"AAAAAA/Te5Q=")</f>
        <v>#REF!</v>
      </c>
      <c r="ET125" t="e">
        <f>AND(#REF!,"AAAAAA/Te5U=")</f>
        <v>#REF!</v>
      </c>
      <c r="EU125" t="e">
        <f>AND(#REF!,"AAAAAA/Te5Y=")</f>
        <v>#REF!</v>
      </c>
      <c r="EV125" t="e">
        <f>AND(#REF!,"AAAAAA/Te5c=")</f>
        <v>#REF!</v>
      </c>
      <c r="EW125" t="e">
        <f>AND(#REF!,"AAAAAA/Te5g=")</f>
        <v>#REF!</v>
      </c>
      <c r="EX125" t="e">
        <f>AND(#REF!,"AAAAAA/Te5k=")</f>
        <v>#REF!</v>
      </c>
      <c r="EY125" t="e">
        <f>AND(#REF!,"AAAAAA/Te5o=")</f>
        <v>#REF!</v>
      </c>
      <c r="EZ125" t="e">
        <f>AND(#REF!,"AAAAAA/Te5s=")</f>
        <v>#REF!</v>
      </c>
      <c r="FA125" t="e">
        <f>AND(#REF!,"AAAAAA/Te5w=")</f>
        <v>#REF!</v>
      </c>
      <c r="FB125" t="e">
        <f>AND(#REF!,"AAAAAA/Te50=")</f>
        <v>#REF!</v>
      </c>
      <c r="FC125" t="e">
        <f>IF(#REF!,"AAAAAA/Te54=",0)</f>
        <v>#REF!</v>
      </c>
      <c r="FD125" t="e">
        <f>AND(#REF!,"AAAAAA/Te58=")</f>
        <v>#REF!</v>
      </c>
      <c r="FE125" t="e">
        <f>AND(#REF!,"AAAAAA/Te6A=")</f>
        <v>#REF!</v>
      </c>
      <c r="FF125" t="e">
        <f>AND(#REF!,"AAAAAA/Te6E=")</f>
        <v>#REF!</v>
      </c>
      <c r="FG125" t="e">
        <f>AND(#REF!,"AAAAAA/Te6I=")</f>
        <v>#REF!</v>
      </c>
      <c r="FH125" t="e">
        <f>AND(#REF!,"AAAAAA/Te6M=")</f>
        <v>#REF!</v>
      </c>
      <c r="FI125" t="e">
        <f>AND(#REF!,"AAAAAA/Te6Q=")</f>
        <v>#REF!</v>
      </c>
      <c r="FJ125" t="e">
        <f>AND(#REF!,"AAAAAA/Te6U=")</f>
        <v>#REF!</v>
      </c>
      <c r="FK125" t="e">
        <f>AND(#REF!,"AAAAAA/Te6Y=")</f>
        <v>#REF!</v>
      </c>
      <c r="FL125" t="e">
        <f>AND(#REF!,"AAAAAA/Te6c=")</f>
        <v>#REF!</v>
      </c>
      <c r="FM125" t="e">
        <f>AND(#REF!,"AAAAAA/Te6g=")</f>
        <v>#REF!</v>
      </c>
      <c r="FN125" t="e">
        <f>AND(#REF!,"AAAAAA/Te6k=")</f>
        <v>#REF!</v>
      </c>
      <c r="FO125" t="e">
        <f>AND(#REF!,"AAAAAA/Te6o=")</f>
        <v>#REF!</v>
      </c>
      <c r="FP125" t="e">
        <f>AND(#REF!,"AAAAAA/Te6s=")</f>
        <v>#REF!</v>
      </c>
      <c r="FQ125" t="e">
        <f>AND(#REF!,"AAAAAA/Te6w=")</f>
        <v>#REF!</v>
      </c>
      <c r="FR125" t="e">
        <f>AND(#REF!,"AAAAAA/Te60=")</f>
        <v>#REF!</v>
      </c>
      <c r="FS125" t="e">
        <f>AND(#REF!,"AAAAAA/Te64=")</f>
        <v>#REF!</v>
      </c>
      <c r="FT125" t="e">
        <f>AND(#REF!,"AAAAAA/Te68=")</f>
        <v>#REF!</v>
      </c>
      <c r="FU125" t="e">
        <f>AND(#REF!,"AAAAAA/Te7A=")</f>
        <v>#REF!</v>
      </c>
      <c r="FV125" t="e">
        <f>AND(#REF!,"AAAAAA/Te7E=")</f>
        <v>#REF!</v>
      </c>
      <c r="FW125" t="e">
        <f>IF(#REF!,"AAAAAA/Te7I=",0)</f>
        <v>#REF!</v>
      </c>
      <c r="FX125" t="e">
        <f>AND(#REF!,"AAAAAA/Te7M=")</f>
        <v>#REF!</v>
      </c>
      <c r="FY125" t="e">
        <f>AND(#REF!,"AAAAAA/Te7Q=")</f>
        <v>#REF!</v>
      </c>
      <c r="FZ125" t="e">
        <f>AND(#REF!,"AAAAAA/Te7U=")</f>
        <v>#REF!</v>
      </c>
      <c r="GA125" t="e">
        <f>AND(#REF!,"AAAAAA/Te7Y=")</f>
        <v>#REF!</v>
      </c>
      <c r="GB125" t="e">
        <f>AND(#REF!,"AAAAAA/Te7c=")</f>
        <v>#REF!</v>
      </c>
      <c r="GC125" t="e">
        <f>AND(#REF!,"AAAAAA/Te7g=")</f>
        <v>#REF!</v>
      </c>
      <c r="GD125" t="e">
        <f>AND(#REF!,"AAAAAA/Te7k=")</f>
        <v>#REF!</v>
      </c>
      <c r="GE125" t="e">
        <f>AND(#REF!,"AAAAAA/Te7o=")</f>
        <v>#REF!</v>
      </c>
      <c r="GF125" t="e">
        <f>AND(#REF!,"AAAAAA/Te7s=")</f>
        <v>#REF!</v>
      </c>
      <c r="GG125" t="e">
        <f>AND(#REF!,"AAAAAA/Te7w=")</f>
        <v>#REF!</v>
      </c>
      <c r="GH125" t="e">
        <f>AND(#REF!,"AAAAAA/Te70=")</f>
        <v>#REF!</v>
      </c>
      <c r="GI125" t="e">
        <f>AND(#REF!,"AAAAAA/Te74=")</f>
        <v>#REF!</v>
      </c>
      <c r="GJ125" t="e">
        <f>AND(#REF!,"AAAAAA/Te78=")</f>
        <v>#REF!</v>
      </c>
      <c r="GK125" t="e">
        <f>AND(#REF!,"AAAAAA/Te8A=")</f>
        <v>#REF!</v>
      </c>
      <c r="GL125" t="e">
        <f>AND(#REF!,"AAAAAA/Te8E=")</f>
        <v>#REF!</v>
      </c>
      <c r="GM125" t="e">
        <f>AND(#REF!,"AAAAAA/Te8I=")</f>
        <v>#REF!</v>
      </c>
      <c r="GN125" t="e">
        <f>AND(#REF!,"AAAAAA/Te8M=")</f>
        <v>#REF!</v>
      </c>
      <c r="GO125" t="e">
        <f>AND(#REF!,"AAAAAA/Te8Q=")</f>
        <v>#REF!</v>
      </c>
      <c r="GP125" t="e">
        <f>AND(#REF!,"AAAAAA/Te8U=")</f>
        <v>#REF!</v>
      </c>
      <c r="GQ125" t="e">
        <f>IF(#REF!,"AAAAAA/Te8Y=",0)</f>
        <v>#REF!</v>
      </c>
      <c r="GR125" t="e">
        <f>AND(#REF!,"AAAAAA/Te8c=")</f>
        <v>#REF!</v>
      </c>
      <c r="GS125" t="e">
        <f>AND(#REF!,"AAAAAA/Te8g=")</f>
        <v>#REF!</v>
      </c>
      <c r="GT125" t="e">
        <f>AND(#REF!,"AAAAAA/Te8k=")</f>
        <v>#REF!</v>
      </c>
      <c r="GU125" t="e">
        <f>AND(#REF!,"AAAAAA/Te8o=")</f>
        <v>#REF!</v>
      </c>
      <c r="GV125" t="e">
        <f>AND(#REF!,"AAAAAA/Te8s=")</f>
        <v>#REF!</v>
      </c>
      <c r="GW125" t="e">
        <f>AND(#REF!,"AAAAAA/Te8w=")</f>
        <v>#REF!</v>
      </c>
      <c r="GX125" t="e">
        <f>AND(#REF!,"AAAAAA/Te80=")</f>
        <v>#REF!</v>
      </c>
      <c r="GY125" t="e">
        <f>AND(#REF!,"AAAAAA/Te84=")</f>
        <v>#REF!</v>
      </c>
      <c r="GZ125" t="e">
        <f>AND(#REF!,"AAAAAA/Te88=")</f>
        <v>#REF!</v>
      </c>
      <c r="HA125" t="e">
        <f>AND(#REF!,"AAAAAA/Te9A=")</f>
        <v>#REF!</v>
      </c>
      <c r="HB125" t="e">
        <f>AND(#REF!,"AAAAAA/Te9E=")</f>
        <v>#REF!</v>
      </c>
      <c r="HC125" t="e">
        <f>AND(#REF!,"AAAAAA/Te9I=")</f>
        <v>#REF!</v>
      </c>
      <c r="HD125" t="e">
        <f>AND(#REF!,"AAAAAA/Te9M=")</f>
        <v>#REF!</v>
      </c>
      <c r="HE125" t="e">
        <f>AND(#REF!,"AAAAAA/Te9Q=")</f>
        <v>#REF!</v>
      </c>
      <c r="HF125" t="e">
        <f>AND(#REF!,"AAAAAA/Te9U=")</f>
        <v>#REF!</v>
      </c>
      <c r="HG125" t="e">
        <f>AND(#REF!,"AAAAAA/Te9Y=")</f>
        <v>#REF!</v>
      </c>
      <c r="HH125" t="e">
        <f>AND(#REF!,"AAAAAA/Te9c=")</f>
        <v>#REF!</v>
      </c>
      <c r="HI125" t="e">
        <f>AND(#REF!,"AAAAAA/Te9g=")</f>
        <v>#REF!</v>
      </c>
      <c r="HJ125" t="e">
        <f>AND(#REF!,"AAAAAA/Te9k=")</f>
        <v>#REF!</v>
      </c>
      <c r="HK125" t="e">
        <f>IF(#REF!,"AAAAAA/Te9o=",0)</f>
        <v>#REF!</v>
      </c>
      <c r="HL125" t="e">
        <f>AND(#REF!,"AAAAAA/Te9s=")</f>
        <v>#REF!</v>
      </c>
      <c r="HM125" t="e">
        <f>AND(#REF!,"AAAAAA/Te9w=")</f>
        <v>#REF!</v>
      </c>
      <c r="HN125" t="e">
        <f>AND(#REF!,"AAAAAA/Te90=")</f>
        <v>#REF!</v>
      </c>
      <c r="HO125" t="e">
        <f>AND(#REF!,"AAAAAA/Te94=")</f>
        <v>#REF!</v>
      </c>
      <c r="HP125" t="e">
        <f>AND(#REF!,"AAAAAA/Te98=")</f>
        <v>#REF!</v>
      </c>
      <c r="HQ125" t="e">
        <f>AND(#REF!,"AAAAAA/Te+A=")</f>
        <v>#REF!</v>
      </c>
      <c r="HR125" t="e">
        <f>AND(#REF!,"AAAAAA/Te+E=")</f>
        <v>#REF!</v>
      </c>
      <c r="HS125" t="e">
        <f>AND(#REF!,"AAAAAA/Te+I=")</f>
        <v>#REF!</v>
      </c>
      <c r="HT125" t="e">
        <f>AND(#REF!,"AAAAAA/Te+M=")</f>
        <v>#REF!</v>
      </c>
      <c r="HU125" t="e">
        <f>AND(#REF!,"AAAAAA/Te+Q=")</f>
        <v>#REF!</v>
      </c>
      <c r="HV125" t="e">
        <f>AND(#REF!,"AAAAAA/Te+U=")</f>
        <v>#REF!</v>
      </c>
      <c r="HW125" t="e">
        <f>AND(#REF!,"AAAAAA/Te+Y=")</f>
        <v>#REF!</v>
      </c>
      <c r="HX125" t="e">
        <f>AND(#REF!,"AAAAAA/Te+c=")</f>
        <v>#REF!</v>
      </c>
      <c r="HY125" t="e">
        <f>AND(#REF!,"AAAAAA/Te+g=")</f>
        <v>#REF!</v>
      </c>
      <c r="HZ125" t="e">
        <f>AND(#REF!,"AAAAAA/Te+k=")</f>
        <v>#REF!</v>
      </c>
      <c r="IA125" t="e">
        <f>AND(#REF!,"AAAAAA/Te+o=")</f>
        <v>#REF!</v>
      </c>
      <c r="IB125" t="e">
        <f>AND(#REF!,"AAAAAA/Te+s=")</f>
        <v>#REF!</v>
      </c>
      <c r="IC125" t="e">
        <f>AND(#REF!,"AAAAAA/Te+w=")</f>
        <v>#REF!</v>
      </c>
      <c r="ID125" t="e">
        <f>AND(#REF!,"AAAAAA/Te+0=")</f>
        <v>#REF!</v>
      </c>
      <c r="IE125" t="e">
        <f>IF(#REF!,"AAAAAA/Te+4=",0)</f>
        <v>#REF!</v>
      </c>
      <c r="IF125" t="e">
        <f>AND(#REF!,"AAAAAA/Te+8=")</f>
        <v>#REF!</v>
      </c>
      <c r="IG125" t="e">
        <f>AND(#REF!,"AAAAAA/Te/A=")</f>
        <v>#REF!</v>
      </c>
      <c r="IH125" t="e">
        <f>AND(#REF!,"AAAAAA/Te/E=")</f>
        <v>#REF!</v>
      </c>
      <c r="II125" t="e">
        <f>AND(#REF!,"AAAAAA/Te/I=")</f>
        <v>#REF!</v>
      </c>
      <c r="IJ125" t="e">
        <f>AND(#REF!,"AAAAAA/Te/M=")</f>
        <v>#REF!</v>
      </c>
      <c r="IK125" t="e">
        <f>AND(#REF!,"AAAAAA/Te/Q=")</f>
        <v>#REF!</v>
      </c>
      <c r="IL125" t="e">
        <f>AND(#REF!,"AAAAAA/Te/U=")</f>
        <v>#REF!</v>
      </c>
      <c r="IM125" t="e">
        <f>AND(#REF!,"AAAAAA/Te/Y=")</f>
        <v>#REF!</v>
      </c>
      <c r="IN125" t="e">
        <f>AND(#REF!,"AAAAAA/Te/c=")</f>
        <v>#REF!</v>
      </c>
      <c r="IO125" t="e">
        <f>AND(#REF!,"AAAAAA/Te/g=")</f>
        <v>#REF!</v>
      </c>
      <c r="IP125" t="e">
        <f>AND(#REF!,"AAAAAA/Te/k=")</f>
        <v>#REF!</v>
      </c>
      <c r="IQ125" t="e">
        <f>AND(#REF!,"AAAAAA/Te/o=")</f>
        <v>#REF!</v>
      </c>
      <c r="IR125" t="e">
        <f>AND(#REF!,"AAAAAA/Te/s=")</f>
        <v>#REF!</v>
      </c>
      <c r="IS125" t="e">
        <f>AND(#REF!,"AAAAAA/Te/w=")</f>
        <v>#REF!</v>
      </c>
      <c r="IT125" t="e">
        <f>AND(#REF!,"AAAAAA/Te/0=")</f>
        <v>#REF!</v>
      </c>
      <c r="IU125" t="e">
        <f>AND(#REF!,"AAAAAA/Te/4=")</f>
        <v>#REF!</v>
      </c>
      <c r="IV125" t="e">
        <f>AND(#REF!,"AAAAAA/Te/8=")</f>
        <v>#REF!</v>
      </c>
    </row>
    <row r="126" spans="1:256" x14ac:dyDescent="0.2">
      <c r="A126" t="e">
        <f>AND(#REF!,"AAAAAFe1fwA=")</f>
        <v>#REF!</v>
      </c>
      <c r="B126" t="e">
        <f>AND(#REF!,"AAAAAFe1fwE=")</f>
        <v>#REF!</v>
      </c>
      <c r="C126" t="e">
        <f>IF(#REF!,"AAAAAFe1fwI=",0)</f>
        <v>#REF!</v>
      </c>
      <c r="D126" t="e">
        <f>AND(#REF!,"AAAAAFe1fwM=")</f>
        <v>#REF!</v>
      </c>
      <c r="E126" t="e">
        <f>AND(#REF!,"AAAAAFe1fwQ=")</f>
        <v>#REF!</v>
      </c>
      <c r="F126" t="e">
        <f>AND(#REF!,"AAAAAFe1fwU=")</f>
        <v>#REF!</v>
      </c>
      <c r="G126" t="e">
        <f>AND(#REF!,"AAAAAFe1fwY=")</f>
        <v>#REF!</v>
      </c>
      <c r="H126" t="e">
        <f>AND(#REF!,"AAAAAFe1fwc=")</f>
        <v>#REF!</v>
      </c>
      <c r="I126" t="e">
        <f>AND(#REF!,"AAAAAFe1fwg=")</f>
        <v>#REF!</v>
      </c>
      <c r="J126" t="e">
        <f>AND(#REF!,"AAAAAFe1fwk=")</f>
        <v>#REF!</v>
      </c>
      <c r="K126" t="e">
        <f>AND(#REF!,"AAAAAFe1fwo=")</f>
        <v>#REF!</v>
      </c>
      <c r="L126" t="e">
        <f>AND(#REF!,"AAAAAFe1fws=")</f>
        <v>#REF!</v>
      </c>
      <c r="M126" t="e">
        <f>AND(#REF!,"AAAAAFe1fww=")</f>
        <v>#REF!</v>
      </c>
      <c r="N126" t="e">
        <f>AND(#REF!,"AAAAAFe1fw0=")</f>
        <v>#REF!</v>
      </c>
      <c r="O126" t="e">
        <f>AND(#REF!,"AAAAAFe1fw4=")</f>
        <v>#REF!</v>
      </c>
      <c r="P126" t="e">
        <f>AND(#REF!,"AAAAAFe1fw8=")</f>
        <v>#REF!</v>
      </c>
      <c r="Q126" t="e">
        <f>AND(#REF!,"AAAAAFe1fxA=")</f>
        <v>#REF!</v>
      </c>
      <c r="R126" t="e">
        <f>AND(#REF!,"AAAAAFe1fxE=")</f>
        <v>#REF!</v>
      </c>
      <c r="S126" t="e">
        <f>AND(#REF!,"AAAAAFe1fxI=")</f>
        <v>#REF!</v>
      </c>
      <c r="T126" t="e">
        <f>AND(#REF!,"AAAAAFe1fxM=")</f>
        <v>#REF!</v>
      </c>
      <c r="U126" t="e">
        <f>AND(#REF!,"AAAAAFe1fxQ=")</f>
        <v>#REF!</v>
      </c>
      <c r="V126" t="e">
        <f>AND(#REF!,"AAAAAFe1fxU=")</f>
        <v>#REF!</v>
      </c>
      <c r="W126" t="e">
        <f>IF(#REF!,"AAAAAFe1fxY=",0)</f>
        <v>#REF!</v>
      </c>
      <c r="X126" t="e">
        <f>AND(#REF!,"AAAAAFe1fxc=")</f>
        <v>#REF!</v>
      </c>
      <c r="Y126" t="e">
        <f>AND(#REF!,"AAAAAFe1fxg=")</f>
        <v>#REF!</v>
      </c>
      <c r="Z126" t="e">
        <f>AND(#REF!,"AAAAAFe1fxk=")</f>
        <v>#REF!</v>
      </c>
      <c r="AA126" t="e">
        <f>AND(#REF!,"AAAAAFe1fxo=")</f>
        <v>#REF!</v>
      </c>
      <c r="AB126" t="e">
        <f>AND(#REF!,"AAAAAFe1fxs=")</f>
        <v>#REF!</v>
      </c>
      <c r="AC126" t="e">
        <f>AND(#REF!,"AAAAAFe1fxw=")</f>
        <v>#REF!</v>
      </c>
      <c r="AD126" t="e">
        <f>AND(#REF!,"AAAAAFe1fx0=")</f>
        <v>#REF!</v>
      </c>
      <c r="AE126" t="e">
        <f>AND(#REF!,"AAAAAFe1fx4=")</f>
        <v>#REF!</v>
      </c>
      <c r="AF126" t="e">
        <f>AND(#REF!,"AAAAAFe1fx8=")</f>
        <v>#REF!</v>
      </c>
      <c r="AG126" t="e">
        <f>AND(#REF!,"AAAAAFe1fyA=")</f>
        <v>#REF!</v>
      </c>
      <c r="AH126" t="e">
        <f>AND(#REF!,"AAAAAFe1fyE=")</f>
        <v>#REF!</v>
      </c>
      <c r="AI126" t="e">
        <f>AND(#REF!,"AAAAAFe1fyI=")</f>
        <v>#REF!</v>
      </c>
      <c r="AJ126" t="e">
        <f>AND(#REF!,"AAAAAFe1fyM=")</f>
        <v>#REF!</v>
      </c>
      <c r="AK126" t="e">
        <f>AND(#REF!,"AAAAAFe1fyQ=")</f>
        <v>#REF!</v>
      </c>
      <c r="AL126" t="e">
        <f>AND(#REF!,"AAAAAFe1fyU=")</f>
        <v>#REF!</v>
      </c>
      <c r="AM126" t="e">
        <f>AND(#REF!,"AAAAAFe1fyY=")</f>
        <v>#REF!</v>
      </c>
      <c r="AN126" t="e">
        <f>AND(#REF!,"AAAAAFe1fyc=")</f>
        <v>#REF!</v>
      </c>
      <c r="AO126" t="e">
        <f>AND(#REF!,"AAAAAFe1fyg=")</f>
        <v>#REF!</v>
      </c>
      <c r="AP126" t="e">
        <f>AND(#REF!,"AAAAAFe1fyk=")</f>
        <v>#REF!</v>
      </c>
      <c r="AQ126" t="e">
        <f>IF(#REF!,"AAAAAFe1fyo=",0)</f>
        <v>#REF!</v>
      </c>
      <c r="AR126" t="e">
        <f>AND(#REF!,"AAAAAFe1fys=")</f>
        <v>#REF!</v>
      </c>
      <c r="AS126" t="e">
        <f>AND(#REF!,"AAAAAFe1fyw=")</f>
        <v>#REF!</v>
      </c>
      <c r="AT126" t="e">
        <f>AND(#REF!,"AAAAAFe1fy0=")</f>
        <v>#REF!</v>
      </c>
      <c r="AU126" t="e">
        <f>AND(#REF!,"AAAAAFe1fy4=")</f>
        <v>#REF!</v>
      </c>
      <c r="AV126" t="e">
        <f>AND(#REF!,"AAAAAFe1fy8=")</f>
        <v>#REF!</v>
      </c>
      <c r="AW126" t="e">
        <f>AND(#REF!,"AAAAAFe1fzA=")</f>
        <v>#REF!</v>
      </c>
      <c r="AX126" t="e">
        <f>AND(#REF!,"AAAAAFe1fzE=")</f>
        <v>#REF!</v>
      </c>
      <c r="AY126" t="e">
        <f>AND(#REF!,"AAAAAFe1fzI=")</f>
        <v>#REF!</v>
      </c>
      <c r="AZ126" t="e">
        <f>AND(#REF!,"AAAAAFe1fzM=")</f>
        <v>#REF!</v>
      </c>
      <c r="BA126" t="e">
        <f>AND(#REF!,"AAAAAFe1fzQ=")</f>
        <v>#REF!</v>
      </c>
      <c r="BB126" t="e">
        <f>AND(#REF!,"AAAAAFe1fzU=")</f>
        <v>#REF!</v>
      </c>
      <c r="BC126" t="e">
        <f>AND(#REF!,"AAAAAFe1fzY=")</f>
        <v>#REF!</v>
      </c>
      <c r="BD126" t="e">
        <f>AND(#REF!,"AAAAAFe1fzc=")</f>
        <v>#REF!</v>
      </c>
      <c r="BE126" t="e">
        <f>AND(#REF!,"AAAAAFe1fzg=")</f>
        <v>#REF!</v>
      </c>
      <c r="BF126" t="e">
        <f>AND(#REF!,"AAAAAFe1fzk=")</f>
        <v>#REF!</v>
      </c>
      <c r="BG126" t="e">
        <f>AND(#REF!,"AAAAAFe1fzo=")</f>
        <v>#REF!</v>
      </c>
      <c r="BH126" t="e">
        <f>AND(#REF!,"AAAAAFe1fzs=")</f>
        <v>#REF!</v>
      </c>
      <c r="BI126" t="e">
        <f>AND(#REF!,"AAAAAFe1fzw=")</f>
        <v>#REF!</v>
      </c>
      <c r="BJ126" t="e">
        <f>AND(#REF!,"AAAAAFe1fz0=")</f>
        <v>#REF!</v>
      </c>
      <c r="BK126" t="e">
        <f>IF(#REF!,"AAAAAFe1fz4=",0)</f>
        <v>#REF!</v>
      </c>
      <c r="BL126" t="e">
        <f>AND(#REF!,"AAAAAFe1fz8=")</f>
        <v>#REF!</v>
      </c>
      <c r="BM126" t="e">
        <f>AND(#REF!,"AAAAAFe1f0A=")</f>
        <v>#REF!</v>
      </c>
      <c r="BN126" t="e">
        <f>AND(#REF!,"AAAAAFe1f0E=")</f>
        <v>#REF!</v>
      </c>
      <c r="BO126" t="e">
        <f>AND(#REF!,"AAAAAFe1f0I=")</f>
        <v>#REF!</v>
      </c>
      <c r="BP126" t="e">
        <f>AND(#REF!,"AAAAAFe1f0M=")</f>
        <v>#REF!</v>
      </c>
      <c r="BQ126" t="e">
        <f>AND(#REF!,"AAAAAFe1f0Q=")</f>
        <v>#REF!</v>
      </c>
      <c r="BR126" t="e">
        <f>AND(#REF!,"AAAAAFe1f0U=")</f>
        <v>#REF!</v>
      </c>
      <c r="BS126" t="e">
        <f>AND(#REF!,"AAAAAFe1f0Y=")</f>
        <v>#REF!</v>
      </c>
      <c r="BT126" t="e">
        <f>AND(#REF!,"AAAAAFe1f0c=")</f>
        <v>#REF!</v>
      </c>
      <c r="BU126" t="e">
        <f>AND(#REF!,"AAAAAFe1f0g=")</f>
        <v>#REF!</v>
      </c>
      <c r="BV126" t="e">
        <f>AND(#REF!,"AAAAAFe1f0k=")</f>
        <v>#REF!</v>
      </c>
      <c r="BW126" t="e">
        <f>AND(#REF!,"AAAAAFe1f0o=")</f>
        <v>#REF!</v>
      </c>
      <c r="BX126" t="e">
        <f>AND(#REF!,"AAAAAFe1f0s=")</f>
        <v>#REF!</v>
      </c>
      <c r="BY126" t="e">
        <f>AND(#REF!,"AAAAAFe1f0w=")</f>
        <v>#REF!</v>
      </c>
      <c r="BZ126" t="e">
        <f>AND(#REF!,"AAAAAFe1f00=")</f>
        <v>#REF!</v>
      </c>
      <c r="CA126" t="e">
        <f>AND(#REF!,"AAAAAFe1f04=")</f>
        <v>#REF!</v>
      </c>
      <c r="CB126" t="e">
        <f>AND(#REF!,"AAAAAFe1f08=")</f>
        <v>#REF!</v>
      </c>
      <c r="CC126" t="e">
        <f>AND(#REF!,"AAAAAFe1f1A=")</f>
        <v>#REF!</v>
      </c>
      <c r="CD126" t="e">
        <f>AND(#REF!,"AAAAAFe1f1E=")</f>
        <v>#REF!</v>
      </c>
      <c r="CE126" t="e">
        <f>IF(#REF!,"AAAAAFe1f1I=",0)</f>
        <v>#REF!</v>
      </c>
      <c r="CF126" t="e">
        <f>AND(#REF!,"AAAAAFe1f1M=")</f>
        <v>#REF!</v>
      </c>
      <c r="CG126" t="e">
        <f>AND(#REF!,"AAAAAFe1f1Q=")</f>
        <v>#REF!</v>
      </c>
      <c r="CH126" t="e">
        <f>AND(#REF!,"AAAAAFe1f1U=")</f>
        <v>#REF!</v>
      </c>
      <c r="CI126" t="e">
        <f>AND(#REF!,"AAAAAFe1f1Y=")</f>
        <v>#REF!</v>
      </c>
      <c r="CJ126" t="e">
        <f>AND(#REF!,"AAAAAFe1f1c=")</f>
        <v>#REF!</v>
      </c>
      <c r="CK126" t="e">
        <f>AND(#REF!,"AAAAAFe1f1g=")</f>
        <v>#REF!</v>
      </c>
      <c r="CL126" t="e">
        <f>AND(#REF!,"AAAAAFe1f1k=")</f>
        <v>#REF!</v>
      </c>
      <c r="CM126" t="e">
        <f>AND(#REF!,"AAAAAFe1f1o=")</f>
        <v>#REF!</v>
      </c>
      <c r="CN126" t="e">
        <f>AND(#REF!,"AAAAAFe1f1s=")</f>
        <v>#REF!</v>
      </c>
      <c r="CO126" t="e">
        <f>AND(#REF!,"AAAAAFe1f1w=")</f>
        <v>#REF!</v>
      </c>
      <c r="CP126" t="e">
        <f>AND(#REF!,"AAAAAFe1f10=")</f>
        <v>#REF!</v>
      </c>
      <c r="CQ126" t="e">
        <f>AND(#REF!,"AAAAAFe1f14=")</f>
        <v>#REF!</v>
      </c>
      <c r="CR126" t="e">
        <f>AND(#REF!,"AAAAAFe1f18=")</f>
        <v>#REF!</v>
      </c>
      <c r="CS126" t="e">
        <f>AND(#REF!,"AAAAAFe1f2A=")</f>
        <v>#REF!</v>
      </c>
      <c r="CT126" t="e">
        <f>AND(#REF!,"AAAAAFe1f2E=")</f>
        <v>#REF!</v>
      </c>
      <c r="CU126" t="e">
        <f>AND(#REF!,"AAAAAFe1f2I=")</f>
        <v>#REF!</v>
      </c>
      <c r="CV126" t="e">
        <f>AND(#REF!,"AAAAAFe1f2M=")</f>
        <v>#REF!</v>
      </c>
      <c r="CW126" t="e">
        <f>AND(#REF!,"AAAAAFe1f2Q=")</f>
        <v>#REF!</v>
      </c>
      <c r="CX126" t="e">
        <f>AND(#REF!,"AAAAAFe1f2U=")</f>
        <v>#REF!</v>
      </c>
      <c r="CY126" t="e">
        <f>IF(#REF!,"AAAAAFe1f2Y=",0)</f>
        <v>#REF!</v>
      </c>
      <c r="CZ126" t="e">
        <f>AND(#REF!,"AAAAAFe1f2c=")</f>
        <v>#REF!</v>
      </c>
      <c r="DA126" t="e">
        <f>AND(#REF!,"AAAAAFe1f2g=")</f>
        <v>#REF!</v>
      </c>
      <c r="DB126" t="e">
        <f>AND(#REF!,"AAAAAFe1f2k=")</f>
        <v>#REF!</v>
      </c>
      <c r="DC126" t="e">
        <f>AND(#REF!,"AAAAAFe1f2o=")</f>
        <v>#REF!</v>
      </c>
      <c r="DD126" t="e">
        <f>AND(#REF!,"AAAAAFe1f2s=")</f>
        <v>#REF!</v>
      </c>
      <c r="DE126" t="e">
        <f>AND(#REF!,"AAAAAFe1f2w=")</f>
        <v>#REF!</v>
      </c>
      <c r="DF126" t="e">
        <f>AND(#REF!,"AAAAAFe1f20=")</f>
        <v>#REF!</v>
      </c>
      <c r="DG126" t="e">
        <f>AND(#REF!,"AAAAAFe1f24=")</f>
        <v>#REF!</v>
      </c>
      <c r="DH126" t="e">
        <f>AND(#REF!,"AAAAAFe1f28=")</f>
        <v>#REF!</v>
      </c>
      <c r="DI126" t="e">
        <f>AND(#REF!,"AAAAAFe1f3A=")</f>
        <v>#REF!</v>
      </c>
      <c r="DJ126" t="e">
        <f>AND(#REF!,"AAAAAFe1f3E=")</f>
        <v>#REF!</v>
      </c>
      <c r="DK126" t="e">
        <f>AND(#REF!,"AAAAAFe1f3I=")</f>
        <v>#REF!</v>
      </c>
      <c r="DL126" t="e">
        <f>AND(#REF!,"AAAAAFe1f3M=")</f>
        <v>#REF!</v>
      </c>
      <c r="DM126" t="e">
        <f>AND(#REF!,"AAAAAFe1f3Q=")</f>
        <v>#REF!</v>
      </c>
      <c r="DN126" t="e">
        <f>AND(#REF!,"AAAAAFe1f3U=")</f>
        <v>#REF!</v>
      </c>
      <c r="DO126" t="e">
        <f>AND(#REF!,"AAAAAFe1f3Y=")</f>
        <v>#REF!</v>
      </c>
      <c r="DP126" t="e">
        <f>AND(#REF!,"AAAAAFe1f3c=")</f>
        <v>#REF!</v>
      </c>
      <c r="DQ126" t="e">
        <f>AND(#REF!,"AAAAAFe1f3g=")</f>
        <v>#REF!</v>
      </c>
      <c r="DR126" t="e">
        <f>AND(#REF!,"AAAAAFe1f3k=")</f>
        <v>#REF!</v>
      </c>
      <c r="DS126" t="e">
        <f>IF(#REF!,"AAAAAFe1f3o=",0)</f>
        <v>#REF!</v>
      </c>
      <c r="DT126" t="e">
        <f>AND(#REF!,"AAAAAFe1f3s=")</f>
        <v>#REF!</v>
      </c>
      <c r="DU126" t="e">
        <f>AND(#REF!,"AAAAAFe1f3w=")</f>
        <v>#REF!</v>
      </c>
      <c r="DV126" t="e">
        <f>AND(#REF!,"AAAAAFe1f30=")</f>
        <v>#REF!</v>
      </c>
      <c r="DW126" t="e">
        <f>AND(#REF!,"AAAAAFe1f34=")</f>
        <v>#REF!</v>
      </c>
      <c r="DX126" t="e">
        <f>AND(#REF!,"AAAAAFe1f38=")</f>
        <v>#REF!</v>
      </c>
      <c r="DY126" t="e">
        <f>AND(#REF!,"AAAAAFe1f4A=")</f>
        <v>#REF!</v>
      </c>
      <c r="DZ126" t="e">
        <f>AND(#REF!,"AAAAAFe1f4E=")</f>
        <v>#REF!</v>
      </c>
      <c r="EA126" t="e">
        <f>AND(#REF!,"AAAAAFe1f4I=")</f>
        <v>#REF!</v>
      </c>
      <c r="EB126" t="e">
        <f>AND(#REF!,"AAAAAFe1f4M=")</f>
        <v>#REF!</v>
      </c>
      <c r="EC126" t="e">
        <f>AND(#REF!,"AAAAAFe1f4Q=")</f>
        <v>#REF!</v>
      </c>
      <c r="ED126" t="e">
        <f>AND(#REF!,"AAAAAFe1f4U=")</f>
        <v>#REF!</v>
      </c>
      <c r="EE126" t="e">
        <f>AND(#REF!,"AAAAAFe1f4Y=")</f>
        <v>#REF!</v>
      </c>
      <c r="EF126" t="e">
        <f>AND(#REF!,"AAAAAFe1f4c=")</f>
        <v>#REF!</v>
      </c>
      <c r="EG126" t="e">
        <f>AND(#REF!,"AAAAAFe1f4g=")</f>
        <v>#REF!</v>
      </c>
      <c r="EH126" t="e">
        <f>AND(#REF!,"AAAAAFe1f4k=")</f>
        <v>#REF!</v>
      </c>
      <c r="EI126" t="e">
        <f>AND(#REF!,"AAAAAFe1f4o=")</f>
        <v>#REF!</v>
      </c>
      <c r="EJ126" t="e">
        <f>AND(#REF!,"AAAAAFe1f4s=")</f>
        <v>#REF!</v>
      </c>
      <c r="EK126" t="e">
        <f>AND(#REF!,"AAAAAFe1f4w=")</f>
        <v>#REF!</v>
      </c>
      <c r="EL126" t="e">
        <f>AND(#REF!,"AAAAAFe1f40=")</f>
        <v>#REF!</v>
      </c>
      <c r="EM126" t="e">
        <f>IF(#REF!,"AAAAAFe1f44=",0)</f>
        <v>#REF!</v>
      </c>
      <c r="EN126" t="e">
        <f>AND(#REF!,"AAAAAFe1f48=")</f>
        <v>#REF!</v>
      </c>
      <c r="EO126" t="e">
        <f>AND(#REF!,"AAAAAFe1f5A=")</f>
        <v>#REF!</v>
      </c>
      <c r="EP126" t="e">
        <f>AND(#REF!,"AAAAAFe1f5E=")</f>
        <v>#REF!</v>
      </c>
      <c r="EQ126" t="e">
        <f>AND(#REF!,"AAAAAFe1f5I=")</f>
        <v>#REF!</v>
      </c>
      <c r="ER126" t="e">
        <f>AND(#REF!,"AAAAAFe1f5M=")</f>
        <v>#REF!</v>
      </c>
      <c r="ES126" t="e">
        <f>AND(#REF!,"AAAAAFe1f5Q=")</f>
        <v>#REF!</v>
      </c>
      <c r="ET126" t="e">
        <f>AND(#REF!,"AAAAAFe1f5U=")</f>
        <v>#REF!</v>
      </c>
      <c r="EU126" t="e">
        <f>AND(#REF!,"AAAAAFe1f5Y=")</f>
        <v>#REF!</v>
      </c>
      <c r="EV126" t="e">
        <f>AND(#REF!,"AAAAAFe1f5c=")</f>
        <v>#REF!</v>
      </c>
      <c r="EW126" t="e">
        <f>AND(#REF!,"AAAAAFe1f5g=")</f>
        <v>#REF!</v>
      </c>
      <c r="EX126" t="e">
        <f>AND(#REF!,"AAAAAFe1f5k=")</f>
        <v>#REF!</v>
      </c>
      <c r="EY126" t="e">
        <f>AND(#REF!,"AAAAAFe1f5o=")</f>
        <v>#REF!</v>
      </c>
      <c r="EZ126" t="e">
        <f>AND(#REF!,"AAAAAFe1f5s=")</f>
        <v>#REF!</v>
      </c>
      <c r="FA126" t="e">
        <f>AND(#REF!,"AAAAAFe1f5w=")</f>
        <v>#REF!</v>
      </c>
      <c r="FB126" t="e">
        <f>AND(#REF!,"AAAAAFe1f50=")</f>
        <v>#REF!</v>
      </c>
      <c r="FC126" t="e">
        <f>AND(#REF!,"AAAAAFe1f54=")</f>
        <v>#REF!</v>
      </c>
      <c r="FD126" t="e">
        <f>AND(#REF!,"AAAAAFe1f58=")</f>
        <v>#REF!</v>
      </c>
      <c r="FE126" t="e">
        <f>AND(#REF!,"AAAAAFe1f6A=")</f>
        <v>#REF!</v>
      </c>
      <c r="FF126" t="e">
        <f>AND(#REF!,"AAAAAFe1f6E=")</f>
        <v>#REF!</v>
      </c>
      <c r="FG126" t="e">
        <f>IF(#REF!,"AAAAAFe1f6I=",0)</f>
        <v>#REF!</v>
      </c>
      <c r="FH126" t="e">
        <f>AND(#REF!,"AAAAAFe1f6M=")</f>
        <v>#REF!</v>
      </c>
      <c r="FI126" t="e">
        <f>AND(#REF!,"AAAAAFe1f6Q=")</f>
        <v>#REF!</v>
      </c>
      <c r="FJ126" t="e">
        <f>AND(#REF!,"AAAAAFe1f6U=")</f>
        <v>#REF!</v>
      </c>
      <c r="FK126" t="e">
        <f>AND(#REF!,"AAAAAFe1f6Y=")</f>
        <v>#REF!</v>
      </c>
      <c r="FL126" t="e">
        <f>AND(#REF!,"AAAAAFe1f6c=")</f>
        <v>#REF!</v>
      </c>
      <c r="FM126" t="e">
        <f>AND(#REF!,"AAAAAFe1f6g=")</f>
        <v>#REF!</v>
      </c>
      <c r="FN126" t="e">
        <f>AND(#REF!,"AAAAAFe1f6k=")</f>
        <v>#REF!</v>
      </c>
      <c r="FO126" t="e">
        <f>AND(#REF!,"AAAAAFe1f6o=")</f>
        <v>#REF!</v>
      </c>
      <c r="FP126" t="e">
        <f>AND(#REF!,"AAAAAFe1f6s=")</f>
        <v>#REF!</v>
      </c>
      <c r="FQ126" t="e">
        <f>AND(#REF!,"AAAAAFe1f6w=")</f>
        <v>#REF!</v>
      </c>
      <c r="FR126" t="e">
        <f>AND(#REF!,"AAAAAFe1f60=")</f>
        <v>#REF!</v>
      </c>
      <c r="FS126" t="e">
        <f>AND(#REF!,"AAAAAFe1f64=")</f>
        <v>#REF!</v>
      </c>
      <c r="FT126" t="e">
        <f>AND(#REF!,"AAAAAFe1f68=")</f>
        <v>#REF!</v>
      </c>
      <c r="FU126" t="e">
        <f>AND(#REF!,"AAAAAFe1f7A=")</f>
        <v>#REF!</v>
      </c>
      <c r="FV126" t="e">
        <f>AND(#REF!,"AAAAAFe1f7E=")</f>
        <v>#REF!</v>
      </c>
      <c r="FW126" t="e">
        <f>AND(#REF!,"AAAAAFe1f7I=")</f>
        <v>#REF!</v>
      </c>
      <c r="FX126" t="e">
        <f>AND(#REF!,"AAAAAFe1f7M=")</f>
        <v>#REF!</v>
      </c>
      <c r="FY126" t="e">
        <f>AND(#REF!,"AAAAAFe1f7Q=")</f>
        <v>#REF!</v>
      </c>
      <c r="FZ126" t="e">
        <f>AND(#REF!,"AAAAAFe1f7U=")</f>
        <v>#REF!</v>
      </c>
      <c r="GA126" t="e">
        <f>IF(#REF!,"AAAAAFe1f7Y=",0)</f>
        <v>#REF!</v>
      </c>
      <c r="GB126" t="e">
        <f>AND(#REF!,"AAAAAFe1f7c=")</f>
        <v>#REF!</v>
      </c>
      <c r="GC126" t="e">
        <f>AND(#REF!,"AAAAAFe1f7g=")</f>
        <v>#REF!</v>
      </c>
      <c r="GD126" t="e">
        <f>AND(#REF!,"AAAAAFe1f7k=")</f>
        <v>#REF!</v>
      </c>
      <c r="GE126" t="e">
        <f>AND(#REF!,"AAAAAFe1f7o=")</f>
        <v>#REF!</v>
      </c>
      <c r="GF126" t="e">
        <f>AND(#REF!,"AAAAAFe1f7s=")</f>
        <v>#REF!</v>
      </c>
      <c r="GG126" t="e">
        <f>AND(#REF!,"AAAAAFe1f7w=")</f>
        <v>#REF!</v>
      </c>
      <c r="GH126" t="e">
        <f>AND(#REF!,"AAAAAFe1f70=")</f>
        <v>#REF!</v>
      </c>
      <c r="GI126" t="e">
        <f>AND(#REF!,"AAAAAFe1f74=")</f>
        <v>#REF!</v>
      </c>
      <c r="GJ126" t="e">
        <f>AND(#REF!,"AAAAAFe1f78=")</f>
        <v>#REF!</v>
      </c>
      <c r="GK126" t="e">
        <f>AND(#REF!,"AAAAAFe1f8A=")</f>
        <v>#REF!</v>
      </c>
      <c r="GL126" t="e">
        <f>AND(#REF!,"AAAAAFe1f8E=")</f>
        <v>#REF!</v>
      </c>
      <c r="GM126" t="e">
        <f>AND(#REF!,"AAAAAFe1f8I=")</f>
        <v>#REF!</v>
      </c>
      <c r="GN126" t="e">
        <f>AND(#REF!,"AAAAAFe1f8M=")</f>
        <v>#REF!</v>
      </c>
      <c r="GO126" t="e">
        <f>AND(#REF!,"AAAAAFe1f8Q=")</f>
        <v>#REF!</v>
      </c>
      <c r="GP126" t="e">
        <f>AND(#REF!,"AAAAAFe1f8U=")</f>
        <v>#REF!</v>
      </c>
      <c r="GQ126" t="e">
        <f>AND(#REF!,"AAAAAFe1f8Y=")</f>
        <v>#REF!</v>
      </c>
      <c r="GR126" t="e">
        <f>AND(#REF!,"AAAAAFe1f8c=")</f>
        <v>#REF!</v>
      </c>
      <c r="GS126" t="e">
        <f>AND(#REF!,"AAAAAFe1f8g=")</f>
        <v>#REF!</v>
      </c>
      <c r="GT126" t="e">
        <f>AND(#REF!,"AAAAAFe1f8k=")</f>
        <v>#REF!</v>
      </c>
      <c r="GU126" t="e">
        <f>IF(#REF!,"AAAAAFe1f8o=",0)</f>
        <v>#REF!</v>
      </c>
      <c r="GV126" t="e">
        <f>AND(#REF!,"AAAAAFe1f8s=")</f>
        <v>#REF!</v>
      </c>
      <c r="GW126" t="e">
        <f>AND(#REF!,"AAAAAFe1f8w=")</f>
        <v>#REF!</v>
      </c>
      <c r="GX126" t="e">
        <f>AND(#REF!,"AAAAAFe1f80=")</f>
        <v>#REF!</v>
      </c>
      <c r="GY126" t="e">
        <f>AND(#REF!,"AAAAAFe1f84=")</f>
        <v>#REF!</v>
      </c>
      <c r="GZ126" t="e">
        <f>AND(#REF!,"AAAAAFe1f88=")</f>
        <v>#REF!</v>
      </c>
      <c r="HA126" t="e">
        <f>AND(#REF!,"AAAAAFe1f9A=")</f>
        <v>#REF!</v>
      </c>
      <c r="HB126" t="e">
        <f>AND(#REF!,"AAAAAFe1f9E=")</f>
        <v>#REF!</v>
      </c>
      <c r="HC126" t="e">
        <f>AND(#REF!,"AAAAAFe1f9I=")</f>
        <v>#REF!</v>
      </c>
      <c r="HD126" t="e">
        <f>AND(#REF!,"AAAAAFe1f9M=")</f>
        <v>#REF!</v>
      </c>
      <c r="HE126" t="e">
        <f>AND(#REF!,"AAAAAFe1f9Q=")</f>
        <v>#REF!</v>
      </c>
      <c r="HF126" t="e">
        <f>AND(#REF!,"AAAAAFe1f9U=")</f>
        <v>#REF!</v>
      </c>
      <c r="HG126" t="e">
        <f>AND(#REF!,"AAAAAFe1f9Y=")</f>
        <v>#REF!</v>
      </c>
      <c r="HH126" t="e">
        <f>AND(#REF!,"AAAAAFe1f9c=")</f>
        <v>#REF!</v>
      </c>
      <c r="HI126" t="e">
        <f>AND(#REF!,"AAAAAFe1f9g=")</f>
        <v>#REF!</v>
      </c>
      <c r="HJ126" t="e">
        <f>AND(#REF!,"AAAAAFe1f9k=")</f>
        <v>#REF!</v>
      </c>
      <c r="HK126" t="e">
        <f>AND(#REF!,"AAAAAFe1f9o=")</f>
        <v>#REF!</v>
      </c>
      <c r="HL126" t="e">
        <f>AND(#REF!,"AAAAAFe1f9s=")</f>
        <v>#REF!</v>
      </c>
      <c r="HM126" t="e">
        <f>AND(#REF!,"AAAAAFe1f9w=")</f>
        <v>#REF!</v>
      </c>
      <c r="HN126" t="e">
        <f>AND(#REF!,"AAAAAFe1f90=")</f>
        <v>#REF!</v>
      </c>
      <c r="HO126" t="e">
        <f>IF(#REF!,"AAAAAFe1f94=",0)</f>
        <v>#REF!</v>
      </c>
      <c r="HP126" t="e">
        <f>AND(#REF!,"AAAAAFe1f98=")</f>
        <v>#REF!</v>
      </c>
      <c r="HQ126" t="e">
        <f>AND(#REF!,"AAAAAFe1f+A=")</f>
        <v>#REF!</v>
      </c>
      <c r="HR126" t="e">
        <f>AND(#REF!,"AAAAAFe1f+E=")</f>
        <v>#REF!</v>
      </c>
      <c r="HS126" t="e">
        <f>AND(#REF!,"AAAAAFe1f+I=")</f>
        <v>#REF!</v>
      </c>
      <c r="HT126" t="e">
        <f>AND(#REF!,"AAAAAFe1f+M=")</f>
        <v>#REF!</v>
      </c>
      <c r="HU126" t="e">
        <f>AND(#REF!,"AAAAAFe1f+Q=")</f>
        <v>#REF!</v>
      </c>
      <c r="HV126" t="e">
        <f>AND(#REF!,"AAAAAFe1f+U=")</f>
        <v>#REF!</v>
      </c>
      <c r="HW126" t="e">
        <f>AND(#REF!,"AAAAAFe1f+Y=")</f>
        <v>#REF!</v>
      </c>
      <c r="HX126" t="e">
        <f>AND(#REF!,"AAAAAFe1f+c=")</f>
        <v>#REF!</v>
      </c>
      <c r="HY126" t="e">
        <f>AND(#REF!,"AAAAAFe1f+g=")</f>
        <v>#REF!</v>
      </c>
      <c r="HZ126" t="e">
        <f>AND(#REF!,"AAAAAFe1f+k=")</f>
        <v>#REF!</v>
      </c>
      <c r="IA126" t="e">
        <f>AND(#REF!,"AAAAAFe1f+o=")</f>
        <v>#REF!</v>
      </c>
      <c r="IB126" t="e">
        <f>AND(#REF!,"AAAAAFe1f+s=")</f>
        <v>#REF!</v>
      </c>
      <c r="IC126" t="e">
        <f>AND(#REF!,"AAAAAFe1f+w=")</f>
        <v>#REF!</v>
      </c>
      <c r="ID126" t="e">
        <f>AND(#REF!,"AAAAAFe1f+0=")</f>
        <v>#REF!</v>
      </c>
      <c r="IE126" t="e">
        <f>AND(#REF!,"AAAAAFe1f+4=")</f>
        <v>#REF!</v>
      </c>
      <c r="IF126" t="e">
        <f>AND(#REF!,"AAAAAFe1f+8=")</f>
        <v>#REF!</v>
      </c>
      <c r="IG126" t="e">
        <f>AND(#REF!,"AAAAAFe1f/A=")</f>
        <v>#REF!</v>
      </c>
      <c r="IH126" t="e">
        <f>AND(#REF!,"AAAAAFe1f/E=")</f>
        <v>#REF!</v>
      </c>
      <c r="II126" t="e">
        <f>IF(#REF!,"AAAAAFe1f/I=",0)</f>
        <v>#REF!</v>
      </c>
      <c r="IJ126" t="e">
        <f>AND(#REF!,"AAAAAFe1f/M=")</f>
        <v>#REF!</v>
      </c>
      <c r="IK126" t="e">
        <f>AND(#REF!,"AAAAAFe1f/Q=")</f>
        <v>#REF!</v>
      </c>
      <c r="IL126" t="e">
        <f>AND(#REF!,"AAAAAFe1f/U=")</f>
        <v>#REF!</v>
      </c>
      <c r="IM126" t="e">
        <f>AND(#REF!,"AAAAAFe1f/Y=")</f>
        <v>#REF!</v>
      </c>
      <c r="IN126" t="e">
        <f>AND(#REF!,"AAAAAFe1f/c=")</f>
        <v>#REF!</v>
      </c>
      <c r="IO126" t="e">
        <f>AND(#REF!,"AAAAAFe1f/g=")</f>
        <v>#REF!</v>
      </c>
      <c r="IP126" t="e">
        <f>AND(#REF!,"AAAAAFe1f/k=")</f>
        <v>#REF!</v>
      </c>
      <c r="IQ126" t="e">
        <f>AND(#REF!,"AAAAAFe1f/o=")</f>
        <v>#REF!</v>
      </c>
      <c r="IR126" t="e">
        <f>AND(#REF!,"AAAAAFe1f/s=")</f>
        <v>#REF!</v>
      </c>
      <c r="IS126" t="e">
        <f>AND(#REF!,"AAAAAFe1f/w=")</f>
        <v>#REF!</v>
      </c>
      <c r="IT126" t="e">
        <f>AND(#REF!,"AAAAAFe1f/0=")</f>
        <v>#REF!</v>
      </c>
      <c r="IU126" t="e">
        <f>AND(#REF!,"AAAAAFe1f/4=")</f>
        <v>#REF!</v>
      </c>
      <c r="IV126" t="e">
        <f>AND(#REF!,"AAAAAFe1f/8=")</f>
        <v>#REF!</v>
      </c>
    </row>
    <row r="127" spans="1:256" x14ac:dyDescent="0.2">
      <c r="A127" t="e">
        <f>AND(#REF!,"AAAAAH955wA=")</f>
        <v>#REF!</v>
      </c>
      <c r="B127" t="e">
        <f>AND(#REF!,"AAAAAH955wE=")</f>
        <v>#REF!</v>
      </c>
      <c r="C127" t="e">
        <f>AND(#REF!,"AAAAAH955wI=")</f>
        <v>#REF!</v>
      </c>
      <c r="D127" t="e">
        <f>AND(#REF!,"AAAAAH955wM=")</f>
        <v>#REF!</v>
      </c>
      <c r="E127" t="e">
        <f>AND(#REF!,"AAAAAH955wQ=")</f>
        <v>#REF!</v>
      </c>
      <c r="F127" t="e">
        <f>AND(#REF!,"AAAAAH955wU=")</f>
        <v>#REF!</v>
      </c>
      <c r="G127" t="e">
        <f>IF(#REF!,"AAAAAH955wY=",0)</f>
        <v>#REF!</v>
      </c>
      <c r="H127" t="e">
        <f>AND(#REF!,"AAAAAH955wc=")</f>
        <v>#REF!</v>
      </c>
      <c r="I127" t="e">
        <f>AND(#REF!,"AAAAAH955wg=")</f>
        <v>#REF!</v>
      </c>
      <c r="J127" t="e">
        <f>AND(#REF!,"AAAAAH955wk=")</f>
        <v>#REF!</v>
      </c>
      <c r="K127" t="e">
        <f>AND(#REF!,"AAAAAH955wo=")</f>
        <v>#REF!</v>
      </c>
      <c r="L127" t="e">
        <f>AND(#REF!,"AAAAAH955ws=")</f>
        <v>#REF!</v>
      </c>
      <c r="M127" t="e">
        <f>AND(#REF!,"AAAAAH955ww=")</f>
        <v>#REF!</v>
      </c>
      <c r="N127" t="e">
        <f>AND(#REF!,"AAAAAH955w0=")</f>
        <v>#REF!</v>
      </c>
      <c r="O127" t="e">
        <f>AND(#REF!,"AAAAAH955w4=")</f>
        <v>#REF!</v>
      </c>
      <c r="P127" t="e">
        <f>AND(#REF!,"AAAAAH955w8=")</f>
        <v>#REF!</v>
      </c>
      <c r="Q127" t="e">
        <f>AND(#REF!,"AAAAAH955xA=")</f>
        <v>#REF!</v>
      </c>
      <c r="R127" t="e">
        <f>AND(#REF!,"AAAAAH955xE=")</f>
        <v>#REF!</v>
      </c>
      <c r="S127" t="e">
        <f>AND(#REF!,"AAAAAH955xI=")</f>
        <v>#REF!</v>
      </c>
      <c r="T127" t="e">
        <f>AND(#REF!,"AAAAAH955xM=")</f>
        <v>#REF!</v>
      </c>
      <c r="U127" t="e">
        <f>AND(#REF!,"AAAAAH955xQ=")</f>
        <v>#REF!</v>
      </c>
      <c r="V127" t="e">
        <f>AND(#REF!,"AAAAAH955xU=")</f>
        <v>#REF!</v>
      </c>
      <c r="W127" t="e">
        <f>AND(#REF!,"AAAAAH955xY=")</f>
        <v>#REF!</v>
      </c>
      <c r="X127" t="e">
        <f>AND(#REF!,"AAAAAH955xc=")</f>
        <v>#REF!</v>
      </c>
      <c r="Y127" t="e">
        <f>AND(#REF!,"AAAAAH955xg=")</f>
        <v>#REF!</v>
      </c>
      <c r="Z127" t="e">
        <f>AND(#REF!,"AAAAAH955xk=")</f>
        <v>#REF!</v>
      </c>
      <c r="AA127" t="e">
        <f>IF(#REF!,"AAAAAH955xo=",0)</f>
        <v>#REF!</v>
      </c>
      <c r="AB127" t="e">
        <f>AND(#REF!,"AAAAAH955xs=")</f>
        <v>#REF!</v>
      </c>
      <c r="AC127" t="e">
        <f>AND(#REF!,"AAAAAH955xw=")</f>
        <v>#REF!</v>
      </c>
      <c r="AD127" t="e">
        <f>AND(#REF!,"AAAAAH955x0=")</f>
        <v>#REF!</v>
      </c>
      <c r="AE127" t="e">
        <f>AND(#REF!,"AAAAAH955x4=")</f>
        <v>#REF!</v>
      </c>
      <c r="AF127" t="e">
        <f>AND(#REF!,"AAAAAH955x8=")</f>
        <v>#REF!</v>
      </c>
      <c r="AG127" t="e">
        <f>AND(#REF!,"AAAAAH955yA=")</f>
        <v>#REF!</v>
      </c>
      <c r="AH127" t="e">
        <f>AND(#REF!,"AAAAAH955yE=")</f>
        <v>#REF!</v>
      </c>
      <c r="AI127" t="e">
        <f>AND(#REF!,"AAAAAH955yI=")</f>
        <v>#REF!</v>
      </c>
      <c r="AJ127" t="e">
        <f>AND(#REF!,"AAAAAH955yM=")</f>
        <v>#REF!</v>
      </c>
      <c r="AK127" t="e">
        <f>AND(#REF!,"AAAAAH955yQ=")</f>
        <v>#REF!</v>
      </c>
      <c r="AL127" t="e">
        <f>AND(#REF!,"AAAAAH955yU=")</f>
        <v>#REF!</v>
      </c>
      <c r="AM127" t="e">
        <f>AND(#REF!,"AAAAAH955yY=")</f>
        <v>#REF!</v>
      </c>
      <c r="AN127" t="e">
        <f>AND(#REF!,"AAAAAH955yc=")</f>
        <v>#REF!</v>
      </c>
      <c r="AO127" t="e">
        <f>AND(#REF!,"AAAAAH955yg=")</f>
        <v>#REF!</v>
      </c>
      <c r="AP127" t="e">
        <f>AND(#REF!,"AAAAAH955yk=")</f>
        <v>#REF!</v>
      </c>
      <c r="AQ127" t="e">
        <f>AND(#REF!,"AAAAAH955yo=")</f>
        <v>#REF!</v>
      </c>
      <c r="AR127" t="e">
        <f>AND(#REF!,"AAAAAH955ys=")</f>
        <v>#REF!</v>
      </c>
      <c r="AS127" t="e">
        <f>AND(#REF!,"AAAAAH955yw=")</f>
        <v>#REF!</v>
      </c>
      <c r="AT127" t="e">
        <f>AND(#REF!,"AAAAAH955y0=")</f>
        <v>#REF!</v>
      </c>
      <c r="AU127" t="e">
        <f>IF(#REF!,"AAAAAH955y4=",0)</f>
        <v>#REF!</v>
      </c>
      <c r="AV127" t="e">
        <f>AND(#REF!,"AAAAAH955y8=")</f>
        <v>#REF!</v>
      </c>
      <c r="AW127" t="e">
        <f>AND(#REF!,"AAAAAH955zA=")</f>
        <v>#REF!</v>
      </c>
      <c r="AX127" t="e">
        <f>AND(#REF!,"AAAAAH955zE=")</f>
        <v>#REF!</v>
      </c>
      <c r="AY127" t="e">
        <f>AND(#REF!,"AAAAAH955zI=")</f>
        <v>#REF!</v>
      </c>
      <c r="AZ127" t="e">
        <f>AND(#REF!,"AAAAAH955zM=")</f>
        <v>#REF!</v>
      </c>
      <c r="BA127" t="e">
        <f>AND(#REF!,"AAAAAH955zQ=")</f>
        <v>#REF!</v>
      </c>
      <c r="BB127" t="e">
        <f>AND(#REF!,"AAAAAH955zU=")</f>
        <v>#REF!</v>
      </c>
      <c r="BC127" t="e">
        <f>AND(#REF!,"AAAAAH955zY=")</f>
        <v>#REF!</v>
      </c>
      <c r="BD127" t="e">
        <f>AND(#REF!,"AAAAAH955zc=")</f>
        <v>#REF!</v>
      </c>
      <c r="BE127" t="e">
        <f>AND(#REF!,"AAAAAH955zg=")</f>
        <v>#REF!</v>
      </c>
      <c r="BF127" t="e">
        <f>AND(#REF!,"AAAAAH955zk=")</f>
        <v>#REF!</v>
      </c>
      <c r="BG127" t="e">
        <f>AND(#REF!,"AAAAAH955zo=")</f>
        <v>#REF!</v>
      </c>
      <c r="BH127" t="e">
        <f>AND(#REF!,"AAAAAH955zs=")</f>
        <v>#REF!</v>
      </c>
      <c r="BI127" t="e">
        <f>AND(#REF!,"AAAAAH955zw=")</f>
        <v>#REF!</v>
      </c>
      <c r="BJ127" t="e">
        <f>AND(#REF!,"AAAAAH955z0=")</f>
        <v>#REF!</v>
      </c>
      <c r="BK127" t="e">
        <f>AND(#REF!,"AAAAAH955z4=")</f>
        <v>#REF!</v>
      </c>
      <c r="BL127" t="e">
        <f>AND(#REF!,"AAAAAH955z8=")</f>
        <v>#REF!</v>
      </c>
      <c r="BM127" t="e">
        <f>AND(#REF!,"AAAAAH9550A=")</f>
        <v>#REF!</v>
      </c>
      <c r="BN127" t="e">
        <f>AND(#REF!,"AAAAAH9550E=")</f>
        <v>#REF!</v>
      </c>
      <c r="BO127" t="e">
        <f>IF(#REF!,"AAAAAH9550I=",0)</f>
        <v>#REF!</v>
      </c>
      <c r="BP127" t="e">
        <f>AND(#REF!,"AAAAAH9550M=")</f>
        <v>#REF!</v>
      </c>
      <c r="BQ127" t="e">
        <f>AND(#REF!,"AAAAAH9550Q=")</f>
        <v>#REF!</v>
      </c>
      <c r="BR127" t="e">
        <f>AND(#REF!,"AAAAAH9550U=")</f>
        <v>#REF!</v>
      </c>
      <c r="BS127" t="e">
        <f>AND(#REF!,"AAAAAH9550Y=")</f>
        <v>#REF!</v>
      </c>
      <c r="BT127" t="e">
        <f>AND(#REF!,"AAAAAH9550c=")</f>
        <v>#REF!</v>
      </c>
      <c r="BU127" t="e">
        <f>AND(#REF!,"AAAAAH9550g=")</f>
        <v>#REF!</v>
      </c>
      <c r="BV127" t="e">
        <f>AND(#REF!,"AAAAAH9550k=")</f>
        <v>#REF!</v>
      </c>
      <c r="BW127" t="e">
        <f>AND(#REF!,"AAAAAH9550o=")</f>
        <v>#REF!</v>
      </c>
      <c r="BX127" t="e">
        <f>AND(#REF!,"AAAAAH9550s=")</f>
        <v>#REF!</v>
      </c>
      <c r="BY127" t="e">
        <f>AND(#REF!,"AAAAAH9550w=")</f>
        <v>#REF!</v>
      </c>
      <c r="BZ127" t="e">
        <f>AND(#REF!,"AAAAAH95500=")</f>
        <v>#REF!</v>
      </c>
      <c r="CA127" t="e">
        <f>AND(#REF!,"AAAAAH95504=")</f>
        <v>#REF!</v>
      </c>
      <c r="CB127" t="e">
        <f>AND(#REF!,"AAAAAH95508=")</f>
        <v>#REF!</v>
      </c>
      <c r="CC127" t="e">
        <f>AND(#REF!,"AAAAAH9551A=")</f>
        <v>#REF!</v>
      </c>
      <c r="CD127" t="e">
        <f>AND(#REF!,"AAAAAH9551E=")</f>
        <v>#REF!</v>
      </c>
      <c r="CE127" t="e">
        <f>AND(#REF!,"AAAAAH9551I=")</f>
        <v>#REF!</v>
      </c>
      <c r="CF127" t="e">
        <f>AND(#REF!,"AAAAAH9551M=")</f>
        <v>#REF!</v>
      </c>
      <c r="CG127" t="e">
        <f>AND(#REF!,"AAAAAH9551Q=")</f>
        <v>#REF!</v>
      </c>
      <c r="CH127" t="e">
        <f>AND(#REF!,"AAAAAH9551U=")</f>
        <v>#REF!</v>
      </c>
      <c r="CI127" t="e">
        <f>IF(#REF!,"AAAAAH9551Y=",0)</f>
        <v>#REF!</v>
      </c>
      <c r="CJ127" t="e">
        <f>AND(#REF!,"AAAAAH9551c=")</f>
        <v>#REF!</v>
      </c>
      <c r="CK127" t="e">
        <f>AND(#REF!,"AAAAAH9551g=")</f>
        <v>#REF!</v>
      </c>
      <c r="CL127" t="e">
        <f>AND(#REF!,"AAAAAH9551k=")</f>
        <v>#REF!</v>
      </c>
      <c r="CM127" t="e">
        <f>AND(#REF!,"AAAAAH9551o=")</f>
        <v>#REF!</v>
      </c>
      <c r="CN127" t="e">
        <f>AND(#REF!,"AAAAAH9551s=")</f>
        <v>#REF!</v>
      </c>
      <c r="CO127" t="e">
        <f>AND(#REF!,"AAAAAH9551w=")</f>
        <v>#REF!</v>
      </c>
      <c r="CP127" t="e">
        <f>AND(#REF!,"AAAAAH95510=")</f>
        <v>#REF!</v>
      </c>
      <c r="CQ127" t="e">
        <f>AND(#REF!,"AAAAAH95514=")</f>
        <v>#REF!</v>
      </c>
      <c r="CR127" t="e">
        <f>AND(#REF!,"AAAAAH95518=")</f>
        <v>#REF!</v>
      </c>
      <c r="CS127" t="e">
        <f>AND(#REF!,"AAAAAH9552A=")</f>
        <v>#REF!</v>
      </c>
      <c r="CT127" t="e">
        <f>AND(#REF!,"AAAAAH9552E=")</f>
        <v>#REF!</v>
      </c>
      <c r="CU127" t="e">
        <f>AND(#REF!,"AAAAAH9552I=")</f>
        <v>#REF!</v>
      </c>
      <c r="CV127" t="e">
        <f>AND(#REF!,"AAAAAH9552M=")</f>
        <v>#REF!</v>
      </c>
      <c r="CW127" t="e">
        <f>AND(#REF!,"AAAAAH9552Q=")</f>
        <v>#REF!</v>
      </c>
      <c r="CX127" t="e">
        <f>AND(#REF!,"AAAAAH9552U=")</f>
        <v>#REF!</v>
      </c>
      <c r="CY127" t="e">
        <f>AND(#REF!,"AAAAAH9552Y=")</f>
        <v>#REF!</v>
      </c>
      <c r="CZ127" t="e">
        <f>AND(#REF!,"AAAAAH9552c=")</f>
        <v>#REF!</v>
      </c>
      <c r="DA127" t="e">
        <f>AND(#REF!,"AAAAAH9552g=")</f>
        <v>#REF!</v>
      </c>
      <c r="DB127" t="e">
        <f>AND(#REF!,"AAAAAH9552k=")</f>
        <v>#REF!</v>
      </c>
      <c r="DC127" t="e">
        <f>IF(#REF!,"AAAAAH9552o=",0)</f>
        <v>#REF!</v>
      </c>
      <c r="DD127" t="e">
        <f>AND(#REF!,"AAAAAH9552s=")</f>
        <v>#REF!</v>
      </c>
      <c r="DE127" t="e">
        <f>AND(#REF!,"AAAAAH9552w=")</f>
        <v>#REF!</v>
      </c>
      <c r="DF127" t="e">
        <f>AND(#REF!,"AAAAAH95520=")</f>
        <v>#REF!</v>
      </c>
      <c r="DG127" t="e">
        <f>AND(#REF!,"AAAAAH95524=")</f>
        <v>#REF!</v>
      </c>
      <c r="DH127" t="e">
        <f>AND(#REF!,"AAAAAH95528=")</f>
        <v>#REF!</v>
      </c>
      <c r="DI127" t="e">
        <f>AND(#REF!,"AAAAAH9553A=")</f>
        <v>#REF!</v>
      </c>
      <c r="DJ127" t="e">
        <f>AND(#REF!,"AAAAAH9553E=")</f>
        <v>#REF!</v>
      </c>
      <c r="DK127" t="e">
        <f>AND(#REF!,"AAAAAH9553I=")</f>
        <v>#REF!</v>
      </c>
      <c r="DL127" t="e">
        <f>AND(#REF!,"AAAAAH9553M=")</f>
        <v>#REF!</v>
      </c>
      <c r="DM127" t="e">
        <f>AND(#REF!,"AAAAAH9553Q=")</f>
        <v>#REF!</v>
      </c>
      <c r="DN127" t="e">
        <f>AND(#REF!,"AAAAAH9553U=")</f>
        <v>#REF!</v>
      </c>
      <c r="DO127" t="e">
        <f>AND(#REF!,"AAAAAH9553Y=")</f>
        <v>#REF!</v>
      </c>
      <c r="DP127" t="e">
        <f>AND(#REF!,"AAAAAH9553c=")</f>
        <v>#REF!</v>
      </c>
      <c r="DQ127" t="e">
        <f>AND(#REF!,"AAAAAH9553g=")</f>
        <v>#REF!</v>
      </c>
      <c r="DR127" t="e">
        <f>AND(#REF!,"AAAAAH9553k=")</f>
        <v>#REF!</v>
      </c>
      <c r="DS127" t="e">
        <f>AND(#REF!,"AAAAAH9553o=")</f>
        <v>#REF!</v>
      </c>
      <c r="DT127" t="e">
        <f>AND(#REF!,"AAAAAH9553s=")</f>
        <v>#REF!</v>
      </c>
      <c r="DU127" t="e">
        <f>AND(#REF!,"AAAAAH9553w=")</f>
        <v>#REF!</v>
      </c>
      <c r="DV127" t="e">
        <f>AND(#REF!,"AAAAAH95530=")</f>
        <v>#REF!</v>
      </c>
      <c r="DW127" t="e">
        <f>IF(#REF!,"AAAAAH95534=",0)</f>
        <v>#REF!</v>
      </c>
      <c r="DX127" t="e">
        <f>AND(#REF!,"AAAAAH95538=")</f>
        <v>#REF!</v>
      </c>
      <c r="DY127" t="e">
        <f>AND(#REF!,"AAAAAH9554A=")</f>
        <v>#REF!</v>
      </c>
      <c r="DZ127" t="e">
        <f>AND(#REF!,"AAAAAH9554E=")</f>
        <v>#REF!</v>
      </c>
      <c r="EA127" t="e">
        <f>AND(#REF!,"AAAAAH9554I=")</f>
        <v>#REF!</v>
      </c>
      <c r="EB127" t="e">
        <f>AND(#REF!,"AAAAAH9554M=")</f>
        <v>#REF!</v>
      </c>
      <c r="EC127" t="e">
        <f>AND(#REF!,"AAAAAH9554Q=")</f>
        <v>#REF!</v>
      </c>
      <c r="ED127" t="e">
        <f>AND(#REF!,"AAAAAH9554U=")</f>
        <v>#REF!</v>
      </c>
      <c r="EE127" t="e">
        <f>AND(#REF!,"AAAAAH9554Y=")</f>
        <v>#REF!</v>
      </c>
      <c r="EF127" t="e">
        <f>AND(#REF!,"AAAAAH9554c=")</f>
        <v>#REF!</v>
      </c>
      <c r="EG127" t="e">
        <f>AND(#REF!,"AAAAAH9554g=")</f>
        <v>#REF!</v>
      </c>
      <c r="EH127" t="e">
        <f>AND(#REF!,"AAAAAH9554k=")</f>
        <v>#REF!</v>
      </c>
      <c r="EI127" t="e">
        <f>AND(#REF!,"AAAAAH9554o=")</f>
        <v>#REF!</v>
      </c>
      <c r="EJ127" t="e">
        <f>AND(#REF!,"AAAAAH9554s=")</f>
        <v>#REF!</v>
      </c>
      <c r="EK127" t="e">
        <f>AND(#REF!,"AAAAAH9554w=")</f>
        <v>#REF!</v>
      </c>
      <c r="EL127" t="e">
        <f>AND(#REF!,"AAAAAH95540=")</f>
        <v>#REF!</v>
      </c>
      <c r="EM127" t="e">
        <f>AND(#REF!,"AAAAAH95544=")</f>
        <v>#REF!</v>
      </c>
      <c r="EN127" t="e">
        <f>AND(#REF!,"AAAAAH95548=")</f>
        <v>#REF!</v>
      </c>
      <c r="EO127" t="e">
        <f>AND(#REF!,"AAAAAH9555A=")</f>
        <v>#REF!</v>
      </c>
      <c r="EP127" t="e">
        <f>AND(#REF!,"AAAAAH9555E=")</f>
        <v>#REF!</v>
      </c>
      <c r="EQ127" t="e">
        <f>IF(#REF!,"AAAAAH9555I=",0)</f>
        <v>#REF!</v>
      </c>
      <c r="ER127" t="e">
        <f>AND(#REF!,"AAAAAH9555M=")</f>
        <v>#REF!</v>
      </c>
      <c r="ES127" t="e">
        <f>AND(#REF!,"AAAAAH9555Q=")</f>
        <v>#REF!</v>
      </c>
      <c r="ET127" t="e">
        <f>AND(#REF!,"AAAAAH9555U=")</f>
        <v>#REF!</v>
      </c>
      <c r="EU127" t="e">
        <f>AND(#REF!,"AAAAAH9555Y=")</f>
        <v>#REF!</v>
      </c>
      <c r="EV127" t="e">
        <f>AND(#REF!,"AAAAAH9555c=")</f>
        <v>#REF!</v>
      </c>
      <c r="EW127" t="e">
        <f>AND(#REF!,"AAAAAH9555g=")</f>
        <v>#REF!</v>
      </c>
      <c r="EX127" t="e">
        <f>AND(#REF!,"AAAAAH9555k=")</f>
        <v>#REF!</v>
      </c>
      <c r="EY127" t="e">
        <f>AND(#REF!,"AAAAAH9555o=")</f>
        <v>#REF!</v>
      </c>
      <c r="EZ127" t="e">
        <f>AND(#REF!,"AAAAAH9555s=")</f>
        <v>#REF!</v>
      </c>
      <c r="FA127" t="e">
        <f>AND(#REF!,"AAAAAH9555w=")</f>
        <v>#REF!</v>
      </c>
      <c r="FB127" t="e">
        <f>AND(#REF!,"AAAAAH95550=")</f>
        <v>#REF!</v>
      </c>
      <c r="FC127" t="e">
        <f>AND(#REF!,"AAAAAH95554=")</f>
        <v>#REF!</v>
      </c>
      <c r="FD127" t="e">
        <f>AND(#REF!,"AAAAAH95558=")</f>
        <v>#REF!</v>
      </c>
      <c r="FE127" t="e">
        <f>AND(#REF!,"AAAAAH9556A=")</f>
        <v>#REF!</v>
      </c>
      <c r="FF127" t="e">
        <f>AND(#REF!,"AAAAAH9556E=")</f>
        <v>#REF!</v>
      </c>
      <c r="FG127" t="e">
        <f>AND(#REF!,"AAAAAH9556I=")</f>
        <v>#REF!</v>
      </c>
      <c r="FH127" t="e">
        <f>AND(#REF!,"AAAAAH9556M=")</f>
        <v>#REF!</v>
      </c>
      <c r="FI127" t="e">
        <f>AND(#REF!,"AAAAAH9556Q=")</f>
        <v>#REF!</v>
      </c>
      <c r="FJ127" t="e">
        <f>AND(#REF!,"AAAAAH9556U=")</f>
        <v>#REF!</v>
      </c>
      <c r="FK127" t="e">
        <f>IF(#REF!,"AAAAAH9556Y=",0)</f>
        <v>#REF!</v>
      </c>
      <c r="FL127" t="e">
        <f>AND(#REF!,"AAAAAH9556c=")</f>
        <v>#REF!</v>
      </c>
      <c r="FM127" t="e">
        <f>AND(#REF!,"AAAAAH9556g=")</f>
        <v>#REF!</v>
      </c>
      <c r="FN127" t="e">
        <f>AND(#REF!,"AAAAAH9556k=")</f>
        <v>#REF!</v>
      </c>
      <c r="FO127" t="e">
        <f>AND(#REF!,"AAAAAH9556o=")</f>
        <v>#REF!</v>
      </c>
      <c r="FP127" t="e">
        <f>AND(#REF!,"AAAAAH9556s=")</f>
        <v>#REF!</v>
      </c>
      <c r="FQ127" t="e">
        <f>AND(#REF!,"AAAAAH9556w=")</f>
        <v>#REF!</v>
      </c>
      <c r="FR127" t="e">
        <f>AND(#REF!,"AAAAAH95560=")</f>
        <v>#REF!</v>
      </c>
      <c r="FS127" t="e">
        <f>AND(#REF!,"AAAAAH95564=")</f>
        <v>#REF!</v>
      </c>
      <c r="FT127" t="e">
        <f>AND(#REF!,"AAAAAH95568=")</f>
        <v>#REF!</v>
      </c>
      <c r="FU127" t="e">
        <f>AND(#REF!,"AAAAAH9557A=")</f>
        <v>#REF!</v>
      </c>
      <c r="FV127" t="e">
        <f>AND(#REF!,"AAAAAH9557E=")</f>
        <v>#REF!</v>
      </c>
      <c r="FW127" t="e">
        <f>AND(#REF!,"AAAAAH9557I=")</f>
        <v>#REF!</v>
      </c>
      <c r="FX127" t="e">
        <f>AND(#REF!,"AAAAAH9557M=")</f>
        <v>#REF!</v>
      </c>
      <c r="FY127" t="e">
        <f>AND(#REF!,"AAAAAH9557Q=")</f>
        <v>#REF!</v>
      </c>
      <c r="FZ127" t="e">
        <f>AND(#REF!,"AAAAAH9557U=")</f>
        <v>#REF!</v>
      </c>
      <c r="GA127" t="e">
        <f>AND(#REF!,"AAAAAH9557Y=")</f>
        <v>#REF!</v>
      </c>
      <c r="GB127" t="e">
        <f>AND(#REF!,"AAAAAH9557c=")</f>
        <v>#REF!</v>
      </c>
      <c r="GC127" t="e">
        <f>AND(#REF!,"AAAAAH9557g=")</f>
        <v>#REF!</v>
      </c>
      <c r="GD127" t="e">
        <f>AND(#REF!,"AAAAAH9557k=")</f>
        <v>#REF!</v>
      </c>
      <c r="GE127" t="e">
        <f>IF(#REF!,"AAAAAH9557o=",0)</f>
        <v>#REF!</v>
      </c>
      <c r="GF127" t="e">
        <f>AND(#REF!,"AAAAAH9557s=")</f>
        <v>#REF!</v>
      </c>
      <c r="GG127" t="e">
        <f>AND(#REF!,"AAAAAH9557w=")</f>
        <v>#REF!</v>
      </c>
      <c r="GH127" t="e">
        <f>AND(#REF!,"AAAAAH95570=")</f>
        <v>#REF!</v>
      </c>
      <c r="GI127" t="e">
        <f>AND(#REF!,"AAAAAH95574=")</f>
        <v>#REF!</v>
      </c>
      <c r="GJ127" t="e">
        <f>AND(#REF!,"AAAAAH95578=")</f>
        <v>#REF!</v>
      </c>
      <c r="GK127" t="e">
        <f>AND(#REF!,"AAAAAH9558A=")</f>
        <v>#REF!</v>
      </c>
      <c r="GL127" t="e">
        <f>AND(#REF!,"AAAAAH9558E=")</f>
        <v>#REF!</v>
      </c>
      <c r="GM127" t="e">
        <f>AND(#REF!,"AAAAAH9558I=")</f>
        <v>#REF!</v>
      </c>
      <c r="GN127" t="e">
        <f>AND(#REF!,"AAAAAH9558M=")</f>
        <v>#REF!</v>
      </c>
      <c r="GO127" t="e">
        <f>AND(#REF!,"AAAAAH9558Q=")</f>
        <v>#REF!</v>
      </c>
      <c r="GP127" t="e">
        <f>AND(#REF!,"AAAAAH9558U=")</f>
        <v>#REF!</v>
      </c>
      <c r="GQ127" t="e">
        <f>AND(#REF!,"AAAAAH9558Y=")</f>
        <v>#REF!</v>
      </c>
      <c r="GR127" t="e">
        <f>AND(#REF!,"AAAAAH9558c=")</f>
        <v>#REF!</v>
      </c>
      <c r="GS127" t="e">
        <f>AND(#REF!,"AAAAAH9558g=")</f>
        <v>#REF!</v>
      </c>
      <c r="GT127" t="e">
        <f>AND(#REF!,"AAAAAH9558k=")</f>
        <v>#REF!</v>
      </c>
      <c r="GU127" t="e">
        <f>AND(#REF!,"AAAAAH9558o=")</f>
        <v>#REF!</v>
      </c>
      <c r="GV127" t="e">
        <f>AND(#REF!,"AAAAAH9558s=")</f>
        <v>#REF!</v>
      </c>
      <c r="GW127" t="e">
        <f>AND(#REF!,"AAAAAH9558w=")</f>
        <v>#REF!</v>
      </c>
      <c r="GX127" t="e">
        <f>AND(#REF!,"AAAAAH95580=")</f>
        <v>#REF!</v>
      </c>
      <c r="GY127" t="e">
        <f>IF(#REF!,"AAAAAH95584=",0)</f>
        <v>#REF!</v>
      </c>
      <c r="GZ127" t="e">
        <f>AND(#REF!,"AAAAAH95588=")</f>
        <v>#REF!</v>
      </c>
      <c r="HA127" t="e">
        <f>AND(#REF!,"AAAAAH9559A=")</f>
        <v>#REF!</v>
      </c>
      <c r="HB127" t="e">
        <f>AND(#REF!,"AAAAAH9559E=")</f>
        <v>#REF!</v>
      </c>
      <c r="HC127" t="e">
        <f>AND(#REF!,"AAAAAH9559I=")</f>
        <v>#REF!</v>
      </c>
      <c r="HD127" t="e">
        <f>AND(#REF!,"AAAAAH9559M=")</f>
        <v>#REF!</v>
      </c>
      <c r="HE127" t="e">
        <f>AND(#REF!,"AAAAAH9559Q=")</f>
        <v>#REF!</v>
      </c>
      <c r="HF127" t="e">
        <f>AND(#REF!,"AAAAAH9559U=")</f>
        <v>#REF!</v>
      </c>
      <c r="HG127" t="e">
        <f>AND(#REF!,"AAAAAH9559Y=")</f>
        <v>#REF!</v>
      </c>
      <c r="HH127" t="e">
        <f>AND(#REF!,"AAAAAH9559c=")</f>
        <v>#REF!</v>
      </c>
      <c r="HI127" t="e">
        <f>AND(#REF!,"AAAAAH9559g=")</f>
        <v>#REF!</v>
      </c>
      <c r="HJ127" t="e">
        <f>AND(#REF!,"AAAAAH9559k=")</f>
        <v>#REF!</v>
      </c>
      <c r="HK127" t="e">
        <f>AND(#REF!,"AAAAAH9559o=")</f>
        <v>#REF!</v>
      </c>
      <c r="HL127" t="e">
        <f>AND(#REF!,"AAAAAH9559s=")</f>
        <v>#REF!</v>
      </c>
      <c r="HM127" t="e">
        <f>AND(#REF!,"AAAAAH9559w=")</f>
        <v>#REF!</v>
      </c>
      <c r="HN127" t="e">
        <f>AND(#REF!,"AAAAAH95590=")</f>
        <v>#REF!</v>
      </c>
      <c r="HO127" t="e">
        <f>AND(#REF!,"AAAAAH95594=")</f>
        <v>#REF!</v>
      </c>
      <c r="HP127" t="e">
        <f>AND(#REF!,"AAAAAH95598=")</f>
        <v>#REF!</v>
      </c>
      <c r="HQ127" t="e">
        <f>AND(#REF!,"AAAAAH955+A=")</f>
        <v>#REF!</v>
      </c>
      <c r="HR127" t="e">
        <f>AND(#REF!,"AAAAAH955+E=")</f>
        <v>#REF!</v>
      </c>
      <c r="HS127" t="e">
        <f>IF(#REF!,"AAAAAH955+I=",0)</f>
        <v>#REF!</v>
      </c>
      <c r="HT127" t="e">
        <f>AND(#REF!,"AAAAAH955+M=")</f>
        <v>#REF!</v>
      </c>
      <c r="HU127" t="e">
        <f>AND(#REF!,"AAAAAH955+Q=")</f>
        <v>#REF!</v>
      </c>
      <c r="HV127" t="e">
        <f>AND(#REF!,"AAAAAH955+U=")</f>
        <v>#REF!</v>
      </c>
      <c r="HW127" t="e">
        <f>AND(#REF!,"AAAAAH955+Y=")</f>
        <v>#REF!</v>
      </c>
      <c r="HX127" t="e">
        <f>AND(#REF!,"AAAAAH955+c=")</f>
        <v>#REF!</v>
      </c>
      <c r="HY127" t="e">
        <f>AND(#REF!,"AAAAAH955+g=")</f>
        <v>#REF!</v>
      </c>
      <c r="HZ127" t="e">
        <f>AND(#REF!,"AAAAAH955+k=")</f>
        <v>#REF!</v>
      </c>
      <c r="IA127" t="e">
        <f>AND(#REF!,"AAAAAH955+o=")</f>
        <v>#REF!</v>
      </c>
      <c r="IB127" t="e">
        <f>AND(#REF!,"AAAAAH955+s=")</f>
        <v>#REF!</v>
      </c>
      <c r="IC127" t="e">
        <f>AND(#REF!,"AAAAAH955+w=")</f>
        <v>#REF!</v>
      </c>
      <c r="ID127" t="e">
        <f>AND(#REF!,"AAAAAH955+0=")</f>
        <v>#REF!</v>
      </c>
      <c r="IE127" t="e">
        <f>AND(#REF!,"AAAAAH955+4=")</f>
        <v>#REF!</v>
      </c>
      <c r="IF127" t="e">
        <f>AND(#REF!,"AAAAAH955+8=")</f>
        <v>#REF!</v>
      </c>
      <c r="IG127" t="e">
        <f>AND(#REF!,"AAAAAH955/A=")</f>
        <v>#REF!</v>
      </c>
      <c r="IH127" t="e">
        <f>AND(#REF!,"AAAAAH955/E=")</f>
        <v>#REF!</v>
      </c>
      <c r="II127" t="e">
        <f>AND(#REF!,"AAAAAH955/I=")</f>
        <v>#REF!</v>
      </c>
      <c r="IJ127" t="e">
        <f>AND(#REF!,"AAAAAH955/M=")</f>
        <v>#REF!</v>
      </c>
      <c r="IK127" t="e">
        <f>AND(#REF!,"AAAAAH955/Q=")</f>
        <v>#REF!</v>
      </c>
      <c r="IL127" t="e">
        <f>AND(#REF!,"AAAAAH955/U=")</f>
        <v>#REF!</v>
      </c>
      <c r="IM127" t="e">
        <f>IF(#REF!,"AAAAAH955/Y=",0)</f>
        <v>#REF!</v>
      </c>
      <c r="IN127" t="e">
        <f>AND(#REF!,"AAAAAH955/c=")</f>
        <v>#REF!</v>
      </c>
      <c r="IO127" t="e">
        <f>AND(#REF!,"AAAAAH955/g=")</f>
        <v>#REF!</v>
      </c>
      <c r="IP127" t="e">
        <f>AND(#REF!,"AAAAAH955/k=")</f>
        <v>#REF!</v>
      </c>
      <c r="IQ127" t="e">
        <f>AND(#REF!,"AAAAAH955/o=")</f>
        <v>#REF!</v>
      </c>
      <c r="IR127" t="e">
        <f>AND(#REF!,"AAAAAH955/s=")</f>
        <v>#REF!</v>
      </c>
      <c r="IS127" t="e">
        <f>AND(#REF!,"AAAAAH955/w=")</f>
        <v>#REF!</v>
      </c>
      <c r="IT127" t="e">
        <f>AND(#REF!,"AAAAAH955/0=")</f>
        <v>#REF!</v>
      </c>
      <c r="IU127" t="e">
        <f>AND(#REF!,"AAAAAH955/4=")</f>
        <v>#REF!</v>
      </c>
      <c r="IV127" t="e">
        <f>AND(#REF!,"AAAAAH955/8=")</f>
        <v>#REF!</v>
      </c>
    </row>
    <row r="128" spans="1:256" x14ac:dyDescent="0.2">
      <c r="A128" t="e">
        <f>AND(#REF!,"AAAAAH9zPwA=")</f>
        <v>#REF!</v>
      </c>
      <c r="B128" t="e">
        <f>AND(#REF!,"AAAAAH9zPwE=")</f>
        <v>#REF!</v>
      </c>
      <c r="C128" t="e">
        <f>AND(#REF!,"AAAAAH9zPwI=")</f>
        <v>#REF!</v>
      </c>
      <c r="D128" t="e">
        <f>AND(#REF!,"AAAAAH9zPwM=")</f>
        <v>#REF!</v>
      </c>
      <c r="E128" t="e">
        <f>AND(#REF!,"AAAAAH9zPwQ=")</f>
        <v>#REF!</v>
      </c>
      <c r="F128" t="e">
        <f>AND(#REF!,"AAAAAH9zPwU=")</f>
        <v>#REF!</v>
      </c>
      <c r="G128" t="e">
        <f>AND(#REF!,"AAAAAH9zPwY=")</f>
        <v>#REF!</v>
      </c>
      <c r="H128" t="e">
        <f>AND(#REF!,"AAAAAH9zPwc=")</f>
        <v>#REF!</v>
      </c>
      <c r="I128" t="e">
        <f>AND(#REF!,"AAAAAH9zPwg=")</f>
        <v>#REF!</v>
      </c>
      <c r="J128" t="e">
        <f>AND(#REF!,"AAAAAH9zPwk=")</f>
        <v>#REF!</v>
      </c>
      <c r="K128" t="e">
        <f>IF(#REF!,"AAAAAH9zPwo=",0)</f>
        <v>#REF!</v>
      </c>
      <c r="L128" t="e">
        <f>AND(#REF!,"AAAAAH9zPws=")</f>
        <v>#REF!</v>
      </c>
      <c r="M128" t="e">
        <f>AND(#REF!,"AAAAAH9zPww=")</f>
        <v>#REF!</v>
      </c>
      <c r="N128" t="e">
        <f>AND(#REF!,"AAAAAH9zPw0=")</f>
        <v>#REF!</v>
      </c>
      <c r="O128" t="e">
        <f>AND(#REF!,"AAAAAH9zPw4=")</f>
        <v>#REF!</v>
      </c>
      <c r="P128" t="e">
        <f>AND(#REF!,"AAAAAH9zPw8=")</f>
        <v>#REF!</v>
      </c>
      <c r="Q128" t="e">
        <f>AND(#REF!,"AAAAAH9zPxA=")</f>
        <v>#REF!</v>
      </c>
      <c r="R128" t="e">
        <f>AND(#REF!,"AAAAAH9zPxE=")</f>
        <v>#REF!</v>
      </c>
      <c r="S128" t="e">
        <f>AND(#REF!,"AAAAAH9zPxI=")</f>
        <v>#REF!</v>
      </c>
      <c r="T128" t="e">
        <f>AND(#REF!,"AAAAAH9zPxM=")</f>
        <v>#REF!</v>
      </c>
      <c r="U128" t="e">
        <f>AND(#REF!,"AAAAAH9zPxQ=")</f>
        <v>#REF!</v>
      </c>
      <c r="V128" t="e">
        <f>AND(#REF!,"AAAAAH9zPxU=")</f>
        <v>#REF!</v>
      </c>
      <c r="W128" t="e">
        <f>AND(#REF!,"AAAAAH9zPxY=")</f>
        <v>#REF!</v>
      </c>
      <c r="X128" t="e">
        <f>AND(#REF!,"AAAAAH9zPxc=")</f>
        <v>#REF!</v>
      </c>
      <c r="Y128" t="e">
        <f>AND(#REF!,"AAAAAH9zPxg=")</f>
        <v>#REF!</v>
      </c>
      <c r="Z128" t="e">
        <f>AND(#REF!,"AAAAAH9zPxk=")</f>
        <v>#REF!</v>
      </c>
      <c r="AA128" t="e">
        <f>AND(#REF!,"AAAAAH9zPxo=")</f>
        <v>#REF!</v>
      </c>
      <c r="AB128" t="e">
        <f>AND(#REF!,"AAAAAH9zPxs=")</f>
        <v>#REF!</v>
      </c>
      <c r="AC128" t="e">
        <f>AND(#REF!,"AAAAAH9zPxw=")</f>
        <v>#REF!</v>
      </c>
      <c r="AD128" t="e">
        <f>AND(#REF!,"AAAAAH9zPx0=")</f>
        <v>#REF!</v>
      </c>
      <c r="AE128" t="e">
        <f>IF(#REF!,"AAAAAH9zPx4=",0)</f>
        <v>#REF!</v>
      </c>
      <c r="AF128" t="e">
        <f>AND(#REF!,"AAAAAH9zPx8=")</f>
        <v>#REF!</v>
      </c>
      <c r="AG128" t="e">
        <f>AND(#REF!,"AAAAAH9zPyA=")</f>
        <v>#REF!</v>
      </c>
      <c r="AH128" t="e">
        <f>AND(#REF!,"AAAAAH9zPyE=")</f>
        <v>#REF!</v>
      </c>
      <c r="AI128" t="e">
        <f>AND(#REF!,"AAAAAH9zPyI=")</f>
        <v>#REF!</v>
      </c>
      <c r="AJ128" t="e">
        <f>AND(#REF!,"AAAAAH9zPyM=")</f>
        <v>#REF!</v>
      </c>
      <c r="AK128" t="e">
        <f>AND(#REF!,"AAAAAH9zPyQ=")</f>
        <v>#REF!</v>
      </c>
      <c r="AL128" t="e">
        <f>AND(#REF!,"AAAAAH9zPyU=")</f>
        <v>#REF!</v>
      </c>
      <c r="AM128" t="e">
        <f>AND(#REF!,"AAAAAH9zPyY=")</f>
        <v>#REF!</v>
      </c>
      <c r="AN128" t="e">
        <f>AND(#REF!,"AAAAAH9zPyc=")</f>
        <v>#REF!</v>
      </c>
      <c r="AO128" t="e">
        <f>AND(#REF!,"AAAAAH9zPyg=")</f>
        <v>#REF!</v>
      </c>
      <c r="AP128" t="e">
        <f>AND(#REF!,"AAAAAH9zPyk=")</f>
        <v>#REF!</v>
      </c>
      <c r="AQ128" t="e">
        <f>AND(#REF!,"AAAAAH9zPyo=")</f>
        <v>#REF!</v>
      </c>
      <c r="AR128" t="e">
        <f>AND(#REF!,"AAAAAH9zPys=")</f>
        <v>#REF!</v>
      </c>
      <c r="AS128" t="e">
        <f>AND(#REF!,"AAAAAH9zPyw=")</f>
        <v>#REF!</v>
      </c>
      <c r="AT128" t="e">
        <f>AND(#REF!,"AAAAAH9zPy0=")</f>
        <v>#REF!</v>
      </c>
      <c r="AU128" t="e">
        <f>AND(#REF!,"AAAAAH9zPy4=")</f>
        <v>#REF!</v>
      </c>
      <c r="AV128" t="e">
        <f>AND(#REF!,"AAAAAH9zPy8=")</f>
        <v>#REF!</v>
      </c>
      <c r="AW128" t="e">
        <f>AND(#REF!,"AAAAAH9zPzA=")</f>
        <v>#REF!</v>
      </c>
      <c r="AX128" t="e">
        <f>AND(#REF!,"AAAAAH9zPzE=")</f>
        <v>#REF!</v>
      </c>
      <c r="AY128" t="e">
        <f>IF(#REF!,"AAAAAH9zPzI=",0)</f>
        <v>#REF!</v>
      </c>
      <c r="AZ128" t="e">
        <f>AND(#REF!,"AAAAAH9zPzM=")</f>
        <v>#REF!</v>
      </c>
      <c r="BA128" t="e">
        <f>AND(#REF!,"AAAAAH9zPzQ=")</f>
        <v>#REF!</v>
      </c>
      <c r="BB128" t="e">
        <f>AND(#REF!,"AAAAAH9zPzU=")</f>
        <v>#REF!</v>
      </c>
      <c r="BC128" t="e">
        <f>AND(#REF!,"AAAAAH9zPzY=")</f>
        <v>#REF!</v>
      </c>
      <c r="BD128" t="e">
        <f>AND(#REF!,"AAAAAH9zPzc=")</f>
        <v>#REF!</v>
      </c>
      <c r="BE128" t="e">
        <f>AND(#REF!,"AAAAAH9zPzg=")</f>
        <v>#REF!</v>
      </c>
      <c r="BF128" t="e">
        <f>AND(#REF!,"AAAAAH9zPzk=")</f>
        <v>#REF!</v>
      </c>
      <c r="BG128" t="e">
        <f>AND(#REF!,"AAAAAH9zPzo=")</f>
        <v>#REF!</v>
      </c>
      <c r="BH128" t="e">
        <f>AND(#REF!,"AAAAAH9zPzs=")</f>
        <v>#REF!</v>
      </c>
      <c r="BI128" t="e">
        <f>AND(#REF!,"AAAAAH9zPzw=")</f>
        <v>#REF!</v>
      </c>
      <c r="BJ128" t="e">
        <f>AND(#REF!,"AAAAAH9zPz0=")</f>
        <v>#REF!</v>
      </c>
      <c r="BK128" t="e">
        <f>AND(#REF!,"AAAAAH9zPz4=")</f>
        <v>#REF!</v>
      </c>
      <c r="BL128" t="e">
        <f>AND(#REF!,"AAAAAH9zPz8=")</f>
        <v>#REF!</v>
      </c>
      <c r="BM128" t="e">
        <f>AND(#REF!,"AAAAAH9zP0A=")</f>
        <v>#REF!</v>
      </c>
      <c r="BN128" t="e">
        <f>AND(#REF!,"AAAAAH9zP0E=")</f>
        <v>#REF!</v>
      </c>
      <c r="BO128" t="e">
        <f>AND(#REF!,"AAAAAH9zP0I=")</f>
        <v>#REF!</v>
      </c>
      <c r="BP128" t="e">
        <f>AND(#REF!,"AAAAAH9zP0M=")</f>
        <v>#REF!</v>
      </c>
      <c r="BQ128" t="e">
        <f>AND(#REF!,"AAAAAH9zP0Q=")</f>
        <v>#REF!</v>
      </c>
      <c r="BR128" t="e">
        <f>AND(#REF!,"AAAAAH9zP0U=")</f>
        <v>#REF!</v>
      </c>
      <c r="BS128" t="e">
        <f>IF(#REF!,"AAAAAH9zP0Y=",0)</f>
        <v>#REF!</v>
      </c>
      <c r="BT128" t="e">
        <f>AND(#REF!,"AAAAAH9zP0c=")</f>
        <v>#REF!</v>
      </c>
      <c r="BU128" t="e">
        <f>AND(#REF!,"AAAAAH9zP0g=")</f>
        <v>#REF!</v>
      </c>
      <c r="BV128" t="e">
        <f>AND(#REF!,"AAAAAH9zP0k=")</f>
        <v>#REF!</v>
      </c>
      <c r="BW128" t="e">
        <f>AND(#REF!,"AAAAAH9zP0o=")</f>
        <v>#REF!</v>
      </c>
      <c r="BX128" t="e">
        <f>AND(#REF!,"AAAAAH9zP0s=")</f>
        <v>#REF!</v>
      </c>
      <c r="BY128" t="e">
        <f>AND(#REF!,"AAAAAH9zP0w=")</f>
        <v>#REF!</v>
      </c>
      <c r="BZ128" t="e">
        <f>AND(#REF!,"AAAAAH9zP00=")</f>
        <v>#REF!</v>
      </c>
      <c r="CA128" t="e">
        <f>AND(#REF!,"AAAAAH9zP04=")</f>
        <v>#REF!</v>
      </c>
      <c r="CB128" t="e">
        <f>AND(#REF!,"AAAAAH9zP08=")</f>
        <v>#REF!</v>
      </c>
      <c r="CC128" t="e">
        <f>AND(#REF!,"AAAAAH9zP1A=")</f>
        <v>#REF!</v>
      </c>
      <c r="CD128" t="e">
        <f>AND(#REF!,"AAAAAH9zP1E=")</f>
        <v>#REF!</v>
      </c>
      <c r="CE128" t="e">
        <f>AND(#REF!,"AAAAAH9zP1I=")</f>
        <v>#REF!</v>
      </c>
      <c r="CF128" t="e">
        <f>AND(#REF!,"AAAAAH9zP1M=")</f>
        <v>#REF!</v>
      </c>
      <c r="CG128" t="e">
        <f>AND(#REF!,"AAAAAH9zP1Q=")</f>
        <v>#REF!</v>
      </c>
      <c r="CH128" t="e">
        <f>AND(#REF!,"AAAAAH9zP1U=")</f>
        <v>#REF!</v>
      </c>
      <c r="CI128" t="e">
        <f>AND(#REF!,"AAAAAH9zP1Y=")</f>
        <v>#REF!</v>
      </c>
      <c r="CJ128" t="e">
        <f>AND(#REF!,"AAAAAH9zP1c=")</f>
        <v>#REF!</v>
      </c>
      <c r="CK128" t="e">
        <f>AND(#REF!,"AAAAAH9zP1g=")</f>
        <v>#REF!</v>
      </c>
      <c r="CL128" t="e">
        <f>AND(#REF!,"AAAAAH9zP1k=")</f>
        <v>#REF!</v>
      </c>
      <c r="CM128" t="e">
        <f>IF(#REF!,"AAAAAH9zP1o=",0)</f>
        <v>#REF!</v>
      </c>
      <c r="CN128" t="e">
        <f>AND(#REF!,"AAAAAH9zP1s=")</f>
        <v>#REF!</v>
      </c>
      <c r="CO128" t="e">
        <f>AND(#REF!,"AAAAAH9zP1w=")</f>
        <v>#REF!</v>
      </c>
      <c r="CP128" t="e">
        <f>AND(#REF!,"AAAAAH9zP10=")</f>
        <v>#REF!</v>
      </c>
      <c r="CQ128" t="e">
        <f>AND(#REF!,"AAAAAH9zP14=")</f>
        <v>#REF!</v>
      </c>
      <c r="CR128" t="e">
        <f>AND(#REF!,"AAAAAH9zP18=")</f>
        <v>#REF!</v>
      </c>
      <c r="CS128" t="e">
        <f>AND(#REF!,"AAAAAH9zP2A=")</f>
        <v>#REF!</v>
      </c>
      <c r="CT128" t="e">
        <f>AND(#REF!,"AAAAAH9zP2E=")</f>
        <v>#REF!</v>
      </c>
      <c r="CU128" t="e">
        <f>AND(#REF!,"AAAAAH9zP2I=")</f>
        <v>#REF!</v>
      </c>
      <c r="CV128" t="e">
        <f>AND(#REF!,"AAAAAH9zP2M=")</f>
        <v>#REF!</v>
      </c>
      <c r="CW128" t="e">
        <f>AND(#REF!,"AAAAAH9zP2Q=")</f>
        <v>#REF!</v>
      </c>
      <c r="CX128" t="e">
        <f>AND(#REF!,"AAAAAH9zP2U=")</f>
        <v>#REF!</v>
      </c>
      <c r="CY128" t="e">
        <f>AND(#REF!,"AAAAAH9zP2Y=")</f>
        <v>#REF!</v>
      </c>
      <c r="CZ128" t="e">
        <f>AND(#REF!,"AAAAAH9zP2c=")</f>
        <v>#REF!</v>
      </c>
      <c r="DA128" t="e">
        <f>AND(#REF!,"AAAAAH9zP2g=")</f>
        <v>#REF!</v>
      </c>
      <c r="DB128" t="e">
        <f>AND(#REF!,"AAAAAH9zP2k=")</f>
        <v>#REF!</v>
      </c>
      <c r="DC128" t="e">
        <f>AND(#REF!,"AAAAAH9zP2o=")</f>
        <v>#REF!</v>
      </c>
      <c r="DD128" t="e">
        <f>AND(#REF!,"AAAAAH9zP2s=")</f>
        <v>#REF!</v>
      </c>
      <c r="DE128" t="e">
        <f>AND(#REF!,"AAAAAH9zP2w=")</f>
        <v>#REF!</v>
      </c>
      <c r="DF128" t="e">
        <f>AND(#REF!,"AAAAAH9zP20=")</f>
        <v>#REF!</v>
      </c>
      <c r="DG128" t="e">
        <f>IF(#REF!,"AAAAAH9zP24=",0)</f>
        <v>#REF!</v>
      </c>
      <c r="DH128" t="e">
        <f>AND(#REF!,"AAAAAH9zP28=")</f>
        <v>#REF!</v>
      </c>
      <c r="DI128" t="e">
        <f>AND(#REF!,"AAAAAH9zP3A=")</f>
        <v>#REF!</v>
      </c>
      <c r="DJ128" t="e">
        <f>AND(#REF!,"AAAAAH9zP3E=")</f>
        <v>#REF!</v>
      </c>
      <c r="DK128" t="e">
        <f>AND(#REF!,"AAAAAH9zP3I=")</f>
        <v>#REF!</v>
      </c>
      <c r="DL128" t="e">
        <f>AND(#REF!,"AAAAAH9zP3M=")</f>
        <v>#REF!</v>
      </c>
      <c r="DM128" t="e">
        <f>AND(#REF!,"AAAAAH9zP3Q=")</f>
        <v>#REF!</v>
      </c>
      <c r="DN128" t="e">
        <f>AND(#REF!,"AAAAAH9zP3U=")</f>
        <v>#REF!</v>
      </c>
      <c r="DO128" t="e">
        <f>AND(#REF!,"AAAAAH9zP3Y=")</f>
        <v>#REF!</v>
      </c>
      <c r="DP128" t="e">
        <f>AND(#REF!,"AAAAAH9zP3c=")</f>
        <v>#REF!</v>
      </c>
      <c r="DQ128" t="e">
        <f>AND(#REF!,"AAAAAH9zP3g=")</f>
        <v>#REF!</v>
      </c>
      <c r="DR128" t="e">
        <f>AND(#REF!,"AAAAAH9zP3k=")</f>
        <v>#REF!</v>
      </c>
      <c r="DS128" t="e">
        <f>AND(#REF!,"AAAAAH9zP3o=")</f>
        <v>#REF!</v>
      </c>
      <c r="DT128" t="e">
        <f>AND(#REF!,"AAAAAH9zP3s=")</f>
        <v>#REF!</v>
      </c>
      <c r="DU128" t="e">
        <f>AND(#REF!,"AAAAAH9zP3w=")</f>
        <v>#REF!</v>
      </c>
      <c r="DV128" t="e">
        <f>AND(#REF!,"AAAAAH9zP30=")</f>
        <v>#REF!</v>
      </c>
      <c r="DW128" t="e">
        <f>AND(#REF!,"AAAAAH9zP34=")</f>
        <v>#REF!</v>
      </c>
      <c r="DX128" t="e">
        <f>AND(#REF!,"AAAAAH9zP38=")</f>
        <v>#REF!</v>
      </c>
      <c r="DY128" t="e">
        <f>AND(#REF!,"AAAAAH9zP4A=")</f>
        <v>#REF!</v>
      </c>
      <c r="DZ128" t="e">
        <f>AND(#REF!,"AAAAAH9zP4E=")</f>
        <v>#REF!</v>
      </c>
      <c r="EA128" t="e">
        <f>IF(#REF!,"AAAAAH9zP4I=",0)</f>
        <v>#REF!</v>
      </c>
      <c r="EB128" t="e">
        <f>AND(#REF!,"AAAAAH9zP4M=")</f>
        <v>#REF!</v>
      </c>
      <c r="EC128" t="e">
        <f>AND(#REF!,"AAAAAH9zP4Q=")</f>
        <v>#REF!</v>
      </c>
      <c r="ED128" t="e">
        <f>AND(#REF!,"AAAAAH9zP4U=")</f>
        <v>#REF!</v>
      </c>
      <c r="EE128" t="e">
        <f>AND(#REF!,"AAAAAH9zP4Y=")</f>
        <v>#REF!</v>
      </c>
      <c r="EF128" t="e">
        <f>AND(#REF!,"AAAAAH9zP4c=")</f>
        <v>#REF!</v>
      </c>
      <c r="EG128" t="e">
        <f>AND(#REF!,"AAAAAH9zP4g=")</f>
        <v>#REF!</v>
      </c>
      <c r="EH128" t="e">
        <f>AND(#REF!,"AAAAAH9zP4k=")</f>
        <v>#REF!</v>
      </c>
      <c r="EI128" t="e">
        <f>AND(#REF!,"AAAAAH9zP4o=")</f>
        <v>#REF!</v>
      </c>
      <c r="EJ128" t="e">
        <f>AND(#REF!,"AAAAAH9zP4s=")</f>
        <v>#REF!</v>
      </c>
      <c r="EK128" t="e">
        <f>AND(#REF!,"AAAAAH9zP4w=")</f>
        <v>#REF!</v>
      </c>
      <c r="EL128" t="e">
        <f>AND(#REF!,"AAAAAH9zP40=")</f>
        <v>#REF!</v>
      </c>
      <c r="EM128" t="e">
        <f>AND(#REF!,"AAAAAH9zP44=")</f>
        <v>#REF!</v>
      </c>
      <c r="EN128" t="e">
        <f>AND(#REF!,"AAAAAH9zP48=")</f>
        <v>#REF!</v>
      </c>
      <c r="EO128" t="e">
        <f>AND(#REF!,"AAAAAH9zP5A=")</f>
        <v>#REF!</v>
      </c>
      <c r="EP128" t="e">
        <f>AND(#REF!,"AAAAAH9zP5E=")</f>
        <v>#REF!</v>
      </c>
      <c r="EQ128" t="e">
        <f>AND(#REF!,"AAAAAH9zP5I=")</f>
        <v>#REF!</v>
      </c>
      <c r="ER128" t="e">
        <f>AND(#REF!,"AAAAAH9zP5M=")</f>
        <v>#REF!</v>
      </c>
      <c r="ES128" t="e">
        <f>AND(#REF!,"AAAAAH9zP5Q=")</f>
        <v>#REF!</v>
      </c>
      <c r="ET128" t="e">
        <f>AND(#REF!,"AAAAAH9zP5U=")</f>
        <v>#REF!</v>
      </c>
      <c r="EU128" t="e">
        <f>IF(#REF!,"AAAAAH9zP5Y=",0)</f>
        <v>#REF!</v>
      </c>
      <c r="EV128" t="e">
        <f>AND(#REF!,"AAAAAH9zP5c=")</f>
        <v>#REF!</v>
      </c>
      <c r="EW128" t="e">
        <f>AND(#REF!,"AAAAAH9zP5g=")</f>
        <v>#REF!</v>
      </c>
      <c r="EX128" t="e">
        <f>AND(#REF!,"AAAAAH9zP5k=")</f>
        <v>#REF!</v>
      </c>
      <c r="EY128" t="e">
        <f>AND(#REF!,"AAAAAH9zP5o=")</f>
        <v>#REF!</v>
      </c>
      <c r="EZ128" t="e">
        <f>AND(#REF!,"AAAAAH9zP5s=")</f>
        <v>#REF!</v>
      </c>
      <c r="FA128" t="e">
        <f>AND(#REF!,"AAAAAH9zP5w=")</f>
        <v>#REF!</v>
      </c>
      <c r="FB128" t="e">
        <f>AND(#REF!,"AAAAAH9zP50=")</f>
        <v>#REF!</v>
      </c>
      <c r="FC128" t="e">
        <f>AND(#REF!,"AAAAAH9zP54=")</f>
        <v>#REF!</v>
      </c>
      <c r="FD128" t="e">
        <f>AND(#REF!,"AAAAAH9zP58=")</f>
        <v>#REF!</v>
      </c>
      <c r="FE128" t="e">
        <f>AND(#REF!,"AAAAAH9zP6A=")</f>
        <v>#REF!</v>
      </c>
      <c r="FF128" t="e">
        <f>AND(#REF!,"AAAAAH9zP6E=")</f>
        <v>#REF!</v>
      </c>
      <c r="FG128" t="e">
        <f>AND(#REF!,"AAAAAH9zP6I=")</f>
        <v>#REF!</v>
      </c>
      <c r="FH128" t="e">
        <f>AND(#REF!,"AAAAAH9zP6M=")</f>
        <v>#REF!</v>
      </c>
      <c r="FI128" t="e">
        <f>AND(#REF!,"AAAAAH9zP6Q=")</f>
        <v>#REF!</v>
      </c>
      <c r="FJ128" t="e">
        <f>AND(#REF!,"AAAAAH9zP6U=")</f>
        <v>#REF!</v>
      </c>
      <c r="FK128" t="e">
        <f>AND(#REF!,"AAAAAH9zP6Y=")</f>
        <v>#REF!</v>
      </c>
      <c r="FL128" t="e">
        <f>AND(#REF!,"AAAAAH9zP6c=")</f>
        <v>#REF!</v>
      </c>
      <c r="FM128" t="e">
        <f>AND(#REF!,"AAAAAH9zP6g=")</f>
        <v>#REF!</v>
      </c>
      <c r="FN128" t="e">
        <f>AND(#REF!,"AAAAAH9zP6k=")</f>
        <v>#REF!</v>
      </c>
      <c r="FO128" t="e">
        <f>IF(#REF!,"AAAAAH9zP6o=",0)</f>
        <v>#REF!</v>
      </c>
      <c r="FP128" t="e">
        <f>AND(#REF!,"AAAAAH9zP6s=")</f>
        <v>#REF!</v>
      </c>
      <c r="FQ128" t="e">
        <f>AND(#REF!,"AAAAAH9zP6w=")</f>
        <v>#REF!</v>
      </c>
      <c r="FR128" t="e">
        <f>AND(#REF!,"AAAAAH9zP60=")</f>
        <v>#REF!</v>
      </c>
      <c r="FS128" t="e">
        <f>AND(#REF!,"AAAAAH9zP64=")</f>
        <v>#REF!</v>
      </c>
      <c r="FT128" t="e">
        <f>AND(#REF!,"AAAAAH9zP68=")</f>
        <v>#REF!</v>
      </c>
      <c r="FU128" t="e">
        <f>AND(#REF!,"AAAAAH9zP7A=")</f>
        <v>#REF!</v>
      </c>
      <c r="FV128" t="e">
        <f>AND(#REF!,"AAAAAH9zP7E=")</f>
        <v>#REF!</v>
      </c>
      <c r="FW128" t="e">
        <f>AND(#REF!,"AAAAAH9zP7I=")</f>
        <v>#REF!</v>
      </c>
      <c r="FX128" t="e">
        <f>AND(#REF!,"AAAAAH9zP7M=")</f>
        <v>#REF!</v>
      </c>
      <c r="FY128" t="e">
        <f>AND(#REF!,"AAAAAH9zP7Q=")</f>
        <v>#REF!</v>
      </c>
      <c r="FZ128" t="e">
        <f>AND(#REF!,"AAAAAH9zP7U=")</f>
        <v>#REF!</v>
      </c>
      <c r="GA128" t="e">
        <f>AND(#REF!,"AAAAAH9zP7Y=")</f>
        <v>#REF!</v>
      </c>
      <c r="GB128" t="e">
        <f>AND(#REF!,"AAAAAH9zP7c=")</f>
        <v>#REF!</v>
      </c>
      <c r="GC128" t="e">
        <f>AND(#REF!,"AAAAAH9zP7g=")</f>
        <v>#REF!</v>
      </c>
      <c r="GD128" t="e">
        <f>AND(#REF!,"AAAAAH9zP7k=")</f>
        <v>#REF!</v>
      </c>
      <c r="GE128" t="e">
        <f>AND(#REF!,"AAAAAH9zP7o=")</f>
        <v>#REF!</v>
      </c>
      <c r="GF128" t="e">
        <f>AND(#REF!,"AAAAAH9zP7s=")</f>
        <v>#REF!</v>
      </c>
      <c r="GG128" t="e">
        <f>AND(#REF!,"AAAAAH9zP7w=")</f>
        <v>#REF!</v>
      </c>
      <c r="GH128" t="e">
        <f>AND(#REF!,"AAAAAH9zP70=")</f>
        <v>#REF!</v>
      </c>
      <c r="GI128" t="e">
        <f>IF(#REF!,"AAAAAH9zP74=",0)</f>
        <v>#REF!</v>
      </c>
      <c r="GJ128" t="e">
        <f>AND(#REF!,"AAAAAH9zP78=")</f>
        <v>#REF!</v>
      </c>
      <c r="GK128" t="e">
        <f>AND(#REF!,"AAAAAH9zP8A=")</f>
        <v>#REF!</v>
      </c>
      <c r="GL128" t="e">
        <f>AND(#REF!,"AAAAAH9zP8E=")</f>
        <v>#REF!</v>
      </c>
      <c r="GM128" t="e">
        <f>AND(#REF!,"AAAAAH9zP8I=")</f>
        <v>#REF!</v>
      </c>
      <c r="GN128" t="e">
        <f>AND(#REF!,"AAAAAH9zP8M=")</f>
        <v>#REF!</v>
      </c>
      <c r="GO128" t="e">
        <f>AND(#REF!,"AAAAAH9zP8Q=")</f>
        <v>#REF!</v>
      </c>
      <c r="GP128" t="e">
        <f>AND(#REF!,"AAAAAH9zP8U=")</f>
        <v>#REF!</v>
      </c>
      <c r="GQ128" t="e">
        <f>AND(#REF!,"AAAAAH9zP8Y=")</f>
        <v>#REF!</v>
      </c>
      <c r="GR128" t="e">
        <f>AND(#REF!,"AAAAAH9zP8c=")</f>
        <v>#REF!</v>
      </c>
      <c r="GS128" t="e">
        <f>AND(#REF!,"AAAAAH9zP8g=")</f>
        <v>#REF!</v>
      </c>
      <c r="GT128" t="e">
        <f>AND(#REF!,"AAAAAH9zP8k=")</f>
        <v>#REF!</v>
      </c>
      <c r="GU128" t="e">
        <f>AND(#REF!,"AAAAAH9zP8o=")</f>
        <v>#REF!</v>
      </c>
      <c r="GV128" t="e">
        <f>AND(#REF!,"AAAAAH9zP8s=")</f>
        <v>#REF!</v>
      </c>
      <c r="GW128" t="e">
        <f>AND(#REF!,"AAAAAH9zP8w=")</f>
        <v>#REF!</v>
      </c>
      <c r="GX128" t="e">
        <f>AND(#REF!,"AAAAAH9zP80=")</f>
        <v>#REF!</v>
      </c>
      <c r="GY128" t="e">
        <f>AND(#REF!,"AAAAAH9zP84=")</f>
        <v>#REF!</v>
      </c>
      <c r="GZ128" t="e">
        <f>AND(#REF!,"AAAAAH9zP88=")</f>
        <v>#REF!</v>
      </c>
      <c r="HA128" t="e">
        <f>AND(#REF!,"AAAAAH9zP9A=")</f>
        <v>#REF!</v>
      </c>
      <c r="HB128" t="e">
        <f>AND(#REF!,"AAAAAH9zP9E=")</f>
        <v>#REF!</v>
      </c>
      <c r="HC128" t="e">
        <f>IF(#REF!,"AAAAAH9zP9I=",0)</f>
        <v>#REF!</v>
      </c>
      <c r="HD128" t="e">
        <f>AND(#REF!,"AAAAAH9zP9M=")</f>
        <v>#REF!</v>
      </c>
      <c r="HE128" t="e">
        <f>AND(#REF!,"AAAAAH9zP9Q=")</f>
        <v>#REF!</v>
      </c>
      <c r="HF128" t="e">
        <f>AND(#REF!,"AAAAAH9zP9U=")</f>
        <v>#REF!</v>
      </c>
      <c r="HG128" t="e">
        <f>AND(#REF!,"AAAAAH9zP9Y=")</f>
        <v>#REF!</v>
      </c>
      <c r="HH128" t="e">
        <f>AND(#REF!,"AAAAAH9zP9c=")</f>
        <v>#REF!</v>
      </c>
      <c r="HI128" t="e">
        <f>AND(#REF!,"AAAAAH9zP9g=")</f>
        <v>#REF!</v>
      </c>
      <c r="HJ128" t="e">
        <f>AND(#REF!,"AAAAAH9zP9k=")</f>
        <v>#REF!</v>
      </c>
      <c r="HK128" t="e">
        <f>AND(#REF!,"AAAAAH9zP9o=")</f>
        <v>#REF!</v>
      </c>
      <c r="HL128" t="e">
        <f>AND(#REF!,"AAAAAH9zP9s=")</f>
        <v>#REF!</v>
      </c>
      <c r="HM128" t="e">
        <f>AND(#REF!,"AAAAAH9zP9w=")</f>
        <v>#REF!</v>
      </c>
      <c r="HN128" t="e">
        <f>AND(#REF!,"AAAAAH9zP90=")</f>
        <v>#REF!</v>
      </c>
      <c r="HO128" t="e">
        <f>AND(#REF!,"AAAAAH9zP94=")</f>
        <v>#REF!</v>
      </c>
      <c r="HP128" t="e">
        <f>AND(#REF!,"AAAAAH9zP98=")</f>
        <v>#REF!</v>
      </c>
      <c r="HQ128" t="e">
        <f>AND(#REF!,"AAAAAH9zP+A=")</f>
        <v>#REF!</v>
      </c>
      <c r="HR128" t="e">
        <f>AND(#REF!,"AAAAAH9zP+E=")</f>
        <v>#REF!</v>
      </c>
      <c r="HS128" t="e">
        <f>AND(#REF!,"AAAAAH9zP+I=")</f>
        <v>#REF!</v>
      </c>
      <c r="HT128" t="e">
        <f>AND(#REF!,"AAAAAH9zP+M=")</f>
        <v>#REF!</v>
      </c>
      <c r="HU128" t="e">
        <f>AND(#REF!,"AAAAAH9zP+Q=")</f>
        <v>#REF!</v>
      </c>
      <c r="HV128" t="e">
        <f>AND(#REF!,"AAAAAH9zP+U=")</f>
        <v>#REF!</v>
      </c>
      <c r="HW128" t="e">
        <f>IF(#REF!,"AAAAAH9zP+Y=",0)</f>
        <v>#REF!</v>
      </c>
      <c r="HX128" t="e">
        <f>AND(#REF!,"AAAAAH9zP+c=")</f>
        <v>#REF!</v>
      </c>
      <c r="HY128" t="e">
        <f>AND(#REF!,"AAAAAH9zP+g=")</f>
        <v>#REF!</v>
      </c>
      <c r="HZ128" t="e">
        <f>AND(#REF!,"AAAAAH9zP+k=")</f>
        <v>#REF!</v>
      </c>
      <c r="IA128" t="e">
        <f>AND(#REF!,"AAAAAH9zP+o=")</f>
        <v>#REF!</v>
      </c>
      <c r="IB128" t="e">
        <f>AND(#REF!,"AAAAAH9zP+s=")</f>
        <v>#REF!</v>
      </c>
      <c r="IC128" t="e">
        <f>AND(#REF!,"AAAAAH9zP+w=")</f>
        <v>#REF!</v>
      </c>
      <c r="ID128" t="e">
        <f>AND(#REF!,"AAAAAH9zP+0=")</f>
        <v>#REF!</v>
      </c>
      <c r="IE128" t="e">
        <f>AND(#REF!,"AAAAAH9zP+4=")</f>
        <v>#REF!</v>
      </c>
      <c r="IF128" t="e">
        <f>AND(#REF!,"AAAAAH9zP+8=")</f>
        <v>#REF!</v>
      </c>
      <c r="IG128" t="e">
        <f>AND(#REF!,"AAAAAH9zP/A=")</f>
        <v>#REF!</v>
      </c>
      <c r="IH128" t="e">
        <f>AND(#REF!,"AAAAAH9zP/E=")</f>
        <v>#REF!</v>
      </c>
      <c r="II128" t="e">
        <f>AND(#REF!,"AAAAAH9zP/I=")</f>
        <v>#REF!</v>
      </c>
      <c r="IJ128" t="e">
        <f>AND(#REF!,"AAAAAH9zP/M=")</f>
        <v>#REF!</v>
      </c>
      <c r="IK128" t="e">
        <f>AND(#REF!,"AAAAAH9zP/Q=")</f>
        <v>#REF!</v>
      </c>
      <c r="IL128" t="e">
        <f>AND(#REF!,"AAAAAH9zP/U=")</f>
        <v>#REF!</v>
      </c>
      <c r="IM128" t="e">
        <f>AND(#REF!,"AAAAAH9zP/Y=")</f>
        <v>#REF!</v>
      </c>
      <c r="IN128" t="e">
        <f>AND(#REF!,"AAAAAH9zP/c=")</f>
        <v>#REF!</v>
      </c>
      <c r="IO128" t="e">
        <f>AND(#REF!,"AAAAAH9zP/g=")</f>
        <v>#REF!</v>
      </c>
      <c r="IP128" t="e">
        <f>AND(#REF!,"AAAAAH9zP/k=")</f>
        <v>#REF!</v>
      </c>
      <c r="IQ128" t="e">
        <f>IF(#REF!,"AAAAAH9zP/o=",0)</f>
        <v>#REF!</v>
      </c>
      <c r="IR128" t="e">
        <f>IF(#REF!,"AAAAAH9zP/s=",0)</f>
        <v>#REF!</v>
      </c>
      <c r="IS128" t="e">
        <f>IF(#REF!,"AAAAAH9zP/w=",0)</f>
        <v>#REF!</v>
      </c>
      <c r="IT128" t="e">
        <f>IF(#REF!,"AAAAAH9zP/0=",0)</f>
        <v>#REF!</v>
      </c>
      <c r="IU128" t="e">
        <f>IF(#REF!,"AAAAAH9zP/4=",0)</f>
        <v>#REF!</v>
      </c>
      <c r="IV128" t="e">
        <f>IF(#REF!,"AAAAAH9zP/8=",0)</f>
        <v>#REF!</v>
      </c>
    </row>
    <row r="129" spans="1:46" x14ac:dyDescent="0.2">
      <c r="A129" t="e">
        <f>IF(#REF!,"AAAAAFe39wA=",0)</f>
        <v>#REF!</v>
      </c>
      <c r="B129" t="e">
        <f>IF(#REF!,"AAAAAFe39wE=",0)</f>
        <v>#REF!</v>
      </c>
      <c r="C129" t="e">
        <f>IF(#REF!,"AAAAAFe39wI=",0)</f>
        <v>#REF!</v>
      </c>
      <c r="D129" t="e">
        <f>IF(#REF!,"AAAAAFe39wM=",0)</f>
        <v>#REF!</v>
      </c>
      <c r="E129" t="e">
        <f>IF(#REF!,"AAAAAFe39wQ=",0)</f>
        <v>#REF!</v>
      </c>
      <c r="F129" t="e">
        <f>IF(#REF!,"AAAAAFe39wU=",0)</f>
        <v>#REF!</v>
      </c>
      <c r="G129" t="e">
        <f>IF(#REF!,"AAAAAFe39wY=",0)</f>
        <v>#REF!</v>
      </c>
      <c r="H129" t="e">
        <f>IF(#REF!,"AAAAAFe39wc=",0)</f>
        <v>#REF!</v>
      </c>
      <c r="I129" t="e">
        <f>IF(#REF!,"AAAAAFe39wg=",0)</f>
        <v>#REF!</v>
      </c>
      <c r="J129" t="e">
        <f>IF(#REF!,"AAAAAFe39wk=",0)</f>
        <v>#REF!</v>
      </c>
      <c r="K129" t="e">
        <f>IF(#REF!,"AAAAAFe39wo=",0)</f>
        <v>#REF!</v>
      </c>
      <c r="L129" t="e">
        <f>IF(#REF!,"AAAAAFe39ws=",0)</f>
        <v>#REF!</v>
      </c>
      <c r="M129" t="e">
        <f>IF(#REF!,"AAAAAFe39ww=",0)</f>
        <v>#REF!</v>
      </c>
      <c r="N129" t="e">
        <f>IF(#REF!,"AAAAAFe39w0=",0)</f>
        <v>#REF!</v>
      </c>
      <c r="O129" s="88" t="s">
        <v>40</v>
      </c>
      <c r="P129" t="s">
        <v>41</v>
      </c>
      <c r="Q129" s="89" t="s">
        <v>42</v>
      </c>
      <c r="R129" s="90" t="s">
        <v>43</v>
      </c>
      <c r="S129" s="56" t="s">
        <v>44</v>
      </c>
      <c r="T129" s="91" t="s">
        <v>45</v>
      </c>
      <c r="U129" s="92" t="s">
        <v>46</v>
      </c>
      <c r="V129" s="93" t="s">
        <v>47</v>
      </c>
      <c r="W129" t="e">
        <f>IF("N",[0]!_Toc26969054,"AAAAAFe39xY=")</f>
        <v>#VALUE!</v>
      </c>
      <c r="X129" t="e">
        <f>IF("N",_xlfn.BAHTTEXT,"AAAAAFe39xc=")</f>
        <v>#VALUE!</v>
      </c>
      <c r="Y129" t="e">
        <f>IF("N",_xlfn.COUNTIFS,"AAAAAFe39xg=")</f>
        <v>#VALUE!</v>
      </c>
      <c r="Z129" t="e">
        <f>IF("N",_xlfn.IFERROR,"AAAAAFe39xk=")</f>
        <v>#VALUE!</v>
      </c>
      <c r="AA129" t="e">
        <f>IF("N",_xlfn.SUMIFS,"AAAAAFe39xo=")</f>
        <v>#VALUE!</v>
      </c>
      <c r="AB129" t="e">
        <f>IF("N",BL_No,"AAAAAFe39xs=")</f>
        <v>#VALUE!</v>
      </c>
      <c r="AC129" t="e">
        <f>IF("N",[0]!BL_Table,"AAAAAFe39xw=")</f>
        <v>#VALUE!</v>
      </c>
      <c r="AD129" t="e">
        <f>IF("N",Plan_EndDateDelay_Table,"AAAAAFe39x0=")</f>
        <v>#VALUE!</v>
      </c>
      <c r="AE129" t="e">
        <f>IF("N",Plan_Finding_Table,"AAAAAFe39x4=")</f>
        <v>#VALUE!</v>
      </c>
      <c r="AF129" t="e">
        <f>IF("N",Plan_NC_Table,"AAAAAFe39x8=")</f>
        <v>#VALUE!</v>
      </c>
      <c r="AG129" t="e">
        <f>IF("N",Plan_NCY_Table,"AAAAAFe39yA=")</f>
        <v>#VALUE!</v>
      </c>
      <c r="AH129" t="e">
        <f>IF("N",Plan_Others_Table,"AAAAAFe39yE=")</f>
        <v>#VALUE!</v>
      </c>
      <c r="AI129" t="e">
        <f>IF("N",Plan_Task_Table,"AAAAAFe39yI=")</f>
        <v>#VALUE!</v>
      </c>
      <c r="AJ129" t="e">
        <f>IF("N",Plan_Task_TableDelete,"AAAAAFe39yM=")</f>
        <v>#VALUE!</v>
      </c>
      <c r="AK129" t="e">
        <f>IF("N",Plan_Task_TableID,"AAAAAFe39yQ=")</f>
        <v>#VALUE!</v>
      </c>
      <c r="AL129" t="e">
        <f>IF("N",[0]!_xlnm.Print_Area,"AAAAAFe39yU=")</f>
        <v>#VALUE!</v>
      </c>
      <c r="AM129" t="e">
        <f>IF("N",[0]!_xlnm.Print_Area,"AAAAAFe39yY=")</f>
        <v>#VALUE!</v>
      </c>
      <c r="AN129" t="e">
        <f>IF("N",[0]!_xlnm.Print_Area,"AAAAAFe39yc=")</f>
        <v>#VALUE!</v>
      </c>
      <c r="AO129" t="e">
        <f>IF("N",[0]!_xlnm.Print_Area,"AAAAAFe39yg=")</f>
        <v>#VALUE!</v>
      </c>
      <c r="AP129" t="e">
        <f>IF("N",'Test Script'!_xlnm.Print_Titles,"AAAAAFe39yk=")</f>
        <v>#VALUE!</v>
      </c>
      <c r="AQ129" t="e">
        <f>IF("N",PROJ_CODE,"AAAAAFe39yo=")</f>
        <v>#VALUE!</v>
      </c>
      <c r="AR129" t="e">
        <f>IF("N",PROJ_NAME,"AAAAAFe39ys=")</f>
        <v>#VALUE!</v>
      </c>
      <c r="AS129" t="e">
        <f>IF("N",Test_Plan_Ver,"AAAAAFe39yw=")</f>
        <v>#VALUE!</v>
      </c>
      <c r="AT129" t="e">
        <f>IF("N",Test_Round,"AAAAAFe39y0=")</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 Script</vt:lpstr>
      <vt:lpstr>'Test Script'!Print_Titles</vt:lpstr>
    </vt:vector>
  </TitlesOfParts>
  <Company>Sony Electronics,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dc:creator>
  <cp:lastModifiedBy>Nipon Jaiboon</cp:lastModifiedBy>
  <cp:lastPrinted>2012-06-27T06:32:58Z</cp:lastPrinted>
  <dcterms:created xsi:type="dcterms:W3CDTF">2008-03-10T05:09:27Z</dcterms:created>
  <dcterms:modified xsi:type="dcterms:W3CDTF">2016-09-03T09:58:48Z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false</vt:lpwstr>
  </property>
  <property fmtid="{D5CDD505-2E9C-101B-9397-08002B2CF9AE}" pid="3" name="Google.Documents.DocumentId">
    <vt:lpwstr>1Elh4UzVCaBS643aLJmdaLjR7Tv21E9kAF00XVQs__PY</vt:lpwstr>
  </property>
  <property fmtid="{D5CDD505-2E9C-101B-9397-08002B2CF9AE}" pid="4" name="Google.Documents.RevisionId">
    <vt:lpwstr>13290995017861510543</vt:lpwstr>
  </property>
  <property fmtid="{D5CDD505-2E9C-101B-9397-08002B2CF9AE}" pid="5" name="Google.Documents.PluginVersion">
    <vt:lpwstr>2.0.2662.553</vt:lpwstr>
  </property>
  <property fmtid="{D5CDD505-2E9C-101B-9397-08002B2CF9AE}" pid="6" name="Google.Documents.MergeIncapabilityFlags">
    <vt:i4>0</vt:i4>
  </property>
</Properties>
</file>