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igh-Low-Current Market Price"/>
    <sheet r:id="rId2" sheetId="2" name="Gainers"/>
    <sheet r:id="rId3" sheetId="3" name="Losers"/>
    <sheet r:id="rId4" sheetId="4" name="Neutral"/>
    <sheet r:id="rId5" sheetId="5" name="Insider Bar"/>
  </sheets>
  <calcPr fullCalcOnLoad="1"/>
</workbook>
</file>

<file path=xl/sharedStrings.xml><?xml version="1.0" encoding="utf-8"?>
<sst xmlns="http://schemas.openxmlformats.org/spreadsheetml/2006/main" count="1373" uniqueCount="232">
  <si>
    <t>Symbol</t>
  </si>
  <si>
    <t>Previous High</t>
  </si>
  <si>
    <t>Previous Low</t>
  </si>
  <si>
    <t>Previous Close</t>
  </si>
  <si>
    <t>Current Price</t>
  </si>
  <si>
    <t>Chart</t>
  </si>
  <si>
    <t>Financial News</t>
  </si>
  <si>
    <t>Technical Analysis</t>
  </si>
  <si>
    <t>Financials</t>
  </si>
  <si>
    <t>Insider Bar</t>
  </si>
  <si>
    <t>AARTIIND</t>
  </si>
  <si>
    <t>Neutral</t>
  </si>
  <si>
    <t>ABB</t>
  </si>
  <si>
    <t>ABBOTINDIA</t>
  </si>
  <si>
    <t>ABCAPITAL</t>
  </si>
  <si>
    <t>ABFRL</t>
  </si>
  <si>
    <t>ACC</t>
  </si>
  <si>
    <t>ADANIENSOL</t>
  </si>
  <si>
    <t>ADANIENT</t>
  </si>
  <si>
    <t>ADANIGREEN</t>
  </si>
  <si>
    <t>ADANIPORTS</t>
  </si>
  <si>
    <t>ALKEM</t>
  </si>
  <si>
    <t>AMBUJACEM</t>
  </si>
  <si>
    <t>ANGELONE</t>
  </si>
  <si>
    <t>APLAPOLLO</t>
  </si>
  <si>
    <t>APOLLOHOSP</t>
  </si>
  <si>
    <t>APOLLOTYRE</t>
  </si>
  <si>
    <t>ASHOKLEY</t>
  </si>
  <si>
    <t>ASIANPAINT</t>
  </si>
  <si>
    <t>ASTRAL</t>
  </si>
  <si>
    <t>ATGL</t>
  </si>
  <si>
    <t>ATUL</t>
  </si>
  <si>
    <t>AUBANK</t>
  </si>
  <si>
    <t>AUROPHARMA</t>
  </si>
  <si>
    <t>AXISBANK</t>
  </si>
  <si>
    <t>BAJAJ-AUTO</t>
  </si>
  <si>
    <t>BAJAJFINSV</t>
  </si>
  <si>
    <t>BAJFINANCE</t>
  </si>
  <si>
    <t>BALKRISIND</t>
  </si>
  <si>
    <t>BANDHANBNK</t>
  </si>
  <si>
    <t>BANKBARODA</t>
  </si>
  <si>
    <t>BANKINDIA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</si>
  <si>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</si>
  <si>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</si>
  <si>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</si>
  <si>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</si>
  <si>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</si>
  <si>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</si>
  <si>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</si>
  <si>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</si>
  <si>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</si>
  <si>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</si>
  <si>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BSE</t>
  </si>
  <si>
    <t>BSOFT</t>
  </si>
  <si>
    <t>CAMS</t>
  </si>
  <si>
    <t>CANBK</t>
  </si>
  <si>
    <t>CANFINHOME</t>
  </si>
  <si>
    <t>CDSL</t>
  </si>
  <si>
    <t>CESC</t>
  </si>
  <si>
    <t>CGPOWER</t>
  </si>
  <si>
    <t>CHAMBLFERT</t>
  </si>
  <si>
    <t>CHOLAFIN</t>
  </si>
  <si>
    <t>CIPLA</t>
  </si>
  <si>
    <t>COALINDIA</t>
  </si>
  <si>
    <t>COFORGE</t>
  </si>
  <si>
    <t>COLPAL</t>
  </si>
  <si>
    <t>CONCOR</t>
  </si>
  <si>
    <t>COROMANDEL</t>
  </si>
  <si>
    <t>CROMPTON</t>
  </si>
  <si>
    <t>CUB</t>
  </si>
  <si>
    <t>CUMMINSIND</t>
  </si>
  <si>
    <t>CYIENT</t>
  </si>
  <si>
    <t>DABUR</t>
  </si>
  <si>
    <t>DALBHARAT</t>
  </si>
  <si>
    <t>DEEPAKNTR</t>
  </si>
  <si>
    <t>DELHIVERY</t>
  </si>
  <si>
    <t>DIVISLAB</t>
  </si>
  <si>
    <t>DIXON</t>
  </si>
  <si>
    <t>DLF</t>
  </si>
  <si>
    <t>DMART</t>
  </si>
  <si>
    <t>DRREDDY</t>
  </si>
  <si>
    <t>EICHERMOT</t>
  </si>
  <si>
    <t>ESCORTS</t>
  </si>
  <si>
    <t>EXIDEIND</t>
  </si>
  <si>
    <t>FEDERALBNK</t>
  </si>
  <si>
    <t>GAIL</t>
  </si>
  <si>
    <t>GLENMARK</t>
  </si>
  <si>
    <t>GNFC</t>
  </si>
  <si>
    <t>GODREJCP</t>
  </si>
  <si>
    <t>GODREJPROP</t>
  </si>
  <si>
    <t>GRANULES</t>
  </si>
  <si>
    <t>GRASIM</t>
  </si>
  <si>
    <t>GUJGASLTD</t>
  </si>
  <si>
    <t>HAL</t>
  </si>
  <si>
    <t>HAVELLS</t>
  </si>
  <si>
    <t>HCLTECH</t>
  </si>
  <si>
    <t>HDFCAMC</t>
  </si>
  <si>
    <t>HDFCBANK</t>
  </si>
  <si>
    <t>HDFCLIFE</t>
  </si>
  <si>
    <t>HEROMOTOCO</t>
  </si>
  <si>
    <t>HFCL</t>
  </si>
  <si>
    <t>HINDALCO</t>
  </si>
  <si>
    <t>HINDCOPPER</t>
  </si>
  <si>
    <t>HINDPETRO</t>
  </si>
  <si>
    <t>HINDUNILVR</t>
  </si>
  <si>
    <t>HUDCO</t>
  </si>
  <si>
    <t>ICICIBANK</t>
  </si>
  <si>
    <t>ICICIGI</t>
  </si>
  <si>
    <t>ICICIPRULI</t>
  </si>
  <si>
    <t>IDEA</t>
  </si>
  <si>
    <t>IDFCFIRSTB</t>
  </si>
  <si>
    <t>IEX</t>
  </si>
  <si>
    <t>IGL</t>
  </si>
  <si>
    <t>INDHOTEL</t>
  </si>
  <si>
    <t>INDIAMART</t>
  </si>
  <si>
    <t>INDIANB</t>
  </si>
  <si>
    <t>INDIGO</t>
  </si>
  <si>
    <t>INDUSINDBK</t>
  </si>
  <si>
    <t>INDUSTOWER</t>
  </si>
  <si>
    <t>INFY</t>
  </si>
  <si>
    <t>IOC</t>
  </si>
  <si>
    <t>IPCALAB</t>
  </si>
  <si>
    <t>IRB</t>
  </si>
  <si>
    <t>IRCTC</t>
  </si>
  <si>
    <t>IRFC</t>
  </si>
  <si>
    <t>ITC</t>
  </si>
  <si>
    <t>JINDALSTEL</t>
  </si>
  <si>
    <t>JIOFIN</t>
  </si>
  <si>
    <t>JKCEMENT</t>
  </si>
  <si>
    <t>JSL</t>
  </si>
  <si>
    <t>JSWENERGY</t>
  </si>
  <si>
    <t>JSWSTEEL</t>
  </si>
  <si>
    <t>JUBLFOOD</t>
  </si>
  <si>
    <t>KALYANKJIL</t>
  </si>
  <si>
    <t>KEI</t>
  </si>
  <si>
    <t>KOTAKBANK</t>
  </si>
  <si>
    <t>KPITTECH</t>
  </si>
  <si>
    <t>LALPATHLAB</t>
  </si>
  <si>
    <t>LAURUSLABS</t>
  </si>
  <si>
    <t>LICHSGFIN</t>
  </si>
  <si>
    <t>LICI</t>
  </si>
  <si>
    <t>LODHA</t>
  </si>
  <si>
    <t>LT</t>
  </si>
  <si>
    <t>LTIM</t>
  </si>
  <si>
    <t>LTTS</t>
  </si>
  <si>
    <t>LUPIN</t>
  </si>
  <si>
    <t>M&amp;M</t>
  </si>
  <si>
    <t>M&amp;MFIN</t>
  </si>
  <si>
    <t>MANAPPURAM</t>
  </si>
  <si>
    <t>MARICO</t>
  </si>
  <si>
    <t>MARUTI</t>
  </si>
  <si>
    <t>MAXHEALTH</t>
  </si>
  <si>
    <t>MCX</t>
  </si>
  <si>
    <t>METROPOLIS</t>
  </si>
  <si>
    <t>MFSL</t>
  </si>
  <si>
    <t>MGL</t>
  </si>
  <si>
    <t>MOTHERSON</t>
  </si>
  <si>
    <t>MPHASIS</t>
  </si>
  <si>
    <t>MRF</t>
  </si>
  <si>
    <t>MUTHOOTFIN</t>
  </si>
  <si>
    <t>NATIONALUM</t>
  </si>
  <si>
    <t>NAUKRI</t>
  </si>
  <si>
    <t>NAVINFLUOR</t>
  </si>
  <si>
    <t>NCC</t>
  </si>
  <si>
    <t>NESTLEIND</t>
  </si>
  <si>
    <t>NHPC</t>
  </si>
  <si>
    <t>NMDC</t>
  </si>
  <si>
    <t>NTPC</t>
  </si>
  <si>
    <t>NYKAA</t>
  </si>
  <si>
    <t>OBEROIRLTY</t>
  </si>
  <si>
    <t>OFSS</t>
  </si>
  <si>
    <t>OIL</t>
  </si>
  <si>
    <t>ONGC</t>
  </si>
  <si>
    <t>PAGEIND</t>
  </si>
  <si>
    <t>PAYTM</t>
  </si>
  <si>
    <t>PEL</t>
  </si>
  <si>
    <t>PERSISTENT</t>
  </si>
  <si>
    <t>PETRONET</t>
  </si>
  <si>
    <t>PFC</t>
  </si>
  <si>
    <t>PIDILITIND</t>
  </si>
  <si>
    <t>PIIND</t>
  </si>
  <si>
    <t>PNB</t>
  </si>
  <si>
    <t>POLICYBZR</t>
  </si>
  <si>
    <t>POLYCAB</t>
  </si>
  <si>
    <t>POONAWALLA</t>
  </si>
  <si>
    <t>POWERGRID</t>
  </si>
  <si>
    <t>PRESTIGE</t>
  </si>
  <si>
    <t>PVRINOX</t>
  </si>
  <si>
    <t>RAMCOCEM</t>
  </si>
  <si>
    <t>RBLBANK</t>
  </si>
  <si>
    <t>RECLTD</t>
  </si>
  <si>
    <t>RELIANCE</t>
  </si>
  <si>
    <t>SAIL</t>
  </si>
  <si>
    <t>SBICARD</t>
  </si>
  <si>
    <t>SBILIFE</t>
  </si>
  <si>
    <t>SBIN</t>
  </si>
  <si>
    <t>SHREECEM</t>
  </si>
  <si>
    <t>SHRIRAMFIN</t>
  </si>
  <si>
    <t>SIEMENS</t>
  </si>
  <si>
    <t>SJVN</t>
  </si>
  <si>
    <t>SONACOMS</t>
  </si>
  <si>
    <t>SRF</t>
  </si>
  <si>
    <t>SUNPHARMA</t>
  </si>
  <si>
    <t>SUNTV</t>
  </si>
  <si>
    <t>SUPREMEIND</t>
  </si>
  <si>
    <t>SYNGENE</t>
  </si>
  <si>
    <t>TATACHEM</t>
  </si>
  <si>
    <t>TATACOMM</t>
  </si>
  <si>
    <t>TATACONSUM</t>
  </si>
  <si>
    <t>TATAELXSI</t>
  </si>
  <si>
    <t>TATAMOTORS</t>
  </si>
  <si>
    <t>TATAPOWER</t>
  </si>
  <si>
    <t>TATASTEEL</t>
  </si>
  <si>
    <t>TCS</t>
  </si>
  <si>
    <t>TECHM</t>
  </si>
  <si>
    <t>TIINDIA</t>
  </si>
  <si>
    <t>TITAN</t>
  </si>
  <si>
    <t>TORNTPHARM</t>
  </si>
  <si>
    <t>TRENT</t>
  </si>
  <si>
    <t>TVSMOTOR</t>
  </si>
  <si>
    <t>UBL</t>
  </si>
  <si>
    <t>ULTRACEMCO</t>
  </si>
  <si>
    <t>UNIONBANK</t>
  </si>
  <si>
    <t>UPL</t>
  </si>
  <si>
    <t>VBL</t>
  </si>
  <si>
    <t>VEDL</t>
  </si>
  <si>
    <t>VOLTAS</t>
  </si>
  <si>
    <t>WIPRO</t>
  </si>
  <si>
    <t>YESBANK</t>
  </si>
  <si>
    <t>ZOMATO</t>
  </si>
  <si>
    <t>ZYDUSLIFE</t>
  </si>
  <si>
    <t>Gain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</si>
</sst>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4" applyNumberFormat="1" borderId="3" applyBorder="1" fontId="3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21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9" width="13.576428571428572" customWidth="1" bestFit="1"/>
    <col min="5" max="5" style="9" width="13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x14ac:dyDescent="0.25" r="2" customHeight="1" ht="18.75">
      <c r="A2" s="4" t="s">
        <v>10</v>
      </c>
      <c r="B2" s="5">
        <v>434.85</v>
      </c>
      <c r="C2" s="6">
        <v>415</v>
      </c>
      <c r="D2" s="5">
        <v>421.75</v>
      </c>
      <c r="E2" s="5">
        <v>426.5</v>
      </c>
      <c r="F2" s="7">
        <f>HYPERLINK("https://www.tradingview.com/chart/tioZvgwv/?symbol=NSE%3AAARTIIND&amp;interval=", "&amp;#128200;")</f>
      </c>
      <c r="G2" s="7">
        <f>HYPERLINK("https://www.tradingview.com/symbols/NSE-AARTIIND/news/", "&amp;#128240;")</f>
      </c>
      <c r="H2" s="7">
        <f>HYPERLINK("https://www.tradingview.com/symbols/NSE-AARTIIND/technicals/", "&amp;#128202;")</f>
      </c>
      <c r="I2" s="7">
        <f>HYPERLINK("https://www.tradingview.com/symbols/NSE-AARTIIND/financials-overview/", "&amp;#128194;")</f>
      </c>
      <c r="J2" s="4" t="s">
        <v>11</v>
      </c>
    </row>
    <row x14ac:dyDescent="0.25" r="3" customHeight="1" ht="18.75">
      <c r="A3" s="4" t="s">
        <v>12</v>
      </c>
      <c r="B3" s="5">
        <v>6383.9</v>
      </c>
      <c r="C3" s="5">
        <v>6216.25</v>
      </c>
      <c r="D3" s="5">
        <v>6415.65</v>
      </c>
      <c r="E3" s="5">
        <v>6230.25</v>
      </c>
      <c r="F3" s="7">
        <f>HYPERLINK("https://www.tradingview.com/chart/tioZvgwv/?symbol=NSE%3AABB&amp;interval=", "&amp;#128200;")</f>
      </c>
      <c r="G3" s="7">
        <f>HYPERLINK("https://www.tradingview.com/symbols/NSE-ABB/news/", "&amp;#128240;")</f>
      </c>
      <c r="H3" s="7">
        <f>HYPERLINK("https://www.tradingview.com/symbols/NSE-ABB/technicals/", "&amp;#128202;")</f>
      </c>
      <c r="I3" s="7">
        <f>HYPERLINK("https://www.tradingview.com/symbols/NSE-ABB/financials-overview/", "&amp;#128194;")</f>
      </c>
      <c r="J3" s="4" t="s">
        <v>11</v>
      </c>
    </row>
    <row x14ac:dyDescent="0.25" r="4" customHeight="1" ht="18.75">
      <c r="A4" s="4" t="s">
        <v>13</v>
      </c>
      <c r="B4" s="5">
        <v>28656.25</v>
      </c>
      <c r="C4" s="5">
        <v>28242.1</v>
      </c>
      <c r="D4" s="5">
        <v>28772.8</v>
      </c>
      <c r="E4" s="5">
        <v>28405.6</v>
      </c>
      <c r="F4" s="7">
        <f>HYPERLINK("https://www.tradingview.com/chart/tioZvgwv/?symbol=NSE%3AABBOTINDIA&amp;interval=", "&amp;#128200;")</f>
      </c>
      <c r="G4" s="7">
        <f>HYPERLINK("https://www.tradingview.com/symbols/NSE-ABBOTINDIA/news/", "&amp;#128240;")</f>
      </c>
      <c r="H4" s="7">
        <f>HYPERLINK("https://www.tradingview.com/symbols/NSE-ABBOTINDIA/technicals/", "&amp;#128202;")</f>
      </c>
      <c r="I4" s="7">
        <f>HYPERLINK("https://www.tradingview.com/symbols/NSE-ABBOTINDIA/financials-overview/", "&amp;#128194;")</f>
      </c>
      <c r="J4" s="4" t="s">
        <v>11</v>
      </c>
    </row>
    <row x14ac:dyDescent="0.25" r="5" customHeight="1" ht="18.75">
      <c r="A5" s="4" t="s">
        <v>14</v>
      </c>
      <c r="B5" s="5">
        <v>173.8</v>
      </c>
      <c r="C5" s="5">
        <v>168.46</v>
      </c>
      <c r="D5" s="5">
        <v>167.63</v>
      </c>
      <c r="E5" s="5">
        <v>170.17</v>
      </c>
      <c r="F5" s="7">
        <f>HYPERLINK("https://www.tradingview.com/chart/tioZvgwv/?symbol=NSE%3AABCAPITAL&amp;interval=", "&amp;#128200;")</f>
      </c>
      <c r="G5" s="7">
        <f>HYPERLINK("https://www.tradingview.com/symbols/NSE-ABCAPITAL/news/", "&amp;#128240;")</f>
      </c>
      <c r="H5" s="7">
        <f>HYPERLINK("https://www.tradingview.com/symbols/NSE-ABCAPITAL/technicals/", "&amp;#128202;")</f>
      </c>
      <c r="I5" s="7">
        <f>HYPERLINK("https://www.tradingview.com/symbols/NSE-ABCAPITAL/financials-overview/", "&amp;#128194;")</f>
      </c>
      <c r="J5" s="4" t="s">
        <v>11</v>
      </c>
    </row>
    <row x14ac:dyDescent="0.25" r="6" customHeight="1" ht="18.75">
      <c r="A6" s="4" t="s">
        <v>15</v>
      </c>
      <c r="B6" s="5">
        <v>273.35</v>
      </c>
      <c r="C6" s="5">
        <v>264.5</v>
      </c>
      <c r="D6" s="5">
        <v>274.1</v>
      </c>
      <c r="E6" s="5">
        <v>265.55</v>
      </c>
      <c r="F6" s="7">
        <f>HYPERLINK("https://www.tradingview.com/chart/tioZvgwv/?symbol=NSE%3AABFRL&amp;interval=", "&amp;#128200;")</f>
      </c>
      <c r="G6" s="7">
        <f>HYPERLINK("https://www.tradingview.com/symbols/NSE-ABFRL/news/", "&amp;#128240;")</f>
      </c>
      <c r="H6" s="7">
        <f>HYPERLINK("https://www.tradingview.com/symbols/NSE-ABFRL/technicals/", "&amp;#128202;")</f>
      </c>
      <c r="I6" s="7">
        <f>HYPERLINK("https://www.tradingview.com/symbols/NSE-ABFRL/financials-overview/", "&amp;#128194;")</f>
      </c>
      <c r="J6" s="4" t="s">
        <v>11</v>
      </c>
    </row>
    <row x14ac:dyDescent="0.25" r="7" customHeight="1" ht="18.75">
      <c r="A7" s="4" t="s">
        <v>16</v>
      </c>
      <c r="B7" s="6">
        <v>1925</v>
      </c>
      <c r="C7" s="5">
        <v>1882.8</v>
      </c>
      <c r="D7" s="5">
        <v>1931.05</v>
      </c>
      <c r="E7" s="5">
        <v>1888.45</v>
      </c>
      <c r="F7" s="7">
        <f>HYPERLINK("https://www.tradingview.com/chart/tioZvgwv/?symbol=NSE%3AACC&amp;interval=", "&amp;#128200;")</f>
      </c>
      <c r="G7" s="7">
        <f>HYPERLINK("https://www.tradingview.com/symbols/NSE-ACC/news/", "&amp;#128240;")</f>
      </c>
      <c r="H7" s="7">
        <f>HYPERLINK("https://www.tradingview.com/symbols/NSE-ACC/technicals/", "&amp;#128202;")</f>
      </c>
      <c r="I7" s="7">
        <f>HYPERLINK("https://www.tradingview.com/symbols/NSE-ACC/financials-overview/", "&amp;#128194;")</f>
      </c>
      <c r="J7" s="4" t="s">
        <v>11</v>
      </c>
    </row>
    <row x14ac:dyDescent="0.25" r="8" customHeight="1" ht="18.75">
      <c r="A8" s="4" t="s">
        <v>17</v>
      </c>
      <c r="B8" s="5">
        <v>724.5</v>
      </c>
      <c r="C8" s="5">
        <v>707.7</v>
      </c>
      <c r="D8" s="5">
        <v>729.25</v>
      </c>
      <c r="E8" s="5">
        <v>707.7</v>
      </c>
      <c r="F8" s="7">
        <f>HYPERLINK("https://www.tradingview.com/chart/tioZvgwv/?symbol=NSE%3AADANIENSOL&amp;interval=", "&amp;#128200;")</f>
      </c>
      <c r="G8" s="7">
        <f>HYPERLINK("https://www.tradingview.com/symbols/NSE-ADANIENSOL/news/", "&amp;#128240;")</f>
      </c>
      <c r="H8" s="7">
        <f>HYPERLINK("https://www.tradingview.com/symbols/NSE-ADANIENSOL/technicals/", "&amp;#128202;")</f>
      </c>
      <c r="I8" s="7">
        <f>HYPERLINK("https://www.tradingview.com/symbols/NSE-ADANIENSOL/financials-overview/", "&amp;#128194;")</f>
      </c>
      <c r="J8" s="4" t="s">
        <v>11</v>
      </c>
    </row>
    <row x14ac:dyDescent="0.25" r="9" customHeight="1" ht="18.75">
      <c r="A9" s="4" t="s">
        <v>18</v>
      </c>
      <c r="B9" s="6">
        <v>2365</v>
      </c>
      <c r="C9" s="6">
        <v>2298</v>
      </c>
      <c r="D9" s="5">
        <v>2374.4</v>
      </c>
      <c r="E9" s="6">
        <v>2300</v>
      </c>
      <c r="F9" s="7">
        <f>HYPERLINK("https://www.tradingview.com/chart/tioZvgwv/?symbol=NSE%3AADANIENT&amp;interval=", "&amp;#128200;")</f>
      </c>
      <c r="G9" s="7">
        <f>HYPERLINK("https://www.tradingview.com/symbols/NSE-ADANIENT/news/", "&amp;#128240;")</f>
      </c>
      <c r="H9" s="7">
        <f>HYPERLINK("https://www.tradingview.com/symbols/NSE-ADANIENT/technicals/", "&amp;#128202;")</f>
      </c>
      <c r="I9" s="7">
        <f>HYPERLINK("https://www.tradingview.com/symbols/NSE-ADANIENT/financials-overview/", "&amp;#128194;")</f>
      </c>
      <c r="J9" s="4" t="s">
        <v>11</v>
      </c>
    </row>
    <row x14ac:dyDescent="0.25" r="10" customHeight="1" ht="18.75">
      <c r="A10" s="4" t="s">
        <v>19</v>
      </c>
      <c r="B10" s="5">
        <v>937.8</v>
      </c>
      <c r="C10" s="5">
        <v>914.05</v>
      </c>
      <c r="D10" s="5">
        <v>943.05</v>
      </c>
      <c r="E10" s="6">
        <v>916</v>
      </c>
      <c r="F10" s="7">
        <f>HYPERLINK("https://www.tradingview.com/chart/tioZvgwv/?symbol=NSE%3AADANIGREEN&amp;interval=", "&amp;#128200;")</f>
      </c>
      <c r="G10" s="7">
        <f>HYPERLINK("https://www.tradingview.com/symbols/NSE-ADANIGREEN/news/", "&amp;#128240;")</f>
      </c>
      <c r="H10" s="7">
        <f>HYPERLINK("https://www.tradingview.com/symbols/NSE-ADANIGREEN/technicals/", "&amp;#128202;")</f>
      </c>
      <c r="I10" s="7">
        <f>HYPERLINK("https://www.tradingview.com/symbols/NSE-ADANIGREEN/financials-overview/", "&amp;#128194;")</f>
      </c>
      <c r="J10" s="4" t="s">
        <v>11</v>
      </c>
    </row>
    <row x14ac:dyDescent="0.25" r="11" customHeight="1" ht="18.75">
      <c r="A11" s="4" t="s">
        <v>20</v>
      </c>
      <c r="B11" s="5">
        <v>1106.45</v>
      </c>
      <c r="C11" s="5">
        <v>1084.15</v>
      </c>
      <c r="D11" s="5">
        <v>1112.2</v>
      </c>
      <c r="E11" s="5">
        <v>1085.75</v>
      </c>
      <c r="F11" s="7">
        <f>HYPERLINK("https://www.tradingview.com/chart/tioZvgwv/?symbol=NSE%3AADANIPORTS&amp;interval=", "&amp;#128200;")</f>
      </c>
      <c r="G11" s="7">
        <f>HYPERLINK("https://www.tradingview.com/symbols/NSE-ADANIPORTS/news/", "&amp;#128240;")</f>
      </c>
      <c r="H11" s="7">
        <f>HYPERLINK("https://www.tradingview.com/symbols/NSE-ADANIPORTS/technicals/", "&amp;#128202;")</f>
      </c>
      <c r="I11" s="7">
        <f>HYPERLINK("https://www.tradingview.com/symbols/NSE-ADANIPORTS/financials-overview/", "&amp;#128194;")</f>
      </c>
      <c r="J11" s="4" t="s">
        <v>11</v>
      </c>
    </row>
    <row x14ac:dyDescent="0.25" r="12" customHeight="1" ht="18.75">
      <c r="A12" s="4" t="s">
        <v>21</v>
      </c>
      <c r="B12" s="5">
        <v>5382.45</v>
      </c>
      <c r="C12" s="5">
        <v>5274.6</v>
      </c>
      <c r="D12" s="5">
        <v>5376.05</v>
      </c>
      <c r="E12" s="5">
        <v>5305.15</v>
      </c>
      <c r="F12" s="7">
        <f>HYPERLINK("https://www.tradingview.com/chart/tioZvgwv/?symbol=NSE%3AALKEM&amp;interval=", "&amp;#128200;")</f>
      </c>
      <c r="G12" s="7">
        <f>HYPERLINK("https://www.tradingview.com/symbols/NSE-ALKEM/news/", "&amp;#128240;")</f>
      </c>
      <c r="H12" s="7">
        <f>HYPERLINK("https://www.tradingview.com/symbols/NSE-ALKEM/technicals/", "&amp;#128202;")</f>
      </c>
      <c r="I12" s="7">
        <f>HYPERLINK("https://www.tradingview.com/symbols/NSE-ALKEM/financials-overview/", "&amp;#128194;")</f>
      </c>
      <c r="J12" s="4" t="s">
        <v>11</v>
      </c>
    </row>
    <row x14ac:dyDescent="0.25" r="13" customHeight="1" ht="18.75">
      <c r="A13" s="4" t="s">
        <v>22</v>
      </c>
      <c r="B13" s="6">
        <v>514</v>
      </c>
      <c r="C13" s="5">
        <v>502.1</v>
      </c>
      <c r="D13" s="5">
        <v>511.25</v>
      </c>
      <c r="E13" s="5">
        <v>507.65</v>
      </c>
      <c r="F13" s="7">
        <f>HYPERLINK("https://www.tradingview.com/chart/tioZvgwv/?symbol=NSE%3AAMBUJACEM&amp;interval=", "&amp;#128200;")</f>
      </c>
      <c r="G13" s="7">
        <f>HYPERLINK("https://www.tradingview.com/symbols/NSE-AMBUJACEM/news/", "&amp;#128240;")</f>
      </c>
      <c r="H13" s="7">
        <f>HYPERLINK("https://www.tradingview.com/symbols/NSE-AMBUJACEM/technicals/", "&amp;#128202;")</f>
      </c>
      <c r="I13" s="7">
        <f>HYPERLINK("https://www.tradingview.com/symbols/NSE-AMBUJACEM/financials-overview/", "&amp;#128194;")</f>
      </c>
      <c r="J13" s="4" t="s">
        <v>11</v>
      </c>
    </row>
    <row x14ac:dyDescent="0.25" r="14" customHeight="1" ht="18.75">
      <c r="A14" s="4" t="s">
        <v>23</v>
      </c>
      <c r="B14" s="5">
        <v>2555.7</v>
      </c>
      <c r="C14" s="5">
        <v>2468.05</v>
      </c>
      <c r="D14" s="5">
        <v>2544.05</v>
      </c>
      <c r="E14" s="6">
        <v>2513</v>
      </c>
      <c r="F14" s="7">
        <f>HYPERLINK("https://www.tradingview.com/chart/tioZvgwv/?symbol=NSE%3AANGELONE&amp;interval=", "&amp;#128200;")</f>
      </c>
      <c r="G14" s="7">
        <f>HYPERLINK("https://www.tradingview.com/symbols/NSE-ANGELONE/news/", "&amp;#128240;")</f>
      </c>
      <c r="H14" s="7">
        <f>HYPERLINK("https://www.tradingview.com/symbols/NSE-ANGELONE/technicals/", "&amp;#128202;")</f>
      </c>
      <c r="I14" s="7">
        <f>HYPERLINK("https://www.tradingview.com/symbols/NSE-ANGELONE/financials-overview/", "&amp;#128194;")</f>
      </c>
      <c r="J14" s="4" t="s">
        <v>11</v>
      </c>
    </row>
    <row x14ac:dyDescent="0.25" r="15" customHeight="1" ht="18.75">
      <c r="A15" s="4" t="s">
        <v>24</v>
      </c>
      <c r="B15" s="6">
        <v>1502</v>
      </c>
      <c r="C15" s="5">
        <v>1440.15</v>
      </c>
      <c r="D15" s="5">
        <v>1520.7</v>
      </c>
      <c r="E15" s="5">
        <v>1440.15</v>
      </c>
      <c r="F15" s="7">
        <f>HYPERLINK("https://www.tradingview.com/chart/tioZvgwv/?symbol=NSE%3AAPLAPOLLO&amp;interval=", "&amp;#128200;")</f>
      </c>
      <c r="G15" s="7">
        <f>HYPERLINK("https://www.tradingview.com/symbols/NSE-APLAPOLLO/news/", "&amp;#128240;")</f>
      </c>
      <c r="H15" s="7">
        <f>HYPERLINK("https://www.tradingview.com/symbols/NSE-APLAPOLLO/technicals/", "&amp;#128202;")</f>
      </c>
      <c r="I15" s="7">
        <f>HYPERLINK("https://www.tradingview.com/symbols/NSE-APLAPOLLO/financials-overview/", "&amp;#128194;")</f>
      </c>
      <c r="J15" s="4" t="s">
        <v>11</v>
      </c>
    </row>
    <row x14ac:dyDescent="0.25" r="16" customHeight="1" ht="18.75">
      <c r="A16" s="4" t="s">
        <v>25</v>
      </c>
      <c r="B16" s="6">
        <v>7000</v>
      </c>
      <c r="C16" s="6">
        <v>6825</v>
      </c>
      <c r="D16" s="5">
        <v>7036.75</v>
      </c>
      <c r="E16" s="6">
        <v>6833</v>
      </c>
      <c r="F16" s="7">
        <f>HYPERLINK("https://www.tradingview.com/chart/tioZvgwv/?symbol=NSE%3AAPOLLOHOSP&amp;interval=", "&amp;#128200;")</f>
      </c>
      <c r="G16" s="7">
        <f>HYPERLINK("https://www.tradingview.com/symbols/NSE-APOLLOHOSP/news/", "&amp;#128240;")</f>
      </c>
      <c r="H16" s="7">
        <f>HYPERLINK("https://www.tradingview.com/symbols/NSE-APOLLOHOSP/technicals/", "&amp;#128202;")</f>
      </c>
      <c r="I16" s="7">
        <f>HYPERLINK("https://www.tradingview.com/symbols/NSE-APOLLOHOSP/financials-overview/", "&amp;#128194;")</f>
      </c>
      <c r="J16" s="4" t="s">
        <v>11</v>
      </c>
    </row>
    <row x14ac:dyDescent="0.25" r="17" customHeight="1" ht="18.75">
      <c r="A17" s="4" t="s">
        <v>26</v>
      </c>
      <c r="B17" s="5">
        <v>460.45</v>
      </c>
      <c r="C17" s="6">
        <v>448</v>
      </c>
      <c r="D17" s="6">
        <v>462</v>
      </c>
      <c r="E17" s="5">
        <v>448.1</v>
      </c>
      <c r="F17" s="7">
        <f>HYPERLINK("https://www.tradingview.com/chart/tioZvgwv/?symbol=NSE%3AAPOLLOTYRE&amp;interval=", "&amp;#128200;")</f>
      </c>
      <c r="G17" s="7">
        <f>HYPERLINK("https://www.tradingview.com/symbols/NSE-APOLLOTYRE/news/", "&amp;#128240;")</f>
      </c>
      <c r="H17" s="7">
        <f>HYPERLINK("https://www.tradingview.com/symbols/NSE-APOLLOTYRE/technicals/", "&amp;#128202;")</f>
      </c>
      <c r="I17" s="7">
        <f>HYPERLINK("https://www.tradingview.com/symbols/NSE-APOLLOTYRE/financials-overview/", "&amp;#128194;")</f>
      </c>
      <c r="J17" s="4" t="s">
        <v>11</v>
      </c>
    </row>
    <row x14ac:dyDescent="0.25" r="18" customHeight="1" ht="18.75">
      <c r="A18" s="4" t="s">
        <v>27</v>
      </c>
      <c r="B18" s="5">
        <v>208.99</v>
      </c>
      <c r="C18" s="5">
        <v>206.1</v>
      </c>
      <c r="D18" s="5">
        <v>210.57</v>
      </c>
      <c r="E18" s="5">
        <v>206.49</v>
      </c>
      <c r="F18" s="7">
        <f>HYPERLINK("https://www.tradingview.com/chart/tioZvgwv/?symbol=NSE%3AASHOKLEY&amp;interval=", "&amp;#128200;")</f>
      </c>
      <c r="G18" s="7">
        <f>HYPERLINK("https://www.tradingview.com/symbols/NSE-ASHOKLEY/news/", "&amp;#128240;")</f>
      </c>
      <c r="H18" s="7">
        <f>HYPERLINK("https://www.tradingview.com/symbols/NSE-ASHOKLEY/technicals/", "&amp;#128202;")</f>
      </c>
      <c r="I18" s="7">
        <f>HYPERLINK("https://www.tradingview.com/symbols/NSE-ASHOKLEY/financials-overview/", "&amp;#128194;")</f>
      </c>
      <c r="J18" s="4" t="s">
        <v>11</v>
      </c>
    </row>
    <row x14ac:dyDescent="0.25" r="19" customHeight="1" ht="18.75">
      <c r="A19" s="4" t="s">
        <v>28</v>
      </c>
      <c r="B19" s="5">
        <v>2301.9</v>
      </c>
      <c r="C19" s="5">
        <v>2269.5</v>
      </c>
      <c r="D19" s="5">
        <v>2320.75</v>
      </c>
      <c r="E19" s="5">
        <v>2274.5</v>
      </c>
      <c r="F19" s="7">
        <f>HYPERLINK("https://www.tradingview.com/chart/tioZvgwv/?symbol=NSE%3AASIANPAINT&amp;interval=", "&amp;#128200;")</f>
      </c>
      <c r="G19" s="7">
        <f>HYPERLINK("https://www.tradingview.com/symbols/NSE-ASIANPAINT/news/", "&amp;#128240;")</f>
      </c>
      <c r="H19" s="7">
        <f>HYPERLINK("https://www.tradingview.com/symbols/NSE-ASIANPAINT/technicals/", "&amp;#128202;")</f>
      </c>
      <c r="I19" s="7">
        <f>HYPERLINK("https://www.tradingview.com/symbols/NSE-ASIANPAINT/financials-overview/", "&amp;#128194;")</f>
      </c>
      <c r="J19" s="4" t="s">
        <v>11</v>
      </c>
    </row>
    <row x14ac:dyDescent="0.25" r="20" customHeight="1" ht="18.75">
      <c r="A20" s="4" t="s">
        <v>29</v>
      </c>
      <c r="B20" s="6">
        <v>1550</v>
      </c>
      <c r="C20" s="5">
        <v>1500.35</v>
      </c>
      <c r="D20" s="5">
        <v>1564.4</v>
      </c>
      <c r="E20" s="6">
        <v>1503</v>
      </c>
      <c r="F20" s="7">
        <f>HYPERLINK("https://www.tradingview.com/chart/tioZvgwv/?symbol=NSE%3AASTRAL&amp;interval=", "&amp;#128200;")</f>
      </c>
      <c r="G20" s="7">
        <f>HYPERLINK("https://www.tradingview.com/symbols/NSE-ASTRAL/news/", "&amp;#128240;")</f>
      </c>
      <c r="H20" s="7">
        <f>HYPERLINK("https://www.tradingview.com/symbols/NSE-ASTRAL/technicals/", "&amp;#128202;")</f>
      </c>
      <c r="I20" s="7">
        <f>HYPERLINK("https://www.tradingview.com/symbols/NSE-ASTRAL/financials-overview/", "&amp;#128194;")</f>
      </c>
      <c r="J20" s="4" t="s">
        <v>11</v>
      </c>
    </row>
    <row x14ac:dyDescent="0.25" r="21" customHeight="1" ht="18.75">
      <c r="A21" s="4" t="s">
        <v>30</v>
      </c>
      <c r="B21" s="6">
        <v>675</v>
      </c>
      <c r="C21" s="5">
        <v>650.55</v>
      </c>
      <c r="D21" s="5">
        <v>681.25</v>
      </c>
      <c r="E21" s="5">
        <v>651.15</v>
      </c>
      <c r="F21" s="7">
        <f>HYPERLINK("https://www.tradingview.com/chart/tioZvgwv/?symbol=NSE%3AATGL&amp;interval=", "&amp;#128200;")</f>
      </c>
      <c r="G21" s="7">
        <f>HYPERLINK("https://www.tradingview.com/symbols/NSE-ATGL/news/", "&amp;#128240;")</f>
      </c>
      <c r="H21" s="7">
        <f>HYPERLINK("https://www.tradingview.com/symbols/NSE-ATGL/technicals/", "&amp;#128202;")</f>
      </c>
      <c r="I21" s="7">
        <f>HYPERLINK("https://www.tradingview.com/symbols/NSE-ATGL/financials-overview/", "&amp;#128194;")</f>
      </c>
      <c r="J21" s="4" t="s">
        <v>11</v>
      </c>
    </row>
    <row x14ac:dyDescent="0.25" r="22" customHeight="1" ht="18.75">
      <c r="A22" s="4" t="s">
        <v>31</v>
      </c>
      <c r="B22" s="5">
        <v>6838.4</v>
      </c>
      <c r="C22" s="5">
        <v>6671.6</v>
      </c>
      <c r="D22" s="5">
        <v>6795.85</v>
      </c>
      <c r="E22" s="6">
        <v>6690</v>
      </c>
      <c r="F22" s="7">
        <f>HYPERLINK("https://www.tradingview.com/chart/tioZvgwv/?symbol=NSE%3AATUL&amp;interval=", "&amp;#128200;")</f>
      </c>
      <c r="G22" s="7">
        <f>HYPERLINK("https://www.tradingview.com/symbols/NSE-ATUL/news/", "&amp;#128240;")</f>
      </c>
      <c r="H22" s="7">
        <f>HYPERLINK("https://www.tradingview.com/symbols/NSE-ATUL/technicals/", "&amp;#128202;")</f>
      </c>
      <c r="I22" s="7">
        <f>HYPERLINK("https://www.tradingview.com/symbols/NSE-ATUL/financials-overview/", "&amp;#128194;")</f>
      </c>
      <c r="J22" s="4" t="s">
        <v>11</v>
      </c>
    </row>
    <row x14ac:dyDescent="0.25" r="23" customHeight="1" ht="18.75">
      <c r="A23" s="4" t="s">
        <v>32</v>
      </c>
      <c r="B23" s="5">
        <v>571.95</v>
      </c>
      <c r="C23" s="5">
        <v>556.2</v>
      </c>
      <c r="D23" s="5">
        <v>575.15</v>
      </c>
      <c r="E23" s="5">
        <v>558.35</v>
      </c>
      <c r="F23" s="7">
        <f>HYPERLINK("https://www.tradingview.com/chart/tioZvgwv/?symbol=NSE%3AAUBANK&amp;interval=", "&amp;#128200;")</f>
      </c>
      <c r="G23" s="7">
        <f>HYPERLINK("https://www.tradingview.com/symbols/NSE-AUBANK/news/", "&amp;#128240;")</f>
      </c>
      <c r="H23" s="7">
        <f>HYPERLINK("https://www.tradingview.com/symbols/NSE-AUBANK/technicals/", "&amp;#128202;")</f>
      </c>
      <c r="I23" s="7">
        <f>HYPERLINK("https://www.tradingview.com/symbols/NSE-AUBANK/financials-overview/", "&amp;#128194;")</f>
      </c>
      <c r="J23" s="4" t="s">
        <v>11</v>
      </c>
    </row>
    <row x14ac:dyDescent="0.25" r="24" customHeight="1" ht="18.75">
      <c r="A24" s="4" t="s">
        <v>33</v>
      </c>
      <c r="B24" s="5">
        <v>1191.65</v>
      </c>
      <c r="C24" s="5">
        <v>1157.1</v>
      </c>
      <c r="D24" s="5">
        <v>1199.55</v>
      </c>
      <c r="E24" s="5">
        <v>1173.15</v>
      </c>
      <c r="F24" s="7">
        <f>HYPERLINK("https://www.tradingview.com/chart/tioZvgwv/?symbol=NSE%3AAUROPHARMA&amp;interval=", "&amp;#128200;")</f>
      </c>
      <c r="G24" s="7">
        <f>HYPERLINK("https://www.tradingview.com/symbols/NSE-AUROPHARMA/news/", "&amp;#128240;")</f>
      </c>
      <c r="H24" s="7">
        <f>HYPERLINK("https://www.tradingview.com/symbols/NSE-AUROPHARMA/technicals/", "&amp;#128202;")</f>
      </c>
      <c r="I24" s="7">
        <f>HYPERLINK("https://www.tradingview.com/symbols/NSE-AUROPHARMA/financials-overview/", "&amp;#128194;")</f>
      </c>
      <c r="J24" s="4" t="s">
        <v>11</v>
      </c>
    </row>
    <row x14ac:dyDescent="0.25" r="25" customHeight="1" ht="18.75">
      <c r="A25" s="4" t="s">
        <v>34</v>
      </c>
      <c r="B25" s="6">
        <v>1063</v>
      </c>
      <c r="C25" s="5">
        <v>1023.25</v>
      </c>
      <c r="D25" s="5">
        <v>1040.7</v>
      </c>
      <c r="E25" s="5">
        <v>1054.5</v>
      </c>
      <c r="F25" s="7">
        <f>HYPERLINK("https://www.tradingview.com/chart/tioZvgwv/?symbol=NSE%3AAXISBANK&amp;interval=", "&amp;#128200;")</f>
      </c>
      <c r="G25" s="7">
        <f>HYPERLINK("https://www.tradingview.com/symbols/NSE-AXISBANK/news/", "&amp;#128240;")</f>
      </c>
      <c r="H25" s="7">
        <f>HYPERLINK("https://www.tradingview.com/symbols/NSE-AXISBANK/technicals/", "&amp;#128202;")</f>
      </c>
      <c r="I25" s="7">
        <f>HYPERLINK("https://www.tradingview.com/symbols/NSE-AXISBANK/financials-overview/", "&amp;#128194;")</f>
      </c>
      <c r="J25" s="4" t="s">
        <v>11</v>
      </c>
    </row>
    <row x14ac:dyDescent="0.25" r="26" customHeight="1" ht="18.75">
      <c r="A26" s="4" t="s">
        <v>35</v>
      </c>
      <c r="B26" s="5">
        <v>8749.9</v>
      </c>
      <c r="C26" s="6">
        <v>8600</v>
      </c>
      <c r="D26" s="6">
        <v>8764</v>
      </c>
      <c r="E26" s="5">
        <v>8643.75</v>
      </c>
      <c r="F26" s="7">
        <f>HYPERLINK("https://www.tradingview.com/chart/tioZvgwv/?symbol=NSE%3ABAJAJ-AUTO&amp;interval=", "&amp;#128200;")</f>
      </c>
      <c r="G26" s="7">
        <f>HYPERLINK("https://www.tradingview.com/symbols/NSE-BAJAJ-AUTO/news/", "&amp;#128240;")</f>
      </c>
      <c r="H26" s="7">
        <f>HYPERLINK("https://www.tradingview.com/symbols/NSE-BAJAJ-AUTO/technicals/", "&amp;#128202;")</f>
      </c>
      <c r="I26" s="7">
        <f>HYPERLINK("https://www.tradingview.com/symbols/NSE-BAJAJ-AUTO/financials-overview/", "&amp;#128194;")</f>
      </c>
      <c r="J26" s="4" t="s">
        <v>11</v>
      </c>
    </row>
    <row x14ac:dyDescent="0.25" r="27" customHeight="1" ht="18.75">
      <c r="A27" s="4" t="s">
        <v>36</v>
      </c>
      <c r="B27" s="6">
        <v>1700</v>
      </c>
      <c r="C27" s="6">
        <v>1678</v>
      </c>
      <c r="D27" s="5">
        <v>1701.25</v>
      </c>
      <c r="E27" s="5">
        <v>1683.3</v>
      </c>
      <c r="F27" s="7">
        <f>HYPERLINK("https://www.tradingview.com/chart/tioZvgwv/?symbol=NSE%3ABAJAJFINSV&amp;interval=", "&amp;#128200;")</f>
      </c>
      <c r="G27" s="7">
        <f>HYPERLINK("https://www.tradingview.com/symbols/NSE-BAJAJFINSV/news/", "&amp;#128240;")</f>
      </c>
      <c r="H27" s="7">
        <f>HYPERLINK("https://www.tradingview.com/symbols/NSE-BAJAJFINSV/technicals/", "&amp;#128202;")</f>
      </c>
      <c r="I27" s="7">
        <f>HYPERLINK("https://www.tradingview.com/symbols/NSE-BAJAJFINSV/financials-overview/", "&amp;#128194;")</f>
      </c>
      <c r="J27" s="4" t="s">
        <v>11</v>
      </c>
    </row>
    <row x14ac:dyDescent="0.25" r="28" customHeight="1" ht="18.75">
      <c r="A28" s="4" t="s">
        <v>37</v>
      </c>
      <c r="B28" s="5">
        <v>7255.1</v>
      </c>
      <c r="C28" s="6">
        <v>7155</v>
      </c>
      <c r="D28" s="5">
        <v>7288.05</v>
      </c>
      <c r="E28" s="5">
        <v>7186.5</v>
      </c>
      <c r="F28" s="7">
        <f>HYPERLINK("https://www.tradingview.com/chart/tioZvgwv/?symbol=NSE%3ABAJFINANCE&amp;interval=", "&amp;#128200;")</f>
      </c>
      <c r="G28" s="7">
        <f>HYPERLINK("https://www.tradingview.com/symbols/NSE-BAJFINANCE/news/", "&amp;#128240;")</f>
      </c>
      <c r="H28" s="7">
        <f>HYPERLINK("https://www.tradingview.com/symbols/NSE-BAJFINANCE/technicals/", "&amp;#128202;")</f>
      </c>
      <c r="I28" s="7">
        <f>HYPERLINK("https://www.tradingview.com/symbols/NSE-BAJFINANCE/financials-overview/", "&amp;#128194;")</f>
      </c>
      <c r="J28" s="4" t="s">
        <v>11</v>
      </c>
    </row>
    <row x14ac:dyDescent="0.25" r="29" customHeight="1" ht="18.75">
      <c r="A29" s="4" t="s">
        <v>38</v>
      </c>
      <c r="B29" s="5">
        <v>2719.75</v>
      </c>
      <c r="C29" s="6">
        <v>2651</v>
      </c>
      <c r="D29" s="5">
        <v>2732.65</v>
      </c>
      <c r="E29" s="5">
        <v>2657.35</v>
      </c>
      <c r="F29" s="7">
        <f>HYPERLINK("https://www.tradingview.com/chart/tioZvgwv/?symbol=NSE%3ABALKRISIND&amp;interval=", "&amp;#128200;")</f>
      </c>
      <c r="G29" s="7">
        <f>HYPERLINK("https://www.tradingview.com/symbols/NSE-BALKRISIND/news/", "&amp;#128240;")</f>
      </c>
      <c r="H29" s="7">
        <f>HYPERLINK("https://www.tradingview.com/symbols/NSE-BALKRISIND/technicals/", "&amp;#128202;")</f>
      </c>
      <c r="I29" s="7">
        <f>HYPERLINK("https://www.tradingview.com/symbols/NSE-BALKRISIND/financials-overview/", "&amp;#128194;")</f>
      </c>
      <c r="J29" s="4" t="s">
        <v>11</v>
      </c>
    </row>
    <row x14ac:dyDescent="0.25" r="30" customHeight="1" ht="18.75">
      <c r="A30" s="4" t="s">
        <v>39</v>
      </c>
      <c r="B30" s="5">
        <v>143.49</v>
      </c>
      <c r="C30" s="5">
        <v>141.35</v>
      </c>
      <c r="D30" s="5">
        <v>143.96</v>
      </c>
      <c r="E30" s="5">
        <v>141.42</v>
      </c>
      <c r="F30" s="7">
        <f>HYPERLINK("https://www.tradingview.com/chart/tioZvgwv/?symbol=NSE%3ABANDHANBNK&amp;interval=", "&amp;#128200;")</f>
      </c>
      <c r="G30" s="7">
        <f>HYPERLINK("https://www.tradingview.com/symbols/NSE-BANDHANBNK/news/", "&amp;#128240;")</f>
      </c>
      <c r="H30" s="7">
        <f>HYPERLINK("https://www.tradingview.com/symbols/NSE-BANDHANBNK/technicals/", "&amp;#128202;")</f>
      </c>
      <c r="I30" s="7">
        <f>HYPERLINK("https://www.tradingview.com/symbols/NSE-BANDHANBNK/financials-overview/", "&amp;#128194;")</f>
      </c>
      <c r="J30" s="4" t="s">
        <v>11</v>
      </c>
    </row>
    <row x14ac:dyDescent="0.25" r="31" customHeight="1" ht="18.75">
      <c r="A31" s="4" t="s">
        <v>40</v>
      </c>
      <c r="B31" s="5">
        <v>224.43</v>
      </c>
      <c r="C31" s="5">
        <v>221.3</v>
      </c>
      <c r="D31" s="5">
        <v>225.4</v>
      </c>
      <c r="E31" s="5">
        <v>222.1</v>
      </c>
      <c r="F31" s="7">
        <f>HYPERLINK("https://www.tradingview.com/chart/tioZvgwv/?symbol=NSE%3ABANKBARODA&amp;interval=", "&amp;#128200;")</f>
      </c>
      <c r="G31" s="7">
        <f>HYPERLINK("https://www.tradingview.com/symbols/NSE-BANKBARODA/news/", "&amp;#128240;")</f>
      </c>
      <c r="H31" s="7">
        <f>HYPERLINK("https://www.tradingview.com/symbols/NSE-BANKBARODA/technicals/", "&amp;#128202;")</f>
      </c>
      <c r="I31" s="7">
        <f>HYPERLINK("https://www.tradingview.com/symbols/NSE-BANKBARODA/financials-overview/", "&amp;#128194;")</f>
      </c>
      <c r="J31" s="4" t="s">
        <v>11</v>
      </c>
    </row>
    <row x14ac:dyDescent="0.25" r="32" customHeight="1" ht="18.75">
      <c r="A32" s="4" t="s">
        <v>41</v>
      </c>
      <c r="B32" s="5">
        <v>94.37</v>
      </c>
      <c r="C32" s="5">
        <v>92.6</v>
      </c>
      <c r="D32" s="5">
        <v>94.27</v>
      </c>
      <c r="E32" s="5">
        <v>92.8</v>
      </c>
      <c r="F32" s="7">
        <f>HYPERLINK("https://www.tradingview.com/chart/tioZvgwv/?symbol=NSE%3ABANKINDIA&amp;interval=", "&amp;#128200;")</f>
      </c>
      <c r="G32" s="7">
        <f>HYPERLINK("https://www.tradingview.com/symbols/NSE-BANKINDIA/news/", "&amp;#128240;")</f>
      </c>
      <c r="H32" s="7">
        <f>HYPERLINK("https://www.tradingview.com/symbols/NSE-BANKINDIA/technicals/", "&amp;#128202;")</f>
      </c>
      <c r="I32" s="7">
        <f>HYPERLINK("https://www.tradingview.com/symbols/NSE-BANKINDIA/financials-overview/", "&amp;#128194;")</f>
      </c>
      <c r="J32" s="4" t="s">
        <v>11</v>
      </c>
    </row>
    <row x14ac:dyDescent="0.25" r="33" customHeight="1" ht="18.75">
      <c r="A33" s="4" t="s">
        <v>42</v>
      </c>
      <c r="B33" s="6">
        <v>1420</v>
      </c>
      <c r="C33" s="5">
        <v>1365.35</v>
      </c>
      <c r="D33" s="5">
        <v>1425.9</v>
      </c>
      <c r="E33" s="5">
        <v>1366.25</v>
      </c>
      <c r="F33" s="7">
        <f>HYPERLINK("https://www.tradingview.com/chart/tioZvgwv/?symbol=NSE%3ABATAINDIA&amp;interval=", "&amp;#128200;")</f>
      </c>
      <c r="G33" s="7">
        <f>HYPERLINK("https://www.tradingview.com/symbols/NSE-BATAINDIA/news/", "&amp;#128240;")</f>
      </c>
      <c r="H33" s="7">
        <f>HYPERLINK("https://www.tradingview.com/symbols/NSE-BATAINDIA/technicals/", "&amp;#128202;")</f>
      </c>
      <c r="I33" s="7">
        <f>HYPERLINK("https://www.tradingview.com/symbols/NSE-BATAINDIA/financials-overview/", "&amp;#128194;")</f>
      </c>
      <c r="J33" s="4" t="s">
        <v>11</v>
      </c>
    </row>
    <row x14ac:dyDescent="0.25" r="34" customHeight="1" ht="18.75">
      <c r="A34" s="4" t="s">
        <v>43</v>
      </c>
      <c r="B34" s="5">
        <v>268.9</v>
      </c>
      <c r="C34" s="6">
        <v>264</v>
      </c>
      <c r="D34" s="6">
        <v>271</v>
      </c>
      <c r="E34" s="5">
        <v>265.75</v>
      </c>
      <c r="F34" s="7">
        <f>HYPERLINK("https://www.tradingview.com/chart/tioZvgwv/?symbol=NSE%3ABEL&amp;interval=", "&amp;#128200;")</f>
      </c>
      <c r="G34" s="7">
        <f>HYPERLINK("https://www.tradingview.com/symbols/NSE-BEL/news/", "&amp;#128240;")</f>
      </c>
      <c r="H34" s="7">
        <f>HYPERLINK("https://www.tradingview.com/symbols/NSE-BEL/technicals/", "&amp;#128202;")</f>
      </c>
      <c r="I34" s="7">
        <f>HYPERLINK("https://www.tradingview.com/symbols/NSE-BEL/financials-overview/", "&amp;#128194;")</f>
      </c>
      <c r="J34" s="4" t="s">
        <v>11</v>
      </c>
    </row>
    <row x14ac:dyDescent="0.25" r="35" customHeight="1" ht="18.75">
      <c r="A35" s="4" t="s">
        <v>44</v>
      </c>
      <c r="B35" s="5">
        <v>461.65</v>
      </c>
      <c r="C35" s="5">
        <v>451.5</v>
      </c>
      <c r="D35" s="5">
        <v>460.85</v>
      </c>
      <c r="E35" s="5">
        <v>454.25</v>
      </c>
      <c r="F35" s="7">
        <f>HYPERLINK("https://www.tradingview.com/chart/tioZvgwv/?symbol=NSE%3ABERGEPAINT&amp;interval=", "&amp;#128200;")</f>
      </c>
      <c r="G35" s="7">
        <f>HYPERLINK("https://www.tradingview.com/symbols/NSE-BERGEPAINT/news/", "&amp;#128240;")</f>
      </c>
      <c r="H35" s="7">
        <f>HYPERLINK("https://www.tradingview.com/symbols/NSE-BERGEPAINT/technicals/", "&amp;#128202;")</f>
      </c>
      <c r="I35" s="7">
        <f>HYPERLINK("https://www.tradingview.com/symbols/NSE-BERGEPAINT/financials-overview/", "&amp;#128194;")</f>
      </c>
      <c r="J35" s="4" t="s">
        <v>11</v>
      </c>
    </row>
    <row x14ac:dyDescent="0.25" r="36" customHeight="1" ht="18.75">
      <c r="A36" s="4" t="s">
        <v>45</v>
      </c>
      <c r="B36" s="5">
        <v>1211.3</v>
      </c>
      <c r="C36" s="5">
        <v>1185.8</v>
      </c>
      <c r="D36" s="5">
        <v>1209.85</v>
      </c>
      <c r="E36" s="5">
        <v>1201.95</v>
      </c>
      <c r="F36" s="7">
        <f>HYPERLINK("https://www.tradingview.com/chart/tioZvgwv/?symbol=NSE%3ABHARATFORG&amp;interval=", "&amp;#128200;")</f>
      </c>
      <c r="G36" s="7">
        <f>HYPERLINK("https://www.tradingview.com/symbols/NSE-BHARATFORG/news/", "&amp;#128240;")</f>
      </c>
      <c r="H36" s="7">
        <f>HYPERLINK("https://www.tradingview.com/symbols/NSE-BHARATFORG/technicals/", "&amp;#128202;")</f>
      </c>
      <c r="I36" s="7">
        <f>HYPERLINK("https://www.tradingview.com/symbols/NSE-BHARATFORG/financials-overview/", "&amp;#128194;")</f>
      </c>
      <c r="J36" s="4" t="s">
        <v>11</v>
      </c>
    </row>
    <row x14ac:dyDescent="0.25" r="37" customHeight="1" ht="18.75">
      <c r="A37" s="4" t="s">
        <v>46</v>
      </c>
      <c r="B37" s="5">
        <v>1614.7</v>
      </c>
      <c r="C37" s="5">
        <v>1578.1</v>
      </c>
      <c r="D37" s="5">
        <v>1615.9</v>
      </c>
      <c r="E37" s="5">
        <v>1599.8</v>
      </c>
      <c r="F37" s="7">
        <f>HYPERLINK("https://www.tradingview.com/chart/tioZvgwv/?symbol=NSE%3ABHARTIARTL&amp;interval=", "&amp;#128200;")</f>
      </c>
      <c r="G37" s="7">
        <f>HYPERLINK("https://www.tradingview.com/symbols/NSE-BHARTIARTL/news/", "&amp;#128240;")</f>
      </c>
      <c r="H37" s="7">
        <f>HYPERLINK("https://www.tradingview.com/symbols/NSE-BHARTIARTL/technicals/", "&amp;#128202;")</f>
      </c>
      <c r="I37" s="7">
        <f>HYPERLINK("https://www.tradingview.com/symbols/NSE-BHARTIARTL/financials-overview/", "&amp;#128194;")</f>
      </c>
      <c r="J37" s="4" t="s">
        <v>11</v>
      </c>
    </row>
    <row x14ac:dyDescent="0.25" r="38" customHeight="1" ht="18.75">
      <c r="A38" s="4" t="s">
        <v>47</v>
      </c>
      <c r="B38" s="6">
        <v>201</v>
      </c>
      <c r="C38" s="5">
        <v>196.06</v>
      </c>
      <c r="D38" s="5">
        <v>204.49</v>
      </c>
      <c r="E38" s="5">
        <v>196.88</v>
      </c>
      <c r="F38" s="7">
        <f>HYPERLINK("https://www.tradingview.com/chart/tioZvgwv/?symbol=NSE%3ABHEL&amp;interval=", "&amp;#128200;")</f>
      </c>
      <c r="G38" s="7">
        <f>HYPERLINK("https://www.tradingview.com/symbols/NSE-BHEL/news/", "&amp;#128240;")</f>
      </c>
      <c r="H38" s="7">
        <f>HYPERLINK("https://www.tradingview.com/symbols/NSE-BHEL/technicals/", "&amp;#128202;")</f>
      </c>
      <c r="I38" s="7">
        <f>HYPERLINK("https://www.tradingview.com/symbols/NSE-BHEL/financials-overview/", "&amp;#128194;")</f>
      </c>
      <c r="J38" s="4" t="s">
        <v>11</v>
      </c>
    </row>
    <row x14ac:dyDescent="0.25" r="39" customHeight="1" ht="18.75">
      <c r="A39" s="4" t="s">
        <v>48</v>
      </c>
      <c r="B39" s="5">
        <v>377.5</v>
      </c>
      <c r="C39" s="5">
        <v>364.1</v>
      </c>
      <c r="D39" s="5">
        <v>360.95</v>
      </c>
      <c r="E39" s="5">
        <v>368.1</v>
      </c>
      <c r="F39" s="7">
        <f>HYPERLINK("https://www.tradingview.com/chart/tioZvgwv/?symbol=NSE%3ABIOCON&amp;interval=", "&amp;#128200;")</f>
      </c>
      <c r="G39" s="7">
        <f>HYPERLINK("https://www.tradingview.com/symbols/NSE-BIOCON/news/", "&amp;#128240;")</f>
      </c>
      <c r="H39" s="7">
        <f>HYPERLINK("https://www.tradingview.com/symbols/NSE-BIOCON/technicals/", "&amp;#128202;")</f>
      </c>
      <c r="I39" s="7">
        <f>HYPERLINK("https://www.tradingview.com/symbols/NSE-BIOCON/financials-overview/", "&amp;#128194;")</f>
      </c>
      <c r="J39" s="4" t="s">
        <v>11</v>
      </c>
    </row>
    <row x14ac:dyDescent="0.25" r="40" customHeight="1" ht="18.75">
      <c r="A40" s="4" t="s">
        <v>49</v>
      </c>
      <c r="B40" s="5">
        <v>31697.2</v>
      </c>
      <c r="C40" s="6">
        <v>31267</v>
      </c>
      <c r="D40" s="5">
        <v>31713.85</v>
      </c>
      <c r="E40" s="6">
        <v>31463</v>
      </c>
      <c r="F40" s="7">
        <f>HYPERLINK("https://www.tradingview.com/chart/tioZvgwv/?symbol=NSE%3ABOSCHLTD&amp;interval=", "&amp;#128200;")</f>
      </c>
      <c r="G40" s="7">
        <f>HYPERLINK("https://www.tradingview.com/symbols/NSE-BOSCHLTD/news/", "&amp;#128240;")</f>
      </c>
      <c r="H40" s="7">
        <f>HYPERLINK("https://www.tradingview.com/symbols/NSE-BOSCHLTD/technicals/", "&amp;#128202;")</f>
      </c>
      <c r="I40" s="7">
        <f>HYPERLINK("https://www.tradingview.com/symbols/NSE-BOSCHLTD/financials-overview/", "&amp;#128194;")</f>
      </c>
      <c r="J40" s="4" t="s">
        <v>11</v>
      </c>
    </row>
    <row x14ac:dyDescent="0.25" r="41" customHeight="1" ht="18.75">
      <c r="A41" s="4" t="s">
        <v>50</v>
      </c>
      <c r="B41" s="5">
        <v>274.7</v>
      </c>
      <c r="C41" s="5">
        <v>269.8</v>
      </c>
      <c r="D41" s="5">
        <v>277.65</v>
      </c>
      <c r="E41" s="5">
        <v>270.25</v>
      </c>
      <c r="F41" s="7">
        <f>HYPERLINK("https://www.tradingview.com/chart/tioZvgwv/?symbol=NSE%3ABPCL&amp;interval=", "&amp;#128200;")</f>
      </c>
      <c r="G41" s="7">
        <f>HYPERLINK("https://www.tradingview.com/symbols/NSE-BPCL/news/", "&amp;#128240;")</f>
      </c>
      <c r="H41" s="7">
        <f>HYPERLINK("https://www.tradingview.com/symbols/NSE-BPCL/technicals/", "&amp;#128202;")</f>
      </c>
      <c r="I41" s="7">
        <f>HYPERLINK("https://www.tradingview.com/symbols/NSE-BPCL/financials-overview/", "&amp;#128194;")</f>
      </c>
      <c r="J41" s="4" t="s">
        <v>11</v>
      </c>
    </row>
    <row x14ac:dyDescent="0.25" r="42" customHeight="1" ht="18.75">
      <c r="A42" s="4" t="s">
        <v>51</v>
      </c>
      <c r="B42" s="5">
        <v>4997.9</v>
      </c>
      <c r="C42" s="6">
        <v>4906</v>
      </c>
      <c r="D42" s="5">
        <v>4939.2</v>
      </c>
      <c r="E42" s="5">
        <v>4932.95</v>
      </c>
      <c r="F42" s="7">
        <f>HYPERLINK("https://www.tradingview.com/chart/tioZvgwv/?symbol=NSE%3ABRITANNIA&amp;interval=", "&amp;#128200;")</f>
      </c>
      <c r="G42" s="7">
        <f>HYPERLINK("https://www.tradingview.com/symbols/NSE-BRITANNIA/news/", "&amp;#128240;")</f>
      </c>
      <c r="H42" s="7">
        <f>HYPERLINK("https://www.tradingview.com/symbols/NSE-BRITANNIA/technicals/", "&amp;#128202;")</f>
      </c>
      <c r="I42" s="7">
        <f>HYPERLINK("https://www.tradingview.com/symbols/NSE-BRITANNIA/financials-overview/", "&amp;#128194;")</f>
      </c>
      <c r="J42" s="4" t="s">
        <v>11</v>
      </c>
    </row>
    <row x14ac:dyDescent="0.25" r="43" customHeight="1" ht="18.75">
      <c r="A43" s="4" t="s">
        <v>52</v>
      </c>
      <c r="B43" s="6">
        <v>5243</v>
      </c>
      <c r="C43" s="5">
        <v>5023.1</v>
      </c>
      <c r="D43" s="5">
        <v>5121.65</v>
      </c>
      <c r="E43" s="6">
        <v>5185</v>
      </c>
      <c r="F43" s="7">
        <f>HYPERLINK("https://www.tradingview.com/chart/tioZvgwv/?symbol=NSE%3ABSE&amp;interval=", "&amp;#128200;")</f>
      </c>
      <c r="G43" s="7">
        <f>HYPERLINK("https://www.tradingview.com/symbols/NSE-BSE/news/", "&amp;#128240;")</f>
      </c>
      <c r="H43" s="7">
        <f>HYPERLINK("https://www.tradingview.com/symbols/NSE-BSE/technicals/", "&amp;#128202;")</f>
      </c>
      <c r="I43" s="7">
        <f>HYPERLINK("https://www.tradingview.com/symbols/NSE-BSE/financials-overview/", "&amp;#128194;")</f>
      </c>
      <c r="J43" s="4" t="s">
        <v>11</v>
      </c>
    </row>
    <row x14ac:dyDescent="0.25" r="44" customHeight="1" ht="18.75">
      <c r="A44" s="4" t="s">
        <v>53</v>
      </c>
      <c r="B44" s="5">
        <v>564.4</v>
      </c>
      <c r="C44" s="5">
        <v>542.3</v>
      </c>
      <c r="D44" s="5">
        <v>551.35</v>
      </c>
      <c r="E44" s="5">
        <v>551.1</v>
      </c>
      <c r="F44" s="7">
        <f>HYPERLINK("https://www.tradingview.com/chart/tioZvgwv/?symbol=NSE%3ABSOFT&amp;interval=", "&amp;#128200;")</f>
      </c>
      <c r="G44" s="7">
        <f>HYPERLINK("https://www.tradingview.com/symbols/NSE-BSOFT/news/", "&amp;#128240;")</f>
      </c>
      <c r="H44" s="7">
        <f>HYPERLINK("https://www.tradingview.com/symbols/NSE-BSOFT/technicals/", "&amp;#128202;")</f>
      </c>
      <c r="I44" s="7">
        <f>HYPERLINK("https://www.tradingview.com/symbols/NSE-BSOFT/financials-overview/", "&amp;#128194;")</f>
      </c>
      <c r="J44" s="4" t="s">
        <v>11</v>
      </c>
    </row>
    <row x14ac:dyDescent="0.25" r="45" customHeight="1" ht="18.75">
      <c r="A45" s="4" t="s">
        <v>54</v>
      </c>
      <c r="B45" s="5">
        <v>4519.45</v>
      </c>
      <c r="C45" s="6">
        <v>4355</v>
      </c>
      <c r="D45" s="5">
        <v>4522.75</v>
      </c>
      <c r="E45" s="6">
        <v>4358</v>
      </c>
      <c r="F45" s="7">
        <f>HYPERLINK("https://www.tradingview.com/chart/tioZvgwv/?symbol=NSE%3ACAMS&amp;interval=", "&amp;#128200;")</f>
      </c>
      <c r="G45" s="7">
        <f>HYPERLINK("https://www.tradingview.com/symbols/NSE-CAMS/news/", "&amp;#128240;")</f>
      </c>
      <c r="H45" s="7">
        <f>HYPERLINK("https://www.tradingview.com/symbols/NSE-CAMS/technicals/", "&amp;#128202;")</f>
      </c>
      <c r="I45" s="7">
        <f>HYPERLINK("https://www.tradingview.com/symbols/NSE-CAMS/financials-overview/", "&amp;#128194;")</f>
      </c>
      <c r="J45" s="4" t="s">
        <v>11</v>
      </c>
    </row>
    <row x14ac:dyDescent="0.25" r="46" customHeight="1" ht="18.75">
      <c r="A46" s="4" t="s">
        <v>55</v>
      </c>
      <c r="B46" s="5">
        <v>92.36</v>
      </c>
      <c r="C46" s="5">
        <v>90.57</v>
      </c>
      <c r="D46" s="5">
        <v>92.83</v>
      </c>
      <c r="E46" s="5">
        <v>90.74</v>
      </c>
      <c r="F46" s="7">
        <f>HYPERLINK("https://www.tradingview.com/chart/tioZvgwv/?symbol=NSE%3ACANBK&amp;interval=", "&amp;#128200;")</f>
      </c>
      <c r="G46" s="7">
        <f>HYPERLINK("https://www.tradingview.com/symbols/NSE-CANBK/news/", "&amp;#128240;")</f>
      </c>
      <c r="H46" s="7">
        <f>HYPERLINK("https://www.tradingview.com/symbols/NSE-CANBK/technicals/", "&amp;#128202;")</f>
      </c>
      <c r="I46" s="7">
        <f>HYPERLINK("https://www.tradingview.com/symbols/NSE-CANBK/financials-overview/", "&amp;#128194;")</f>
      </c>
      <c r="J46" s="4" t="s">
        <v>11</v>
      </c>
    </row>
    <row x14ac:dyDescent="0.25" r="47" customHeight="1" ht="18.75">
      <c r="A47" s="4" t="s">
        <v>56</v>
      </c>
      <c r="B47" s="5">
        <v>677.95</v>
      </c>
      <c r="C47" s="6">
        <v>666</v>
      </c>
      <c r="D47" s="5">
        <v>679.35</v>
      </c>
      <c r="E47" s="5">
        <v>667.2</v>
      </c>
      <c r="F47" s="7">
        <f>HYPERLINK("https://www.tradingview.com/chart/tioZvgwv/?symbol=NSE%3ACANFINHOME&amp;interval=", "&amp;#128200;")</f>
      </c>
      <c r="G47" s="7">
        <f>HYPERLINK("https://www.tradingview.com/symbols/NSE-CANFINHOME/news/", "&amp;#128240;")</f>
      </c>
      <c r="H47" s="7">
        <f>HYPERLINK("https://www.tradingview.com/symbols/NSE-CANFINHOME/technicals/", "&amp;#128202;")</f>
      </c>
      <c r="I47" s="7">
        <f>HYPERLINK("https://www.tradingview.com/symbols/NSE-CANFINHOME/financials-overview/", "&amp;#128194;")</f>
      </c>
      <c r="J47" s="4" t="s">
        <v>11</v>
      </c>
    </row>
    <row x14ac:dyDescent="0.25" r="48" customHeight="1" ht="18.75">
      <c r="A48" s="4" t="s">
        <v>57</v>
      </c>
      <c r="B48" s="6">
        <v>1598</v>
      </c>
      <c r="C48" s="6">
        <v>1555</v>
      </c>
      <c r="D48" s="5">
        <v>1594.45</v>
      </c>
      <c r="E48" s="5">
        <v>1555.25</v>
      </c>
      <c r="F48" s="7">
        <f>HYPERLINK("https://www.tradingview.com/chart/tioZvgwv/?symbol=NSE%3ACDSL&amp;interval=", "&amp;#128200;")</f>
      </c>
      <c r="G48" s="7">
        <f>HYPERLINK("https://www.tradingview.com/symbols/NSE-CDSL/news/", "&amp;#128240;")</f>
      </c>
      <c r="H48" s="7">
        <f>HYPERLINK("https://www.tradingview.com/symbols/NSE-CDSL/technicals/", "&amp;#128202;")</f>
      </c>
      <c r="I48" s="7">
        <f>HYPERLINK("https://www.tradingview.com/symbols/NSE-CDSL/financials-overview/", "&amp;#128194;")</f>
      </c>
      <c r="J48" s="4" t="s">
        <v>11</v>
      </c>
    </row>
    <row x14ac:dyDescent="0.25" r="49" customHeight="1" ht="18.75">
      <c r="A49" s="4" t="s">
        <v>58</v>
      </c>
      <c r="B49" s="5">
        <v>161.6</v>
      </c>
      <c r="C49" s="5">
        <v>152.77</v>
      </c>
      <c r="D49" s="5">
        <v>162.42</v>
      </c>
      <c r="E49" s="5">
        <v>157.08</v>
      </c>
      <c r="F49" s="7">
        <f>HYPERLINK("https://www.tradingview.com/chart/tioZvgwv/?symbol=NSE%3ACESC&amp;interval=", "&amp;#128200;")</f>
      </c>
      <c r="G49" s="7">
        <f>HYPERLINK("https://www.tradingview.com/symbols/NSE-CESC/news/", "&amp;#128240;")</f>
      </c>
      <c r="H49" s="7">
        <f>HYPERLINK("https://www.tradingview.com/symbols/NSE-CESC/technicals/", "&amp;#128202;")</f>
      </c>
      <c r="I49" s="7">
        <f>HYPERLINK("https://www.tradingview.com/symbols/NSE-CESC/financials-overview/", "&amp;#128194;")</f>
      </c>
      <c r="J49" s="4" t="s">
        <v>11</v>
      </c>
    </row>
    <row x14ac:dyDescent="0.25" r="50" customHeight="1" ht="18.75">
      <c r="A50" s="4" t="s">
        <v>59</v>
      </c>
      <c r="B50" s="5">
        <v>643.6</v>
      </c>
      <c r="C50" s="5">
        <v>621.05</v>
      </c>
      <c r="D50" s="5">
        <v>650.2</v>
      </c>
      <c r="E50" s="5">
        <v>622.1</v>
      </c>
      <c r="F50" s="7">
        <f>HYPERLINK("https://www.tradingview.com/chart/tioZvgwv/?symbol=NSE%3ACGPOWER&amp;interval=", "&amp;#128200;")</f>
      </c>
      <c r="G50" s="7">
        <f>HYPERLINK("https://www.tradingview.com/symbols/NSE-CGPOWER/news/", "&amp;#128240;")</f>
      </c>
      <c r="H50" s="7">
        <f>HYPERLINK("https://www.tradingview.com/symbols/NSE-CGPOWER/technicals/", "&amp;#128202;")</f>
      </c>
      <c r="I50" s="7">
        <f>HYPERLINK("https://www.tradingview.com/symbols/NSE-CGPOWER/financials-overview/", "&amp;#128194;")</f>
      </c>
      <c r="J50" s="4" t="s">
        <v>11</v>
      </c>
    </row>
    <row x14ac:dyDescent="0.25" r="51" customHeight="1" ht="18.75">
      <c r="A51" s="4" t="s">
        <v>60</v>
      </c>
      <c r="B51" s="5">
        <v>478.85</v>
      </c>
      <c r="C51" s="5">
        <v>467.5</v>
      </c>
      <c r="D51" s="5">
        <v>481.4</v>
      </c>
      <c r="E51" s="5">
        <v>468.1</v>
      </c>
      <c r="F51" s="7">
        <f>HYPERLINK("https://www.tradingview.com/chart/tioZvgwv/?symbol=NSE%3ACHAMBLFERT&amp;interval=", "&amp;#128200;")</f>
      </c>
      <c r="G51" s="7">
        <f>HYPERLINK("https://www.tradingview.com/symbols/NSE-CHAMBLFERT/news/", "&amp;#128240;")</f>
      </c>
      <c r="H51" s="7">
        <f>HYPERLINK("https://www.tradingview.com/symbols/NSE-CHAMBLFERT/technicals/", "&amp;#128202;")</f>
      </c>
      <c r="I51" s="7">
        <f>HYPERLINK("https://www.tradingview.com/symbols/NSE-CHAMBLFERT/financials-overview/", "&amp;#128194;")</f>
      </c>
      <c r="J51" s="4" t="s">
        <v>11</v>
      </c>
    </row>
    <row x14ac:dyDescent="0.25" r="52" customHeight="1" ht="18.75">
      <c r="A52" s="4" t="s">
        <v>61</v>
      </c>
      <c r="B52" s="5">
        <v>1259.4</v>
      </c>
      <c r="C52" s="5">
        <v>1225.15</v>
      </c>
      <c r="D52" s="5">
        <v>1255.05</v>
      </c>
      <c r="E52" s="5">
        <v>1235.35</v>
      </c>
      <c r="F52" s="7">
        <f>HYPERLINK("https://www.tradingview.com/chart/tioZvgwv/?symbol=NSE%3ACHOLAFIN&amp;interval=", "&amp;#128200;")</f>
      </c>
      <c r="G52" s="7">
        <f>HYPERLINK("https://www.tradingview.com/symbols/NSE-CHOLAFIN/news/", "&amp;#128240;")</f>
      </c>
      <c r="H52" s="7">
        <f>HYPERLINK("https://www.tradingview.com/symbols/NSE-CHOLAFIN/technicals/", "&amp;#128202;")</f>
      </c>
      <c r="I52" s="7">
        <f>HYPERLINK("https://www.tradingview.com/symbols/NSE-CHOLAFIN/financials-overview/", "&amp;#128194;")</f>
      </c>
      <c r="J52" s="4" t="s">
        <v>11</v>
      </c>
    </row>
    <row x14ac:dyDescent="0.25" r="53" customHeight="1" ht="18.75">
      <c r="A53" s="4" t="s">
        <v>62</v>
      </c>
      <c r="B53" s="5">
        <v>1463.95</v>
      </c>
      <c r="C53" s="6">
        <v>1445</v>
      </c>
      <c r="D53" s="5">
        <v>1468.8</v>
      </c>
      <c r="E53" s="5">
        <v>1446.05</v>
      </c>
      <c r="F53" s="7">
        <f>HYPERLINK("https://www.tradingview.com/chart/tioZvgwv/?symbol=NSE%3ACIPLA&amp;interval=", "&amp;#128200;")</f>
      </c>
      <c r="G53" s="7">
        <f>HYPERLINK("https://www.tradingview.com/symbols/NSE-CIPLA/news/", "&amp;#128240;")</f>
      </c>
      <c r="H53" s="7">
        <f>HYPERLINK("https://www.tradingview.com/symbols/NSE-CIPLA/technicals/", "&amp;#128202;")</f>
      </c>
      <c r="I53" s="7">
        <f>HYPERLINK("https://www.tradingview.com/symbols/NSE-CIPLA/financials-overview/", "&amp;#128194;")</f>
      </c>
      <c r="J53" s="4" t="s">
        <v>11</v>
      </c>
    </row>
    <row x14ac:dyDescent="0.25" r="54" customHeight="1" ht="18.75">
      <c r="A54" s="4" t="s">
        <v>63</v>
      </c>
      <c r="B54" s="5">
        <v>370.4</v>
      </c>
      <c r="C54" s="5">
        <v>362.2</v>
      </c>
      <c r="D54" s="5">
        <v>368.5</v>
      </c>
      <c r="E54" s="5">
        <v>367.4</v>
      </c>
      <c r="F54" s="7">
        <f>HYPERLINK("https://www.tradingview.com/chart/tioZvgwv/?symbol=NSE%3ACOALINDIA&amp;interval=", "&amp;#128200;")</f>
      </c>
      <c r="G54" s="7">
        <f>HYPERLINK("https://www.tradingview.com/symbols/NSE-COALINDIA/news/", "&amp;#128240;")</f>
      </c>
      <c r="H54" s="7">
        <f>HYPERLINK("https://www.tradingview.com/symbols/NSE-COALINDIA/technicals/", "&amp;#128202;")</f>
      </c>
      <c r="I54" s="7">
        <f>HYPERLINK("https://www.tradingview.com/symbols/NSE-COALINDIA/financials-overview/", "&amp;#128194;")</f>
      </c>
      <c r="J54" s="4" t="s">
        <v>11</v>
      </c>
    </row>
    <row x14ac:dyDescent="0.25" r="55" customHeight="1" ht="18.75">
      <c r="A55" s="4" t="s">
        <v>64</v>
      </c>
      <c r="B55" s="5">
        <v>9323.5</v>
      </c>
      <c r="C55" s="5">
        <v>8891.4</v>
      </c>
      <c r="D55" s="5">
        <v>9404.15</v>
      </c>
      <c r="E55" s="5">
        <v>8898.05</v>
      </c>
      <c r="F55" s="7">
        <f>HYPERLINK("https://www.tradingview.com/chart/tioZvgwv/?symbol=NSE%3ACOFORGE&amp;interval=", "&amp;#128200;")</f>
      </c>
      <c r="G55" s="7">
        <f>HYPERLINK("https://www.tradingview.com/symbols/NSE-COFORGE/news/", "&amp;#128240;")</f>
      </c>
      <c r="H55" s="7">
        <f>HYPERLINK("https://www.tradingview.com/symbols/NSE-COFORGE/technicals/", "&amp;#128202;")</f>
      </c>
      <c r="I55" s="7">
        <f>HYPERLINK("https://www.tradingview.com/symbols/NSE-COFORGE/financials-overview/", "&amp;#128194;")</f>
      </c>
      <c r="J55" s="4" t="s">
        <v>11</v>
      </c>
    </row>
    <row x14ac:dyDescent="0.25" r="56" customHeight="1" ht="18.75">
      <c r="A56" s="4" t="s">
        <v>65</v>
      </c>
      <c r="B56" s="5">
        <v>2835.6</v>
      </c>
      <c r="C56" s="5">
        <v>2784.15</v>
      </c>
      <c r="D56" s="5">
        <v>2830.7</v>
      </c>
      <c r="E56" s="5">
        <v>2788.6</v>
      </c>
      <c r="F56" s="7">
        <f>HYPERLINK("https://www.tradingview.com/chart/tioZvgwv/?symbol=NSE%3ACOLPAL&amp;interval=", "&amp;#128200;")</f>
      </c>
      <c r="G56" s="7">
        <f>HYPERLINK("https://www.tradingview.com/symbols/NSE-COLPAL/news/", "&amp;#128240;")</f>
      </c>
      <c r="H56" s="7">
        <f>HYPERLINK("https://www.tradingview.com/symbols/NSE-COLPAL/technicals/", "&amp;#128202;")</f>
      </c>
      <c r="I56" s="7">
        <f>HYPERLINK("https://www.tradingview.com/symbols/NSE-COLPAL/financials-overview/", "&amp;#128194;")</f>
      </c>
      <c r="J56" s="4" t="s">
        <v>11</v>
      </c>
    </row>
    <row x14ac:dyDescent="0.25" r="57" customHeight="1" ht="18.75">
      <c r="A57" s="4" t="s">
        <v>66</v>
      </c>
      <c r="B57" s="5">
        <v>750.25</v>
      </c>
      <c r="C57" s="5">
        <v>739.25</v>
      </c>
      <c r="D57" s="5">
        <v>750.25</v>
      </c>
      <c r="E57" s="5">
        <v>740.85</v>
      </c>
      <c r="F57" s="7">
        <f>HYPERLINK("https://www.tradingview.com/chart/tioZvgwv/?symbol=NSE%3ACONCOR&amp;interval=", "&amp;#128200;")</f>
      </c>
      <c r="G57" s="7">
        <f>HYPERLINK("https://www.tradingview.com/symbols/NSE-CONCOR/news/", "&amp;#128240;")</f>
      </c>
      <c r="H57" s="7">
        <f>HYPERLINK("https://www.tradingview.com/symbols/NSE-CONCOR/technicals/", "&amp;#128202;")</f>
      </c>
      <c r="I57" s="7">
        <f>HYPERLINK("https://www.tradingview.com/symbols/NSE-CONCOR/financials-overview/", "&amp;#128194;")</f>
      </c>
      <c r="J57" s="4" t="s">
        <v>11</v>
      </c>
    </row>
    <row x14ac:dyDescent="0.25" r="58" customHeight="1" ht="18.75">
      <c r="A58" s="4" t="s">
        <v>67</v>
      </c>
      <c r="B58" s="5">
        <v>1903.7</v>
      </c>
      <c r="C58" s="5">
        <v>1819.25</v>
      </c>
      <c r="D58" s="5">
        <v>1922.45</v>
      </c>
      <c r="E58" s="5">
        <v>1820.75</v>
      </c>
      <c r="F58" s="7">
        <f>HYPERLINK("https://www.tradingview.com/chart/tioZvgwv/?symbol=NSE%3ACOROMANDEL&amp;interval=", "&amp;#128200;")</f>
      </c>
      <c r="G58" s="7">
        <f>HYPERLINK("https://www.tradingview.com/symbols/NSE-COROMANDEL/news/", "&amp;#128240;")</f>
      </c>
      <c r="H58" s="7">
        <f>HYPERLINK("https://www.tradingview.com/symbols/NSE-COROMANDEL/technicals/", "&amp;#128202;")</f>
      </c>
      <c r="I58" s="7">
        <f>HYPERLINK("https://www.tradingview.com/symbols/NSE-COROMANDEL/financials-overview/", "&amp;#128194;")</f>
      </c>
      <c r="J58" s="4" t="s">
        <v>11</v>
      </c>
    </row>
    <row x14ac:dyDescent="0.25" r="59" customHeight="1" ht="18.75">
      <c r="A59" s="4" t="s">
        <v>68</v>
      </c>
      <c r="B59" s="5">
        <v>356.65</v>
      </c>
      <c r="C59" s="5">
        <v>348.25</v>
      </c>
      <c r="D59" s="5">
        <v>359.75</v>
      </c>
      <c r="E59" s="5">
        <v>348.7</v>
      </c>
      <c r="F59" s="7">
        <f>HYPERLINK("https://www.tradingview.com/chart/tioZvgwv/?symbol=NSE%3ACROMPTON&amp;interval=", "&amp;#128200;")</f>
      </c>
      <c r="G59" s="7">
        <f>HYPERLINK("https://www.tradingview.com/symbols/NSE-CROMPTON/news/", "&amp;#128240;")</f>
      </c>
      <c r="H59" s="7">
        <f>HYPERLINK("https://www.tradingview.com/symbols/NSE-CROMPTON/technicals/", "&amp;#128202;")</f>
      </c>
      <c r="I59" s="7">
        <f>HYPERLINK("https://www.tradingview.com/symbols/NSE-CROMPTON/financials-overview/", "&amp;#128194;")</f>
      </c>
      <c r="J59" s="4" t="s">
        <v>11</v>
      </c>
    </row>
    <row x14ac:dyDescent="0.25" r="60" customHeight="1" ht="18.75">
      <c r="A60" s="4" t="s">
        <v>69</v>
      </c>
      <c r="B60" s="5">
        <v>165.19</v>
      </c>
      <c r="C60" s="5">
        <v>161.16</v>
      </c>
      <c r="D60" s="5">
        <v>165.28</v>
      </c>
      <c r="E60" s="5">
        <v>164.15</v>
      </c>
      <c r="F60" s="7">
        <f>HYPERLINK("https://www.tradingview.com/chart/tioZvgwv/?symbol=NSE%3ACUB&amp;interval=", "&amp;#128200;")</f>
      </c>
      <c r="G60" s="7">
        <f>HYPERLINK("https://www.tradingview.com/symbols/NSE-CUB/news/", "&amp;#128240;")</f>
      </c>
      <c r="H60" s="7">
        <f>HYPERLINK("https://www.tradingview.com/symbols/NSE-CUB/technicals/", "&amp;#128202;")</f>
      </c>
      <c r="I60" s="7">
        <f>HYPERLINK("https://www.tradingview.com/symbols/NSE-CUB/financials-overview/", "&amp;#128194;")</f>
      </c>
      <c r="J60" s="4" t="s">
        <v>11</v>
      </c>
    </row>
    <row x14ac:dyDescent="0.25" r="61" customHeight="1" ht="18.75">
      <c r="A61" s="4" t="s">
        <v>70</v>
      </c>
      <c r="B61" s="5">
        <v>2988.6</v>
      </c>
      <c r="C61" s="5">
        <v>2926.7</v>
      </c>
      <c r="D61" s="5">
        <v>2999.45</v>
      </c>
      <c r="E61" s="5">
        <v>2931.55</v>
      </c>
      <c r="F61" s="7">
        <f>HYPERLINK("https://www.tradingview.com/chart/tioZvgwv/?symbol=NSE%3ACUMMINSIND&amp;interval=", "&amp;#128200;")</f>
      </c>
      <c r="G61" s="7">
        <f>HYPERLINK("https://www.tradingview.com/symbols/NSE-CUMMINSIND/news/", "&amp;#128240;")</f>
      </c>
      <c r="H61" s="7">
        <f>HYPERLINK("https://www.tradingview.com/symbols/NSE-CUMMINSIND/technicals/", "&amp;#128202;")</f>
      </c>
      <c r="I61" s="7">
        <f>HYPERLINK("https://www.tradingview.com/symbols/NSE-CUMMINSIND/financials-overview/", "&amp;#128194;")</f>
      </c>
      <c r="J61" s="4" t="s">
        <v>11</v>
      </c>
    </row>
    <row x14ac:dyDescent="0.25" r="62" customHeight="1" ht="18.75">
      <c r="A62" s="4" t="s">
        <v>71</v>
      </c>
      <c r="B62" s="5">
        <v>1752.7</v>
      </c>
      <c r="C62" s="5">
        <v>1711.35</v>
      </c>
      <c r="D62" s="5">
        <v>1740.7</v>
      </c>
      <c r="E62" s="5">
        <v>1717.3</v>
      </c>
      <c r="F62" s="7">
        <f>HYPERLINK("https://www.tradingview.com/chart/tioZvgwv/?symbol=NSE%3ACYIENT&amp;interval=", "&amp;#128200;")</f>
      </c>
      <c r="G62" s="7">
        <f>HYPERLINK("https://www.tradingview.com/symbols/NSE-CYIENT/news/", "&amp;#128240;")</f>
      </c>
      <c r="H62" s="7">
        <f>HYPERLINK("https://www.tradingview.com/symbols/NSE-CYIENT/technicals/", "&amp;#128202;")</f>
      </c>
      <c r="I62" s="7">
        <f>HYPERLINK("https://www.tradingview.com/symbols/NSE-CYIENT/financials-overview/", "&amp;#128194;")</f>
      </c>
      <c r="J62" s="4" t="s">
        <v>11</v>
      </c>
    </row>
    <row x14ac:dyDescent="0.25" r="63" customHeight="1" ht="18.75">
      <c r="A63" s="4" t="s">
        <v>72</v>
      </c>
      <c r="B63" s="5">
        <v>516.9</v>
      </c>
      <c r="C63" s="6">
        <v>511</v>
      </c>
      <c r="D63" s="5">
        <v>517.9</v>
      </c>
      <c r="E63" s="5">
        <v>511.05</v>
      </c>
      <c r="F63" s="7">
        <f>HYPERLINK("https://www.tradingview.com/chart/tioZvgwv/?symbol=NSE%3ADABUR&amp;interval=", "&amp;#128200;")</f>
      </c>
      <c r="G63" s="7">
        <f>HYPERLINK("https://www.tradingview.com/symbols/NSE-DABUR/news/", "&amp;#128240;")</f>
      </c>
      <c r="H63" s="7">
        <f>HYPERLINK("https://www.tradingview.com/symbols/NSE-DABUR/technicals/", "&amp;#128202;")</f>
      </c>
      <c r="I63" s="7">
        <f>HYPERLINK("https://www.tradingview.com/symbols/NSE-DABUR/financials-overview/", "&amp;#128194;")</f>
      </c>
      <c r="J63" s="4" t="s">
        <v>11</v>
      </c>
    </row>
    <row x14ac:dyDescent="0.25" r="64" customHeight="1" ht="18.75">
      <c r="A64" s="4" t="s">
        <v>73</v>
      </c>
      <c r="B64" s="5">
        <v>1757.35</v>
      </c>
      <c r="C64" s="5">
        <v>1716.5</v>
      </c>
      <c r="D64" s="5">
        <v>1727.5</v>
      </c>
      <c r="E64" s="5">
        <v>1717.4</v>
      </c>
      <c r="F64" s="7">
        <f>HYPERLINK("https://www.tradingview.com/chart/tioZvgwv/?symbol=NSE%3ADALBHARAT&amp;interval=", "&amp;#128200;")</f>
      </c>
      <c r="G64" s="7">
        <f>HYPERLINK("https://www.tradingview.com/symbols/NSE-DALBHARAT/news/", "&amp;#128240;")</f>
      </c>
      <c r="H64" s="7">
        <f>HYPERLINK("https://www.tradingview.com/symbols/NSE-DALBHARAT/technicals/", "&amp;#128202;")</f>
      </c>
      <c r="I64" s="7">
        <f>HYPERLINK("https://www.tradingview.com/symbols/NSE-DALBHARAT/financials-overview/", "&amp;#128194;")</f>
      </c>
      <c r="J64" s="4" t="s">
        <v>11</v>
      </c>
    </row>
    <row x14ac:dyDescent="0.25" r="65" customHeight="1" ht="18.75">
      <c r="A65" s="4" t="s">
        <v>74</v>
      </c>
      <c r="B65" s="5">
        <v>2400.4</v>
      </c>
      <c r="C65" s="5">
        <v>2360.6</v>
      </c>
      <c r="D65" s="5">
        <v>2418.75</v>
      </c>
      <c r="E65" s="5">
        <v>2364.6</v>
      </c>
      <c r="F65" s="7">
        <f>HYPERLINK("https://www.tradingview.com/chart/tioZvgwv/?symbol=NSE%3ADEEPAKNTR&amp;interval=", "&amp;#128200;")</f>
      </c>
      <c r="G65" s="7">
        <f>HYPERLINK("https://www.tradingview.com/symbols/NSE-DEEPAKNTR/news/", "&amp;#128240;")</f>
      </c>
      <c r="H65" s="7">
        <f>HYPERLINK("https://www.tradingview.com/symbols/NSE-DEEPAKNTR/technicals/", "&amp;#128202;")</f>
      </c>
      <c r="I65" s="7">
        <f>HYPERLINK("https://www.tradingview.com/symbols/NSE-DEEPAKNTR/financials-overview/", "&amp;#128194;")</f>
      </c>
      <c r="J65" s="4" t="s">
        <v>11</v>
      </c>
    </row>
    <row x14ac:dyDescent="0.25" r="66" customHeight="1" ht="18.75">
      <c r="A66" s="4" t="s">
        <v>75</v>
      </c>
      <c r="B66" s="6">
        <v>334</v>
      </c>
      <c r="C66" s="5">
        <v>323.05</v>
      </c>
      <c r="D66" s="5">
        <v>333.85</v>
      </c>
      <c r="E66" s="5">
        <v>323.6</v>
      </c>
      <c r="F66" s="7">
        <f>HYPERLINK("https://www.tradingview.com/chart/tioZvgwv/?symbol=NSE%3ADELHIVERY&amp;interval=", "&amp;#128200;")</f>
      </c>
      <c r="G66" s="7">
        <f>HYPERLINK("https://www.tradingview.com/symbols/NSE-DELHIVERY/news/", "&amp;#128240;")</f>
      </c>
      <c r="H66" s="7">
        <f>HYPERLINK("https://www.tradingview.com/symbols/NSE-DELHIVERY/technicals/", "&amp;#128202;")</f>
      </c>
      <c r="I66" s="7">
        <f>HYPERLINK("https://www.tradingview.com/symbols/NSE-DELHIVERY/financials-overview/", "&amp;#128194;")</f>
      </c>
      <c r="J66" s="4" t="s">
        <v>11</v>
      </c>
    </row>
    <row x14ac:dyDescent="0.25" r="67" customHeight="1" ht="18.75">
      <c r="A67" s="4" t="s">
        <v>76</v>
      </c>
      <c r="B67" s="5">
        <v>5887.5</v>
      </c>
      <c r="C67" s="5">
        <v>5654.35</v>
      </c>
      <c r="D67" s="5">
        <v>5771.35</v>
      </c>
      <c r="E67" s="5">
        <v>5815.5</v>
      </c>
      <c r="F67" s="7">
        <f>HYPERLINK("https://www.tradingview.com/chart/tioZvgwv/?symbol=NSE%3ADIVISLAB&amp;interval=", "&amp;#128200;")</f>
      </c>
      <c r="G67" s="7">
        <f>HYPERLINK("https://www.tradingview.com/symbols/NSE-DIVISLAB/news/", "&amp;#128240;")</f>
      </c>
      <c r="H67" s="7">
        <f>HYPERLINK("https://www.tradingview.com/symbols/NSE-DIVISLAB/technicals/", "&amp;#128202;")</f>
      </c>
      <c r="I67" s="7">
        <f>HYPERLINK("https://www.tradingview.com/symbols/NSE-DIVISLAB/financials-overview/", "&amp;#128194;")</f>
      </c>
      <c r="J67" s="4" t="s">
        <v>11</v>
      </c>
    </row>
    <row x14ac:dyDescent="0.25" r="68" customHeight="1" ht="18.75">
      <c r="A68" s="4" t="s">
        <v>77</v>
      </c>
      <c r="B68" s="6">
        <v>16550</v>
      </c>
      <c r="C68" s="6">
        <v>16110</v>
      </c>
      <c r="D68" s="5">
        <v>16709.2</v>
      </c>
      <c r="E68" s="6">
        <v>16150</v>
      </c>
      <c r="F68" s="7">
        <f>HYPERLINK("https://www.tradingview.com/chart/tioZvgwv/?symbol=NSE%3ADIXON&amp;interval=", "&amp;#128200;")</f>
      </c>
      <c r="G68" s="7">
        <f>HYPERLINK("https://www.tradingview.com/symbols/NSE-DIXON/news/", "&amp;#128240;")</f>
      </c>
      <c r="H68" s="7">
        <f>HYPERLINK("https://www.tradingview.com/symbols/NSE-DIXON/technicals/", "&amp;#128202;")</f>
      </c>
      <c r="I68" s="7">
        <f>HYPERLINK("https://www.tradingview.com/symbols/NSE-DIXON/financials-overview/", "&amp;#128194;")</f>
      </c>
      <c r="J68" s="4" t="s">
        <v>11</v>
      </c>
    </row>
    <row x14ac:dyDescent="0.25" r="69" customHeight="1" ht="18.75">
      <c r="A69" s="4" t="s">
        <v>78</v>
      </c>
      <c r="B69" s="5">
        <v>747.95</v>
      </c>
      <c r="C69" s="5">
        <v>728.55</v>
      </c>
      <c r="D69" s="5">
        <v>752.15</v>
      </c>
      <c r="E69" s="5">
        <v>729.1</v>
      </c>
      <c r="F69" s="7">
        <f>HYPERLINK("https://www.tradingview.com/chart/tioZvgwv/?symbol=NSE%3ADLF&amp;interval=", "&amp;#128200;")</f>
      </c>
      <c r="G69" s="7">
        <f>HYPERLINK("https://www.tradingview.com/symbols/NSE-DLF/news/", "&amp;#128240;")</f>
      </c>
      <c r="H69" s="7">
        <f>HYPERLINK("https://www.tradingview.com/symbols/NSE-DLF/technicals/", "&amp;#128202;")</f>
      </c>
      <c r="I69" s="7">
        <f>HYPERLINK("https://www.tradingview.com/symbols/NSE-DLF/financials-overview/", "&amp;#128194;")</f>
      </c>
      <c r="J69" s="4" t="s">
        <v>11</v>
      </c>
    </row>
    <row x14ac:dyDescent="0.25" r="70" customHeight="1" ht="18.75">
      <c r="A70" s="4" t="s">
        <v>79</v>
      </c>
      <c r="B70" s="5">
        <v>3643.95</v>
      </c>
      <c r="C70" s="5">
        <v>3469.95</v>
      </c>
      <c r="D70" s="5">
        <v>3686.25</v>
      </c>
      <c r="E70" s="5">
        <v>3606.15</v>
      </c>
      <c r="F70" s="7">
        <f>HYPERLINK("https://www.tradingview.com/chart/tioZvgwv/?symbol=NSE%3ADMART&amp;interval=", "&amp;#128200;")</f>
      </c>
      <c r="G70" s="7">
        <f>HYPERLINK("https://www.tradingview.com/symbols/NSE-DMART/news/", "&amp;#128240;")</f>
      </c>
      <c r="H70" s="7">
        <f>HYPERLINK("https://www.tradingview.com/symbols/NSE-DMART/technicals/", "&amp;#128202;")</f>
      </c>
      <c r="I70" s="7">
        <f>HYPERLINK("https://www.tradingview.com/symbols/NSE-DMART/financials-overview/", "&amp;#128194;")</f>
      </c>
      <c r="J70" s="4" t="s">
        <v>11</v>
      </c>
    </row>
    <row x14ac:dyDescent="0.25" r="71" customHeight="1" ht="18.75">
      <c r="A71" s="4" t="s">
        <v>80</v>
      </c>
      <c r="B71" s="5">
        <v>1354.15</v>
      </c>
      <c r="C71" s="5">
        <v>1330.2</v>
      </c>
      <c r="D71" s="5">
        <v>1354.4</v>
      </c>
      <c r="E71" s="6">
        <v>1337</v>
      </c>
      <c r="F71" s="7">
        <f>HYPERLINK("https://www.tradingview.com/chart/tioZvgwv/?symbol=NSE%3ADRREDDY&amp;interval=", "&amp;#128200;")</f>
      </c>
      <c r="G71" s="7">
        <f>HYPERLINK("https://www.tradingview.com/symbols/NSE-DRREDDY/news/", "&amp;#128240;")</f>
      </c>
      <c r="H71" s="7">
        <f>HYPERLINK("https://www.tradingview.com/symbols/NSE-DRREDDY/technicals/", "&amp;#128202;")</f>
      </c>
      <c r="I71" s="7">
        <f>HYPERLINK("https://www.tradingview.com/symbols/NSE-DRREDDY/financials-overview/", "&amp;#128194;")</f>
      </c>
      <c r="J71" s="4" t="s">
        <v>11</v>
      </c>
    </row>
    <row x14ac:dyDescent="0.25" r="72" customHeight="1" ht="18.75">
      <c r="A72" s="4" t="s">
        <v>81</v>
      </c>
      <c r="B72" s="5">
        <v>5024.2</v>
      </c>
      <c r="C72" s="5">
        <v>4935.2</v>
      </c>
      <c r="D72" s="5">
        <v>5058.45</v>
      </c>
      <c r="E72" s="5">
        <v>4939.75</v>
      </c>
      <c r="F72" s="7">
        <f>HYPERLINK("https://www.tradingview.com/chart/tioZvgwv/?symbol=NSE%3AEICHERMOT&amp;interval=", "&amp;#128200;")</f>
      </c>
      <c r="G72" s="7">
        <f>HYPERLINK("https://www.tradingview.com/symbols/NSE-EICHERMOT/news/", "&amp;#128240;")</f>
      </c>
      <c r="H72" s="7">
        <f>HYPERLINK("https://www.tradingview.com/symbols/NSE-EICHERMOT/technicals/", "&amp;#128202;")</f>
      </c>
      <c r="I72" s="7">
        <f>HYPERLINK("https://www.tradingview.com/symbols/NSE-EICHERMOT/financials-overview/", "&amp;#128194;")</f>
      </c>
      <c r="J72" s="4" t="s">
        <v>11</v>
      </c>
    </row>
    <row x14ac:dyDescent="0.25" r="73" customHeight="1" ht="18.75">
      <c r="A73" s="4" t="s">
        <v>82</v>
      </c>
      <c r="B73" s="5">
        <v>3397.9</v>
      </c>
      <c r="C73" s="5">
        <v>3324.75</v>
      </c>
      <c r="D73" s="5">
        <v>3405.9</v>
      </c>
      <c r="E73" s="5">
        <v>3328.75</v>
      </c>
      <c r="F73" s="7">
        <f>HYPERLINK("https://www.tradingview.com/chart/tioZvgwv/?symbol=NSE%3AESCORTS&amp;interval=", "&amp;#128200;")</f>
      </c>
      <c r="G73" s="7">
        <f>HYPERLINK("https://www.tradingview.com/symbols/NSE-ESCORTS/news/", "&amp;#128240;")</f>
      </c>
      <c r="H73" s="7">
        <f>HYPERLINK("https://www.tradingview.com/symbols/NSE-ESCORTS/technicals/", "&amp;#128202;")</f>
      </c>
      <c r="I73" s="7">
        <f>HYPERLINK("https://www.tradingview.com/symbols/NSE-ESCORTS/financials-overview/", "&amp;#128194;")</f>
      </c>
      <c r="J73" s="4" t="s">
        <v>11</v>
      </c>
    </row>
    <row x14ac:dyDescent="0.25" r="74" customHeight="1" ht="18.75">
      <c r="A74" s="4" t="s">
        <v>83</v>
      </c>
      <c r="B74" s="5">
        <v>390.5</v>
      </c>
      <c r="C74" s="5">
        <v>382.55</v>
      </c>
      <c r="D74" s="5">
        <v>389.1</v>
      </c>
      <c r="E74" s="6">
        <v>383</v>
      </c>
      <c r="F74" s="7">
        <f>HYPERLINK("https://www.tradingview.com/chart/tioZvgwv/?symbol=NSE%3AEXIDEIND&amp;interval=", "&amp;#128200;")</f>
      </c>
      <c r="G74" s="7">
        <f>HYPERLINK("https://www.tradingview.com/symbols/NSE-EXIDEIND/news/", "&amp;#128240;")</f>
      </c>
      <c r="H74" s="7">
        <f>HYPERLINK("https://www.tradingview.com/symbols/NSE-EXIDEIND/technicals/", "&amp;#128202;")</f>
      </c>
      <c r="I74" s="7">
        <f>HYPERLINK("https://www.tradingview.com/symbols/NSE-EXIDEIND/financials-overview/", "&amp;#128194;")</f>
      </c>
      <c r="J74" s="4" t="s">
        <v>11</v>
      </c>
    </row>
    <row x14ac:dyDescent="0.25" r="75" customHeight="1" ht="18.75">
      <c r="A75" s="4" t="s">
        <v>84</v>
      </c>
      <c r="B75" s="5">
        <v>188.09</v>
      </c>
      <c r="C75" s="5">
        <v>185.71</v>
      </c>
      <c r="D75" s="5">
        <v>189.1</v>
      </c>
      <c r="E75" s="5">
        <v>187.39</v>
      </c>
      <c r="F75" s="7">
        <f>HYPERLINK("https://www.tradingview.com/chart/tioZvgwv/?symbol=NSE%3AFEDERALBNK&amp;interval=", "&amp;#128200;")</f>
      </c>
      <c r="G75" s="7">
        <f>HYPERLINK("https://www.tradingview.com/symbols/NSE-FEDERALBNK/news/", "&amp;#128240;")</f>
      </c>
      <c r="H75" s="7">
        <f>HYPERLINK("https://www.tradingview.com/symbols/NSE-FEDERALBNK/technicals/", "&amp;#128202;")</f>
      </c>
      <c r="I75" s="7">
        <f>HYPERLINK("https://www.tradingview.com/symbols/NSE-FEDERALBNK/financials-overview/", "&amp;#128194;")</f>
      </c>
      <c r="J75" s="4" t="s">
        <v>11</v>
      </c>
    </row>
    <row x14ac:dyDescent="0.25" r="76" customHeight="1" ht="18.75">
      <c r="A76" s="4" t="s">
        <v>85</v>
      </c>
      <c r="B76" s="5">
        <v>178.76</v>
      </c>
      <c r="C76" s="5">
        <v>175.18</v>
      </c>
      <c r="D76" s="5">
        <v>179.58</v>
      </c>
      <c r="E76" s="5">
        <v>176.13</v>
      </c>
      <c r="F76" s="7">
        <f>HYPERLINK("https://www.tradingview.com/chart/tioZvgwv/?symbol=NSE%3AGAIL&amp;interval=", "&amp;#128200;")</f>
      </c>
      <c r="G76" s="7">
        <f>HYPERLINK("https://www.tradingview.com/symbols/NSE-GAIL/news/", "&amp;#128240;")</f>
      </c>
      <c r="H76" s="7">
        <f>HYPERLINK("https://www.tradingview.com/symbols/NSE-GAIL/technicals/", "&amp;#128202;")</f>
      </c>
      <c r="I76" s="7">
        <f>HYPERLINK("https://www.tradingview.com/symbols/NSE-GAIL/financials-overview/", "&amp;#128194;")</f>
      </c>
      <c r="J76" s="4" t="s">
        <v>11</v>
      </c>
    </row>
    <row x14ac:dyDescent="0.25" r="77" customHeight="1" ht="18.75">
      <c r="A77" s="4" t="s">
        <v>86</v>
      </c>
      <c r="B77" s="5">
        <v>1546.15</v>
      </c>
      <c r="C77" s="5">
        <v>1516.55</v>
      </c>
      <c r="D77" s="5">
        <v>1541.7</v>
      </c>
      <c r="E77" s="6">
        <v>1530</v>
      </c>
      <c r="F77" s="7">
        <f>HYPERLINK("https://www.tradingview.com/chart/tioZvgwv/?symbol=NSE%3AGLENMARK&amp;interval=", "&amp;#128200;")</f>
      </c>
      <c r="G77" s="7">
        <f>HYPERLINK("https://www.tradingview.com/symbols/NSE-GLENMARK/news/", "&amp;#128240;")</f>
      </c>
      <c r="H77" s="7">
        <f>HYPERLINK("https://www.tradingview.com/symbols/NSE-GLENMARK/technicals/", "&amp;#128202;")</f>
      </c>
      <c r="I77" s="7">
        <f>HYPERLINK("https://www.tradingview.com/symbols/NSE-GLENMARK/financials-overview/", "&amp;#128194;")</f>
      </c>
      <c r="J77" s="4" t="s">
        <v>11</v>
      </c>
    </row>
    <row x14ac:dyDescent="0.25" r="78" customHeight="1" ht="18.75">
      <c r="A78" s="4" t="s">
        <v>87</v>
      </c>
      <c r="B78" s="5">
        <v>545.95</v>
      </c>
      <c r="C78" s="5">
        <v>532.35</v>
      </c>
      <c r="D78" s="5">
        <v>546.4</v>
      </c>
      <c r="E78" s="5">
        <v>532.65</v>
      </c>
      <c r="F78" s="7">
        <f>HYPERLINK("https://www.tradingview.com/chart/tioZvgwv/?symbol=NSE%3AGNFC&amp;interval=", "&amp;#128200;")</f>
      </c>
      <c r="G78" s="7">
        <f>HYPERLINK("https://www.tradingview.com/symbols/NSE-GNFC/news/", "&amp;#128240;")</f>
      </c>
      <c r="H78" s="7">
        <f>HYPERLINK("https://www.tradingview.com/symbols/NSE-GNFC/technicals/", "&amp;#128202;")</f>
      </c>
      <c r="I78" s="7">
        <f>HYPERLINK("https://www.tradingview.com/symbols/NSE-GNFC/financials-overview/", "&amp;#128194;")</f>
      </c>
      <c r="J78" s="4" t="s">
        <v>11</v>
      </c>
    </row>
    <row x14ac:dyDescent="0.25" r="79" customHeight="1" ht="18.75">
      <c r="A79" s="4" t="s">
        <v>88</v>
      </c>
      <c r="B79" s="6">
        <v>1180</v>
      </c>
      <c r="C79" s="5">
        <v>1162.05</v>
      </c>
      <c r="D79" s="5">
        <v>1174.3</v>
      </c>
      <c r="E79" s="5">
        <v>1167.25</v>
      </c>
      <c r="F79" s="7">
        <f>HYPERLINK("https://www.tradingview.com/chart/tioZvgwv/?symbol=NSE%3AGODREJCP&amp;interval=", "&amp;#128200;")</f>
      </c>
      <c r="G79" s="7">
        <f>HYPERLINK("https://www.tradingview.com/symbols/NSE-GODREJCP/news/", "&amp;#128240;")</f>
      </c>
      <c r="H79" s="7">
        <f>HYPERLINK("https://www.tradingview.com/symbols/NSE-GODREJCP/technicals/", "&amp;#128202;")</f>
      </c>
      <c r="I79" s="7">
        <f>HYPERLINK("https://www.tradingview.com/symbols/NSE-GODREJCP/financials-overview/", "&amp;#128194;")</f>
      </c>
      <c r="J79" s="4" t="s">
        <v>11</v>
      </c>
    </row>
    <row x14ac:dyDescent="0.25" r="80" customHeight="1" ht="18.75">
      <c r="A80" s="4" t="s">
        <v>89</v>
      </c>
      <c r="B80" s="5">
        <v>2373.5</v>
      </c>
      <c r="C80" s="5">
        <v>2305.45</v>
      </c>
      <c r="D80" s="5">
        <v>2386.5</v>
      </c>
      <c r="E80" s="5">
        <v>2307.7</v>
      </c>
      <c r="F80" s="7">
        <f>HYPERLINK("https://www.tradingview.com/chart/tioZvgwv/?symbol=NSE%3AGODREJPROP&amp;interval=", "&amp;#128200;")</f>
      </c>
      <c r="G80" s="7">
        <f>HYPERLINK("https://www.tradingview.com/symbols/NSE-GODREJPROP/news/", "&amp;#128240;")</f>
      </c>
      <c r="H80" s="7">
        <f>HYPERLINK("https://www.tradingview.com/symbols/NSE-GODREJPROP/technicals/", "&amp;#128202;")</f>
      </c>
      <c r="I80" s="7">
        <f>HYPERLINK("https://www.tradingview.com/symbols/NSE-GODREJPROP/financials-overview/", "&amp;#128194;")</f>
      </c>
      <c r="J80" s="4" t="s">
        <v>11</v>
      </c>
    </row>
    <row x14ac:dyDescent="0.25" r="81" customHeight="1" ht="18.75">
      <c r="A81" s="4" t="s">
        <v>90</v>
      </c>
      <c r="B81" s="5">
        <v>596.35</v>
      </c>
      <c r="C81" s="6">
        <v>581</v>
      </c>
      <c r="D81" s="5">
        <v>593.6</v>
      </c>
      <c r="E81" s="5">
        <v>581.7</v>
      </c>
      <c r="F81" s="7">
        <f>HYPERLINK("https://www.tradingview.com/chart/tioZvgwv/?symbol=NSE%3AGRANULES&amp;interval=", "&amp;#128200;")</f>
      </c>
      <c r="G81" s="7">
        <f>HYPERLINK("https://www.tradingview.com/symbols/NSE-GRANULES/news/", "&amp;#128240;")</f>
      </c>
      <c r="H81" s="7">
        <f>HYPERLINK("https://www.tradingview.com/symbols/NSE-GRANULES/technicals/", "&amp;#128202;")</f>
      </c>
      <c r="I81" s="7">
        <f>HYPERLINK("https://www.tradingview.com/symbols/NSE-GRANULES/financials-overview/", "&amp;#128194;")</f>
      </c>
      <c r="J81" s="4" t="s">
        <v>11</v>
      </c>
    </row>
    <row x14ac:dyDescent="0.25" r="82" customHeight="1" ht="18.75">
      <c r="A82" s="4" t="s">
        <v>91</v>
      </c>
      <c r="B82" s="5">
        <v>2348.2</v>
      </c>
      <c r="C82" s="6">
        <v>2305</v>
      </c>
      <c r="D82" s="5">
        <v>2364.1</v>
      </c>
      <c r="E82" s="5">
        <v>2306.55</v>
      </c>
      <c r="F82" s="7">
        <f>HYPERLINK("https://www.tradingview.com/chart/tioZvgwv/?symbol=NSE%3AGRASIM&amp;interval=", "&amp;#128200;")</f>
      </c>
      <c r="G82" s="7">
        <f>HYPERLINK("https://www.tradingview.com/symbols/NSE-GRASIM/news/", "&amp;#128240;")</f>
      </c>
      <c r="H82" s="7">
        <f>HYPERLINK("https://www.tradingview.com/symbols/NSE-GRASIM/technicals/", "&amp;#128202;")</f>
      </c>
      <c r="I82" s="7">
        <f>HYPERLINK("https://www.tradingview.com/symbols/NSE-GRASIM/financials-overview/", "&amp;#128194;")</f>
      </c>
      <c r="J82" s="4" t="s">
        <v>11</v>
      </c>
    </row>
    <row x14ac:dyDescent="0.25" r="83" customHeight="1" ht="18.75">
      <c r="A83" s="4" t="s">
        <v>92</v>
      </c>
      <c r="B83" s="5">
        <v>487.35</v>
      </c>
      <c r="C83" s="5">
        <v>477.95</v>
      </c>
      <c r="D83" s="5">
        <v>486.05</v>
      </c>
      <c r="E83" s="6">
        <v>478</v>
      </c>
      <c r="F83" s="7">
        <f>HYPERLINK("https://www.tradingview.com/chart/tioZvgwv/?symbol=NSE%3AGUJGASLTD&amp;interval=", "&amp;#128200;")</f>
      </c>
      <c r="G83" s="7">
        <f>HYPERLINK("https://www.tradingview.com/symbols/NSE-GUJGASLTD/news/", "&amp;#128240;")</f>
      </c>
      <c r="H83" s="7">
        <f>HYPERLINK("https://www.tradingview.com/symbols/NSE-GUJGASLTD/technicals/", "&amp;#128202;")</f>
      </c>
      <c r="I83" s="7">
        <f>HYPERLINK("https://www.tradingview.com/symbols/NSE-GUJGASLTD/financials-overview/", "&amp;#128194;")</f>
      </c>
      <c r="J83" s="4" t="s">
        <v>11</v>
      </c>
    </row>
    <row x14ac:dyDescent="0.25" r="84" customHeight="1" ht="18.75">
      <c r="A84" s="4" t="s">
        <v>93</v>
      </c>
      <c r="B84" s="5">
        <v>3985.25</v>
      </c>
      <c r="C84" s="6">
        <v>3900</v>
      </c>
      <c r="D84" s="5">
        <v>4000.5</v>
      </c>
      <c r="E84" s="6">
        <v>3911</v>
      </c>
      <c r="F84" s="7">
        <f>HYPERLINK("https://www.tradingview.com/chart/tioZvgwv/?symbol=NSE%3AHAL&amp;interval=", "&amp;#128200;")</f>
      </c>
      <c r="G84" s="7">
        <f>HYPERLINK("https://www.tradingview.com/symbols/NSE-HAL/news/", "&amp;#128240;")</f>
      </c>
      <c r="H84" s="7">
        <f>HYPERLINK("https://www.tradingview.com/symbols/NSE-HAL/technicals/", "&amp;#128202;")</f>
      </c>
      <c r="I84" s="7">
        <f>HYPERLINK("https://www.tradingview.com/symbols/NSE-HAL/financials-overview/", "&amp;#128194;")</f>
      </c>
      <c r="J84" s="4" t="s">
        <v>11</v>
      </c>
    </row>
    <row x14ac:dyDescent="0.25" r="85" customHeight="1" ht="18.75">
      <c r="A85" s="4" t="s">
        <v>94</v>
      </c>
      <c r="B85" s="5">
        <v>1588.95</v>
      </c>
      <c r="C85" s="5">
        <v>1551.4</v>
      </c>
      <c r="D85" s="5">
        <v>1600.25</v>
      </c>
      <c r="E85" s="5">
        <v>1555.3</v>
      </c>
      <c r="F85" s="7">
        <f>HYPERLINK("https://www.tradingview.com/chart/tioZvgwv/?symbol=NSE%3AHAVELLS&amp;interval=", "&amp;#128200;")</f>
      </c>
      <c r="G85" s="7">
        <f>HYPERLINK("https://www.tradingview.com/symbols/NSE-HAVELLS/news/", "&amp;#128240;")</f>
      </c>
      <c r="H85" s="7">
        <f>HYPERLINK("https://www.tradingview.com/symbols/NSE-HAVELLS/technicals/", "&amp;#128202;")</f>
      </c>
      <c r="I85" s="7">
        <f>HYPERLINK("https://www.tradingview.com/symbols/NSE-HAVELLS/financials-overview/", "&amp;#128194;")</f>
      </c>
      <c r="J85" s="4" t="s">
        <v>11</v>
      </c>
    </row>
    <row x14ac:dyDescent="0.25" r="86" customHeight="1" ht="18.75">
      <c r="A86" s="4" t="s">
        <v>95</v>
      </c>
      <c r="B86" s="5">
        <v>2000.4</v>
      </c>
      <c r="C86" s="6">
        <v>1980</v>
      </c>
      <c r="D86" s="5">
        <v>1995.1</v>
      </c>
      <c r="E86" s="5">
        <v>1990.25</v>
      </c>
      <c r="F86" s="7">
        <f>HYPERLINK("https://www.tradingview.com/chart/tioZvgwv/?symbol=NSE%3AHCLTECH&amp;interval=", "&amp;#128200;")</f>
      </c>
      <c r="G86" s="7">
        <f>HYPERLINK("https://www.tradingview.com/symbols/NSE-HCLTECH/news/", "&amp;#128240;")</f>
      </c>
      <c r="H86" s="7">
        <f>HYPERLINK("https://www.tradingview.com/symbols/NSE-HCLTECH/technicals/", "&amp;#128202;")</f>
      </c>
      <c r="I86" s="7">
        <f>HYPERLINK("https://www.tradingview.com/symbols/NSE-HCLTECH/financials-overview/", "&amp;#128194;")</f>
      </c>
      <c r="J86" s="4" t="s">
        <v>11</v>
      </c>
    </row>
    <row x14ac:dyDescent="0.25" r="87" customHeight="1" ht="18.75">
      <c r="A87" s="4" t="s">
        <v>96</v>
      </c>
      <c r="B87" s="5">
        <v>3904.95</v>
      </c>
      <c r="C87" s="5">
        <v>3792.2</v>
      </c>
      <c r="D87" s="5">
        <v>3844.8</v>
      </c>
      <c r="E87" s="5">
        <v>3849.55</v>
      </c>
      <c r="F87" s="7">
        <f>HYPERLINK("https://www.tradingview.com/chart/tioZvgwv/?symbol=NSE%3AHDFCAMC&amp;interval=", "&amp;#128200;")</f>
      </c>
      <c r="G87" s="7">
        <f>HYPERLINK("https://www.tradingview.com/symbols/NSE-HDFCAMC/news/", "&amp;#128240;")</f>
      </c>
      <c r="H87" s="7">
        <f>HYPERLINK("https://www.tradingview.com/symbols/NSE-HDFCAMC/technicals/", "&amp;#128202;")</f>
      </c>
      <c r="I87" s="7">
        <f>HYPERLINK("https://www.tradingview.com/symbols/NSE-HDFCAMC/financials-overview/", "&amp;#128194;")</f>
      </c>
      <c r="J87" s="4" t="s">
        <v>11</v>
      </c>
    </row>
    <row x14ac:dyDescent="0.25" r="88" customHeight="1" ht="18.75">
      <c r="A88" s="4" t="s">
        <v>97</v>
      </c>
      <c r="B88" s="5">
        <v>1646.75</v>
      </c>
      <c r="C88" s="5">
        <v>1624.3</v>
      </c>
      <c r="D88" s="5">
        <v>1656.75</v>
      </c>
      <c r="E88" s="5">
        <v>1638.35</v>
      </c>
      <c r="F88" s="7">
        <f>HYPERLINK("https://www.tradingview.com/chart/tioZvgwv/?symbol=NSE%3AHDFCBANK&amp;interval=", "&amp;#128200;")</f>
      </c>
      <c r="G88" s="7">
        <f>HYPERLINK("https://www.tradingview.com/symbols/NSE-HDFCBANK/news/", "&amp;#128240;")</f>
      </c>
      <c r="H88" s="7">
        <f>HYPERLINK("https://www.tradingview.com/symbols/NSE-HDFCBANK/technicals/", "&amp;#128202;")</f>
      </c>
      <c r="I88" s="7">
        <f>HYPERLINK("https://www.tradingview.com/symbols/NSE-HDFCBANK/financials-overview/", "&amp;#128194;")</f>
      </c>
      <c r="J88" s="4" t="s">
        <v>11</v>
      </c>
    </row>
    <row x14ac:dyDescent="0.25" r="89" customHeight="1" ht="18.75">
      <c r="A89" s="4" t="s">
        <v>98</v>
      </c>
      <c r="B89" s="5">
        <v>608.45</v>
      </c>
      <c r="C89" s="5">
        <v>599.6</v>
      </c>
      <c r="D89" s="5">
        <v>608.65</v>
      </c>
      <c r="E89" s="6">
        <v>602</v>
      </c>
      <c r="F89" s="7">
        <f>HYPERLINK("https://www.tradingview.com/chart/tioZvgwv/?symbol=NSE%3AHDFCLIFE&amp;interval=", "&amp;#128200;")</f>
      </c>
      <c r="G89" s="7">
        <f>HYPERLINK("https://www.tradingview.com/symbols/NSE-HDFCLIFE/news/", "&amp;#128240;")</f>
      </c>
      <c r="H89" s="7">
        <f>HYPERLINK("https://www.tradingview.com/symbols/NSE-HDFCLIFE/technicals/", "&amp;#128202;")</f>
      </c>
      <c r="I89" s="7">
        <f>HYPERLINK("https://www.tradingview.com/symbols/NSE-HDFCLIFE/financials-overview/", "&amp;#128194;")</f>
      </c>
      <c r="J89" s="4" t="s">
        <v>11</v>
      </c>
    </row>
    <row x14ac:dyDescent="0.25" r="90" customHeight="1" ht="18.75">
      <c r="A90" s="4" t="s">
        <v>99</v>
      </c>
      <c r="B90" s="5">
        <v>4121.95</v>
      </c>
      <c r="C90" s="6">
        <v>4041</v>
      </c>
      <c r="D90" s="5">
        <v>4122.2</v>
      </c>
      <c r="E90" s="5">
        <v>4043.8</v>
      </c>
      <c r="F90" s="7">
        <f>HYPERLINK("https://www.tradingview.com/chart/tioZvgwv/?symbol=NSE%3AHEROMOTOCO&amp;interval=", "&amp;#128200;")</f>
      </c>
      <c r="G90" s="7">
        <f>HYPERLINK("https://www.tradingview.com/symbols/NSE-HEROMOTOCO/news/", "&amp;#128240;")</f>
      </c>
      <c r="H90" s="7">
        <f>HYPERLINK("https://www.tradingview.com/symbols/NSE-HEROMOTOCO/technicals/", "&amp;#128202;")</f>
      </c>
      <c r="I90" s="7">
        <f>HYPERLINK("https://www.tradingview.com/symbols/NSE-HEROMOTOCO/financials-overview/", "&amp;#128194;")</f>
      </c>
      <c r="J90" s="4" t="s">
        <v>11</v>
      </c>
    </row>
    <row x14ac:dyDescent="0.25" r="91" customHeight="1" ht="18.75">
      <c r="A91" s="4" t="s">
        <v>100</v>
      </c>
      <c r="B91" s="5">
        <v>101.09</v>
      </c>
      <c r="C91" s="5">
        <v>97.4</v>
      </c>
      <c r="D91" s="5">
        <v>100.47</v>
      </c>
      <c r="E91" s="5">
        <v>97.63</v>
      </c>
      <c r="F91" s="7">
        <f>HYPERLINK("https://www.tradingview.com/chart/tioZvgwv/?symbol=NSE%3AHFCL&amp;interval=", "&amp;#128200;")</f>
      </c>
      <c r="G91" s="7">
        <f>HYPERLINK("https://www.tradingview.com/symbols/NSE-HFCL/news/", "&amp;#128240;")</f>
      </c>
      <c r="H91" s="7">
        <f>HYPERLINK("https://www.tradingview.com/symbols/NSE-HFCL/technicals/", "&amp;#128202;")</f>
      </c>
      <c r="I91" s="7">
        <f>HYPERLINK("https://www.tradingview.com/symbols/NSE-HFCL/financials-overview/", "&amp;#128194;")</f>
      </c>
      <c r="J91" s="4" t="s">
        <v>11</v>
      </c>
    </row>
    <row x14ac:dyDescent="0.25" r="92" customHeight="1" ht="18.75">
      <c r="A92" s="4" t="s">
        <v>101</v>
      </c>
      <c r="B92" s="5">
        <v>573.95</v>
      </c>
      <c r="C92" s="5">
        <v>566.05</v>
      </c>
      <c r="D92" s="5">
        <v>574.45</v>
      </c>
      <c r="E92" s="5">
        <v>570.3</v>
      </c>
      <c r="F92" s="7">
        <f>HYPERLINK("https://www.tradingview.com/chart/tioZvgwv/?symbol=NSE%3AHINDALCO&amp;interval=", "&amp;#128200;")</f>
      </c>
      <c r="G92" s="7">
        <f>HYPERLINK("https://www.tradingview.com/symbols/NSE-HINDALCO/news/", "&amp;#128240;")</f>
      </c>
      <c r="H92" s="7">
        <f>HYPERLINK("https://www.tradingview.com/symbols/NSE-HINDALCO/technicals/", "&amp;#128202;")</f>
      </c>
      <c r="I92" s="7">
        <f>HYPERLINK("https://www.tradingview.com/symbols/NSE-HINDALCO/financials-overview/", "&amp;#128194;")</f>
      </c>
      <c r="J92" s="4" t="s">
        <v>11</v>
      </c>
    </row>
    <row x14ac:dyDescent="0.25" r="93" customHeight="1" ht="18.75">
      <c r="A93" s="4" t="s">
        <v>102</v>
      </c>
      <c r="B93" s="5">
        <v>235.85</v>
      </c>
      <c r="C93" s="5">
        <v>228.75</v>
      </c>
      <c r="D93" s="5">
        <v>233.31</v>
      </c>
      <c r="E93" s="5">
        <v>233.03</v>
      </c>
      <c r="F93" s="7">
        <f>HYPERLINK("https://www.tradingview.com/chart/tioZvgwv/?symbol=NSE%3AHINDCOPPER&amp;interval=", "&amp;#128200;")</f>
      </c>
      <c r="G93" s="7">
        <f>HYPERLINK("https://www.tradingview.com/symbols/NSE-HINDCOPPER/news/", "&amp;#128240;")</f>
      </c>
      <c r="H93" s="7">
        <f>HYPERLINK("https://www.tradingview.com/symbols/NSE-HINDCOPPER/technicals/", "&amp;#128202;")</f>
      </c>
      <c r="I93" s="7">
        <f>HYPERLINK("https://www.tradingview.com/symbols/NSE-HINDCOPPER/financials-overview/", "&amp;#128194;")</f>
      </c>
      <c r="J93" s="4" t="s">
        <v>11</v>
      </c>
    </row>
    <row x14ac:dyDescent="0.25" r="94" customHeight="1" ht="18.75">
      <c r="A94" s="4" t="s">
        <v>103</v>
      </c>
      <c r="B94" s="5">
        <v>376.55</v>
      </c>
      <c r="C94" s="5">
        <v>360.15</v>
      </c>
      <c r="D94" s="5">
        <v>388.45</v>
      </c>
      <c r="E94" s="5">
        <v>364.5</v>
      </c>
      <c r="F94" s="7">
        <f>HYPERLINK("https://www.tradingview.com/chart/tioZvgwv/?symbol=NSE%3AHINDPETRO&amp;interval=", "&amp;#128200;")</f>
      </c>
      <c r="G94" s="7">
        <f>HYPERLINK("https://www.tradingview.com/symbols/NSE-HINDPETRO/news/", "&amp;#128240;")</f>
      </c>
      <c r="H94" s="7">
        <f>HYPERLINK("https://www.tradingview.com/symbols/NSE-HINDPETRO/technicals/", "&amp;#128202;")</f>
      </c>
      <c r="I94" s="7">
        <f>HYPERLINK("https://www.tradingview.com/symbols/NSE-HINDPETRO/financials-overview/", "&amp;#128194;")</f>
      </c>
      <c r="J94" s="4" t="s">
        <v>11</v>
      </c>
    </row>
    <row x14ac:dyDescent="0.25" r="95" customHeight="1" ht="18.75">
      <c r="A95" s="4" t="s">
        <v>104</v>
      </c>
      <c r="B95" s="5">
        <v>2454.35</v>
      </c>
      <c r="C95" s="5">
        <v>2409.05</v>
      </c>
      <c r="D95" s="5">
        <v>2442.05</v>
      </c>
      <c r="E95" s="5">
        <v>2436.4</v>
      </c>
      <c r="F95" s="7">
        <f>HYPERLINK("https://www.tradingview.com/chart/tioZvgwv/?symbol=NSE%3AHINDUNILVR&amp;interval=", "&amp;#128200;")</f>
      </c>
      <c r="G95" s="7">
        <f>HYPERLINK("https://www.tradingview.com/symbols/NSE-HINDUNILVR/news/", "&amp;#128240;")</f>
      </c>
      <c r="H95" s="7">
        <f>HYPERLINK("https://www.tradingview.com/symbols/NSE-HINDUNILVR/technicals/", "&amp;#128202;")</f>
      </c>
      <c r="I95" s="7">
        <f>HYPERLINK("https://www.tradingview.com/symbols/NSE-HINDUNILVR/financials-overview/", "&amp;#128194;")</f>
      </c>
      <c r="J95" s="4" t="s">
        <v>11</v>
      </c>
    </row>
    <row x14ac:dyDescent="0.25" r="96" customHeight="1" ht="18.75">
      <c r="A96" s="4" t="s">
        <v>105</v>
      </c>
      <c r="B96" s="5">
        <v>214.8</v>
      </c>
      <c r="C96" s="5">
        <v>208.5</v>
      </c>
      <c r="D96" s="5">
        <v>214.19</v>
      </c>
      <c r="E96" s="5">
        <v>209.61</v>
      </c>
      <c r="F96" s="7">
        <f>HYPERLINK("https://www.tradingview.com/chart/tioZvgwv/?symbol=NSE%3AHUDCO&amp;interval=", "&amp;#128200;")</f>
      </c>
      <c r="G96" s="7">
        <f>HYPERLINK("https://www.tradingview.com/symbols/NSE-HUDCO/news/", "&amp;#128240;")</f>
      </c>
      <c r="H96" s="7">
        <f>HYPERLINK("https://www.tradingview.com/symbols/NSE-HUDCO/technicals/", "&amp;#128202;")</f>
      </c>
      <c r="I96" s="7">
        <f>HYPERLINK("https://www.tradingview.com/symbols/NSE-HUDCO/financials-overview/", "&amp;#128194;")</f>
      </c>
      <c r="J96" s="4" t="s">
        <v>11</v>
      </c>
    </row>
    <row x14ac:dyDescent="0.25" r="97" customHeight="1" ht="18.75">
      <c r="A97" s="4" t="s">
        <v>106</v>
      </c>
      <c r="B97" s="5">
        <v>1243.95</v>
      </c>
      <c r="C97" s="5">
        <v>1232.6</v>
      </c>
      <c r="D97" s="5">
        <v>1249.85</v>
      </c>
      <c r="E97" s="5">
        <v>1234.25</v>
      </c>
      <c r="F97" s="7">
        <f>HYPERLINK("https://www.tradingview.com/chart/tioZvgwv/?symbol=NSE%3AICICIBANK&amp;interval=", "&amp;#128200;")</f>
      </c>
      <c r="G97" s="7">
        <f>HYPERLINK("https://www.tradingview.com/symbols/NSE-ICICIBANK/news/", "&amp;#128240;")</f>
      </c>
      <c r="H97" s="7">
        <f>HYPERLINK("https://www.tradingview.com/symbols/NSE-ICICIBANK/technicals/", "&amp;#128202;")</f>
      </c>
      <c r="I97" s="7">
        <f>HYPERLINK("https://www.tradingview.com/symbols/NSE-ICICIBANK/financials-overview/", "&amp;#128194;")</f>
      </c>
      <c r="J97" s="4" t="s">
        <v>11</v>
      </c>
    </row>
    <row x14ac:dyDescent="0.25" r="98" customHeight="1" ht="18.75">
      <c r="A98" s="4" t="s">
        <v>107</v>
      </c>
      <c r="B98" s="5">
        <v>1887.95</v>
      </c>
      <c r="C98" s="5">
        <v>1848.1</v>
      </c>
      <c r="D98" s="5">
        <v>1877.6</v>
      </c>
      <c r="E98" s="5">
        <v>1848.75</v>
      </c>
      <c r="F98" s="7">
        <f>HYPERLINK("https://www.tradingview.com/chart/tioZvgwv/?symbol=NSE%3AICICIGI&amp;interval=", "&amp;#128200;")</f>
      </c>
      <c r="G98" s="7">
        <f>HYPERLINK("https://www.tradingview.com/symbols/NSE-ICICIGI/news/", "&amp;#128240;")</f>
      </c>
      <c r="H98" s="7">
        <f>HYPERLINK("https://www.tradingview.com/symbols/NSE-ICICIGI/technicals/", "&amp;#128202;")</f>
      </c>
      <c r="I98" s="7">
        <f>HYPERLINK("https://www.tradingview.com/symbols/NSE-ICICIGI/financials-overview/", "&amp;#128194;")</f>
      </c>
      <c r="J98" s="4" t="s">
        <v>11</v>
      </c>
    </row>
    <row x14ac:dyDescent="0.25" r="99" customHeight="1" ht="18.75">
      <c r="A99" s="4" t="s">
        <v>108</v>
      </c>
      <c r="B99" s="6">
        <v>653</v>
      </c>
      <c r="C99" s="5">
        <v>635.55</v>
      </c>
      <c r="D99" s="5">
        <v>644.55</v>
      </c>
      <c r="E99" s="5">
        <v>643.95</v>
      </c>
      <c r="F99" s="7">
        <f>HYPERLINK("https://www.tradingview.com/chart/tioZvgwv/?symbol=NSE%3AICICIPRULI&amp;interval=", "&amp;#128200;")</f>
      </c>
      <c r="G99" s="7">
        <f>HYPERLINK("https://www.tradingview.com/symbols/NSE-ICICIPRULI/news/", "&amp;#128240;")</f>
      </c>
      <c r="H99" s="7">
        <f>HYPERLINK("https://www.tradingview.com/symbols/NSE-ICICIPRULI/technicals/", "&amp;#128202;")</f>
      </c>
      <c r="I99" s="7">
        <f>HYPERLINK("https://www.tradingview.com/symbols/NSE-ICICIPRULI/financials-overview/", "&amp;#128194;")</f>
      </c>
      <c r="J99" s="4" t="s">
        <v>11</v>
      </c>
    </row>
    <row x14ac:dyDescent="0.25" r="100" customHeight="1" ht="18.75">
      <c r="A100" s="4" t="s">
        <v>109</v>
      </c>
      <c r="B100" s="5">
        <v>8.08</v>
      </c>
      <c r="C100" s="5">
        <v>7.61</v>
      </c>
      <c r="D100" s="5">
        <v>7.75</v>
      </c>
      <c r="E100" s="5">
        <v>7.88</v>
      </c>
      <c r="F100" s="7">
        <f>HYPERLINK("https://www.tradingview.com/chart/tioZvgwv/?symbol=NSE%3AIDEA&amp;interval=", "&amp;#128200;")</f>
      </c>
      <c r="G100" s="7">
        <f>HYPERLINK("https://www.tradingview.com/symbols/NSE-IDEA/news/", "&amp;#128240;")</f>
      </c>
      <c r="H100" s="7">
        <f>HYPERLINK("https://www.tradingview.com/symbols/NSE-IDEA/technicals/", "&amp;#128202;")</f>
      </c>
      <c r="I100" s="7">
        <f>HYPERLINK("https://www.tradingview.com/symbols/NSE-IDEA/financials-overview/", "&amp;#128194;")</f>
      </c>
      <c r="J100" s="4" t="s">
        <v>11</v>
      </c>
    </row>
    <row x14ac:dyDescent="0.25" r="101" customHeight="1" ht="18.75">
      <c r="A101" s="4" t="s">
        <v>110</v>
      </c>
      <c r="B101" s="5">
        <v>60.66</v>
      </c>
      <c r="C101" s="5">
        <v>59.58</v>
      </c>
      <c r="D101" s="5">
        <v>60.39</v>
      </c>
      <c r="E101" s="5">
        <v>59.9</v>
      </c>
      <c r="F101" s="7">
        <f>HYPERLINK("https://www.tradingview.com/chart/tioZvgwv/?symbol=NSE%3AIDFCFIRSTB&amp;interval=", "&amp;#128200;")</f>
      </c>
      <c r="G101" s="7">
        <f>HYPERLINK("https://www.tradingview.com/symbols/NSE-IDFCFIRSTB/news/", "&amp;#128240;")</f>
      </c>
      <c r="H101" s="7">
        <f>HYPERLINK("https://www.tradingview.com/symbols/NSE-IDFCFIRSTB/technicals/", "&amp;#128202;")</f>
      </c>
      <c r="I101" s="7">
        <f>HYPERLINK("https://www.tradingview.com/symbols/NSE-IDFCFIRSTB/financials-overview/", "&amp;#128194;")</f>
      </c>
      <c r="J101" s="4" t="s">
        <v>11</v>
      </c>
    </row>
    <row x14ac:dyDescent="0.25" r="102" customHeight="1" ht="18.75">
      <c r="A102" s="4" t="s">
        <v>111</v>
      </c>
      <c r="B102" s="5">
        <v>167.6</v>
      </c>
      <c r="C102" s="5">
        <v>164.09</v>
      </c>
      <c r="D102" s="5">
        <v>168.19</v>
      </c>
      <c r="E102" s="5">
        <v>164.23</v>
      </c>
      <c r="F102" s="7">
        <f>HYPERLINK("https://www.tradingview.com/chart/tioZvgwv/?symbol=NSE%3AIEX&amp;interval=", "&amp;#128200;")</f>
      </c>
      <c r="G102" s="7">
        <f>HYPERLINK("https://www.tradingview.com/symbols/NSE-IEX/news/", "&amp;#128240;")</f>
      </c>
      <c r="H102" s="7">
        <f>HYPERLINK("https://www.tradingview.com/symbols/NSE-IEX/technicals/", "&amp;#128202;")</f>
      </c>
      <c r="I102" s="7">
        <f>HYPERLINK("https://www.tradingview.com/symbols/NSE-IEX/financials-overview/", "&amp;#128194;")</f>
      </c>
      <c r="J102" s="4" t="s">
        <v>11</v>
      </c>
    </row>
    <row x14ac:dyDescent="0.25" r="103" customHeight="1" ht="18.75">
      <c r="A103" s="4" t="s">
        <v>112</v>
      </c>
      <c r="B103" s="5">
        <v>412.95</v>
      </c>
      <c r="C103" s="6">
        <v>403</v>
      </c>
      <c r="D103" s="5">
        <v>412.8</v>
      </c>
      <c r="E103" s="5">
        <v>403.65</v>
      </c>
      <c r="F103" s="7">
        <f>HYPERLINK("https://www.tradingview.com/chart/tioZvgwv/?symbol=NSE%3AIGL&amp;interval=", "&amp;#128200;")</f>
      </c>
      <c r="G103" s="7">
        <f>HYPERLINK("https://www.tradingview.com/symbols/NSE-IGL/news/", "&amp;#128240;")</f>
      </c>
      <c r="H103" s="7">
        <f>HYPERLINK("https://www.tradingview.com/symbols/NSE-IGL/technicals/", "&amp;#128202;")</f>
      </c>
      <c r="I103" s="7">
        <f>HYPERLINK("https://www.tradingview.com/symbols/NSE-IGL/financials-overview/", "&amp;#128194;")</f>
      </c>
      <c r="J103" s="4" t="s">
        <v>11</v>
      </c>
    </row>
    <row x14ac:dyDescent="0.25" r="104" customHeight="1" ht="18.75">
      <c r="A104" s="4" t="s">
        <v>113</v>
      </c>
      <c r="B104" s="5">
        <v>801.85</v>
      </c>
      <c r="C104" s="5">
        <v>774.25</v>
      </c>
      <c r="D104" s="5">
        <v>805.9</v>
      </c>
      <c r="E104" s="5">
        <v>774.95</v>
      </c>
      <c r="F104" s="7">
        <f>HYPERLINK("https://www.tradingview.com/chart/tioZvgwv/?symbol=NSE%3AINDHOTEL&amp;interval=", "&amp;#128200;")</f>
      </c>
      <c r="G104" s="7">
        <f>HYPERLINK("https://www.tradingview.com/symbols/NSE-INDHOTEL/news/", "&amp;#128240;")</f>
      </c>
      <c r="H104" s="7">
        <f>HYPERLINK("https://www.tradingview.com/symbols/NSE-INDHOTEL/technicals/", "&amp;#128202;")</f>
      </c>
      <c r="I104" s="7">
        <f>HYPERLINK("https://www.tradingview.com/symbols/NSE-INDHOTEL/financials-overview/", "&amp;#128194;")</f>
      </c>
      <c r="J104" s="4" t="s">
        <v>11</v>
      </c>
    </row>
    <row x14ac:dyDescent="0.25" r="105" customHeight="1" ht="18.75">
      <c r="A105" s="4" t="s">
        <v>114</v>
      </c>
      <c r="B105" s="5">
        <v>2314.95</v>
      </c>
      <c r="C105" s="5">
        <v>2265.4</v>
      </c>
      <c r="D105" s="5">
        <v>2325.15</v>
      </c>
      <c r="E105" s="5">
        <v>2269.45</v>
      </c>
      <c r="F105" s="7">
        <f>HYPERLINK("https://www.tradingview.com/chart/tioZvgwv/?symbol=NSE%3AINDIAMART&amp;interval=", "&amp;#128200;")</f>
      </c>
      <c r="G105" s="7">
        <f>HYPERLINK("https://www.tradingview.com/symbols/NSE-INDIAMART/news/", "&amp;#128240;")</f>
      </c>
      <c r="H105" s="7">
        <f>HYPERLINK("https://www.tradingview.com/symbols/NSE-INDIAMART/technicals/", "&amp;#128202;")</f>
      </c>
      <c r="I105" s="7">
        <f>HYPERLINK("https://www.tradingview.com/symbols/NSE-INDIAMART/financials-overview/", "&amp;#128194;")</f>
      </c>
      <c r="J105" s="4" t="s">
        <v>11</v>
      </c>
    </row>
    <row x14ac:dyDescent="0.25" r="106" customHeight="1" ht="18.75">
      <c r="A106" s="4" t="s">
        <v>115</v>
      </c>
      <c r="B106" s="6">
        <v>492</v>
      </c>
      <c r="C106" s="5">
        <v>480.55</v>
      </c>
      <c r="D106" s="5">
        <v>492.4</v>
      </c>
      <c r="E106" s="5">
        <v>482.3</v>
      </c>
      <c r="F106" s="7">
        <f>HYPERLINK("https://www.tradingview.com/chart/tioZvgwv/?symbol=NSE%3AINDIANB&amp;interval=", "&amp;#128200;")</f>
      </c>
      <c r="G106" s="7">
        <f>HYPERLINK("https://www.tradingview.com/symbols/NSE-INDIANB/news/", "&amp;#128240;")</f>
      </c>
      <c r="H106" s="7">
        <f>HYPERLINK("https://www.tradingview.com/symbols/NSE-INDIANB/technicals/", "&amp;#128202;")</f>
      </c>
      <c r="I106" s="7">
        <f>HYPERLINK("https://www.tradingview.com/symbols/NSE-INDIANB/financials-overview/", "&amp;#128194;")</f>
      </c>
      <c r="J106" s="4" t="s">
        <v>11</v>
      </c>
    </row>
    <row x14ac:dyDescent="0.25" r="107" customHeight="1" ht="18.75">
      <c r="A107" s="4" t="s">
        <v>116</v>
      </c>
      <c r="B107" s="5">
        <v>4129.95</v>
      </c>
      <c r="C107" s="6">
        <v>3952</v>
      </c>
      <c r="D107" s="5">
        <v>4228.8</v>
      </c>
      <c r="E107" s="5">
        <v>4041.45</v>
      </c>
      <c r="F107" s="7">
        <f>HYPERLINK("https://www.tradingview.com/chart/tioZvgwv/?symbol=NSE%3AINDIGO&amp;interval=", "&amp;#128200;")</f>
      </c>
      <c r="G107" s="7">
        <f>HYPERLINK("https://www.tradingview.com/symbols/NSE-INDIGO/news/", "&amp;#128240;")</f>
      </c>
      <c r="H107" s="7">
        <f>HYPERLINK("https://www.tradingview.com/symbols/NSE-INDIGO/technicals/", "&amp;#128202;")</f>
      </c>
      <c r="I107" s="7">
        <f>HYPERLINK("https://www.tradingview.com/symbols/NSE-INDIGO/financials-overview/", "&amp;#128194;")</f>
      </c>
      <c r="J107" s="4" t="s">
        <v>11</v>
      </c>
    </row>
    <row x14ac:dyDescent="0.25" r="108" customHeight="1" ht="18.75">
      <c r="A108" s="4" t="s">
        <v>117</v>
      </c>
      <c r="B108" s="5">
        <v>973.5</v>
      </c>
      <c r="C108" s="5">
        <v>934.5</v>
      </c>
      <c r="D108" s="5">
        <v>937.6</v>
      </c>
      <c r="E108" s="5">
        <v>950.7</v>
      </c>
      <c r="F108" s="7">
        <f>HYPERLINK("https://www.tradingview.com/chart/tioZvgwv/?symbol=NSE%3AINDUSINDBK&amp;interval=", "&amp;#128200;")</f>
      </c>
      <c r="G108" s="7">
        <f>HYPERLINK("https://www.tradingview.com/symbols/NSE-INDUSINDBK/news/", "&amp;#128240;")</f>
      </c>
      <c r="H108" s="7">
        <f>HYPERLINK("https://www.tradingview.com/symbols/NSE-INDUSINDBK/technicals/", "&amp;#128202;")</f>
      </c>
      <c r="I108" s="7">
        <f>HYPERLINK("https://www.tradingview.com/symbols/NSE-INDUSINDBK/financials-overview/", "&amp;#128194;")</f>
      </c>
      <c r="J108" s="4" t="s">
        <v>11</v>
      </c>
    </row>
    <row x14ac:dyDescent="0.25" r="109" customHeight="1" ht="18.75">
      <c r="A109" s="4" t="s">
        <v>118</v>
      </c>
      <c r="B109" s="5">
        <v>333.25</v>
      </c>
      <c r="C109" s="5">
        <v>315.55</v>
      </c>
      <c r="D109" s="5">
        <v>320.4</v>
      </c>
      <c r="E109" s="5">
        <v>327.05</v>
      </c>
      <c r="F109" s="7">
        <f>HYPERLINK("https://www.tradingview.com/chart/tioZvgwv/?symbol=NSE%3AINDUSTOWER&amp;interval=", "&amp;#128200;")</f>
      </c>
      <c r="G109" s="7">
        <f>HYPERLINK("https://www.tradingview.com/symbols/NSE-INDUSTOWER/news/", "&amp;#128240;")</f>
      </c>
      <c r="H109" s="7">
        <f>HYPERLINK("https://www.tradingview.com/symbols/NSE-INDUSTOWER/technicals/", "&amp;#128202;")</f>
      </c>
      <c r="I109" s="7">
        <f>HYPERLINK("https://www.tradingview.com/symbols/NSE-INDUSTOWER/financials-overview/", "&amp;#128194;")</f>
      </c>
      <c r="J109" s="4" t="s">
        <v>11</v>
      </c>
    </row>
    <row x14ac:dyDescent="0.25" r="110" customHeight="1" ht="18.75">
      <c r="A110" s="4" t="s">
        <v>119</v>
      </c>
      <c r="B110" s="5">
        <v>1982.8</v>
      </c>
      <c r="C110" s="6">
        <v>1949</v>
      </c>
      <c r="D110" s="5">
        <v>1966.95</v>
      </c>
      <c r="E110" s="5">
        <v>1970.5</v>
      </c>
      <c r="F110" s="7">
        <f>HYPERLINK("https://www.tradingview.com/chart/tioZvgwv/?symbol=NSE%3AINFY&amp;interval=", "&amp;#128200;")</f>
      </c>
      <c r="G110" s="7">
        <f>HYPERLINK("https://www.tradingview.com/symbols/NSE-INFY/news/", "&amp;#128240;")</f>
      </c>
      <c r="H110" s="7">
        <f>HYPERLINK("https://www.tradingview.com/symbols/NSE-INFY/technicals/", "&amp;#128202;")</f>
      </c>
      <c r="I110" s="7">
        <f>HYPERLINK("https://www.tradingview.com/symbols/NSE-INFY/financials-overview/", "&amp;#128194;")</f>
      </c>
      <c r="J110" s="4" t="s">
        <v>11</v>
      </c>
    </row>
    <row x14ac:dyDescent="0.25" r="111" customHeight="1" ht="18.75">
      <c r="A111" s="4" t="s">
        <v>120</v>
      </c>
      <c r="B111" s="5">
        <v>128.39</v>
      </c>
      <c r="C111" s="5">
        <v>123.6</v>
      </c>
      <c r="D111" s="5">
        <v>130.28</v>
      </c>
      <c r="E111" s="5">
        <v>123.69</v>
      </c>
      <c r="F111" s="7">
        <f>HYPERLINK("https://www.tradingview.com/chart/tioZvgwv/?symbol=NSE%3AIOC&amp;interval=", "&amp;#128200;")</f>
      </c>
      <c r="G111" s="7">
        <f>HYPERLINK("https://www.tradingview.com/symbols/NSE-IOC/news/", "&amp;#128240;")</f>
      </c>
      <c r="H111" s="7">
        <f>HYPERLINK("https://www.tradingview.com/symbols/NSE-IOC/technicals/", "&amp;#128202;")</f>
      </c>
      <c r="I111" s="7">
        <f>HYPERLINK("https://www.tradingview.com/symbols/NSE-IOC/financials-overview/", "&amp;#128194;")</f>
      </c>
      <c r="J111" s="4" t="s">
        <v>11</v>
      </c>
    </row>
    <row x14ac:dyDescent="0.25" r="112" customHeight="1" ht="18.75">
      <c r="A112" s="4" t="s">
        <v>121</v>
      </c>
      <c r="B112" s="5">
        <v>1634.75</v>
      </c>
      <c r="C112" s="5">
        <v>1575.05</v>
      </c>
      <c r="D112" s="5">
        <v>1632.35</v>
      </c>
      <c r="E112" s="5">
        <v>1606.9</v>
      </c>
      <c r="F112" s="7">
        <f>HYPERLINK("https://www.tradingview.com/chart/tioZvgwv/?symbol=NSE%3AIPCALAB&amp;interval=", "&amp;#128200;")</f>
      </c>
      <c r="G112" s="7">
        <f>HYPERLINK("https://www.tradingview.com/symbols/NSE-IPCALAB/news/", "&amp;#128240;")</f>
      </c>
      <c r="H112" s="7">
        <f>HYPERLINK("https://www.tradingview.com/symbols/NSE-IPCALAB/technicals/", "&amp;#128202;")</f>
      </c>
      <c r="I112" s="7">
        <f>HYPERLINK("https://www.tradingview.com/symbols/NSE-IPCALAB/financials-overview/", "&amp;#128194;")</f>
      </c>
      <c r="J112" s="4" t="s">
        <v>11</v>
      </c>
    </row>
    <row x14ac:dyDescent="0.25" r="113" customHeight="1" ht="18.75">
      <c r="A113" s="4" t="s">
        <v>122</v>
      </c>
      <c r="B113" s="5">
        <v>52.73</v>
      </c>
      <c r="C113" s="6">
        <v>51</v>
      </c>
      <c r="D113" s="5">
        <v>52.91</v>
      </c>
      <c r="E113" s="5">
        <v>51.17</v>
      </c>
      <c r="F113" s="7">
        <f>HYPERLINK("https://www.tradingview.com/chart/tioZvgwv/?symbol=NSE%3AIRB&amp;interval=", "&amp;#128200;")</f>
      </c>
      <c r="G113" s="7">
        <f>HYPERLINK("https://www.tradingview.com/symbols/NSE-IRB/news/", "&amp;#128240;")</f>
      </c>
      <c r="H113" s="7">
        <f>HYPERLINK("https://www.tradingview.com/symbols/NSE-IRB/technicals/", "&amp;#128202;")</f>
      </c>
      <c r="I113" s="7">
        <f>HYPERLINK("https://www.tradingview.com/symbols/NSE-IRB/financials-overview/", "&amp;#128194;")</f>
      </c>
      <c r="J113" s="4" t="s">
        <v>11</v>
      </c>
    </row>
    <row x14ac:dyDescent="0.25" r="114" customHeight="1" ht="18.75">
      <c r="A114" s="4" t="s">
        <v>123</v>
      </c>
      <c r="B114" s="5">
        <v>779.15</v>
      </c>
      <c r="C114" s="5">
        <v>759.5</v>
      </c>
      <c r="D114" s="5">
        <v>779.15</v>
      </c>
      <c r="E114" s="5">
        <v>760.75</v>
      </c>
      <c r="F114" s="7">
        <f>HYPERLINK("https://www.tradingview.com/chart/tioZvgwv/?symbol=NSE%3AIRCTC&amp;interval=", "&amp;#128200;")</f>
      </c>
      <c r="G114" s="7">
        <f>HYPERLINK("https://www.tradingview.com/symbols/NSE-IRCTC/news/", "&amp;#128240;")</f>
      </c>
      <c r="H114" s="7">
        <f>HYPERLINK("https://www.tradingview.com/symbols/NSE-IRCTC/technicals/", "&amp;#128202;")</f>
      </c>
      <c r="I114" s="7">
        <f>HYPERLINK("https://www.tradingview.com/symbols/NSE-IRCTC/financials-overview/", "&amp;#128194;")</f>
      </c>
      <c r="J114" s="4" t="s">
        <v>11</v>
      </c>
    </row>
    <row x14ac:dyDescent="0.25" r="115" customHeight="1" ht="18.75">
      <c r="A115" s="4" t="s">
        <v>124</v>
      </c>
      <c r="B115" s="5">
        <v>135.77</v>
      </c>
      <c r="C115" s="5">
        <v>132.2</v>
      </c>
      <c r="D115" s="5">
        <v>135.71</v>
      </c>
      <c r="E115" s="5">
        <v>132.26</v>
      </c>
      <c r="F115" s="7">
        <f>HYPERLINK("https://www.tradingview.com/chart/tioZvgwv/?symbol=NSE%3AIRFC&amp;interval=", "&amp;#128200;")</f>
      </c>
      <c r="G115" s="7">
        <f>HYPERLINK("https://www.tradingview.com/symbols/NSE-IRFC/news/", "&amp;#128240;")</f>
      </c>
      <c r="H115" s="7">
        <f>HYPERLINK("https://www.tradingview.com/symbols/NSE-IRFC/technicals/", "&amp;#128202;")</f>
      </c>
      <c r="I115" s="7">
        <f>HYPERLINK("https://www.tradingview.com/symbols/NSE-IRFC/financials-overview/", "&amp;#128194;")</f>
      </c>
      <c r="J115" s="4" t="s">
        <v>11</v>
      </c>
    </row>
    <row x14ac:dyDescent="0.25" r="116" customHeight="1" ht="18.75">
      <c r="A116" s="4" t="s">
        <v>125</v>
      </c>
      <c r="B116" s="5">
        <v>442.6</v>
      </c>
      <c r="C116" s="6">
        <v>435</v>
      </c>
      <c r="D116" s="5">
        <v>444.9</v>
      </c>
      <c r="E116" s="5">
        <v>441.3</v>
      </c>
      <c r="F116" s="7">
        <f>HYPERLINK("https://www.tradingview.com/chart/tioZvgwv/?symbol=NSE%3AITC&amp;interval=", "&amp;#128200;")</f>
      </c>
      <c r="G116" s="7">
        <f>HYPERLINK("https://www.tradingview.com/symbols/NSE-ITC/news/", "&amp;#128240;")</f>
      </c>
      <c r="H116" s="7">
        <f>HYPERLINK("https://www.tradingview.com/symbols/NSE-ITC/technicals/", "&amp;#128202;")</f>
      </c>
      <c r="I116" s="7">
        <f>HYPERLINK("https://www.tradingview.com/symbols/NSE-ITC/financials-overview/", "&amp;#128194;")</f>
      </c>
      <c r="J116" s="4" t="s">
        <v>11</v>
      </c>
    </row>
    <row x14ac:dyDescent="0.25" r="117" customHeight="1" ht="18.75">
      <c r="A117" s="4" t="s">
        <v>126</v>
      </c>
      <c r="B117" s="5">
        <v>918.55</v>
      </c>
      <c r="C117" s="5">
        <v>901.2</v>
      </c>
      <c r="D117" s="5">
        <v>917.7</v>
      </c>
      <c r="E117" s="5">
        <v>903.9</v>
      </c>
      <c r="F117" s="7">
        <f>HYPERLINK("https://www.tradingview.com/chart/tioZvgwv/?symbol=NSE%3AJINDALSTEL&amp;interval=", "&amp;#128200;")</f>
      </c>
      <c r="G117" s="7">
        <f>HYPERLINK("https://www.tradingview.com/symbols/NSE-JINDALSTEL/news/", "&amp;#128240;")</f>
      </c>
      <c r="H117" s="7">
        <f>HYPERLINK("https://www.tradingview.com/symbols/NSE-JINDALSTEL/technicals/", "&amp;#128202;")</f>
      </c>
      <c r="I117" s="7">
        <f>HYPERLINK("https://www.tradingview.com/symbols/NSE-JINDALSTEL/financials-overview/", "&amp;#128194;")</f>
      </c>
      <c r="J117" s="4" t="s">
        <v>11</v>
      </c>
    </row>
    <row x14ac:dyDescent="0.25" r="118" customHeight="1" ht="18.75">
      <c r="A118" s="4" t="s">
        <v>127</v>
      </c>
      <c r="B118" s="6">
        <v>278</v>
      </c>
      <c r="C118" s="5">
        <v>269.15</v>
      </c>
      <c r="D118" s="5">
        <v>280.55</v>
      </c>
      <c r="E118" s="5">
        <v>269.4</v>
      </c>
      <c r="F118" s="7">
        <f>HYPERLINK("https://www.tradingview.com/chart/tioZvgwv/?symbol=NSE%3AJIOFIN&amp;interval=", "&amp;#128200;")</f>
      </c>
      <c r="G118" s="7">
        <f>HYPERLINK("https://www.tradingview.com/symbols/NSE-JIOFIN/news/", "&amp;#128240;")</f>
      </c>
      <c r="H118" s="7">
        <f>HYPERLINK("https://www.tradingview.com/symbols/NSE-JIOFIN/technicals/", "&amp;#128202;")</f>
      </c>
      <c r="I118" s="7">
        <f>HYPERLINK("https://www.tradingview.com/symbols/NSE-JIOFIN/financials-overview/", "&amp;#128194;")</f>
      </c>
      <c r="J118" s="4" t="s">
        <v>11</v>
      </c>
    </row>
    <row x14ac:dyDescent="0.25" r="119" customHeight="1" ht="18.75">
      <c r="A119" s="4" t="s">
        <v>128</v>
      </c>
      <c r="B119" s="6">
        <v>4570</v>
      </c>
      <c r="C119" s="5">
        <v>4441.3</v>
      </c>
      <c r="D119" s="5">
        <v>4543.55</v>
      </c>
      <c r="E119" s="5">
        <v>4445.9</v>
      </c>
      <c r="F119" s="7">
        <f>HYPERLINK("https://www.tradingview.com/chart/tioZvgwv/?symbol=NSE%3AJKCEMENT&amp;interval=", "&amp;#128200;")</f>
      </c>
      <c r="G119" s="7">
        <f>HYPERLINK("https://www.tradingview.com/symbols/NSE-JKCEMENT/news/", "&amp;#128240;")</f>
      </c>
      <c r="H119" s="7">
        <f>HYPERLINK("https://www.tradingview.com/symbols/NSE-JKCEMENT/technicals/", "&amp;#128202;")</f>
      </c>
      <c r="I119" s="7">
        <f>HYPERLINK("https://www.tradingview.com/symbols/NSE-JKCEMENT/financials-overview/", "&amp;#128194;")</f>
      </c>
      <c r="J119" s="4" t="s">
        <v>11</v>
      </c>
    </row>
    <row x14ac:dyDescent="0.25" r="120" customHeight="1" ht="18.75">
      <c r="A120" s="4" t="s">
        <v>129</v>
      </c>
      <c r="B120" s="5">
        <v>628.6</v>
      </c>
      <c r="C120" s="5">
        <v>612.75</v>
      </c>
      <c r="D120" s="5">
        <v>625.55</v>
      </c>
      <c r="E120" s="5">
        <v>613.85</v>
      </c>
      <c r="F120" s="7">
        <f>HYPERLINK("https://www.tradingview.com/chart/tioZvgwv/?symbol=NSE%3AJSL&amp;interval=", "&amp;#128200;")</f>
      </c>
      <c r="G120" s="7">
        <f>HYPERLINK("https://www.tradingview.com/symbols/NSE-JSL/news/", "&amp;#128240;")</f>
      </c>
      <c r="H120" s="7">
        <f>HYPERLINK("https://www.tradingview.com/symbols/NSE-JSL/technicals/", "&amp;#128202;")</f>
      </c>
      <c r="I120" s="7">
        <f>HYPERLINK("https://www.tradingview.com/symbols/NSE-JSL/financials-overview/", "&amp;#128194;")</f>
      </c>
      <c r="J120" s="4" t="s">
        <v>11</v>
      </c>
    </row>
    <row x14ac:dyDescent="0.25" r="121" customHeight="1" ht="18.75">
      <c r="A121" s="4" t="s">
        <v>130</v>
      </c>
      <c r="B121" s="5">
        <v>539.6</v>
      </c>
      <c r="C121" s="5">
        <v>527.7</v>
      </c>
      <c r="D121" s="5">
        <v>539.6</v>
      </c>
      <c r="E121" s="5">
        <v>530.4</v>
      </c>
      <c r="F121" s="7">
        <f>HYPERLINK("https://www.tradingview.com/chart/tioZvgwv/?symbol=NSE%3AJSWENERGY&amp;interval=", "&amp;#128200;")</f>
      </c>
      <c r="G121" s="7">
        <f>HYPERLINK("https://www.tradingview.com/symbols/NSE-JSWENERGY/news/", "&amp;#128240;")</f>
      </c>
      <c r="H121" s="7">
        <f>HYPERLINK("https://www.tradingview.com/symbols/NSE-JSWENERGY/technicals/", "&amp;#128202;")</f>
      </c>
      <c r="I121" s="7">
        <f>HYPERLINK("https://www.tradingview.com/symbols/NSE-JSWENERGY/financials-overview/", "&amp;#128194;")</f>
      </c>
      <c r="J121" s="4" t="s">
        <v>11</v>
      </c>
    </row>
    <row x14ac:dyDescent="0.25" r="122" customHeight="1" ht="18.75">
      <c r="A122" s="4" t="s">
        <v>131</v>
      </c>
      <c r="B122" s="5">
        <v>898.7</v>
      </c>
      <c r="C122" s="5">
        <v>887.65</v>
      </c>
      <c r="D122" s="5">
        <v>900.1</v>
      </c>
      <c r="E122" s="5">
        <v>890.15</v>
      </c>
      <c r="F122" s="7">
        <f>HYPERLINK("https://www.tradingview.com/chart/tioZvgwv/?symbol=NSE%3AJSWSTEEL&amp;interval=", "&amp;#128200;")</f>
      </c>
      <c r="G122" s="7">
        <f>HYPERLINK("https://www.tradingview.com/symbols/NSE-JSWSTEEL/news/", "&amp;#128240;")</f>
      </c>
      <c r="H122" s="7">
        <f>HYPERLINK("https://www.tradingview.com/symbols/NSE-JSWSTEEL/technicals/", "&amp;#128202;")</f>
      </c>
      <c r="I122" s="7">
        <f>HYPERLINK("https://www.tradingview.com/symbols/NSE-JSWSTEEL/financials-overview/", "&amp;#128194;")</f>
      </c>
      <c r="J122" s="4" t="s">
        <v>11</v>
      </c>
    </row>
    <row x14ac:dyDescent="0.25" r="123" customHeight="1" ht="18.75">
      <c r="A123" s="4" t="s">
        <v>132</v>
      </c>
      <c r="B123" s="5">
        <v>733.55</v>
      </c>
      <c r="C123" s="6">
        <v>717</v>
      </c>
      <c r="D123" s="6">
        <v>737</v>
      </c>
      <c r="E123" s="5">
        <v>717.95</v>
      </c>
      <c r="F123" s="7">
        <f>HYPERLINK("https://www.tradingview.com/chart/tioZvgwv/?symbol=NSE%3AJUBLFOOD&amp;interval=", "&amp;#128200;")</f>
      </c>
      <c r="G123" s="7">
        <f>HYPERLINK("https://www.tradingview.com/symbols/NSE-JUBLFOOD/news/", "&amp;#128240;")</f>
      </c>
      <c r="H123" s="7">
        <f>HYPERLINK("https://www.tradingview.com/symbols/NSE-JUBLFOOD/technicals/", "&amp;#128202;")</f>
      </c>
      <c r="I123" s="7">
        <f>HYPERLINK("https://www.tradingview.com/symbols/NSE-JUBLFOOD/financials-overview/", "&amp;#128194;")</f>
      </c>
      <c r="J123" s="4" t="s">
        <v>11</v>
      </c>
    </row>
    <row x14ac:dyDescent="0.25" r="124" customHeight="1" ht="18.75">
      <c r="A124" s="4" t="s">
        <v>133</v>
      </c>
      <c r="B124" s="5">
        <v>609.7</v>
      </c>
      <c r="C124" s="6">
        <v>584</v>
      </c>
      <c r="D124" s="5">
        <v>626.75</v>
      </c>
      <c r="E124" s="5">
        <v>584.85</v>
      </c>
      <c r="F124" s="7">
        <f>HYPERLINK("https://www.tradingview.com/chart/tioZvgwv/?symbol=NSE%3AKALYANKJIL&amp;interval=", "&amp;#128200;")</f>
      </c>
      <c r="G124" s="7">
        <f>HYPERLINK("https://www.tradingview.com/symbols/NSE-KALYANKJIL/news/", "&amp;#128240;")</f>
      </c>
      <c r="H124" s="7">
        <f>HYPERLINK("https://www.tradingview.com/symbols/NSE-KALYANKJIL/technicals/", "&amp;#128202;")</f>
      </c>
      <c r="I124" s="7">
        <f>HYPERLINK("https://www.tradingview.com/symbols/NSE-KALYANKJIL/financials-overview/", "&amp;#128194;")</f>
      </c>
      <c r="J124" s="4" t="s">
        <v>11</v>
      </c>
    </row>
    <row x14ac:dyDescent="0.25" r="125" customHeight="1" ht="18.75">
      <c r="A125" s="4" t="s">
        <v>134</v>
      </c>
      <c r="B125" s="5">
        <v>4139.45</v>
      </c>
      <c r="C125" s="6">
        <v>4004</v>
      </c>
      <c r="D125" s="5">
        <v>4177.05</v>
      </c>
      <c r="E125" s="6">
        <v>4020</v>
      </c>
      <c r="F125" s="7">
        <f>HYPERLINK("https://www.tradingview.com/chart/tioZvgwv/?symbol=NSE%3AKEI&amp;interval=", "&amp;#128200;")</f>
      </c>
      <c r="G125" s="7">
        <f>HYPERLINK("https://www.tradingview.com/symbols/NSE-KEI/news/", "&amp;#128240;")</f>
      </c>
      <c r="H125" s="7">
        <f>HYPERLINK("https://www.tradingview.com/symbols/NSE-KEI/technicals/", "&amp;#128202;")</f>
      </c>
      <c r="I125" s="7">
        <f>HYPERLINK("https://www.tradingview.com/symbols/NSE-KEI/financials-overview/", "&amp;#128194;")</f>
      </c>
      <c r="J125" s="4" t="s">
        <v>11</v>
      </c>
    </row>
    <row x14ac:dyDescent="0.25" r="126" customHeight="1" ht="18.75">
      <c r="A126" s="4" t="s">
        <v>135</v>
      </c>
      <c r="B126" s="5">
        <v>1744.55</v>
      </c>
      <c r="C126" s="5">
        <v>1723.75</v>
      </c>
      <c r="D126" s="5">
        <v>1756.2</v>
      </c>
      <c r="E126" s="5">
        <v>1735.15</v>
      </c>
      <c r="F126" s="7">
        <f>HYPERLINK("https://www.tradingview.com/chart/tioZvgwv/?symbol=NSE%3AKOTAKBANK&amp;interval=", "&amp;#128200;")</f>
      </c>
      <c r="G126" s="7">
        <f>HYPERLINK("https://www.tradingview.com/symbols/NSE-KOTAKBANK/news/", "&amp;#128240;")</f>
      </c>
      <c r="H126" s="7">
        <f>HYPERLINK("https://www.tradingview.com/symbols/NSE-KOTAKBANK/technicals/", "&amp;#128202;")</f>
      </c>
      <c r="I126" s="7">
        <f>HYPERLINK("https://www.tradingview.com/symbols/NSE-KOTAKBANK/financials-overview/", "&amp;#128194;")</f>
      </c>
      <c r="J126" s="4" t="s">
        <v>11</v>
      </c>
    </row>
    <row x14ac:dyDescent="0.25" r="127" customHeight="1" ht="18.75">
      <c r="A127" s="4" t="s">
        <v>136</v>
      </c>
      <c r="B127" s="5">
        <v>1381.85</v>
      </c>
      <c r="C127" s="5">
        <v>1337.1</v>
      </c>
      <c r="D127" s="5">
        <v>1369.65</v>
      </c>
      <c r="E127" s="5">
        <v>1339.7</v>
      </c>
      <c r="F127" s="7">
        <f>HYPERLINK("https://www.tradingview.com/chart/tioZvgwv/?symbol=NSE%3AKPITTECH&amp;interval=", "&amp;#128200;")</f>
      </c>
      <c r="G127" s="7">
        <f>HYPERLINK("https://www.tradingview.com/symbols/NSE-KPITTECH/news/", "&amp;#128240;")</f>
      </c>
      <c r="H127" s="7">
        <f>HYPERLINK("https://www.tradingview.com/symbols/NSE-KPITTECH/technicals/", "&amp;#128202;")</f>
      </c>
      <c r="I127" s="7">
        <f>HYPERLINK("https://www.tradingview.com/symbols/NSE-KPITTECH/financials-overview/", "&amp;#128194;")</f>
      </c>
      <c r="J127" s="4" t="s">
        <v>11</v>
      </c>
    </row>
    <row x14ac:dyDescent="0.25" r="128" customHeight="1" ht="18.75">
      <c r="A128" s="4" t="s">
        <v>137</v>
      </c>
      <c r="B128" s="6">
        <v>2912</v>
      </c>
      <c r="C128" s="5">
        <v>2865.25</v>
      </c>
      <c r="D128" s="5">
        <v>2928.15</v>
      </c>
      <c r="E128" s="5">
        <v>2868.35</v>
      </c>
      <c r="F128" s="7">
        <f>HYPERLINK("https://www.tradingview.com/chart/tioZvgwv/?symbol=NSE%3ALALPATHLAB&amp;interval=", "&amp;#128200;")</f>
      </c>
      <c r="G128" s="7">
        <f>HYPERLINK("https://www.tradingview.com/symbols/NSE-LALPATHLAB/news/", "&amp;#128240;")</f>
      </c>
      <c r="H128" s="7">
        <f>HYPERLINK("https://www.tradingview.com/symbols/NSE-LALPATHLAB/technicals/", "&amp;#128202;")</f>
      </c>
      <c r="I128" s="7">
        <f>HYPERLINK("https://www.tradingview.com/symbols/NSE-LALPATHLAB/financials-overview/", "&amp;#128194;")</f>
      </c>
      <c r="J128" s="4" t="s">
        <v>11</v>
      </c>
    </row>
    <row x14ac:dyDescent="0.25" r="129" customHeight="1" ht="18.75">
      <c r="A129" s="4" t="s">
        <v>138</v>
      </c>
      <c r="B129" s="6">
        <v>586</v>
      </c>
      <c r="C129" s="6">
        <v>571</v>
      </c>
      <c r="D129" s="5">
        <v>583.7</v>
      </c>
      <c r="E129" s="5">
        <v>572.7</v>
      </c>
      <c r="F129" s="7">
        <f>HYPERLINK("https://www.tradingview.com/chart/tioZvgwv/?symbol=NSE%3ALAURUSLABS&amp;interval=", "&amp;#128200;")</f>
      </c>
      <c r="G129" s="7">
        <f>HYPERLINK("https://www.tradingview.com/symbols/NSE-LAURUSLABS/news/", "&amp;#128240;")</f>
      </c>
      <c r="H129" s="7">
        <f>HYPERLINK("https://www.tradingview.com/symbols/NSE-LAURUSLABS/technicals/", "&amp;#128202;")</f>
      </c>
      <c r="I129" s="7">
        <f>HYPERLINK("https://www.tradingview.com/symbols/NSE-LAURUSLABS/financials-overview/", "&amp;#128194;")</f>
      </c>
      <c r="J129" s="4" t="s">
        <v>11</v>
      </c>
    </row>
    <row x14ac:dyDescent="0.25" r="130" customHeight="1" ht="18.75">
      <c r="A130" s="4" t="s">
        <v>139</v>
      </c>
      <c r="B130" s="6">
        <v>555</v>
      </c>
      <c r="C130" s="5">
        <v>541.65</v>
      </c>
      <c r="D130" s="5">
        <v>554.9</v>
      </c>
      <c r="E130" s="5">
        <v>541.9</v>
      </c>
      <c r="F130" s="7">
        <f>HYPERLINK("https://www.tradingview.com/chart/tioZvgwv/?symbol=NSE%3ALICHSGFIN&amp;interval=", "&amp;#128200;")</f>
      </c>
      <c r="G130" s="7">
        <f>HYPERLINK("https://www.tradingview.com/symbols/NSE-LICHSGFIN/news/", "&amp;#128240;")</f>
      </c>
      <c r="H130" s="7">
        <f>HYPERLINK("https://www.tradingview.com/symbols/NSE-LICHSGFIN/technicals/", "&amp;#128202;")</f>
      </c>
      <c r="I130" s="7">
        <f>HYPERLINK("https://www.tradingview.com/symbols/NSE-LICHSGFIN/financials-overview/", "&amp;#128194;")</f>
      </c>
      <c r="J130" s="4" t="s">
        <v>11</v>
      </c>
    </row>
    <row x14ac:dyDescent="0.25" r="131" customHeight="1" ht="18.75">
      <c r="A131" s="4" t="s">
        <v>140</v>
      </c>
      <c r="B131" s="5">
        <v>836.85</v>
      </c>
      <c r="C131" s="6">
        <v>825</v>
      </c>
      <c r="D131" s="5">
        <v>839.5</v>
      </c>
      <c r="E131" s="5">
        <v>825.15</v>
      </c>
      <c r="F131" s="7">
        <f>HYPERLINK("https://www.tradingview.com/chart/tioZvgwv/?symbol=NSE%3ALICI&amp;interval=", "&amp;#128200;")</f>
      </c>
      <c r="G131" s="7">
        <f>HYPERLINK("https://www.tradingview.com/symbols/NSE-LICI/news/", "&amp;#128240;")</f>
      </c>
      <c r="H131" s="7">
        <f>HYPERLINK("https://www.tradingview.com/symbols/NSE-LICI/technicals/", "&amp;#128202;")</f>
      </c>
      <c r="I131" s="7">
        <f>HYPERLINK("https://www.tradingview.com/symbols/NSE-LICI/financials-overview/", "&amp;#128194;")</f>
      </c>
      <c r="J131" s="4" t="s">
        <v>11</v>
      </c>
    </row>
    <row x14ac:dyDescent="0.25" r="132" customHeight="1" ht="18.75">
      <c r="A132" s="4" t="s">
        <v>141</v>
      </c>
      <c r="B132" s="5">
        <v>1259.9</v>
      </c>
      <c r="C132" s="5">
        <v>1198.55</v>
      </c>
      <c r="D132" s="5">
        <v>1283.7</v>
      </c>
      <c r="E132" s="5">
        <v>1199.8</v>
      </c>
      <c r="F132" s="7">
        <f>HYPERLINK("https://www.tradingview.com/chart/tioZvgwv/?symbol=NSE%3ALODHA&amp;interval=", "&amp;#128200;")</f>
      </c>
      <c r="G132" s="7">
        <f>HYPERLINK("https://www.tradingview.com/symbols/NSE-LODHA/news/", "&amp;#128240;")</f>
      </c>
      <c r="H132" s="7">
        <f>HYPERLINK("https://www.tradingview.com/symbols/NSE-LODHA/technicals/", "&amp;#128202;")</f>
      </c>
      <c r="I132" s="7">
        <f>HYPERLINK("https://www.tradingview.com/symbols/NSE-LODHA/financials-overview/", "&amp;#128194;")</f>
      </c>
      <c r="J132" s="4" t="s">
        <v>11</v>
      </c>
    </row>
    <row x14ac:dyDescent="0.25" r="133" customHeight="1" ht="18.75">
      <c r="A133" s="4" t="s">
        <v>142</v>
      </c>
      <c r="B133" s="5">
        <v>3534.5</v>
      </c>
      <c r="C133" s="5">
        <v>3496.05</v>
      </c>
      <c r="D133" s="5">
        <v>3536.15</v>
      </c>
      <c r="E133" s="5">
        <v>3520.8</v>
      </c>
      <c r="F133" s="7">
        <f>HYPERLINK("https://www.tradingview.com/chart/tioZvgwv/?symbol=NSE%3ALT&amp;interval=", "&amp;#128200;")</f>
      </c>
      <c r="G133" s="7">
        <f>HYPERLINK("https://www.tradingview.com/symbols/NSE-LT/news/", "&amp;#128240;")</f>
      </c>
      <c r="H133" s="7">
        <f>HYPERLINK("https://www.tradingview.com/symbols/NSE-LT/technicals/", "&amp;#128202;")</f>
      </c>
      <c r="I133" s="7">
        <f>HYPERLINK("https://www.tradingview.com/symbols/NSE-LT/financials-overview/", "&amp;#128194;")</f>
      </c>
      <c r="J133" s="4" t="s">
        <v>11</v>
      </c>
    </row>
    <row x14ac:dyDescent="0.25" r="134" customHeight="1" ht="18.75">
      <c r="A134" s="4" t="s">
        <v>143</v>
      </c>
      <c r="B134" s="5">
        <v>6157.95</v>
      </c>
      <c r="C134" s="5">
        <v>6051.1</v>
      </c>
      <c r="D134" s="5">
        <v>6124.4</v>
      </c>
      <c r="E134" s="5">
        <v>6108.95</v>
      </c>
      <c r="F134" s="7">
        <f>HYPERLINK("https://www.tradingview.com/chart/tioZvgwv/?symbol=NSE%3ALTIM&amp;interval=", "&amp;#128200;")</f>
      </c>
      <c r="G134" s="7">
        <f>HYPERLINK("https://www.tradingview.com/symbols/NSE-LTIM/news/", "&amp;#128240;")</f>
      </c>
      <c r="H134" s="7">
        <f>HYPERLINK("https://www.tradingview.com/symbols/NSE-LTIM/technicals/", "&amp;#128202;")</f>
      </c>
      <c r="I134" s="7">
        <f>HYPERLINK("https://www.tradingview.com/symbols/NSE-LTIM/financials-overview/", "&amp;#128194;")</f>
      </c>
      <c r="J134" s="4" t="s">
        <v>11</v>
      </c>
    </row>
    <row x14ac:dyDescent="0.25" r="135" customHeight="1" ht="18.75">
      <c r="A135" s="4" t="s">
        <v>144</v>
      </c>
      <c r="B135" s="5">
        <v>4969.8</v>
      </c>
      <c r="C135" s="5">
        <v>4879.1</v>
      </c>
      <c r="D135" s="5">
        <v>4935.65</v>
      </c>
      <c r="E135" s="6">
        <v>4928</v>
      </c>
      <c r="F135" s="7">
        <f>HYPERLINK("https://www.tradingview.com/chart/tioZvgwv/?symbol=NSE%3ALTTS&amp;interval=", "&amp;#128200;")</f>
      </c>
      <c r="G135" s="7">
        <f>HYPERLINK("https://www.tradingview.com/symbols/NSE-LTTS/news/", "&amp;#128240;")</f>
      </c>
      <c r="H135" s="7">
        <f>HYPERLINK("https://www.tradingview.com/symbols/NSE-LTTS/technicals/", "&amp;#128202;")</f>
      </c>
      <c r="I135" s="7">
        <f>HYPERLINK("https://www.tradingview.com/symbols/NSE-LTTS/financials-overview/", "&amp;#128194;")</f>
      </c>
      <c r="J135" s="4" t="s">
        <v>11</v>
      </c>
    </row>
    <row x14ac:dyDescent="0.25" r="136" customHeight="1" ht="18.75">
      <c r="A136" s="4" t="s">
        <v>145</v>
      </c>
      <c r="B136" s="5">
        <v>2192.95</v>
      </c>
      <c r="C136" s="5">
        <v>2144.9</v>
      </c>
      <c r="D136" s="5">
        <v>2191.1</v>
      </c>
      <c r="E136" s="5">
        <v>2145.75</v>
      </c>
      <c r="F136" s="7">
        <f>HYPERLINK("https://www.tradingview.com/chart/tioZvgwv/?symbol=NSE%3ALUPIN&amp;interval=", "&amp;#128200;")</f>
      </c>
      <c r="G136" s="7">
        <f>HYPERLINK("https://www.tradingview.com/symbols/NSE-LUPIN/news/", "&amp;#128240;")</f>
      </c>
      <c r="H136" s="7">
        <f>HYPERLINK("https://www.tradingview.com/symbols/NSE-LUPIN/technicals/", "&amp;#128202;")</f>
      </c>
      <c r="I136" s="7">
        <f>HYPERLINK("https://www.tradingview.com/symbols/NSE-LUPIN/financials-overview/", "&amp;#128194;")</f>
      </c>
      <c r="J136" s="4" t="s">
        <v>11</v>
      </c>
    </row>
    <row x14ac:dyDescent="0.25" r="137" customHeight="1" ht="18.75">
      <c r="A137" s="4" t="s">
        <v>146</v>
      </c>
      <c r="B137" s="5">
        <v>3066.85</v>
      </c>
      <c r="C137" s="5">
        <v>3005.65</v>
      </c>
      <c r="D137" s="5">
        <v>3092.85</v>
      </c>
      <c r="E137" s="5">
        <v>3029.85</v>
      </c>
      <c r="F137" s="7">
        <f>HYPERLINK("https://www.tradingview.com/chart/tioZvgwv/?symbol=NSE%3AM&amp;M&amp;interval=", "&amp;#128200;")</f>
      </c>
      <c r="G137" s="7">
        <f>HYPERLINK("https://www.tradingview.com/symbols/NSE-M&amp;M/news/", "&amp;#128240;")</f>
      </c>
      <c r="H137" s="7">
        <f>HYPERLINK("https://www.tradingview.com/symbols/NSE-M&amp;M/technicals/", "&amp;#128202;")</f>
      </c>
      <c r="I137" s="7">
        <f>HYPERLINK("https://www.tradingview.com/symbols/NSE-M&amp;M/financials-overview/", "&amp;#128194;")</f>
      </c>
      <c r="J137" s="4" t="s">
        <v>11</v>
      </c>
    </row>
    <row x14ac:dyDescent="0.25" r="138" customHeight="1" ht="18.75">
      <c r="A138" s="4" t="s">
        <v>147</v>
      </c>
      <c r="B138" s="5">
        <v>273.3</v>
      </c>
      <c r="C138" s="5">
        <v>267.85</v>
      </c>
      <c r="D138" s="5">
        <v>275.55</v>
      </c>
      <c r="E138" s="5">
        <v>268.35</v>
      </c>
      <c r="F138" s="7">
        <f>HYPERLINK("https://www.tradingview.com/chart/tioZvgwv/?symbol=NSE%3AM&amp;MFIN&amp;interval=", "&amp;#128200;")</f>
      </c>
      <c r="G138" s="7">
        <f>HYPERLINK("https://www.tradingview.com/symbols/NSE-M&amp;MFIN/news/", "&amp;#128240;")</f>
      </c>
      <c r="H138" s="7">
        <f>HYPERLINK("https://www.tradingview.com/symbols/NSE-M&amp;MFIN/technicals/", "&amp;#128202;")</f>
      </c>
      <c r="I138" s="7">
        <f>HYPERLINK("https://www.tradingview.com/symbols/NSE-M&amp;MFIN/financials-overview/", "&amp;#128194;")</f>
      </c>
      <c r="J138" s="4" t="s">
        <v>11</v>
      </c>
    </row>
    <row x14ac:dyDescent="0.25" r="139" customHeight="1" ht="18.75">
      <c r="A139" s="4" t="s">
        <v>148</v>
      </c>
      <c r="B139" s="5">
        <v>180.99</v>
      </c>
      <c r="C139" s="5">
        <v>176.45</v>
      </c>
      <c r="D139" s="5">
        <v>180.32</v>
      </c>
      <c r="E139" s="5">
        <v>176.55</v>
      </c>
      <c r="F139" s="7">
        <f>HYPERLINK("https://www.tradingview.com/chart/tioZvgwv/?symbol=NSE%3AMANAPPURAM&amp;interval=", "&amp;#128200;")</f>
      </c>
      <c r="G139" s="7">
        <f>HYPERLINK("https://www.tradingview.com/symbols/NSE-MANAPPURAM/news/", "&amp;#128240;")</f>
      </c>
      <c r="H139" s="7">
        <f>HYPERLINK("https://www.tradingview.com/symbols/NSE-MANAPPURAM/technicals/", "&amp;#128202;")</f>
      </c>
      <c r="I139" s="7">
        <f>HYPERLINK("https://www.tradingview.com/symbols/NSE-MANAPPURAM/financials-overview/", "&amp;#128194;")</f>
      </c>
      <c r="J139" s="4" t="s">
        <v>11</v>
      </c>
    </row>
    <row x14ac:dyDescent="0.25" r="140" customHeight="1" ht="18.75">
      <c r="A140" s="4" t="s">
        <v>149</v>
      </c>
      <c r="B140" s="5">
        <v>674.9</v>
      </c>
      <c r="C140" s="5">
        <v>666.65</v>
      </c>
      <c r="D140" s="5">
        <v>673.9</v>
      </c>
      <c r="E140" s="5">
        <v>669.4</v>
      </c>
      <c r="F140" s="7">
        <f>HYPERLINK("https://www.tradingview.com/chart/tioZvgwv/?symbol=NSE%3AMARICO&amp;interval=", "&amp;#128200;")</f>
      </c>
      <c r="G140" s="7">
        <f>HYPERLINK("https://www.tradingview.com/symbols/NSE-MARICO/news/", "&amp;#128240;")</f>
      </c>
      <c r="H140" s="7">
        <f>HYPERLINK("https://www.tradingview.com/symbols/NSE-MARICO/technicals/", "&amp;#128202;")</f>
      </c>
      <c r="I140" s="7">
        <f>HYPERLINK("https://www.tradingview.com/symbols/NSE-MARICO/financials-overview/", "&amp;#128194;")</f>
      </c>
      <c r="J140" s="4" t="s">
        <v>11</v>
      </c>
    </row>
    <row x14ac:dyDescent="0.25" r="141" customHeight="1" ht="18.75">
      <c r="A141" s="4" t="s">
        <v>150</v>
      </c>
      <c r="B141" s="5">
        <v>11654.45</v>
      </c>
      <c r="C141" s="6">
        <v>11468</v>
      </c>
      <c r="D141" s="5">
        <v>11631.1</v>
      </c>
      <c r="E141" s="5">
        <v>11588.9</v>
      </c>
      <c r="F141" s="7">
        <f>HYPERLINK("https://www.tradingview.com/chart/tioZvgwv/?symbol=NSE%3AMARUTI&amp;interval=", "&amp;#128200;")</f>
      </c>
      <c r="G141" s="7">
        <f>HYPERLINK("https://www.tradingview.com/symbols/NSE-MARUTI/news/", "&amp;#128240;")</f>
      </c>
      <c r="H141" s="7">
        <f>HYPERLINK("https://www.tradingview.com/symbols/NSE-MARUTI/technicals/", "&amp;#128202;")</f>
      </c>
      <c r="I141" s="7">
        <f>HYPERLINK("https://www.tradingview.com/symbols/NSE-MARUTI/financials-overview/", "&amp;#128194;")</f>
      </c>
      <c r="J141" s="4" t="s">
        <v>11</v>
      </c>
    </row>
    <row x14ac:dyDescent="0.25" r="142" customHeight="1" ht="18.75">
      <c r="A142" s="4" t="s">
        <v>151</v>
      </c>
      <c r="B142" s="5">
        <v>1127.45</v>
      </c>
      <c r="C142" s="5">
        <v>1092.9</v>
      </c>
      <c r="D142" s="5">
        <v>1149.9</v>
      </c>
      <c r="E142" s="5">
        <v>1094.2</v>
      </c>
      <c r="F142" s="7">
        <f>HYPERLINK("https://www.tradingview.com/chart/tioZvgwv/?symbol=NSE%3AMAXHEALTH&amp;interval=", "&amp;#128200;")</f>
      </c>
      <c r="G142" s="7">
        <f>HYPERLINK("https://www.tradingview.com/symbols/NSE-MAXHEALTH/news/", "&amp;#128240;")</f>
      </c>
      <c r="H142" s="7">
        <f>HYPERLINK("https://www.tradingview.com/symbols/NSE-MAXHEALTH/technicals/", "&amp;#128202;")</f>
      </c>
      <c r="I142" s="7">
        <f>HYPERLINK("https://www.tradingview.com/symbols/NSE-MAXHEALTH/financials-overview/", "&amp;#128194;")</f>
      </c>
      <c r="J142" s="4" t="s">
        <v>11</v>
      </c>
    </row>
    <row x14ac:dyDescent="0.25" r="143" customHeight="1" ht="18.75">
      <c r="A143" s="4" t="s">
        <v>152</v>
      </c>
      <c r="B143" s="6">
        <v>5689</v>
      </c>
      <c r="C143" s="5">
        <v>5496.8</v>
      </c>
      <c r="D143" s="5">
        <v>5635.85</v>
      </c>
      <c r="E143" s="5">
        <v>5620.95</v>
      </c>
      <c r="F143" s="7">
        <f>HYPERLINK("https://www.tradingview.com/chart/tioZvgwv/?symbol=NSE%3AMCX&amp;interval=", "&amp;#128200;")</f>
      </c>
      <c r="G143" s="7">
        <f>HYPERLINK("https://www.tradingview.com/symbols/NSE-MCX/news/", "&amp;#128240;")</f>
      </c>
      <c r="H143" s="7">
        <f>HYPERLINK("https://www.tradingview.com/symbols/NSE-MCX/technicals/", "&amp;#128202;")</f>
      </c>
      <c r="I143" s="7">
        <f>HYPERLINK("https://www.tradingview.com/symbols/NSE-MCX/financials-overview/", "&amp;#128194;")</f>
      </c>
      <c r="J143" s="4" t="s">
        <v>11</v>
      </c>
    </row>
    <row x14ac:dyDescent="0.25" r="144" customHeight="1" ht="18.75">
      <c r="A144" s="4" t="s">
        <v>153</v>
      </c>
      <c r="B144" s="5">
        <v>1949.95</v>
      </c>
      <c r="C144" s="6">
        <v>1906</v>
      </c>
      <c r="D144" s="5">
        <v>1953.6</v>
      </c>
      <c r="E144" s="5">
        <v>1907.35</v>
      </c>
      <c r="F144" s="7">
        <f>HYPERLINK("https://www.tradingview.com/chart/tioZvgwv/?symbol=NSE%3AMETROPOLIS&amp;interval=", "&amp;#128200;")</f>
      </c>
      <c r="G144" s="7">
        <f>HYPERLINK("https://www.tradingview.com/symbols/NSE-METROPOLIS/news/", "&amp;#128240;")</f>
      </c>
      <c r="H144" s="7">
        <f>HYPERLINK("https://www.tradingview.com/symbols/NSE-METROPOLIS/technicals/", "&amp;#128202;")</f>
      </c>
      <c r="I144" s="7">
        <f>HYPERLINK("https://www.tradingview.com/symbols/NSE-METROPOLIS/financials-overview/", "&amp;#128194;")</f>
      </c>
      <c r="J144" s="4" t="s">
        <v>11</v>
      </c>
    </row>
    <row x14ac:dyDescent="0.25" r="145" customHeight="1" ht="18.75">
      <c r="A145" s="4" t="s">
        <v>154</v>
      </c>
      <c r="B145" s="6">
        <v>1070</v>
      </c>
      <c r="C145" s="5">
        <v>1051.1</v>
      </c>
      <c r="D145" s="5">
        <v>1077.65</v>
      </c>
      <c r="E145" s="5">
        <v>1063.15</v>
      </c>
      <c r="F145" s="7">
        <f>HYPERLINK("https://www.tradingview.com/chart/tioZvgwv/?symbol=NSE%3AMFSL&amp;interval=", "&amp;#128200;")</f>
      </c>
      <c r="G145" s="7">
        <f>HYPERLINK("https://www.tradingview.com/symbols/NSE-MFSL/news/", "&amp;#128240;")</f>
      </c>
      <c r="H145" s="7">
        <f>HYPERLINK("https://www.tradingview.com/symbols/NSE-MFSL/technicals/", "&amp;#128202;")</f>
      </c>
      <c r="I145" s="7">
        <f>HYPERLINK("https://www.tradingview.com/symbols/NSE-MFSL/financials-overview/", "&amp;#128194;")</f>
      </c>
      <c r="J145" s="4" t="s">
        <v>11</v>
      </c>
    </row>
    <row x14ac:dyDescent="0.25" r="146" customHeight="1" ht="18.75">
      <c r="A146" s="4" t="s">
        <v>155</v>
      </c>
      <c r="B146" s="5">
        <v>1282.8</v>
      </c>
      <c r="C146" s="5">
        <v>1241.5</v>
      </c>
      <c r="D146" s="5">
        <v>1286.1</v>
      </c>
      <c r="E146" s="5">
        <v>1241.95</v>
      </c>
      <c r="F146" s="7">
        <f>HYPERLINK("https://www.tradingview.com/chart/tioZvgwv/?symbol=NSE%3AMGL&amp;interval=", "&amp;#128200;")</f>
      </c>
      <c r="G146" s="7">
        <f>HYPERLINK("https://www.tradingview.com/symbols/NSE-MGL/news/", "&amp;#128240;")</f>
      </c>
      <c r="H146" s="7">
        <f>HYPERLINK("https://www.tradingview.com/symbols/NSE-MGL/technicals/", "&amp;#128202;")</f>
      </c>
      <c r="I146" s="7">
        <f>HYPERLINK("https://www.tradingview.com/symbols/NSE-MGL/financials-overview/", "&amp;#128194;")</f>
      </c>
      <c r="J146" s="4" t="s">
        <v>11</v>
      </c>
    </row>
    <row x14ac:dyDescent="0.25" r="147" customHeight="1" ht="18.75">
      <c r="A147" s="4" t="s">
        <v>156</v>
      </c>
      <c r="B147" s="5">
        <v>144.07</v>
      </c>
      <c r="C147" s="5">
        <v>141.75</v>
      </c>
      <c r="D147" s="5">
        <v>144.88</v>
      </c>
      <c r="E147" s="5">
        <v>142.02</v>
      </c>
      <c r="F147" s="7">
        <f>HYPERLINK("https://www.tradingview.com/chart/tioZvgwv/?symbol=NSE%3AMOTHERSON&amp;interval=", "&amp;#128200;")</f>
      </c>
      <c r="G147" s="7">
        <f>HYPERLINK("https://www.tradingview.com/symbols/NSE-MOTHERSON/news/", "&amp;#128240;")</f>
      </c>
      <c r="H147" s="7">
        <f>HYPERLINK("https://www.tradingview.com/symbols/NSE-MOTHERSON/technicals/", "&amp;#128202;")</f>
      </c>
      <c r="I147" s="7">
        <f>HYPERLINK("https://www.tradingview.com/symbols/NSE-MOTHERSON/financials-overview/", "&amp;#128194;")</f>
      </c>
      <c r="J147" s="4" t="s">
        <v>11</v>
      </c>
    </row>
    <row x14ac:dyDescent="0.25" r="148" customHeight="1" ht="18.75">
      <c r="A148" s="4" t="s">
        <v>157</v>
      </c>
      <c r="B148" s="5">
        <v>2897.9</v>
      </c>
      <c r="C148" s="6">
        <v>2798</v>
      </c>
      <c r="D148" s="6">
        <v>2915</v>
      </c>
      <c r="E148" s="5">
        <v>2832.45</v>
      </c>
      <c r="F148" s="7">
        <f>HYPERLINK("https://www.tradingview.com/chart/tioZvgwv/?symbol=NSE%3AMPHASIS&amp;interval=", "&amp;#128200;")</f>
      </c>
      <c r="G148" s="7">
        <f>HYPERLINK("https://www.tradingview.com/symbols/NSE-MPHASIS/news/", "&amp;#128240;")</f>
      </c>
      <c r="H148" s="7">
        <f>HYPERLINK("https://www.tradingview.com/symbols/NSE-MPHASIS/technicals/", "&amp;#128202;")</f>
      </c>
      <c r="I148" s="7">
        <f>HYPERLINK("https://www.tradingview.com/symbols/NSE-MPHASIS/financials-overview/", "&amp;#128194;")</f>
      </c>
      <c r="J148" s="4" t="s">
        <v>11</v>
      </c>
    </row>
    <row x14ac:dyDescent="0.25" r="149" customHeight="1" ht="18.75">
      <c r="A149" s="4" t="s">
        <v>158</v>
      </c>
      <c r="B149" s="6">
        <v>117000</v>
      </c>
      <c r="C149" s="5">
        <v>114009.55</v>
      </c>
      <c r="D149" s="5">
        <v>117104.55</v>
      </c>
      <c r="E149" s="5">
        <v>114009.55</v>
      </c>
      <c r="F149" s="7">
        <f>HYPERLINK("https://www.tradingview.com/chart/tioZvgwv/?symbol=NSE%3AMRF&amp;interval=", "&amp;#128200;")</f>
      </c>
      <c r="G149" s="7">
        <f>HYPERLINK("https://www.tradingview.com/symbols/NSE-MRF/news/", "&amp;#128240;")</f>
      </c>
      <c r="H149" s="7">
        <f>HYPERLINK("https://www.tradingview.com/symbols/NSE-MRF/technicals/", "&amp;#128202;")</f>
      </c>
      <c r="I149" s="7">
        <f>HYPERLINK("https://www.tradingview.com/symbols/NSE-MRF/financials-overview/", "&amp;#128194;")</f>
      </c>
      <c r="J149" s="4" t="s">
        <v>11</v>
      </c>
    </row>
    <row x14ac:dyDescent="0.25" r="150" customHeight="1" ht="18.75">
      <c r="A150" s="4" t="s">
        <v>159</v>
      </c>
      <c r="B150" s="5">
        <v>2136.55</v>
      </c>
      <c r="C150" s="5">
        <v>2104.95</v>
      </c>
      <c r="D150" s="5">
        <v>2136.55</v>
      </c>
      <c r="E150" s="5">
        <v>2115.35</v>
      </c>
      <c r="F150" s="7">
        <f>HYPERLINK("https://www.tradingview.com/chart/tioZvgwv/?symbol=NSE%3AMUTHOOTFIN&amp;interval=", "&amp;#128200;")</f>
      </c>
      <c r="G150" s="7">
        <f>HYPERLINK("https://www.tradingview.com/symbols/NSE-MUTHOOTFIN/news/", "&amp;#128240;")</f>
      </c>
      <c r="H150" s="7">
        <f>HYPERLINK("https://www.tradingview.com/symbols/NSE-MUTHOOTFIN/technicals/", "&amp;#128202;")</f>
      </c>
      <c r="I150" s="7">
        <f>HYPERLINK("https://www.tradingview.com/symbols/NSE-MUTHOOTFIN/financials-overview/", "&amp;#128194;")</f>
      </c>
      <c r="J150" s="4" t="s">
        <v>11</v>
      </c>
    </row>
    <row x14ac:dyDescent="0.25" r="151" customHeight="1" ht="18.75">
      <c r="A151" s="4" t="s">
        <v>160</v>
      </c>
      <c r="B151" s="5">
        <v>200.87</v>
      </c>
      <c r="C151" s="5">
        <v>197.5</v>
      </c>
      <c r="D151" s="5">
        <v>202.26</v>
      </c>
      <c r="E151" s="5">
        <v>197.77</v>
      </c>
      <c r="F151" s="7">
        <f>HYPERLINK("https://www.tradingview.com/chart/tioZvgwv/?symbol=NSE%3ANATIONALUM&amp;interval=", "&amp;#128200;")</f>
      </c>
      <c r="G151" s="7">
        <f>HYPERLINK("https://www.tradingview.com/symbols/NSE-NATIONALUM/news/", "&amp;#128240;")</f>
      </c>
      <c r="H151" s="7">
        <f>HYPERLINK("https://www.tradingview.com/symbols/NSE-NATIONALUM/technicals/", "&amp;#128202;")</f>
      </c>
      <c r="I151" s="7">
        <f>HYPERLINK("https://www.tradingview.com/symbols/NSE-NATIONALUM/financials-overview/", "&amp;#128194;")</f>
      </c>
      <c r="J151" s="4" t="s">
        <v>11</v>
      </c>
    </row>
    <row x14ac:dyDescent="0.25" r="152" customHeight="1" ht="18.75">
      <c r="A152" s="4" t="s">
        <v>161</v>
      </c>
      <c r="B152" s="5">
        <v>7754.6</v>
      </c>
      <c r="C152" s="5">
        <v>7427.3</v>
      </c>
      <c r="D152" s="5">
        <v>7835.7</v>
      </c>
      <c r="E152" s="5">
        <v>7430.5</v>
      </c>
      <c r="F152" s="7">
        <f>HYPERLINK("https://www.tradingview.com/chart/tioZvgwv/?symbol=NSE%3ANAUKRI&amp;interval=", "&amp;#128200;")</f>
      </c>
      <c r="G152" s="7">
        <f>HYPERLINK("https://www.tradingview.com/symbols/NSE-NAUKRI/news/", "&amp;#128240;")</f>
      </c>
      <c r="H152" s="7">
        <f>HYPERLINK("https://www.tradingview.com/symbols/NSE-NAUKRI/technicals/", "&amp;#128202;")</f>
      </c>
      <c r="I152" s="7">
        <f>HYPERLINK("https://www.tradingview.com/symbols/NSE-NAUKRI/financials-overview/", "&amp;#128194;")</f>
      </c>
      <c r="J152" s="4" t="s">
        <v>11</v>
      </c>
    </row>
    <row x14ac:dyDescent="0.25" r="153" customHeight="1" ht="18.75">
      <c r="A153" s="4" t="s">
        <v>162</v>
      </c>
      <c r="B153" s="5">
        <v>3673.9</v>
      </c>
      <c r="C153" s="5">
        <v>3580.65</v>
      </c>
      <c r="D153" s="5">
        <v>3630.95</v>
      </c>
      <c r="E153" s="5">
        <v>3656.3</v>
      </c>
      <c r="F153" s="7">
        <f>HYPERLINK("https://www.tradingview.com/chart/tioZvgwv/?symbol=NSE%3ANAVINFLUOR&amp;interval=", "&amp;#128200;")</f>
      </c>
      <c r="G153" s="7">
        <f>HYPERLINK("https://www.tradingview.com/symbols/NSE-NAVINFLUOR/news/", "&amp;#128240;")</f>
      </c>
      <c r="H153" s="7">
        <f>HYPERLINK("https://www.tradingview.com/symbols/NSE-NAVINFLUOR/technicals/", "&amp;#128202;")</f>
      </c>
      <c r="I153" s="7">
        <f>HYPERLINK("https://www.tradingview.com/symbols/NSE-NAVINFLUOR/financials-overview/", "&amp;#128194;")</f>
      </c>
      <c r="J153" s="4" t="s">
        <v>11</v>
      </c>
    </row>
    <row x14ac:dyDescent="0.25" r="154" customHeight="1" ht="18.75">
      <c r="A154" s="4" t="s">
        <v>163</v>
      </c>
      <c r="B154" s="5">
        <v>250.3</v>
      </c>
      <c r="C154" s="5">
        <v>244.1</v>
      </c>
      <c r="D154" s="5">
        <v>251.05</v>
      </c>
      <c r="E154" s="5">
        <v>244.4</v>
      </c>
      <c r="F154" s="7">
        <f>HYPERLINK("https://www.tradingview.com/chart/tioZvgwv/?symbol=NSE%3ANCC&amp;interval=", "&amp;#128200;")</f>
      </c>
      <c r="G154" s="7">
        <f>HYPERLINK("https://www.tradingview.com/symbols/NSE-NCC/news/", "&amp;#128240;")</f>
      </c>
      <c r="H154" s="7">
        <f>HYPERLINK("https://www.tradingview.com/symbols/NSE-NCC/technicals/", "&amp;#128202;")</f>
      </c>
      <c r="I154" s="7">
        <f>HYPERLINK("https://www.tradingview.com/symbols/NSE-NCC/financials-overview/", "&amp;#128194;")</f>
      </c>
      <c r="J154" s="4" t="s">
        <v>11</v>
      </c>
    </row>
    <row x14ac:dyDescent="0.25" r="155" customHeight="1" ht="18.75">
      <c r="A155" s="4" t="s">
        <v>164</v>
      </c>
      <c r="B155" s="5">
        <v>2261.15</v>
      </c>
      <c r="C155" s="5">
        <v>2221.55</v>
      </c>
      <c r="D155" s="5">
        <v>2247.9</v>
      </c>
      <c r="E155" s="5">
        <v>2235.45</v>
      </c>
      <c r="F155" s="7">
        <f>HYPERLINK("https://www.tradingview.com/chart/tioZvgwv/?symbol=NSE%3ANESTLEIND&amp;interval=", "&amp;#128200;")</f>
      </c>
      <c r="G155" s="7">
        <f>HYPERLINK("https://www.tradingview.com/symbols/NSE-NESTLEIND/news/", "&amp;#128240;")</f>
      </c>
      <c r="H155" s="7">
        <f>HYPERLINK("https://www.tradingview.com/symbols/NSE-NESTLEIND/technicals/", "&amp;#128202;")</f>
      </c>
      <c r="I155" s="7">
        <f>HYPERLINK("https://www.tradingview.com/symbols/NSE-NESTLEIND/financials-overview/", "&amp;#128194;")</f>
      </c>
      <c r="J155" s="4" t="s">
        <v>11</v>
      </c>
    </row>
    <row x14ac:dyDescent="0.25" r="156" customHeight="1" ht="18.75">
      <c r="A156" s="4" t="s">
        <v>165</v>
      </c>
      <c r="B156" s="5">
        <v>75.3</v>
      </c>
      <c r="C156" s="5">
        <v>73.86</v>
      </c>
      <c r="D156" s="5">
        <v>76.6</v>
      </c>
      <c r="E156" s="5">
        <v>74.14</v>
      </c>
      <c r="F156" s="7">
        <f>HYPERLINK("https://www.tradingview.com/chart/tioZvgwv/?symbol=NSE%3ANHPC&amp;interval=", "&amp;#128200;")</f>
      </c>
      <c r="G156" s="7">
        <f>HYPERLINK("https://www.tradingview.com/symbols/NSE-NHPC/news/", "&amp;#128240;")</f>
      </c>
      <c r="H156" s="7">
        <f>HYPERLINK("https://www.tradingview.com/symbols/NSE-NHPC/technicals/", "&amp;#128202;")</f>
      </c>
      <c r="I156" s="7">
        <f>HYPERLINK("https://www.tradingview.com/symbols/NSE-NHPC/financials-overview/", "&amp;#128194;")</f>
      </c>
      <c r="J156" s="4" t="s">
        <v>11</v>
      </c>
    </row>
    <row x14ac:dyDescent="0.25" r="157" customHeight="1" ht="18.75">
      <c r="A157" s="4" t="s">
        <v>166</v>
      </c>
      <c r="B157" s="5">
        <v>62.57</v>
      </c>
      <c r="C157" s="5">
        <v>60.93</v>
      </c>
      <c r="D157" s="5">
        <v>63.04</v>
      </c>
      <c r="E157" s="5">
        <v>61.03</v>
      </c>
      <c r="F157" s="7">
        <f>HYPERLINK("https://www.tradingview.com/chart/tioZvgwv/?symbol=NSE%3ANMDC&amp;interval=", "&amp;#128200;")</f>
      </c>
      <c r="G157" s="7">
        <f>HYPERLINK("https://www.tradingview.com/symbols/NSE-NMDC/news/", "&amp;#128240;")</f>
      </c>
      <c r="H157" s="7">
        <f>HYPERLINK("https://www.tradingview.com/symbols/NSE-NMDC/technicals/", "&amp;#128202;")</f>
      </c>
      <c r="I157" s="7">
        <f>HYPERLINK("https://www.tradingview.com/symbols/NSE-NMDC/financials-overview/", "&amp;#128194;")</f>
      </c>
      <c r="J157" s="4" t="s">
        <v>11</v>
      </c>
    </row>
    <row x14ac:dyDescent="0.25" r="158" customHeight="1" ht="18.75">
      <c r="A158" s="4" t="s">
        <v>167</v>
      </c>
      <c r="B158" s="5">
        <v>309.95</v>
      </c>
      <c r="C158" s="5">
        <v>301.1</v>
      </c>
      <c r="D158" s="5">
        <v>308.25</v>
      </c>
      <c r="E158" s="5">
        <v>307.1</v>
      </c>
      <c r="F158" s="7">
        <f>HYPERLINK("https://www.tradingview.com/chart/tioZvgwv/?symbol=NSE%3ANTPC&amp;interval=", "&amp;#128200;")</f>
      </c>
      <c r="G158" s="7">
        <f>HYPERLINK("https://www.tradingview.com/symbols/NSE-NTPC/news/", "&amp;#128240;")</f>
      </c>
      <c r="H158" s="7">
        <f>HYPERLINK("https://www.tradingview.com/symbols/NSE-NTPC/technicals/", "&amp;#128202;")</f>
      </c>
      <c r="I158" s="7">
        <f>HYPERLINK("https://www.tradingview.com/symbols/NSE-NTPC/financials-overview/", "&amp;#128194;")</f>
      </c>
      <c r="J158" s="4" t="s">
        <v>11</v>
      </c>
    </row>
    <row x14ac:dyDescent="0.25" r="159" customHeight="1" ht="18.75">
      <c r="A159" s="4" t="s">
        <v>168</v>
      </c>
      <c r="B159" s="6">
        <v>168</v>
      </c>
      <c r="C159" s="5">
        <v>162.19</v>
      </c>
      <c r="D159" s="5">
        <v>169.7</v>
      </c>
      <c r="E159" s="5">
        <v>163.27</v>
      </c>
      <c r="F159" s="7">
        <f>HYPERLINK("https://www.tradingview.com/chart/tioZvgwv/?symbol=NSE%3ANYKAA&amp;interval=", "&amp;#128200;")</f>
      </c>
      <c r="G159" s="7">
        <f>HYPERLINK("https://www.tradingview.com/symbols/NSE-NYKAA/news/", "&amp;#128240;")</f>
      </c>
      <c r="H159" s="7">
        <f>HYPERLINK("https://www.tradingview.com/symbols/NSE-NYKAA/technicals/", "&amp;#128202;")</f>
      </c>
      <c r="I159" s="7">
        <f>HYPERLINK("https://www.tradingview.com/symbols/NSE-NYKAA/financials-overview/", "&amp;#128194;")</f>
      </c>
      <c r="J159" s="4" t="s">
        <v>11</v>
      </c>
    </row>
    <row x14ac:dyDescent="0.25" r="160" customHeight="1" ht="18.75">
      <c r="A160" s="4" t="s">
        <v>169</v>
      </c>
      <c r="B160" s="6">
        <v>2124</v>
      </c>
      <c r="C160" s="5">
        <v>2053.05</v>
      </c>
      <c r="D160" s="5">
        <v>2128.3</v>
      </c>
      <c r="E160" s="5">
        <v>2056.15</v>
      </c>
      <c r="F160" s="7">
        <f>HYPERLINK("https://www.tradingview.com/chart/tioZvgwv/?symbol=NSE%3AOBEROIRLTY&amp;interval=", "&amp;#128200;")</f>
      </c>
      <c r="G160" s="7">
        <f>HYPERLINK("https://www.tradingview.com/symbols/NSE-OBEROIRLTY/news/", "&amp;#128240;")</f>
      </c>
      <c r="H160" s="7">
        <f>HYPERLINK("https://www.tradingview.com/symbols/NSE-OBEROIRLTY/technicals/", "&amp;#128202;")</f>
      </c>
      <c r="I160" s="7">
        <f>HYPERLINK("https://www.tradingview.com/symbols/NSE-OBEROIRLTY/financials-overview/", "&amp;#128194;")</f>
      </c>
      <c r="J160" s="4" t="s">
        <v>11</v>
      </c>
    </row>
    <row x14ac:dyDescent="0.25" r="161" customHeight="1" ht="18.75">
      <c r="A161" s="4" t="s">
        <v>170</v>
      </c>
      <c r="B161" s="5">
        <v>11399.95</v>
      </c>
      <c r="C161" s="5">
        <v>11045.45</v>
      </c>
      <c r="D161" s="5">
        <v>11451.35</v>
      </c>
      <c r="E161" s="5">
        <v>11069.45</v>
      </c>
      <c r="F161" s="7">
        <f>HYPERLINK("https://www.tradingview.com/chart/tioZvgwv/?symbol=NSE%3AOFSS&amp;interval=", "&amp;#128200;")</f>
      </c>
      <c r="G161" s="7">
        <f>HYPERLINK("https://www.tradingview.com/symbols/NSE-OFSS/news/", "&amp;#128240;")</f>
      </c>
      <c r="H161" s="7">
        <f>HYPERLINK("https://www.tradingview.com/symbols/NSE-OFSS/technicals/", "&amp;#128202;")</f>
      </c>
      <c r="I161" s="7">
        <f>HYPERLINK("https://www.tradingview.com/symbols/NSE-OFSS/financials-overview/", "&amp;#128194;")</f>
      </c>
      <c r="J161" s="4" t="s">
        <v>11</v>
      </c>
    </row>
    <row x14ac:dyDescent="0.25" r="162" customHeight="1" ht="18.75">
      <c r="A162" s="4" t="s">
        <v>171</v>
      </c>
      <c r="B162" s="5">
        <v>478.65</v>
      </c>
      <c r="C162" s="5">
        <v>454.5</v>
      </c>
      <c r="D162" s="5">
        <v>455.85</v>
      </c>
      <c r="E162" s="5">
        <v>459.85</v>
      </c>
      <c r="F162" s="7">
        <f>HYPERLINK("https://www.tradingview.com/chart/tioZvgwv/?symbol=NSE%3AOIL&amp;interval=", "&amp;#128200;")</f>
      </c>
      <c r="G162" s="7">
        <f>HYPERLINK("https://www.tradingview.com/symbols/NSE-OIL/news/", "&amp;#128240;")</f>
      </c>
      <c r="H162" s="7">
        <f>HYPERLINK("https://www.tradingview.com/symbols/NSE-OIL/technicals/", "&amp;#128202;")</f>
      </c>
      <c r="I162" s="7">
        <f>HYPERLINK("https://www.tradingview.com/symbols/NSE-OIL/financials-overview/", "&amp;#128194;")</f>
      </c>
      <c r="J162" s="4" t="s">
        <v>11</v>
      </c>
    </row>
    <row x14ac:dyDescent="0.25" r="163" customHeight="1" ht="18.75">
      <c r="A163" s="4" t="s">
        <v>172</v>
      </c>
      <c r="B163" s="5">
        <v>268.6</v>
      </c>
      <c r="C163" s="5">
        <v>257.1</v>
      </c>
      <c r="D163" s="5">
        <v>263.02</v>
      </c>
      <c r="E163" s="5">
        <v>257.95</v>
      </c>
      <c r="F163" s="7">
        <f>HYPERLINK("https://www.tradingview.com/chart/tioZvgwv/?symbol=NSE%3AONGC&amp;interval=", "&amp;#128200;")</f>
      </c>
      <c r="G163" s="7">
        <f>HYPERLINK("https://www.tradingview.com/symbols/NSE-ONGC/news/", "&amp;#128240;")</f>
      </c>
      <c r="H163" s="7">
        <f>HYPERLINK("https://www.tradingview.com/symbols/NSE-ONGC/technicals/", "&amp;#128202;")</f>
      </c>
      <c r="I163" s="7">
        <f>HYPERLINK("https://www.tradingview.com/symbols/NSE-ONGC/financials-overview/", "&amp;#128194;")</f>
      </c>
      <c r="J163" s="4" t="s">
        <v>11</v>
      </c>
    </row>
    <row x14ac:dyDescent="0.25" r="164" customHeight="1" ht="18.75">
      <c r="A164" s="4" t="s">
        <v>173</v>
      </c>
      <c r="B164" s="5">
        <v>46729.35</v>
      </c>
      <c r="C164" s="6">
        <v>45702</v>
      </c>
      <c r="D164" s="5">
        <v>46745.55</v>
      </c>
      <c r="E164" s="5">
        <v>45752.05</v>
      </c>
      <c r="F164" s="7">
        <f>HYPERLINK("https://www.tradingview.com/chart/tioZvgwv/?symbol=NSE%3APAGEIND&amp;interval=", "&amp;#128200;")</f>
      </c>
      <c r="G164" s="7">
        <f>HYPERLINK("https://www.tradingview.com/symbols/NSE-PAGEIND/news/", "&amp;#128240;")</f>
      </c>
      <c r="H164" s="7">
        <f>HYPERLINK("https://www.tradingview.com/symbols/NSE-PAGEIND/technicals/", "&amp;#128202;")</f>
      </c>
      <c r="I164" s="7">
        <f>HYPERLINK("https://www.tradingview.com/symbols/NSE-PAGEIND/financials-overview/", "&amp;#128194;")</f>
      </c>
      <c r="J164" s="4" t="s">
        <v>11</v>
      </c>
    </row>
    <row x14ac:dyDescent="0.25" r="165" customHeight="1" ht="18.75">
      <c r="A165" s="4" t="s">
        <v>174</v>
      </c>
      <c r="B165" s="5">
        <v>831.7</v>
      </c>
      <c r="C165" s="6">
        <v>799</v>
      </c>
      <c r="D165" s="5">
        <v>847.7</v>
      </c>
      <c r="E165" s="6">
        <v>803</v>
      </c>
      <c r="F165" s="7">
        <f>HYPERLINK("https://www.tradingview.com/chart/tioZvgwv/?symbol=NSE%3APAYTM&amp;interval=", "&amp;#128200;")</f>
      </c>
      <c r="G165" s="7">
        <f>HYPERLINK("https://www.tradingview.com/symbols/NSE-PAYTM/news/", "&amp;#128240;")</f>
      </c>
      <c r="H165" s="7">
        <f>HYPERLINK("https://www.tradingview.com/symbols/NSE-PAYTM/technicals/", "&amp;#128202;")</f>
      </c>
      <c r="I165" s="7">
        <f>HYPERLINK("https://www.tradingview.com/symbols/NSE-PAYTM/financials-overview/", "&amp;#128194;")</f>
      </c>
      <c r="J165" s="4" t="s">
        <v>11</v>
      </c>
    </row>
    <row x14ac:dyDescent="0.25" r="166" customHeight="1" ht="18.75">
      <c r="A166" s="4" t="s">
        <v>175</v>
      </c>
      <c r="B166" s="5">
        <v>987.85</v>
      </c>
      <c r="C166" s="6">
        <v>966</v>
      </c>
      <c r="D166" s="5">
        <v>987.85</v>
      </c>
      <c r="E166" s="5">
        <v>968.15</v>
      </c>
      <c r="F166" s="7">
        <f>HYPERLINK("https://www.tradingview.com/chart/tioZvgwv/?symbol=NSE%3APEL&amp;interval=", "&amp;#128200;")</f>
      </c>
      <c r="G166" s="7">
        <f>HYPERLINK("https://www.tradingview.com/symbols/NSE-PEL/news/", "&amp;#128240;")</f>
      </c>
      <c r="H166" s="7">
        <f>HYPERLINK("https://www.tradingview.com/symbols/NSE-PEL/technicals/", "&amp;#128202;")</f>
      </c>
      <c r="I166" s="7">
        <f>HYPERLINK("https://www.tradingview.com/symbols/NSE-PEL/financials-overview/", "&amp;#128194;")</f>
      </c>
      <c r="J166" s="4" t="s">
        <v>11</v>
      </c>
    </row>
    <row x14ac:dyDescent="0.25" r="167" customHeight="1" ht="18.75">
      <c r="A167" s="4" t="s">
        <v>176</v>
      </c>
      <c r="B167" s="5">
        <v>6306.65</v>
      </c>
      <c r="C167" s="5">
        <v>6156.5</v>
      </c>
      <c r="D167" s="5">
        <v>6319.65</v>
      </c>
      <c r="E167" s="5">
        <v>6161.85</v>
      </c>
      <c r="F167" s="7">
        <f>HYPERLINK("https://www.tradingview.com/chart/tioZvgwv/?symbol=NSE%3APERSISTENT&amp;interval=", "&amp;#128200;")</f>
      </c>
      <c r="G167" s="7">
        <f>HYPERLINK("https://www.tradingview.com/symbols/NSE-PERSISTENT/news/", "&amp;#128240;")</f>
      </c>
      <c r="H167" s="7">
        <f>HYPERLINK("https://www.tradingview.com/symbols/NSE-PERSISTENT/technicals/", "&amp;#128202;")</f>
      </c>
      <c r="I167" s="7">
        <f>HYPERLINK("https://www.tradingview.com/symbols/NSE-PERSISTENT/financials-overview/", "&amp;#128194;")</f>
      </c>
      <c r="J167" s="4" t="s">
        <v>11</v>
      </c>
    </row>
    <row x14ac:dyDescent="0.25" r="168" customHeight="1" ht="18.75">
      <c r="A168" s="4" t="s">
        <v>177</v>
      </c>
      <c r="B168" s="5">
        <v>319.05</v>
      </c>
      <c r="C168" s="5">
        <v>315.5</v>
      </c>
      <c r="D168" s="5">
        <v>320.35</v>
      </c>
      <c r="E168" s="5">
        <v>317.25</v>
      </c>
      <c r="F168" s="7">
        <f>HYPERLINK("https://www.tradingview.com/chart/tioZvgwv/?symbol=NSE%3APETRONET&amp;interval=", "&amp;#128200;")</f>
      </c>
      <c r="G168" s="7">
        <f>HYPERLINK("https://www.tradingview.com/symbols/NSE-PETRONET/news/", "&amp;#128240;")</f>
      </c>
      <c r="H168" s="7">
        <f>HYPERLINK("https://www.tradingview.com/symbols/NSE-PETRONET/technicals/", "&amp;#128202;")</f>
      </c>
      <c r="I168" s="7">
        <f>HYPERLINK("https://www.tradingview.com/symbols/NSE-PETRONET/financials-overview/", "&amp;#128194;")</f>
      </c>
      <c r="J168" s="4" t="s">
        <v>11</v>
      </c>
    </row>
    <row x14ac:dyDescent="0.25" r="169" customHeight="1" ht="18.75">
      <c r="A169" s="4" t="s">
        <v>178</v>
      </c>
      <c r="B169" s="5">
        <v>408.35</v>
      </c>
      <c r="C169" s="5">
        <v>394.3</v>
      </c>
      <c r="D169" s="5">
        <v>404.2</v>
      </c>
      <c r="E169" s="6">
        <v>401</v>
      </c>
      <c r="F169" s="7">
        <f>HYPERLINK("https://www.tradingview.com/chart/tioZvgwv/?symbol=NSE%3APFC&amp;interval=", "&amp;#128200;")</f>
      </c>
      <c r="G169" s="7">
        <f>HYPERLINK("https://www.tradingview.com/symbols/NSE-PFC/news/", "&amp;#128240;")</f>
      </c>
      <c r="H169" s="7">
        <f>HYPERLINK("https://www.tradingview.com/symbols/NSE-PFC/technicals/", "&amp;#128202;")</f>
      </c>
      <c r="I169" s="7">
        <f>HYPERLINK("https://www.tradingview.com/symbols/NSE-PFC/financials-overview/", "&amp;#128194;")</f>
      </c>
      <c r="J169" s="4" t="s">
        <v>11</v>
      </c>
    </row>
    <row x14ac:dyDescent="0.25" r="170" customHeight="1" ht="18.75">
      <c r="A170" s="4" t="s">
        <v>179</v>
      </c>
      <c r="B170" s="6">
        <v>2879</v>
      </c>
      <c r="C170" s="5">
        <v>2822.35</v>
      </c>
      <c r="D170" s="5">
        <v>2901.35</v>
      </c>
      <c r="E170" s="5">
        <v>2824.05</v>
      </c>
      <c r="F170" s="7">
        <f>HYPERLINK("https://www.tradingview.com/chart/tioZvgwv/?symbol=NSE%3APIDILITIND&amp;interval=", "&amp;#128200;")</f>
      </c>
      <c r="G170" s="7">
        <f>HYPERLINK("https://www.tradingview.com/symbols/NSE-PIDILITIND/news/", "&amp;#128240;")</f>
      </c>
      <c r="H170" s="7">
        <f>HYPERLINK("https://www.tradingview.com/symbols/NSE-PIDILITIND/technicals/", "&amp;#128202;")</f>
      </c>
      <c r="I170" s="7">
        <f>HYPERLINK("https://www.tradingview.com/symbols/NSE-PIDILITIND/financials-overview/", "&amp;#128194;")</f>
      </c>
      <c r="J170" s="4" t="s">
        <v>11</v>
      </c>
    </row>
    <row x14ac:dyDescent="0.25" r="171" customHeight="1" ht="18.75">
      <c r="A171" s="4" t="s">
        <v>180</v>
      </c>
      <c r="B171" s="6">
        <v>3610</v>
      </c>
      <c r="C171" s="5">
        <v>3465.05</v>
      </c>
      <c r="D171" s="5">
        <v>3614.5</v>
      </c>
      <c r="E171" s="5">
        <v>3466.05</v>
      </c>
      <c r="F171" s="7">
        <f>HYPERLINK("https://www.tradingview.com/chart/tioZvgwv/?symbol=NSE%3APIIND&amp;interval=", "&amp;#128200;")</f>
      </c>
      <c r="G171" s="7">
        <f>HYPERLINK("https://www.tradingview.com/symbols/NSE-PIIND/news/", "&amp;#128240;")</f>
      </c>
      <c r="H171" s="7">
        <f>HYPERLINK("https://www.tradingview.com/symbols/NSE-PIIND/technicals/", "&amp;#128202;")</f>
      </c>
      <c r="I171" s="7">
        <f>HYPERLINK("https://www.tradingview.com/symbols/NSE-PIIND/financials-overview/", "&amp;#128194;")</f>
      </c>
      <c r="J171" s="4" t="s">
        <v>11</v>
      </c>
    </row>
    <row x14ac:dyDescent="0.25" r="172" customHeight="1" ht="18.75">
      <c r="A172" s="4" t="s">
        <v>181</v>
      </c>
      <c r="B172" s="5">
        <v>98.5</v>
      </c>
      <c r="C172" s="5">
        <v>96.64</v>
      </c>
      <c r="D172" s="5">
        <v>98.64</v>
      </c>
      <c r="E172" s="5">
        <v>97.64</v>
      </c>
      <c r="F172" s="7">
        <f>HYPERLINK("https://www.tradingview.com/chart/tioZvgwv/?symbol=NSE%3APNB&amp;interval=", "&amp;#128200;")</f>
      </c>
      <c r="G172" s="7">
        <f>HYPERLINK("https://www.tradingview.com/symbols/NSE-PNB/news/", "&amp;#128240;")</f>
      </c>
      <c r="H172" s="7">
        <f>HYPERLINK("https://www.tradingview.com/symbols/NSE-PNB/technicals/", "&amp;#128202;")</f>
      </c>
      <c r="I172" s="7">
        <f>HYPERLINK("https://www.tradingview.com/symbols/NSE-PNB/financials-overview/", "&amp;#128194;")</f>
      </c>
      <c r="J172" s="4" t="s">
        <v>11</v>
      </c>
    </row>
    <row x14ac:dyDescent="0.25" r="173" customHeight="1" ht="18.75">
      <c r="A173" s="4" t="s">
        <v>182</v>
      </c>
      <c r="B173" s="5">
        <v>1802.95</v>
      </c>
      <c r="C173" s="6">
        <v>1730</v>
      </c>
      <c r="D173" s="5">
        <v>1862.95</v>
      </c>
      <c r="E173" s="5">
        <v>1750.2</v>
      </c>
      <c r="F173" s="7">
        <f>HYPERLINK("https://www.tradingview.com/chart/tioZvgwv/?symbol=NSE%3APOLICYBZR&amp;interval=", "&amp;#128200;")</f>
      </c>
      <c r="G173" s="7">
        <f>HYPERLINK("https://www.tradingview.com/symbols/NSE-POLICYBZR/news/", "&amp;#128240;")</f>
      </c>
      <c r="H173" s="7">
        <f>HYPERLINK("https://www.tradingview.com/symbols/NSE-POLICYBZR/technicals/", "&amp;#128202;")</f>
      </c>
      <c r="I173" s="7">
        <f>HYPERLINK("https://www.tradingview.com/symbols/NSE-POLICYBZR/financials-overview/", "&amp;#128194;")</f>
      </c>
      <c r="J173" s="4" t="s">
        <v>11</v>
      </c>
    </row>
    <row x14ac:dyDescent="0.25" r="174" customHeight="1" ht="18.75">
      <c r="A174" s="4" t="s">
        <v>183</v>
      </c>
      <c r="B174" s="5">
        <v>6537.3</v>
      </c>
      <c r="C174" s="5">
        <v>6411.5</v>
      </c>
      <c r="D174" s="5">
        <v>6538.95</v>
      </c>
      <c r="E174" s="5">
        <v>6427.25</v>
      </c>
      <c r="F174" s="7">
        <f>HYPERLINK("https://www.tradingview.com/chart/tioZvgwv/?symbol=NSE%3APOLYCAB&amp;interval=", "&amp;#128200;")</f>
      </c>
      <c r="G174" s="7">
        <f>HYPERLINK("https://www.tradingview.com/symbols/NSE-POLYCAB/news/", "&amp;#128240;")</f>
      </c>
      <c r="H174" s="7">
        <f>HYPERLINK("https://www.tradingview.com/symbols/NSE-POLYCAB/technicals/", "&amp;#128202;")</f>
      </c>
      <c r="I174" s="7">
        <f>HYPERLINK("https://www.tradingview.com/symbols/NSE-POLYCAB/financials-overview/", "&amp;#128194;")</f>
      </c>
      <c r="J174" s="4" t="s">
        <v>11</v>
      </c>
    </row>
    <row x14ac:dyDescent="0.25" r="175" customHeight="1" ht="18.75">
      <c r="A175" s="4" t="s">
        <v>184</v>
      </c>
      <c r="B175" s="5">
        <v>308.95</v>
      </c>
      <c r="C175" s="6">
        <v>301</v>
      </c>
      <c r="D175" s="5">
        <v>308.25</v>
      </c>
      <c r="E175" s="5">
        <v>305.85</v>
      </c>
      <c r="F175" s="7">
        <f>HYPERLINK("https://www.tradingview.com/chart/tioZvgwv/?symbol=NSE%3APOONAWALLA&amp;interval=", "&amp;#128200;")</f>
      </c>
      <c r="G175" s="7">
        <f>HYPERLINK("https://www.tradingview.com/symbols/NSE-POONAWALLA/news/", "&amp;#128240;")</f>
      </c>
      <c r="H175" s="7">
        <f>HYPERLINK("https://www.tradingview.com/symbols/NSE-POONAWALLA/technicals/", "&amp;#128202;")</f>
      </c>
      <c r="I175" s="7">
        <f>HYPERLINK("https://www.tradingview.com/symbols/NSE-POONAWALLA/financials-overview/", "&amp;#128194;")</f>
      </c>
      <c r="J175" s="4" t="s">
        <v>11</v>
      </c>
    </row>
    <row x14ac:dyDescent="0.25" r="176" customHeight="1" ht="18.75">
      <c r="A176" s="4" t="s">
        <v>185</v>
      </c>
      <c r="B176" s="5">
        <v>298.55</v>
      </c>
      <c r="C176" s="5">
        <v>291.5</v>
      </c>
      <c r="D176" s="5">
        <v>299.7</v>
      </c>
      <c r="E176" s="5">
        <v>294.9</v>
      </c>
      <c r="F176" s="7">
        <f>HYPERLINK("https://www.tradingview.com/chart/tioZvgwv/?symbol=NSE%3APOWERGRID&amp;interval=", "&amp;#128200;")</f>
      </c>
      <c r="G176" s="7">
        <f>HYPERLINK("https://www.tradingview.com/symbols/NSE-POWERGRID/news/", "&amp;#128240;")</f>
      </c>
      <c r="H176" s="7">
        <f>HYPERLINK("https://www.tradingview.com/symbols/NSE-POWERGRID/technicals/", "&amp;#128202;")</f>
      </c>
      <c r="I176" s="7">
        <f>HYPERLINK("https://www.tradingview.com/symbols/NSE-POWERGRID/financials-overview/", "&amp;#128194;")</f>
      </c>
      <c r="J176" s="4" t="s">
        <v>11</v>
      </c>
    </row>
    <row x14ac:dyDescent="0.25" r="177" customHeight="1" ht="18.75">
      <c r="A177" s="4" t="s">
        <v>186</v>
      </c>
      <c r="B177" s="6">
        <v>1470</v>
      </c>
      <c r="C177" s="6">
        <v>1440</v>
      </c>
      <c r="D177" s="5">
        <v>1492.4</v>
      </c>
      <c r="E177" s="5">
        <v>1450.35</v>
      </c>
      <c r="F177" s="7">
        <f>HYPERLINK("https://www.tradingview.com/chart/tioZvgwv/?symbol=NSE%3APRESTIGE&amp;interval=", "&amp;#128200;")</f>
      </c>
      <c r="G177" s="7">
        <f>HYPERLINK("https://www.tradingview.com/symbols/NSE-PRESTIGE/news/", "&amp;#128240;")</f>
      </c>
      <c r="H177" s="7">
        <f>HYPERLINK("https://www.tradingview.com/symbols/NSE-PRESTIGE/technicals/", "&amp;#128202;")</f>
      </c>
      <c r="I177" s="7">
        <f>HYPERLINK("https://www.tradingview.com/symbols/NSE-PRESTIGE/financials-overview/", "&amp;#128194;")</f>
      </c>
      <c r="J177" s="4" t="s">
        <v>11</v>
      </c>
    </row>
    <row x14ac:dyDescent="0.25" r="178" customHeight="1" ht="18.75">
      <c r="A178" s="4" t="s">
        <v>187</v>
      </c>
      <c r="B178" s="5">
        <v>1135.9</v>
      </c>
      <c r="C178" s="5">
        <v>1102.55</v>
      </c>
      <c r="D178" s="5">
        <v>1135.5</v>
      </c>
      <c r="E178" s="5">
        <v>1102.75</v>
      </c>
      <c r="F178" s="7">
        <f>HYPERLINK("https://www.tradingview.com/chart/tioZvgwv/?symbol=NSE%3APVRINOX&amp;interval=", "&amp;#128200;")</f>
      </c>
      <c r="G178" s="7">
        <f>HYPERLINK("https://www.tradingview.com/symbols/NSE-PVRINOX/news/", "&amp;#128240;")</f>
      </c>
      <c r="H178" s="7">
        <f>HYPERLINK("https://www.tradingview.com/symbols/NSE-PVRINOX/technicals/", "&amp;#128202;")</f>
      </c>
      <c r="I178" s="7">
        <f>HYPERLINK("https://www.tradingview.com/symbols/NSE-PVRINOX/financials-overview/", "&amp;#128194;")</f>
      </c>
      <c r="J178" s="4" t="s">
        <v>11</v>
      </c>
    </row>
    <row x14ac:dyDescent="0.25" r="179" customHeight="1" ht="18.75">
      <c r="A179" s="4" t="s">
        <v>188</v>
      </c>
      <c r="B179" s="5">
        <v>911.6</v>
      </c>
      <c r="C179" s="5">
        <v>890.15</v>
      </c>
      <c r="D179" s="5">
        <v>916.25</v>
      </c>
      <c r="E179" s="5">
        <v>893.85</v>
      </c>
      <c r="F179" s="7">
        <f>HYPERLINK("https://www.tradingview.com/chart/tioZvgwv/?symbol=NSE%3ARAMCOCEM&amp;interval=", "&amp;#128200;")</f>
      </c>
      <c r="G179" s="7">
        <f>HYPERLINK("https://www.tradingview.com/symbols/NSE-RAMCOCEM/news/", "&amp;#128240;")</f>
      </c>
      <c r="H179" s="7">
        <f>HYPERLINK("https://www.tradingview.com/symbols/NSE-RAMCOCEM/technicals/", "&amp;#128202;")</f>
      </c>
      <c r="I179" s="7">
        <f>HYPERLINK("https://www.tradingview.com/symbols/NSE-RAMCOCEM/financials-overview/", "&amp;#128194;")</f>
      </c>
      <c r="J179" s="4" t="s">
        <v>11</v>
      </c>
    </row>
    <row x14ac:dyDescent="0.25" r="180" customHeight="1" ht="18.75">
      <c r="A180" s="4" t="s">
        <v>189</v>
      </c>
      <c r="B180" s="5">
        <v>153.54</v>
      </c>
      <c r="C180" s="6">
        <v>151</v>
      </c>
      <c r="D180" s="5">
        <v>154.21</v>
      </c>
      <c r="E180" s="5">
        <v>151.28</v>
      </c>
      <c r="F180" s="7">
        <f>HYPERLINK("https://www.tradingview.com/chart/tioZvgwv/?symbol=NSE%3ARBLBANK&amp;interval=", "&amp;#128200;")</f>
      </c>
      <c r="G180" s="7">
        <f>HYPERLINK("https://www.tradingview.com/symbols/NSE-RBLBANK/news/", "&amp;#128240;")</f>
      </c>
      <c r="H180" s="7">
        <f>HYPERLINK("https://www.tradingview.com/symbols/NSE-RBLBANK/technicals/", "&amp;#128202;")</f>
      </c>
      <c r="I180" s="7">
        <f>HYPERLINK("https://www.tradingview.com/symbols/NSE-RBLBANK/financials-overview/", "&amp;#128194;")</f>
      </c>
      <c r="J180" s="4" t="s">
        <v>11</v>
      </c>
    </row>
    <row x14ac:dyDescent="0.25" r="181" customHeight="1" ht="18.75">
      <c r="A181" s="4" t="s">
        <v>190</v>
      </c>
      <c r="B181" s="5">
        <v>468.4</v>
      </c>
      <c r="C181" s="5">
        <v>447.2</v>
      </c>
      <c r="D181" s="5">
        <v>459.35</v>
      </c>
      <c r="E181" s="5">
        <v>462.75</v>
      </c>
      <c r="F181" s="7">
        <f>HYPERLINK("https://www.tradingview.com/chart/tioZvgwv/?symbol=NSE%3ARECLTD&amp;interval=", "&amp;#128200;")</f>
      </c>
      <c r="G181" s="7">
        <f>HYPERLINK("https://www.tradingview.com/symbols/NSE-RECLTD/news/", "&amp;#128240;")</f>
      </c>
      <c r="H181" s="7">
        <f>HYPERLINK("https://www.tradingview.com/symbols/NSE-RECLTD/technicals/", "&amp;#128202;")</f>
      </c>
      <c r="I181" s="7">
        <f>HYPERLINK("https://www.tradingview.com/symbols/NSE-RECLTD/financials-overview/", "&amp;#128194;")</f>
      </c>
      <c r="J181" s="4" t="s">
        <v>11</v>
      </c>
    </row>
    <row x14ac:dyDescent="0.25" r="182" customHeight="1" ht="18.75">
      <c r="A182" s="4" t="s">
        <v>191</v>
      </c>
      <c r="B182" s="5">
        <v>1241.4</v>
      </c>
      <c r="C182" s="5">
        <v>1226.4</v>
      </c>
      <c r="D182" s="5">
        <v>1241.9</v>
      </c>
      <c r="E182" s="5">
        <v>1236.7</v>
      </c>
      <c r="F182" s="7">
        <f>HYPERLINK("https://www.tradingview.com/chart/tioZvgwv/?symbol=NSE%3ARELIANCE&amp;interval=", "&amp;#128200;")</f>
      </c>
      <c r="G182" s="7">
        <f>HYPERLINK("https://www.tradingview.com/symbols/NSE-RELIANCE/news/", "&amp;#128240;")</f>
      </c>
      <c r="H182" s="7">
        <f>HYPERLINK("https://www.tradingview.com/symbols/NSE-RELIANCE/technicals/", "&amp;#128202;")</f>
      </c>
      <c r="I182" s="7">
        <f>HYPERLINK("https://www.tradingview.com/symbols/NSE-RELIANCE/financials-overview/", "&amp;#128194;")</f>
      </c>
      <c r="J182" s="4" t="s">
        <v>11</v>
      </c>
    </row>
    <row x14ac:dyDescent="0.25" r="183" customHeight="1" ht="18.75">
      <c r="A183" s="4" t="s">
        <v>192</v>
      </c>
      <c r="B183" s="5">
        <v>105.5</v>
      </c>
      <c r="C183" s="5">
        <v>102.7</v>
      </c>
      <c r="D183" s="5">
        <v>106.03</v>
      </c>
      <c r="E183" s="5">
        <v>102.87</v>
      </c>
      <c r="F183" s="7">
        <f>HYPERLINK("https://www.tradingview.com/chart/tioZvgwv/?symbol=NSE%3ASAIL&amp;interval=", "&amp;#128200;")</f>
      </c>
      <c r="G183" s="7">
        <f>HYPERLINK("https://www.tradingview.com/symbols/NSE-SAIL/news/", "&amp;#128240;")</f>
      </c>
      <c r="H183" s="7">
        <f>HYPERLINK("https://www.tradingview.com/symbols/NSE-SAIL/technicals/", "&amp;#128202;")</f>
      </c>
      <c r="I183" s="7">
        <f>HYPERLINK("https://www.tradingview.com/symbols/NSE-SAIL/financials-overview/", "&amp;#128194;")</f>
      </c>
      <c r="J183" s="4" t="s">
        <v>11</v>
      </c>
    </row>
    <row x14ac:dyDescent="0.25" r="184" customHeight="1" ht="18.75">
      <c r="A184" s="4" t="s">
        <v>193</v>
      </c>
      <c r="B184" s="5">
        <v>716.2</v>
      </c>
      <c r="C184" s="5">
        <v>705.55</v>
      </c>
      <c r="D184" s="5">
        <v>722.55</v>
      </c>
      <c r="E184" s="5">
        <v>706.9</v>
      </c>
      <c r="F184" s="7">
        <f>HYPERLINK("https://www.tradingview.com/chart/tioZvgwv/?symbol=NSE%3ASBICARD&amp;interval=", "&amp;#128200;")</f>
      </c>
      <c r="G184" s="7">
        <f>HYPERLINK("https://www.tradingview.com/symbols/NSE-SBICARD/news/", "&amp;#128240;")</f>
      </c>
      <c r="H184" s="7">
        <f>HYPERLINK("https://www.tradingview.com/symbols/NSE-SBICARD/technicals/", "&amp;#128202;")</f>
      </c>
      <c r="I184" s="7">
        <f>HYPERLINK("https://www.tradingview.com/symbols/NSE-SBICARD/financials-overview/", "&amp;#128194;")</f>
      </c>
      <c r="J184" s="4" t="s">
        <v>11</v>
      </c>
    </row>
    <row x14ac:dyDescent="0.25" r="185" customHeight="1" ht="18.75">
      <c r="A185" s="4" t="s">
        <v>194</v>
      </c>
      <c r="B185" s="5">
        <v>1478.3</v>
      </c>
      <c r="C185" s="5">
        <v>1445.65</v>
      </c>
      <c r="D185" s="5">
        <v>1478.3</v>
      </c>
      <c r="E185" s="5">
        <v>1465.75</v>
      </c>
      <c r="F185" s="7">
        <f>HYPERLINK("https://www.tradingview.com/chart/tioZvgwv/?symbol=NSE%3ASBILIFE&amp;interval=", "&amp;#128200;")</f>
      </c>
      <c r="G185" s="7">
        <f>HYPERLINK("https://www.tradingview.com/symbols/NSE-SBILIFE/news/", "&amp;#128240;")</f>
      </c>
      <c r="H185" s="7">
        <f>HYPERLINK("https://www.tradingview.com/symbols/NSE-SBILIFE/technicals/", "&amp;#128202;")</f>
      </c>
      <c r="I185" s="7">
        <f>HYPERLINK("https://www.tradingview.com/symbols/NSE-SBILIFE/financials-overview/", "&amp;#128194;")</f>
      </c>
      <c r="J185" s="4" t="s">
        <v>11</v>
      </c>
    </row>
    <row x14ac:dyDescent="0.25" r="186" customHeight="1" ht="18.75">
      <c r="A186" s="4" t="s">
        <v>195</v>
      </c>
      <c r="B186" s="5">
        <v>743.95</v>
      </c>
      <c r="C186" s="6">
        <v>731</v>
      </c>
      <c r="D186" s="5">
        <v>743.25</v>
      </c>
      <c r="E186" s="5">
        <v>738.85</v>
      </c>
      <c r="F186" s="7">
        <f>HYPERLINK("https://www.tradingview.com/chart/tioZvgwv/?symbol=NSE%3ASBIN&amp;interval=", "&amp;#128200;")</f>
      </c>
      <c r="G186" s="7">
        <f>HYPERLINK("https://www.tradingview.com/symbols/NSE-SBIN/news/", "&amp;#128240;")</f>
      </c>
      <c r="H186" s="7">
        <f>HYPERLINK("https://www.tradingview.com/symbols/NSE-SBIN/technicals/", "&amp;#128202;")</f>
      </c>
      <c r="I186" s="7">
        <f>HYPERLINK("https://www.tradingview.com/symbols/NSE-SBIN/financials-overview/", "&amp;#128194;")</f>
      </c>
      <c r="J186" s="4" t="s">
        <v>11</v>
      </c>
    </row>
    <row x14ac:dyDescent="0.25" r="187" customHeight="1" ht="18.75">
      <c r="A187" s="4" t="s">
        <v>196</v>
      </c>
      <c r="B187" s="5">
        <v>25499.9</v>
      </c>
      <c r="C187" s="6">
        <v>25001</v>
      </c>
      <c r="D187" s="5">
        <v>25738.3</v>
      </c>
      <c r="E187" s="5">
        <v>25019.8</v>
      </c>
      <c r="F187" s="7">
        <f>HYPERLINK("https://www.tradingview.com/chart/tioZvgwv/?symbol=NSE%3ASHREECEM&amp;interval=", "&amp;#128200;")</f>
      </c>
      <c r="G187" s="7">
        <f>HYPERLINK("https://www.tradingview.com/symbols/NSE-SHREECEM/news/", "&amp;#128240;")</f>
      </c>
      <c r="H187" s="7">
        <f>HYPERLINK("https://www.tradingview.com/symbols/NSE-SHREECEM/technicals/", "&amp;#128202;")</f>
      </c>
      <c r="I187" s="7">
        <f>HYPERLINK("https://www.tradingview.com/symbols/NSE-SHREECEM/financials-overview/", "&amp;#128194;")</f>
      </c>
      <c r="J187" s="4" t="s">
        <v>11</v>
      </c>
    </row>
    <row x14ac:dyDescent="0.25" r="188" customHeight="1" ht="18.75">
      <c r="A188" s="4" t="s">
        <v>197</v>
      </c>
      <c r="B188" s="5">
        <v>540.7</v>
      </c>
      <c r="C188" s="5">
        <v>524.05</v>
      </c>
      <c r="D188" s="6">
        <v>532</v>
      </c>
      <c r="E188" s="5">
        <v>532.95</v>
      </c>
      <c r="F188" s="7">
        <f>HYPERLINK("https://www.tradingview.com/chart/tioZvgwv/?symbol=NSE%3ASHRIRAMFIN&amp;interval=", "&amp;#128200;")</f>
      </c>
      <c r="G188" s="7">
        <f>HYPERLINK("https://www.tradingview.com/symbols/NSE-SHRIRAMFIN/news/", "&amp;#128240;")</f>
      </c>
      <c r="H188" s="7">
        <f>HYPERLINK("https://www.tradingview.com/symbols/NSE-SHRIRAMFIN/technicals/", "&amp;#128202;")</f>
      </c>
      <c r="I188" s="7">
        <f>HYPERLINK("https://www.tradingview.com/symbols/NSE-SHRIRAMFIN/financials-overview/", "&amp;#128194;")</f>
      </c>
      <c r="J188" s="4" t="s">
        <v>11</v>
      </c>
    </row>
    <row x14ac:dyDescent="0.25" r="189" customHeight="1" ht="18.75">
      <c r="A189" s="4" t="s">
        <v>198</v>
      </c>
      <c r="B189" s="5">
        <v>6079.45</v>
      </c>
      <c r="C189" s="6">
        <v>5945</v>
      </c>
      <c r="D189" s="5">
        <v>6104.8</v>
      </c>
      <c r="E189" s="5">
        <v>5953.2</v>
      </c>
      <c r="F189" s="7">
        <f>HYPERLINK("https://www.tradingview.com/chart/tioZvgwv/?symbol=NSE%3ASIEMENS&amp;interval=", "&amp;#128200;")</f>
      </c>
      <c r="G189" s="7">
        <f>HYPERLINK("https://www.tradingview.com/symbols/NSE-SIEMENS/news/", "&amp;#128240;")</f>
      </c>
      <c r="H189" s="7">
        <f>HYPERLINK("https://www.tradingview.com/symbols/NSE-SIEMENS/technicals/", "&amp;#128202;")</f>
      </c>
      <c r="I189" s="7">
        <f>HYPERLINK("https://www.tradingview.com/symbols/NSE-SIEMENS/financials-overview/", "&amp;#128194;")</f>
      </c>
      <c r="J189" s="4" t="s">
        <v>11</v>
      </c>
    </row>
    <row x14ac:dyDescent="0.25" r="190" customHeight="1" ht="18.75">
      <c r="A190" s="4" t="s">
        <v>199</v>
      </c>
      <c r="B190" s="5">
        <v>96.96</v>
      </c>
      <c r="C190" s="6">
        <v>94</v>
      </c>
      <c r="D190" s="5">
        <v>96.92</v>
      </c>
      <c r="E190" s="5">
        <v>94.15</v>
      </c>
      <c r="F190" s="7">
        <f>HYPERLINK("https://www.tradingview.com/chart/tioZvgwv/?symbol=NSE%3ASJVN&amp;interval=", "&amp;#128200;")</f>
      </c>
      <c r="G190" s="7">
        <f>HYPERLINK("https://www.tradingview.com/symbols/NSE-SJVN/news/", "&amp;#128240;")</f>
      </c>
      <c r="H190" s="7">
        <f>HYPERLINK("https://www.tradingview.com/symbols/NSE-SJVN/technicals/", "&amp;#128202;")</f>
      </c>
      <c r="I190" s="7">
        <f>HYPERLINK("https://www.tradingview.com/symbols/NSE-SJVN/financials-overview/", "&amp;#128194;")</f>
      </c>
      <c r="J190" s="4" t="s">
        <v>11</v>
      </c>
    </row>
    <row x14ac:dyDescent="0.25" r="191" customHeight="1" ht="18.75">
      <c r="A191" s="4" t="s">
        <v>200</v>
      </c>
      <c r="B191" s="5">
        <v>571.7</v>
      </c>
      <c r="C191" s="5">
        <v>556.25</v>
      </c>
      <c r="D191" s="5">
        <v>569.55</v>
      </c>
      <c r="E191" s="5">
        <v>568.4</v>
      </c>
      <c r="F191" s="7">
        <f>HYPERLINK("https://www.tradingview.com/chart/tioZvgwv/?symbol=NSE%3ASONACOMS&amp;interval=", "&amp;#128200;")</f>
      </c>
      <c r="G191" s="7">
        <f>HYPERLINK("https://www.tradingview.com/symbols/NSE-SONACOMS/news/", "&amp;#128240;")</f>
      </c>
      <c r="H191" s="7">
        <f>HYPERLINK("https://www.tradingview.com/symbols/NSE-SONACOMS/technicals/", "&amp;#128202;")</f>
      </c>
      <c r="I191" s="7">
        <f>HYPERLINK("https://www.tradingview.com/symbols/NSE-SONACOMS/financials-overview/", "&amp;#128194;")</f>
      </c>
      <c r="J191" s="4" t="s">
        <v>11</v>
      </c>
    </row>
    <row x14ac:dyDescent="0.25" r="192" customHeight="1" ht="18.75">
      <c r="A192" s="4" t="s">
        <v>201</v>
      </c>
      <c r="B192" s="5">
        <v>2597.5</v>
      </c>
      <c r="C192" s="5">
        <v>2526.1</v>
      </c>
      <c r="D192" s="5">
        <v>2601.1</v>
      </c>
      <c r="E192" s="5">
        <v>2541.55</v>
      </c>
      <c r="F192" s="7">
        <f>HYPERLINK("https://www.tradingview.com/chart/tioZvgwv/?symbol=NSE%3ASRF&amp;interval=", "&amp;#128200;")</f>
      </c>
      <c r="G192" s="7">
        <f>HYPERLINK("https://www.tradingview.com/symbols/NSE-SRF/news/", "&amp;#128240;")</f>
      </c>
      <c r="H192" s="7">
        <f>HYPERLINK("https://www.tradingview.com/symbols/NSE-SRF/technicals/", "&amp;#128202;")</f>
      </c>
      <c r="I192" s="7">
        <f>HYPERLINK("https://www.tradingview.com/symbols/NSE-SRF/financials-overview/", "&amp;#128194;")</f>
      </c>
      <c r="J192" s="4" t="s">
        <v>11</v>
      </c>
    </row>
    <row x14ac:dyDescent="0.25" r="193" customHeight="1" ht="18.75">
      <c r="A193" s="4" t="s">
        <v>202</v>
      </c>
      <c r="B193" s="5">
        <v>1785.55</v>
      </c>
      <c r="C193" s="5">
        <v>1755.1</v>
      </c>
      <c r="D193" s="5">
        <v>1784.8</v>
      </c>
      <c r="E193" s="5">
        <v>1757.3</v>
      </c>
      <c r="F193" s="7">
        <f>HYPERLINK("https://www.tradingview.com/chart/tioZvgwv/?symbol=NSE%3ASUNPHARMA&amp;interval=", "&amp;#128200;")</f>
      </c>
      <c r="G193" s="7">
        <f>HYPERLINK("https://www.tradingview.com/symbols/NSE-SUNPHARMA/news/", "&amp;#128240;")</f>
      </c>
      <c r="H193" s="7">
        <f>HYPERLINK("https://www.tradingview.com/symbols/NSE-SUNPHARMA/technicals/", "&amp;#128202;")</f>
      </c>
      <c r="I193" s="7">
        <f>HYPERLINK("https://www.tradingview.com/symbols/NSE-SUNPHARMA/financials-overview/", "&amp;#128194;")</f>
      </c>
      <c r="J193" s="4" t="s">
        <v>11</v>
      </c>
    </row>
    <row x14ac:dyDescent="0.25" r="194" customHeight="1" ht="18.75">
      <c r="A194" s="4" t="s">
        <v>203</v>
      </c>
      <c r="B194" s="5">
        <v>667.55</v>
      </c>
      <c r="C194" s="5">
        <v>650.35</v>
      </c>
      <c r="D194" s="5">
        <v>670.2</v>
      </c>
      <c r="E194" s="5">
        <v>651.6</v>
      </c>
      <c r="F194" s="7">
        <f>HYPERLINK("https://www.tradingview.com/chart/tioZvgwv/?symbol=NSE%3ASUNTV&amp;interval=", "&amp;#128200;")</f>
      </c>
      <c r="G194" s="7">
        <f>HYPERLINK("https://www.tradingview.com/symbols/NSE-SUNTV/news/", "&amp;#128240;")</f>
      </c>
      <c r="H194" s="7">
        <f>HYPERLINK("https://www.tradingview.com/symbols/NSE-SUNTV/technicals/", "&amp;#128202;")</f>
      </c>
      <c r="I194" s="7">
        <f>HYPERLINK("https://www.tradingview.com/symbols/NSE-SUNTV/financials-overview/", "&amp;#128194;")</f>
      </c>
      <c r="J194" s="4" t="s">
        <v>11</v>
      </c>
    </row>
    <row x14ac:dyDescent="0.25" r="195" customHeight="1" ht="18.75">
      <c r="A195" s="4" t="s">
        <v>204</v>
      </c>
      <c r="B195" s="5">
        <v>4503.9</v>
      </c>
      <c r="C195" s="5">
        <v>4361.3</v>
      </c>
      <c r="D195" s="5">
        <v>4544.85</v>
      </c>
      <c r="E195" s="5">
        <v>4364.35</v>
      </c>
      <c r="F195" s="7">
        <f>HYPERLINK("https://www.tradingview.com/chart/tioZvgwv/?symbol=NSE%3ASUPREMEIND&amp;interval=", "&amp;#128200;")</f>
      </c>
      <c r="G195" s="7">
        <f>HYPERLINK("https://www.tradingview.com/symbols/NSE-SUPREMEIND/news/", "&amp;#128240;")</f>
      </c>
      <c r="H195" s="7">
        <f>HYPERLINK("https://www.tradingview.com/symbols/NSE-SUPREMEIND/technicals/", "&amp;#128202;")</f>
      </c>
      <c r="I195" s="7">
        <f>HYPERLINK("https://www.tradingview.com/symbols/NSE-SUPREMEIND/financials-overview/", "&amp;#128194;")</f>
      </c>
      <c r="J195" s="4" t="s">
        <v>11</v>
      </c>
    </row>
    <row x14ac:dyDescent="0.25" r="196" customHeight="1" ht="18.75">
      <c r="A196" s="4" t="s">
        <v>205</v>
      </c>
      <c r="B196" s="5">
        <v>856.15</v>
      </c>
      <c r="C196" s="5">
        <v>813.4</v>
      </c>
      <c r="D196" s="5">
        <v>859.8</v>
      </c>
      <c r="E196" s="5">
        <v>815.15</v>
      </c>
      <c r="F196" s="7">
        <f>HYPERLINK("https://www.tradingview.com/chart/tioZvgwv/?symbol=NSE%3ASYNGENE&amp;interval=", "&amp;#128200;")</f>
      </c>
      <c r="G196" s="7">
        <f>HYPERLINK("https://www.tradingview.com/symbols/NSE-SYNGENE/news/", "&amp;#128240;")</f>
      </c>
      <c r="H196" s="7">
        <f>HYPERLINK("https://www.tradingview.com/symbols/NSE-SYNGENE/technicals/", "&amp;#128202;")</f>
      </c>
      <c r="I196" s="7">
        <f>HYPERLINK("https://www.tradingview.com/symbols/NSE-SYNGENE/financials-overview/", "&amp;#128194;")</f>
      </c>
      <c r="J196" s="4" t="s">
        <v>11</v>
      </c>
    </row>
    <row x14ac:dyDescent="0.25" r="197" customHeight="1" ht="18.75">
      <c r="A197" s="4" t="s">
        <v>206</v>
      </c>
      <c r="B197" s="5">
        <v>972.3</v>
      </c>
      <c r="C197" s="6">
        <v>963</v>
      </c>
      <c r="D197" s="5">
        <v>977.75</v>
      </c>
      <c r="E197" s="5">
        <v>967.4</v>
      </c>
      <c r="F197" s="7">
        <f>HYPERLINK("https://www.tradingview.com/chart/tioZvgwv/?symbol=NSE%3ATATACHEM&amp;interval=", "&amp;#128200;")</f>
      </c>
      <c r="G197" s="7">
        <f>HYPERLINK("https://www.tradingview.com/symbols/NSE-TATACHEM/news/", "&amp;#128240;")</f>
      </c>
      <c r="H197" s="7">
        <f>HYPERLINK("https://www.tradingview.com/symbols/NSE-TATACHEM/technicals/", "&amp;#128202;")</f>
      </c>
      <c r="I197" s="7">
        <f>HYPERLINK("https://www.tradingview.com/symbols/NSE-TATACHEM/financials-overview/", "&amp;#128194;")</f>
      </c>
      <c r="J197" s="4" t="s">
        <v>11</v>
      </c>
    </row>
    <row x14ac:dyDescent="0.25" r="198" customHeight="1" ht="18.75">
      <c r="A198" s="4" t="s">
        <v>207</v>
      </c>
      <c r="B198" s="5">
        <v>1706.9</v>
      </c>
      <c r="C198" s="5">
        <v>1661.05</v>
      </c>
      <c r="D198" s="5">
        <v>1718.9</v>
      </c>
      <c r="E198" s="5">
        <v>1663.45</v>
      </c>
      <c r="F198" s="7">
        <f>HYPERLINK("https://www.tradingview.com/chart/tioZvgwv/?symbol=NSE%3ATATACOMM&amp;interval=", "&amp;#128200;")</f>
      </c>
      <c r="G198" s="7">
        <f>HYPERLINK("https://www.tradingview.com/symbols/NSE-TATACOMM/news/", "&amp;#128240;")</f>
      </c>
      <c r="H198" s="7">
        <f>HYPERLINK("https://www.tradingview.com/symbols/NSE-TATACOMM/technicals/", "&amp;#128202;")</f>
      </c>
      <c r="I198" s="7">
        <f>HYPERLINK("https://www.tradingview.com/symbols/NSE-TATACOMM/financials-overview/", "&amp;#128194;")</f>
      </c>
      <c r="J198" s="4" t="s">
        <v>11</v>
      </c>
    </row>
    <row x14ac:dyDescent="0.25" r="199" customHeight="1" ht="18.75">
      <c r="A199" s="4" t="s">
        <v>208</v>
      </c>
      <c r="B199" s="5">
        <v>968.9</v>
      </c>
      <c r="C199" s="6">
        <v>945</v>
      </c>
      <c r="D199" s="5">
        <v>972.8</v>
      </c>
      <c r="E199" s="5">
        <v>965.5</v>
      </c>
      <c r="F199" s="7">
        <f>HYPERLINK("https://www.tradingview.com/chart/tioZvgwv/?symbol=NSE%3ATATACONSUM&amp;interval=", "&amp;#128200;")</f>
      </c>
      <c r="G199" s="7">
        <f>HYPERLINK("https://www.tradingview.com/symbols/NSE-TATACONSUM/news/", "&amp;#128240;")</f>
      </c>
      <c r="H199" s="7">
        <f>HYPERLINK("https://www.tradingview.com/symbols/NSE-TATACONSUM/technicals/", "&amp;#128202;")</f>
      </c>
      <c r="I199" s="7">
        <f>HYPERLINK("https://www.tradingview.com/symbols/NSE-TATACONSUM/financials-overview/", "&amp;#128194;")</f>
      </c>
      <c r="J199" s="4" t="s">
        <v>11</v>
      </c>
    </row>
    <row x14ac:dyDescent="0.25" r="200" customHeight="1" ht="18.75">
      <c r="A200" s="4" t="s">
        <v>209</v>
      </c>
      <c r="B200" s="5">
        <v>6088.95</v>
      </c>
      <c r="C200" s="5">
        <v>5955.6</v>
      </c>
      <c r="D200" s="5">
        <v>6000.6</v>
      </c>
      <c r="E200" s="6">
        <v>6014</v>
      </c>
      <c r="F200" s="7">
        <f>HYPERLINK("https://www.tradingview.com/chart/tioZvgwv/?symbol=NSE%3ATATAELXSI&amp;interval=", "&amp;#128200;")</f>
      </c>
      <c r="G200" s="7">
        <f>HYPERLINK("https://www.tradingview.com/symbols/NSE-TATAELXSI/news/", "&amp;#128240;")</f>
      </c>
      <c r="H200" s="7">
        <f>HYPERLINK("https://www.tradingview.com/symbols/NSE-TATAELXSI/technicals/", "&amp;#128202;")</f>
      </c>
      <c r="I200" s="7">
        <f>HYPERLINK("https://www.tradingview.com/symbols/NSE-TATAELXSI/financials-overview/", "&amp;#128194;")</f>
      </c>
      <c r="J200" s="4" t="s">
        <v>11</v>
      </c>
    </row>
    <row x14ac:dyDescent="0.25" r="201" customHeight="1" ht="18.75">
      <c r="A201" s="4" t="s">
        <v>210</v>
      </c>
      <c r="B201" s="5">
        <v>773.55</v>
      </c>
      <c r="C201" s="5">
        <v>758.65</v>
      </c>
      <c r="D201" s="5">
        <v>774.65</v>
      </c>
      <c r="E201" s="6">
        <v>764</v>
      </c>
      <c r="F201" s="7">
        <f>HYPERLINK("https://www.tradingview.com/chart/tioZvgwv/?symbol=NSE%3ATATAMOTORS&amp;interval=", "&amp;#128200;")</f>
      </c>
      <c r="G201" s="7">
        <f>HYPERLINK("https://www.tradingview.com/symbols/NSE-TATAMOTORS/news/", "&amp;#128240;")</f>
      </c>
      <c r="H201" s="7">
        <f>HYPERLINK("https://www.tradingview.com/symbols/NSE-TATAMOTORS/technicals/", "&amp;#128202;")</f>
      </c>
      <c r="I201" s="7">
        <f>HYPERLINK("https://www.tradingview.com/symbols/NSE-TATAMOTORS/financials-overview/", "&amp;#128194;")</f>
      </c>
      <c r="J201" s="4" t="s">
        <v>11</v>
      </c>
    </row>
    <row x14ac:dyDescent="0.25" r="202" customHeight="1" ht="18.75">
      <c r="A202" s="4" t="s">
        <v>211</v>
      </c>
      <c r="B202" s="5">
        <v>354.85</v>
      </c>
      <c r="C202" s="5">
        <v>348.35</v>
      </c>
      <c r="D202" s="5">
        <v>356.35</v>
      </c>
      <c r="E202" s="5">
        <v>349.2</v>
      </c>
      <c r="F202" s="7">
        <f>HYPERLINK("https://www.tradingview.com/chart/tioZvgwv/?symbol=NSE%3ATATAPOWER&amp;interval=", "&amp;#128200;")</f>
      </c>
      <c r="G202" s="7">
        <f>HYPERLINK("https://www.tradingview.com/symbols/NSE-TATAPOWER/news/", "&amp;#128240;")</f>
      </c>
      <c r="H202" s="7">
        <f>HYPERLINK("https://www.tradingview.com/symbols/NSE-TATAPOWER/technicals/", "&amp;#128202;")</f>
      </c>
      <c r="I202" s="7">
        <f>HYPERLINK("https://www.tradingview.com/symbols/NSE-TATAPOWER/financials-overview/", "&amp;#128194;")</f>
      </c>
      <c r="J202" s="4" t="s">
        <v>11</v>
      </c>
    </row>
    <row x14ac:dyDescent="0.25" r="203" customHeight="1" ht="18.75">
      <c r="A203" s="4" t="s">
        <v>212</v>
      </c>
      <c r="B203" s="5">
        <v>126.5</v>
      </c>
      <c r="C203" s="5">
        <v>124.18</v>
      </c>
      <c r="D203" s="5">
        <v>127.43</v>
      </c>
      <c r="E203" s="5">
        <v>124.24</v>
      </c>
      <c r="F203" s="7">
        <f>HYPERLINK("https://www.tradingview.com/chart/tioZvgwv/?symbol=NSE%3ATATASTEEL&amp;interval=", "&amp;#128200;")</f>
      </c>
      <c r="G203" s="7">
        <f>HYPERLINK("https://www.tradingview.com/symbols/NSE-TATASTEEL/news/", "&amp;#128240;")</f>
      </c>
      <c r="H203" s="7">
        <f>HYPERLINK("https://www.tradingview.com/symbols/NSE-TATASTEEL/technicals/", "&amp;#128202;")</f>
      </c>
      <c r="I203" s="7">
        <f>HYPERLINK("https://www.tradingview.com/symbols/NSE-TATASTEEL/financials-overview/", "&amp;#128194;")</f>
      </c>
      <c r="J203" s="4" t="s">
        <v>11</v>
      </c>
    </row>
    <row x14ac:dyDescent="0.25" r="204" customHeight="1" ht="18.75">
      <c r="A204" s="4" t="s">
        <v>213</v>
      </c>
      <c r="B204" s="5">
        <v>4316.8</v>
      </c>
      <c r="C204" s="5">
        <v>4227.4</v>
      </c>
      <c r="D204" s="5">
        <v>4265.65</v>
      </c>
      <c r="E204" s="6">
        <v>4294</v>
      </c>
      <c r="F204" s="7">
        <f>HYPERLINK("https://www.tradingview.com/chart/tioZvgwv/?symbol=NSE%3ATCS&amp;interval=", "&amp;#128200;")</f>
      </c>
      <c r="G204" s="7">
        <f>HYPERLINK("https://www.tradingview.com/symbols/NSE-TCS/news/", "&amp;#128240;")</f>
      </c>
      <c r="H204" s="7">
        <f>HYPERLINK("https://www.tradingview.com/symbols/NSE-TCS/technicals/", "&amp;#128202;")</f>
      </c>
      <c r="I204" s="7">
        <f>HYPERLINK("https://www.tradingview.com/symbols/NSE-TCS/financials-overview/", "&amp;#128194;")</f>
      </c>
      <c r="J204" s="4" t="s">
        <v>11</v>
      </c>
    </row>
    <row x14ac:dyDescent="0.25" r="205" customHeight="1" ht="18.75">
      <c r="A205" s="4" t="s">
        <v>214</v>
      </c>
      <c r="B205" s="6">
        <v>1701</v>
      </c>
      <c r="C205" s="5">
        <v>1670.05</v>
      </c>
      <c r="D205" s="5">
        <v>1705.6</v>
      </c>
      <c r="E205" s="5">
        <v>1671.45</v>
      </c>
      <c r="F205" s="7">
        <f>HYPERLINK("https://www.tradingview.com/chart/tioZvgwv/?symbol=NSE%3ATECHM&amp;interval=", "&amp;#128200;")</f>
      </c>
      <c r="G205" s="7">
        <f>HYPERLINK("https://www.tradingview.com/symbols/NSE-TECHM/news/", "&amp;#128240;")</f>
      </c>
      <c r="H205" s="7">
        <f>HYPERLINK("https://www.tradingview.com/symbols/NSE-TECHM/technicals/", "&amp;#128202;")</f>
      </c>
      <c r="I205" s="7">
        <f>HYPERLINK("https://www.tradingview.com/symbols/NSE-TECHM/financials-overview/", "&amp;#128194;")</f>
      </c>
      <c r="J205" s="4" t="s">
        <v>11</v>
      </c>
    </row>
    <row x14ac:dyDescent="0.25" r="206" customHeight="1" ht="18.75">
      <c r="A206" s="4" t="s">
        <v>215</v>
      </c>
      <c r="B206" s="5">
        <v>3448.3</v>
      </c>
      <c r="C206" s="6">
        <v>3315</v>
      </c>
      <c r="D206" s="5">
        <v>3454.5</v>
      </c>
      <c r="E206" s="5">
        <v>3320.15</v>
      </c>
      <c r="F206" s="7">
        <f>HYPERLINK("https://www.tradingview.com/chart/tioZvgwv/?symbol=NSE%3ATIINDIA&amp;interval=", "&amp;#128200;")</f>
      </c>
      <c r="G206" s="7">
        <f>HYPERLINK("https://www.tradingview.com/symbols/NSE-TIINDIA/news/", "&amp;#128240;")</f>
      </c>
      <c r="H206" s="7">
        <f>HYPERLINK("https://www.tradingview.com/symbols/NSE-TIINDIA/technicals/", "&amp;#128202;")</f>
      </c>
      <c r="I206" s="7">
        <f>HYPERLINK("https://www.tradingview.com/symbols/NSE-TIINDIA/financials-overview/", "&amp;#128194;")</f>
      </c>
      <c r="J206" s="4" t="s">
        <v>11</v>
      </c>
    </row>
    <row x14ac:dyDescent="0.25" r="207" customHeight="1" ht="18.75">
      <c r="A207" s="4" t="s">
        <v>216</v>
      </c>
      <c r="B207" s="6">
        <v>3467</v>
      </c>
      <c r="C207" s="5">
        <v>3352.5</v>
      </c>
      <c r="D207" s="5">
        <v>3440.25</v>
      </c>
      <c r="E207" s="6">
        <v>3422</v>
      </c>
      <c r="F207" s="7">
        <f>HYPERLINK("https://www.tradingview.com/chart/tioZvgwv/?symbol=NSE%3ATITAN&amp;interval=", "&amp;#128200;")</f>
      </c>
      <c r="G207" s="7">
        <f>HYPERLINK("https://www.tradingview.com/symbols/NSE-TITAN/news/", "&amp;#128240;")</f>
      </c>
      <c r="H207" s="7">
        <f>HYPERLINK("https://www.tradingview.com/symbols/NSE-TITAN/technicals/", "&amp;#128202;")</f>
      </c>
      <c r="I207" s="7">
        <f>HYPERLINK("https://www.tradingview.com/symbols/NSE-TITAN/financials-overview/", "&amp;#128194;")</f>
      </c>
      <c r="J207" s="4" t="s">
        <v>11</v>
      </c>
    </row>
    <row x14ac:dyDescent="0.25" r="208" customHeight="1" ht="18.75">
      <c r="A208" s="4" t="s">
        <v>217</v>
      </c>
      <c r="B208" s="5">
        <v>3294.15</v>
      </c>
      <c r="C208" s="5">
        <v>3234.25</v>
      </c>
      <c r="D208" s="5">
        <v>3274.45</v>
      </c>
      <c r="E208" s="5">
        <v>3240.1</v>
      </c>
      <c r="F208" s="7">
        <f>HYPERLINK("https://www.tradingview.com/chart/tioZvgwv/?symbol=NSE%3ATORNTPHARM&amp;interval=", "&amp;#128200;")</f>
      </c>
      <c r="G208" s="7">
        <f>HYPERLINK("https://www.tradingview.com/symbols/NSE-TORNTPHARM/news/", "&amp;#128240;")</f>
      </c>
      <c r="H208" s="7">
        <f>HYPERLINK("https://www.tradingview.com/symbols/NSE-TORNTPHARM/technicals/", "&amp;#128202;")</f>
      </c>
      <c r="I208" s="7">
        <f>HYPERLINK("https://www.tradingview.com/symbols/NSE-TORNTPHARM/financials-overview/", "&amp;#128194;")</f>
      </c>
      <c r="J208" s="4" t="s">
        <v>11</v>
      </c>
    </row>
    <row x14ac:dyDescent="0.25" r="209" customHeight="1" ht="18.75">
      <c r="A209" s="4" t="s">
        <v>218</v>
      </c>
      <c r="B209" s="5">
        <v>6523.85</v>
      </c>
      <c r="C209" s="5">
        <v>6263.1</v>
      </c>
      <c r="D209" s="5">
        <v>6584.1</v>
      </c>
      <c r="E209" s="5">
        <v>6270.8</v>
      </c>
      <c r="F209" s="7">
        <f>HYPERLINK("https://www.tradingview.com/chart/tioZvgwv/?symbol=NSE%3ATRENT&amp;interval=", "&amp;#128200;")</f>
      </c>
      <c r="G209" s="7">
        <f>HYPERLINK("https://www.tradingview.com/symbols/NSE-TRENT/news/", "&amp;#128240;")</f>
      </c>
      <c r="H209" s="7">
        <f>HYPERLINK("https://www.tradingview.com/symbols/NSE-TRENT/technicals/", "&amp;#128202;")</f>
      </c>
      <c r="I209" s="7">
        <f>HYPERLINK("https://www.tradingview.com/symbols/NSE-TRENT/financials-overview/", "&amp;#128194;")</f>
      </c>
      <c r="J209" s="4" t="s">
        <v>11</v>
      </c>
    </row>
    <row x14ac:dyDescent="0.25" r="210" customHeight="1" ht="18.75">
      <c r="A210" s="4" t="s">
        <v>219</v>
      </c>
      <c r="B210" s="5">
        <v>2278.25</v>
      </c>
      <c r="C210" s="5">
        <v>2210.65</v>
      </c>
      <c r="D210" s="5">
        <v>2283.25</v>
      </c>
      <c r="E210" s="5">
        <v>2218.6</v>
      </c>
      <c r="F210" s="7">
        <f>HYPERLINK("https://www.tradingview.com/chart/tioZvgwv/?symbol=NSE%3ATVSMOTOR&amp;interval=", "&amp;#128200;")</f>
      </c>
      <c r="G210" s="7">
        <f>HYPERLINK("https://www.tradingview.com/symbols/NSE-TVSMOTOR/news/", "&amp;#128240;")</f>
      </c>
      <c r="H210" s="7">
        <f>HYPERLINK("https://www.tradingview.com/symbols/NSE-TVSMOTOR/technicals/", "&amp;#128202;")</f>
      </c>
      <c r="I210" s="7">
        <f>HYPERLINK("https://www.tradingview.com/symbols/NSE-TVSMOTOR/financials-overview/", "&amp;#128194;")</f>
      </c>
      <c r="J210" s="4" t="s">
        <v>11</v>
      </c>
    </row>
    <row x14ac:dyDescent="0.25" r="211" customHeight="1" ht="18.75">
      <c r="A211" s="4" t="s">
        <v>220</v>
      </c>
      <c r="B211" s="5">
        <v>2018.45</v>
      </c>
      <c r="C211" s="5">
        <v>1972.1</v>
      </c>
      <c r="D211" s="5">
        <v>2029.5</v>
      </c>
      <c r="E211" s="5">
        <v>1974.5</v>
      </c>
      <c r="F211" s="7">
        <f>HYPERLINK("https://www.tradingview.com/chart/tioZvgwv/?symbol=NSE%3AUBL&amp;interval=", "&amp;#128200;")</f>
      </c>
      <c r="G211" s="7">
        <f>HYPERLINK("https://www.tradingview.com/symbols/NSE-UBL/news/", "&amp;#128240;")</f>
      </c>
      <c r="H211" s="7">
        <f>HYPERLINK("https://www.tradingview.com/symbols/NSE-UBL/technicals/", "&amp;#128202;")</f>
      </c>
      <c r="I211" s="7">
        <f>HYPERLINK("https://www.tradingview.com/symbols/NSE-UBL/financials-overview/", "&amp;#128194;")</f>
      </c>
      <c r="J211" s="4" t="s">
        <v>11</v>
      </c>
    </row>
    <row x14ac:dyDescent="0.25" r="212" customHeight="1" ht="18.75">
      <c r="A212" s="4" t="s">
        <v>221</v>
      </c>
      <c r="B212" s="6">
        <v>10830</v>
      </c>
      <c r="C212" s="6">
        <v>10700</v>
      </c>
      <c r="D212" s="5">
        <v>10865.2</v>
      </c>
      <c r="E212" s="5">
        <v>10751.95</v>
      </c>
      <c r="F212" s="7">
        <f>HYPERLINK("https://www.tradingview.com/chart/tioZvgwv/?symbol=NSE%3AULTRACEMCO&amp;interval=", "&amp;#128200;")</f>
      </c>
      <c r="G212" s="7">
        <f>HYPERLINK("https://www.tradingview.com/symbols/NSE-ULTRACEMCO/news/", "&amp;#128240;")</f>
      </c>
      <c r="H212" s="7">
        <f>HYPERLINK("https://www.tradingview.com/symbols/NSE-ULTRACEMCO/technicals/", "&amp;#128202;")</f>
      </c>
      <c r="I212" s="7">
        <f>HYPERLINK("https://www.tradingview.com/symbols/NSE-ULTRACEMCO/financials-overview/", "&amp;#128194;")</f>
      </c>
      <c r="J212" s="4" t="s">
        <v>11</v>
      </c>
    </row>
    <row x14ac:dyDescent="0.25" r="213" customHeight="1" ht="18.75">
      <c r="A213" s="4" t="s">
        <v>222</v>
      </c>
      <c r="B213" s="5">
        <v>104.59</v>
      </c>
      <c r="C213" s="5">
        <v>101.63</v>
      </c>
      <c r="D213" s="5">
        <v>103.62</v>
      </c>
      <c r="E213" s="5">
        <v>103.2</v>
      </c>
      <c r="F213" s="7">
        <f>HYPERLINK("https://www.tradingview.com/chart/tioZvgwv/?symbol=NSE%3AUNIONBANK&amp;interval=", "&amp;#128200;")</f>
      </c>
      <c r="G213" s="7">
        <f>HYPERLINK("https://www.tradingview.com/symbols/NSE-UNIONBANK/news/", "&amp;#128240;")</f>
      </c>
      <c r="H213" s="7">
        <f>HYPERLINK("https://www.tradingview.com/symbols/NSE-UNIONBANK/technicals/", "&amp;#128202;")</f>
      </c>
      <c r="I213" s="7">
        <f>HYPERLINK("https://www.tradingview.com/symbols/NSE-UNIONBANK/financials-overview/", "&amp;#128194;")</f>
      </c>
      <c r="J213" s="4" t="s">
        <v>11</v>
      </c>
    </row>
    <row x14ac:dyDescent="0.25" r="214" customHeight="1" ht="18.75">
      <c r="A214" s="4" t="s">
        <v>223</v>
      </c>
      <c r="B214" s="6">
        <v>549</v>
      </c>
      <c r="C214" s="6">
        <v>537</v>
      </c>
      <c r="D214" s="5">
        <v>548.85</v>
      </c>
      <c r="E214" s="5">
        <v>537.8</v>
      </c>
      <c r="F214" s="7">
        <f>HYPERLINK("https://www.tradingview.com/chart/tioZvgwv/?symbol=NSE%3AUPL&amp;interval=", "&amp;#128200;")</f>
      </c>
      <c r="G214" s="7">
        <f>HYPERLINK("https://www.tradingview.com/symbols/NSE-UPL/news/", "&amp;#128240;")</f>
      </c>
      <c r="H214" s="7">
        <f>HYPERLINK("https://www.tradingview.com/symbols/NSE-UPL/technicals/", "&amp;#128202;")</f>
      </c>
      <c r="I214" s="7">
        <f>HYPERLINK("https://www.tradingview.com/symbols/NSE-UPL/financials-overview/", "&amp;#128194;")</f>
      </c>
      <c r="J214" s="4" t="s">
        <v>11</v>
      </c>
    </row>
    <row x14ac:dyDescent="0.25" r="215" customHeight="1" ht="18.75">
      <c r="A215" s="4" t="s">
        <v>224</v>
      </c>
      <c r="B215" s="5">
        <v>591.35</v>
      </c>
      <c r="C215" s="5">
        <v>576.05</v>
      </c>
      <c r="D215" s="5">
        <v>596.55</v>
      </c>
      <c r="E215" s="5">
        <v>577.15</v>
      </c>
      <c r="F215" s="7">
        <f>HYPERLINK("https://www.tradingview.com/chart/tioZvgwv/?symbol=NSE%3AVBL&amp;interval=", "&amp;#128200;")</f>
      </c>
      <c r="G215" s="7">
        <f>HYPERLINK("https://www.tradingview.com/symbols/NSE-VBL/news/", "&amp;#128240;")</f>
      </c>
      <c r="H215" s="7">
        <f>HYPERLINK("https://www.tradingview.com/symbols/NSE-VBL/technicals/", "&amp;#128202;")</f>
      </c>
      <c r="I215" s="7">
        <f>HYPERLINK("https://www.tradingview.com/symbols/NSE-VBL/financials-overview/", "&amp;#128194;")</f>
      </c>
      <c r="J215" s="4" t="s">
        <v>11</v>
      </c>
    </row>
    <row x14ac:dyDescent="0.25" r="216" customHeight="1" ht="18.75">
      <c r="A216" s="4" t="s">
        <v>225</v>
      </c>
      <c r="B216" s="5">
        <v>428.8</v>
      </c>
      <c r="C216" s="5">
        <v>420.05</v>
      </c>
      <c r="D216" s="5">
        <v>432.15</v>
      </c>
      <c r="E216" s="5">
        <v>420.8</v>
      </c>
      <c r="F216" s="7">
        <f>HYPERLINK("https://www.tradingview.com/chart/tioZvgwv/?symbol=NSE%3AVEDL&amp;interval=", "&amp;#128200;")</f>
      </c>
      <c r="G216" s="7">
        <f>HYPERLINK("https://www.tradingview.com/symbols/NSE-VEDL/news/", "&amp;#128240;")</f>
      </c>
      <c r="H216" s="7">
        <f>HYPERLINK("https://www.tradingview.com/symbols/NSE-VEDL/technicals/", "&amp;#128202;")</f>
      </c>
      <c r="I216" s="7">
        <f>HYPERLINK("https://www.tradingview.com/symbols/NSE-VEDL/financials-overview/", "&amp;#128194;")</f>
      </c>
      <c r="J216" s="4" t="s">
        <v>11</v>
      </c>
    </row>
    <row x14ac:dyDescent="0.25" r="217" customHeight="1" ht="18.75">
      <c r="A217" s="4" t="s">
        <v>226</v>
      </c>
      <c r="B217" s="6">
        <v>1654</v>
      </c>
      <c r="C217" s="6">
        <v>1618</v>
      </c>
      <c r="D217" s="5">
        <v>1663.5</v>
      </c>
      <c r="E217" s="5">
        <v>1619.45</v>
      </c>
      <c r="F217" s="7">
        <f>HYPERLINK("https://www.tradingview.com/chart/tioZvgwv/?symbol=NSE%3AVOLTAS&amp;interval=", "&amp;#128200;")</f>
      </c>
      <c r="G217" s="7">
        <f>HYPERLINK("https://www.tradingview.com/symbols/NSE-VOLTAS/news/", "&amp;#128240;")</f>
      </c>
      <c r="H217" s="7">
        <f>HYPERLINK("https://www.tradingview.com/symbols/NSE-VOLTAS/technicals/", "&amp;#128202;")</f>
      </c>
      <c r="I217" s="7">
        <f>HYPERLINK("https://www.tradingview.com/symbols/NSE-VOLTAS/financials-overview/", "&amp;#128194;")</f>
      </c>
      <c r="J217" s="4" t="s">
        <v>11</v>
      </c>
    </row>
    <row x14ac:dyDescent="0.25" r="218" customHeight="1" ht="18.75">
      <c r="A218" s="4" t="s">
        <v>227</v>
      </c>
      <c r="B218" s="5">
        <v>299.25</v>
      </c>
      <c r="C218" s="5">
        <v>292.4</v>
      </c>
      <c r="D218" s="5">
        <v>300.55</v>
      </c>
      <c r="E218" s="5">
        <v>293.5</v>
      </c>
      <c r="F218" s="7">
        <f>HYPERLINK("https://www.tradingview.com/chart/tioZvgwv/?symbol=NSE%3AWIPRO&amp;interval=", "&amp;#128200;")</f>
      </c>
      <c r="G218" s="7">
        <f>HYPERLINK("https://www.tradingview.com/symbols/NSE-WIPRO/news/", "&amp;#128240;")</f>
      </c>
      <c r="H218" s="7">
        <f>HYPERLINK("https://www.tradingview.com/symbols/NSE-WIPRO/technicals/", "&amp;#128202;")</f>
      </c>
      <c r="I218" s="7">
        <f>HYPERLINK("https://www.tradingview.com/symbols/NSE-WIPRO/financials-overview/", "&amp;#128194;")</f>
      </c>
      <c r="J218" s="4" t="s">
        <v>11</v>
      </c>
    </row>
    <row x14ac:dyDescent="0.25" r="219" customHeight="1" ht="18.75">
      <c r="A219" s="4" t="s">
        <v>228</v>
      </c>
      <c r="B219" s="5">
        <v>17.93</v>
      </c>
      <c r="C219" s="5">
        <v>17.57</v>
      </c>
      <c r="D219" s="5">
        <v>17.96</v>
      </c>
      <c r="E219" s="5">
        <v>17.59</v>
      </c>
      <c r="F219" s="7">
        <f>HYPERLINK("https://www.tradingview.com/chart/tioZvgwv/?symbol=NSE%3AYESBANK&amp;interval=", "&amp;#128200;")</f>
      </c>
      <c r="G219" s="7">
        <f>HYPERLINK("https://www.tradingview.com/symbols/NSE-YESBANK/news/", "&amp;#128240;")</f>
      </c>
      <c r="H219" s="7">
        <f>HYPERLINK("https://www.tradingview.com/symbols/NSE-YESBANK/technicals/", "&amp;#128202;")</f>
      </c>
      <c r="I219" s="7">
        <f>HYPERLINK("https://www.tradingview.com/symbols/NSE-YESBANK/financials-overview/", "&amp;#128194;")</f>
      </c>
      <c r="J219" s="4" t="s">
        <v>11</v>
      </c>
    </row>
    <row x14ac:dyDescent="0.25" r="220" customHeight="1" ht="18.75">
      <c r="A220" s="4" t="s">
        <v>229</v>
      </c>
      <c r="B220" s="5">
        <v>240.4</v>
      </c>
      <c r="C220" s="5">
        <v>232.6</v>
      </c>
      <c r="D220" s="5">
        <v>242.95</v>
      </c>
      <c r="E220" s="5">
        <v>233.15</v>
      </c>
      <c r="F220" s="7">
        <f>HYPERLINK("https://www.tradingview.com/chart/tioZvgwv/?symbol=NSE%3AZOMATO&amp;interval=", "&amp;#128200;")</f>
      </c>
      <c r="G220" s="7">
        <f>HYPERLINK("https://www.tradingview.com/symbols/NSE-ZOMATO/news/", "&amp;#128240;")</f>
      </c>
      <c r="H220" s="7">
        <f>HYPERLINK("https://www.tradingview.com/symbols/NSE-ZOMATO/technicals/", "&amp;#128202;")</f>
      </c>
      <c r="I220" s="7">
        <f>HYPERLINK("https://www.tradingview.com/symbols/NSE-ZOMATO/financials-overview/", "&amp;#128194;")</f>
      </c>
      <c r="J220" s="4" t="s">
        <v>11</v>
      </c>
    </row>
    <row x14ac:dyDescent="0.25" r="221" customHeight="1" ht="18.75">
      <c r="A221" s="4" t="s">
        <v>230</v>
      </c>
      <c r="B221" s="5">
        <v>997.9</v>
      </c>
      <c r="C221" s="6">
        <v>973</v>
      </c>
      <c r="D221" s="5">
        <v>1004.4</v>
      </c>
      <c r="E221" s="5">
        <v>973.5</v>
      </c>
      <c r="F221" s="7">
        <f>HYPERLINK("https://www.tradingview.com/chart/tioZvgwv/?symbol=NSE%3AZYDUSLIFE&amp;interval=", "&amp;#128200;")</f>
      </c>
      <c r="G221" s="7">
        <f>HYPERLINK("https://www.tradingview.com/symbols/NSE-ZYDUSLIFE/news/", "&amp;#128240;")</f>
      </c>
      <c r="H221" s="7">
        <f>HYPERLINK("https://www.tradingview.com/symbols/NSE-ZYDUSLIFE/technicals/", "&amp;#128202;")</f>
      </c>
      <c r="I221" s="7">
        <f>HYPERLINK("https://www.tradingview.com/symbols/NSE-ZYDUSLIFE/financials-overview/", "&amp;#128194;")</f>
      </c>
      <c r="J221" s="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8"/>
  <sheetViews>
    <sheetView workbookViewId="0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10" width="13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231</v>
      </c>
    </row>
    <row x14ac:dyDescent="0.25" r="2" customHeight="1" ht="18.75">
      <c r="A2" s="4" t="s">
        <v>10</v>
      </c>
      <c r="B2" s="5">
        <v>434.85</v>
      </c>
      <c r="C2" s="6">
        <v>415</v>
      </c>
      <c r="D2" s="5">
        <v>421.75</v>
      </c>
      <c r="E2" s="5">
        <v>426.5</v>
      </c>
      <c r="F2" s="7">
        <f>HYPERLINK("https://www.tradingview.com/chart/tioZvgwv/?symbol=NSE%3AAARTIIND&amp;interval=", "&amp;#128200;")</f>
      </c>
      <c r="G2" s="7">
        <f>HYPERLINK("https://www.tradingview.com/symbols/NSE-AARTIIND/news/", "&amp;#128240;")</f>
      </c>
      <c r="H2" s="7">
        <f>HYPERLINK("https://www.tradingview.com/symbols/NSE-AARTIIND/technicals/", "&amp;#128202;")</f>
      </c>
      <c r="I2" s="7">
        <f>HYPERLINK("https://www.tradingview.com/symbols/NSE-AARTIIND/financials-overview/", "&amp;#128194;")</f>
      </c>
      <c r="J2" s="4" t="s">
        <v>11</v>
      </c>
      <c r="K2" s="5">
        <v>1.126259632483699</v>
      </c>
    </row>
    <row x14ac:dyDescent="0.25" r="3" customHeight="1" ht="18.75">
      <c r="A3" s="4" t="s">
        <v>14</v>
      </c>
      <c r="B3" s="5">
        <v>173.8</v>
      </c>
      <c r="C3" s="5">
        <v>168.46</v>
      </c>
      <c r="D3" s="5">
        <v>167.63</v>
      </c>
      <c r="E3" s="5">
        <v>170.17</v>
      </c>
      <c r="F3" s="7">
        <f>HYPERLINK("https://www.tradingview.com/chart/tioZvgwv/?symbol=NSE%3AABCAPITAL&amp;interval=", "&amp;#128200;")</f>
      </c>
      <c r="G3" s="7">
        <f>HYPERLINK("https://www.tradingview.com/symbols/NSE-ABCAPITAL/news/", "&amp;#128240;")</f>
      </c>
      <c r="H3" s="7">
        <f>HYPERLINK("https://www.tradingview.com/symbols/NSE-ABCAPITAL/technicals/", "&amp;#128202;")</f>
      </c>
      <c r="I3" s="7">
        <f>HYPERLINK("https://www.tradingview.com/symbols/NSE-ABCAPITAL/financials-overview/", "&amp;#128194;")</f>
      </c>
      <c r="J3" s="4" t="s">
        <v>11</v>
      </c>
      <c r="K3" s="5">
        <v>1.515241901807548</v>
      </c>
    </row>
    <row x14ac:dyDescent="0.25" r="4" customHeight="1" ht="18.75">
      <c r="A4" s="4" t="s">
        <v>34</v>
      </c>
      <c r="B4" s="6">
        <v>1063</v>
      </c>
      <c r="C4" s="5">
        <v>1023.25</v>
      </c>
      <c r="D4" s="5">
        <v>1040.7</v>
      </c>
      <c r="E4" s="5">
        <v>1054.5</v>
      </c>
      <c r="F4" s="7">
        <f>HYPERLINK("https://www.tradingview.com/chart/tioZvgwv/?symbol=NSE%3AAXISBANK&amp;interval=", "&amp;#128200;")</f>
      </c>
      <c r="G4" s="7">
        <f>HYPERLINK("https://www.tradingview.com/symbols/NSE-AXISBANK/news/", "&amp;#128240;")</f>
      </c>
      <c r="H4" s="7">
        <f>HYPERLINK("https://www.tradingview.com/symbols/NSE-AXISBANK/technicals/", "&amp;#128202;")</f>
      </c>
      <c r="I4" s="7">
        <f>HYPERLINK("https://www.tradingview.com/symbols/NSE-AXISBANK/financials-overview/", "&amp;#128194;")</f>
      </c>
      <c r="J4" s="4" t="s">
        <v>11</v>
      </c>
      <c r="K4" s="5">
        <v>1.326030556356294</v>
      </c>
    </row>
    <row x14ac:dyDescent="0.25" r="5" customHeight="1" ht="18.75">
      <c r="A5" s="4" t="s">
        <v>48</v>
      </c>
      <c r="B5" s="5">
        <v>377.5</v>
      </c>
      <c r="C5" s="5">
        <v>364.1</v>
      </c>
      <c r="D5" s="5">
        <v>360.95</v>
      </c>
      <c r="E5" s="5">
        <v>368.1</v>
      </c>
      <c r="F5" s="7">
        <f>HYPERLINK("https://www.tradingview.com/chart/tioZvgwv/?symbol=NSE%3ABIOCON&amp;interval=", "&amp;#128200;")</f>
      </c>
      <c r="G5" s="7">
        <f>HYPERLINK("https://www.tradingview.com/symbols/NSE-BIOCON/news/", "&amp;#128240;")</f>
      </c>
      <c r="H5" s="7">
        <f>HYPERLINK("https://www.tradingview.com/symbols/NSE-BIOCON/technicals/", "&amp;#128202;")</f>
      </c>
      <c r="I5" s="7">
        <f>HYPERLINK("https://www.tradingview.com/symbols/NSE-BIOCON/financials-overview/", "&amp;#128194;")</f>
      </c>
      <c r="J5" s="4" t="s">
        <v>11</v>
      </c>
      <c r="K5" s="5">
        <v>1.980883778916757</v>
      </c>
    </row>
    <row x14ac:dyDescent="0.25" r="6" customHeight="1" ht="18.75">
      <c r="A6" s="4" t="s">
        <v>52</v>
      </c>
      <c r="B6" s="6">
        <v>5243</v>
      </c>
      <c r="C6" s="5">
        <v>5023.1</v>
      </c>
      <c r="D6" s="5">
        <v>5121.65</v>
      </c>
      <c r="E6" s="6">
        <v>5185</v>
      </c>
      <c r="F6" s="7">
        <f>HYPERLINK("https://www.tradingview.com/chart/tioZvgwv/?symbol=NSE%3ABSE&amp;interval=", "&amp;#128200;")</f>
      </c>
      <c r="G6" s="7">
        <f>HYPERLINK("https://www.tradingview.com/symbols/NSE-BSE/news/", "&amp;#128240;")</f>
      </c>
      <c r="H6" s="7">
        <f>HYPERLINK("https://www.tradingview.com/symbols/NSE-BSE/technicals/", "&amp;#128202;")</f>
      </c>
      <c r="I6" s="7">
        <f>HYPERLINK("https://www.tradingview.com/symbols/NSE-BSE/financials-overview/", "&amp;#128194;")</f>
      </c>
      <c r="J6" s="4" t="s">
        <v>11</v>
      </c>
      <c r="K6" s="5">
        <v>1.23690607519062</v>
      </c>
    </row>
    <row x14ac:dyDescent="0.25" r="7" customHeight="1" ht="18.75">
      <c r="A7" s="4" t="s">
        <v>76</v>
      </c>
      <c r="B7" s="5">
        <v>5887.5</v>
      </c>
      <c r="C7" s="5">
        <v>5654.35</v>
      </c>
      <c r="D7" s="5">
        <v>5771.35</v>
      </c>
      <c r="E7" s="5">
        <v>5815.5</v>
      </c>
      <c r="F7" s="7">
        <f>HYPERLINK("https://www.tradingview.com/chart/tioZvgwv/?symbol=NSE%3ADIVISLAB&amp;interval=", "&amp;#128200;")</f>
      </c>
      <c r="G7" s="7">
        <f>HYPERLINK("https://www.tradingview.com/symbols/NSE-DIVISLAB/news/", "&amp;#128240;")</f>
      </c>
      <c r="H7" s="7">
        <f>HYPERLINK("https://www.tradingview.com/symbols/NSE-DIVISLAB/technicals/", "&amp;#128202;")</f>
      </c>
      <c r="I7" s="7">
        <f>HYPERLINK("https://www.tradingview.com/symbols/NSE-DIVISLAB/financials-overview/", "&amp;#128194;")</f>
      </c>
      <c r="J7" s="4" t="s">
        <v>11</v>
      </c>
      <c r="K7" s="5">
        <v>0.76498566193351</v>
      </c>
    </row>
    <row x14ac:dyDescent="0.25" r="8" customHeight="1" ht="18.75">
      <c r="A8" s="4" t="s">
        <v>96</v>
      </c>
      <c r="B8" s="5">
        <v>3904.95</v>
      </c>
      <c r="C8" s="5">
        <v>3792.2</v>
      </c>
      <c r="D8" s="5">
        <v>3844.8</v>
      </c>
      <c r="E8" s="5">
        <v>3849.55</v>
      </c>
      <c r="F8" s="7">
        <f>HYPERLINK("https://www.tradingview.com/chart/tioZvgwv/?symbol=NSE%3AHDFCAMC&amp;interval=", "&amp;#128200;")</f>
      </c>
      <c r="G8" s="7">
        <f>HYPERLINK("https://www.tradingview.com/symbols/NSE-HDFCAMC/news/", "&amp;#128240;")</f>
      </c>
      <c r="H8" s="7">
        <f>HYPERLINK("https://www.tradingview.com/symbols/NSE-HDFCAMC/technicals/", "&amp;#128202;")</f>
      </c>
      <c r="I8" s="7">
        <f>HYPERLINK("https://www.tradingview.com/symbols/NSE-HDFCAMC/financials-overview/", "&amp;#128194;")</f>
      </c>
      <c r="J8" s="4" t="s">
        <v>11</v>
      </c>
      <c r="K8" s="5">
        <v>0.1235434873075322</v>
      </c>
    </row>
    <row x14ac:dyDescent="0.25" r="9" customHeight="1" ht="18.75">
      <c r="A9" s="4" t="s">
        <v>109</v>
      </c>
      <c r="B9" s="5">
        <v>8.08</v>
      </c>
      <c r="C9" s="5">
        <v>7.61</v>
      </c>
      <c r="D9" s="5">
        <v>7.75</v>
      </c>
      <c r="E9" s="5">
        <v>7.88</v>
      </c>
      <c r="F9" s="7">
        <f>HYPERLINK("https://www.tradingview.com/chart/tioZvgwv/?symbol=NSE%3AIDEA&amp;interval=", "&amp;#128200;")</f>
      </c>
      <c r="G9" s="7">
        <f>HYPERLINK("https://www.tradingview.com/symbols/NSE-IDEA/news/", "&amp;#128240;")</f>
      </c>
      <c r="H9" s="7">
        <f>HYPERLINK("https://www.tradingview.com/symbols/NSE-IDEA/technicals/", "&amp;#128202;")</f>
      </c>
      <c r="I9" s="7">
        <f>HYPERLINK("https://www.tradingview.com/symbols/NSE-IDEA/financials-overview/", "&amp;#128194;")</f>
      </c>
      <c r="J9" s="4" t="s">
        <v>11</v>
      </c>
      <c r="K9" s="5">
        <v>1.677419354838708</v>
      </c>
    </row>
    <row x14ac:dyDescent="0.25" r="10" customHeight="1" ht="18.75">
      <c r="A10" s="4" t="s">
        <v>117</v>
      </c>
      <c r="B10" s="5">
        <v>973.5</v>
      </c>
      <c r="C10" s="5">
        <v>934.5</v>
      </c>
      <c r="D10" s="5">
        <v>937.6</v>
      </c>
      <c r="E10" s="5">
        <v>950.7</v>
      </c>
      <c r="F10" s="7">
        <f>HYPERLINK("https://www.tradingview.com/chart/tioZvgwv/?symbol=NSE%3AINDUSINDBK&amp;interval=", "&amp;#128200;")</f>
      </c>
      <c r="G10" s="7">
        <f>HYPERLINK("https://www.tradingview.com/symbols/NSE-INDUSINDBK/news/", "&amp;#128240;")</f>
      </c>
      <c r="H10" s="7">
        <f>HYPERLINK("https://www.tradingview.com/symbols/NSE-INDUSINDBK/technicals/", "&amp;#128202;")</f>
      </c>
      <c r="I10" s="7">
        <f>HYPERLINK("https://www.tradingview.com/symbols/NSE-INDUSINDBK/financials-overview/", "&amp;#128194;")</f>
      </c>
      <c r="J10" s="4" t="s">
        <v>11</v>
      </c>
      <c r="K10" s="5">
        <v>1.397184300341299</v>
      </c>
    </row>
    <row x14ac:dyDescent="0.25" r="11" customHeight="1" ht="18.75">
      <c r="A11" s="4" t="s">
        <v>118</v>
      </c>
      <c r="B11" s="5">
        <v>333.25</v>
      </c>
      <c r="C11" s="5">
        <v>315.55</v>
      </c>
      <c r="D11" s="5">
        <v>320.4</v>
      </c>
      <c r="E11" s="5">
        <v>327.05</v>
      </c>
      <c r="F11" s="7">
        <f>HYPERLINK("https://www.tradingview.com/chart/tioZvgwv/?symbol=NSE%3AINDUSTOWER&amp;interval=", "&amp;#128200;")</f>
      </c>
      <c r="G11" s="7">
        <f>HYPERLINK("https://www.tradingview.com/symbols/NSE-INDUSTOWER/news/", "&amp;#128240;")</f>
      </c>
      <c r="H11" s="7">
        <f>HYPERLINK("https://www.tradingview.com/symbols/NSE-INDUSTOWER/technicals/", "&amp;#128202;")</f>
      </c>
      <c r="I11" s="7">
        <f>HYPERLINK("https://www.tradingview.com/symbols/NSE-INDUSTOWER/financials-overview/", "&amp;#128194;")</f>
      </c>
      <c r="J11" s="4" t="s">
        <v>11</v>
      </c>
      <c r="K11" s="5">
        <v>2.075530586766552</v>
      </c>
    </row>
    <row x14ac:dyDescent="0.25" r="12" customHeight="1" ht="18.75">
      <c r="A12" s="4" t="s">
        <v>119</v>
      </c>
      <c r="B12" s="5">
        <v>1982.8</v>
      </c>
      <c r="C12" s="6">
        <v>1949</v>
      </c>
      <c r="D12" s="5">
        <v>1966.95</v>
      </c>
      <c r="E12" s="5">
        <v>1970.5</v>
      </c>
      <c r="F12" s="7">
        <f>HYPERLINK("https://www.tradingview.com/chart/tioZvgwv/?symbol=NSE%3AINFY&amp;interval=", "&amp;#128200;")</f>
      </c>
      <c r="G12" s="7">
        <f>HYPERLINK("https://www.tradingview.com/symbols/NSE-INFY/news/", "&amp;#128240;")</f>
      </c>
      <c r="H12" s="7">
        <f>HYPERLINK("https://www.tradingview.com/symbols/NSE-INFY/technicals/", "&amp;#128202;")</f>
      </c>
      <c r="I12" s="7">
        <f>HYPERLINK("https://www.tradingview.com/symbols/NSE-INFY/financials-overview/", "&amp;#128194;")</f>
      </c>
      <c r="J12" s="4" t="s">
        <v>11</v>
      </c>
      <c r="K12" s="5">
        <v>0.1804824728640766</v>
      </c>
    </row>
    <row x14ac:dyDescent="0.25" r="13" customHeight="1" ht="18.75">
      <c r="A13" s="4" t="s">
        <v>162</v>
      </c>
      <c r="B13" s="5">
        <v>3673.9</v>
      </c>
      <c r="C13" s="5">
        <v>3580.65</v>
      </c>
      <c r="D13" s="5">
        <v>3630.95</v>
      </c>
      <c r="E13" s="5">
        <v>3656.3</v>
      </c>
      <c r="F13" s="7">
        <f>HYPERLINK("https://www.tradingview.com/chart/tioZvgwv/?symbol=NSE%3ANAVINFLUOR&amp;interval=", "&amp;#128200;")</f>
      </c>
      <c r="G13" s="7">
        <f>HYPERLINK("https://www.tradingview.com/symbols/NSE-NAVINFLUOR/news/", "&amp;#128240;")</f>
      </c>
      <c r="H13" s="7">
        <f>HYPERLINK("https://www.tradingview.com/symbols/NSE-NAVINFLUOR/technicals/", "&amp;#128202;")</f>
      </c>
      <c r="I13" s="7">
        <f>HYPERLINK("https://www.tradingview.com/symbols/NSE-NAVINFLUOR/financials-overview/", "&amp;#128194;")</f>
      </c>
      <c r="J13" s="4" t="s">
        <v>11</v>
      </c>
      <c r="K13" s="5">
        <v>0.6981643922389558</v>
      </c>
    </row>
    <row x14ac:dyDescent="0.25" r="14" customHeight="1" ht="18.75">
      <c r="A14" s="4" t="s">
        <v>171</v>
      </c>
      <c r="B14" s="5">
        <v>478.65</v>
      </c>
      <c r="C14" s="5">
        <v>454.5</v>
      </c>
      <c r="D14" s="5">
        <v>455.85</v>
      </c>
      <c r="E14" s="5">
        <v>459.85</v>
      </c>
      <c r="F14" s="7">
        <f>HYPERLINK("https://www.tradingview.com/chart/tioZvgwv/?symbol=NSE%3AOIL&amp;interval=", "&amp;#128200;")</f>
      </c>
      <c r="G14" s="7">
        <f>HYPERLINK("https://www.tradingview.com/symbols/NSE-OIL/news/", "&amp;#128240;")</f>
      </c>
      <c r="H14" s="7">
        <f>HYPERLINK("https://www.tradingview.com/symbols/NSE-OIL/technicals/", "&amp;#128202;")</f>
      </c>
      <c r="I14" s="7">
        <f>HYPERLINK("https://www.tradingview.com/symbols/NSE-OIL/financials-overview/", "&amp;#128194;")</f>
      </c>
      <c r="J14" s="4" t="s">
        <v>11</v>
      </c>
      <c r="K14" s="5">
        <v>0.8774816277284193</v>
      </c>
    </row>
    <row x14ac:dyDescent="0.25" r="15" customHeight="1" ht="18.75">
      <c r="A15" s="4" t="s">
        <v>190</v>
      </c>
      <c r="B15" s="5">
        <v>468.4</v>
      </c>
      <c r="C15" s="5">
        <v>447.2</v>
      </c>
      <c r="D15" s="5">
        <v>459.35</v>
      </c>
      <c r="E15" s="5">
        <v>462.75</v>
      </c>
      <c r="F15" s="7">
        <f>HYPERLINK("https://www.tradingview.com/chart/tioZvgwv/?symbol=NSE%3ARECLTD&amp;interval=", "&amp;#128200;")</f>
      </c>
      <c r="G15" s="7">
        <f>HYPERLINK("https://www.tradingview.com/symbols/NSE-RECLTD/news/", "&amp;#128240;")</f>
      </c>
      <c r="H15" s="7">
        <f>HYPERLINK("https://www.tradingview.com/symbols/NSE-RECLTD/technicals/", "&amp;#128202;")</f>
      </c>
      <c r="I15" s="7">
        <f>HYPERLINK("https://www.tradingview.com/symbols/NSE-RECLTD/financials-overview/", "&amp;#128194;")</f>
      </c>
      <c r="J15" s="4" t="s">
        <v>11</v>
      </c>
      <c r="K15" s="5">
        <v>0.7401763361271312</v>
      </c>
    </row>
    <row x14ac:dyDescent="0.25" r="16" customHeight="1" ht="18.75">
      <c r="A16" s="4" t="s">
        <v>197</v>
      </c>
      <c r="B16" s="5">
        <v>540.7</v>
      </c>
      <c r="C16" s="5">
        <v>524.05</v>
      </c>
      <c r="D16" s="6">
        <v>532</v>
      </c>
      <c r="E16" s="5">
        <v>532.95</v>
      </c>
      <c r="F16" s="7">
        <f>HYPERLINK("https://www.tradingview.com/chart/tioZvgwv/?symbol=NSE%3ASHRIRAMFIN&amp;interval=", "&amp;#128200;")</f>
      </c>
      <c r="G16" s="7">
        <f>HYPERLINK("https://www.tradingview.com/symbols/NSE-SHRIRAMFIN/news/", "&amp;#128240;")</f>
      </c>
      <c r="H16" s="7">
        <f>HYPERLINK("https://www.tradingview.com/symbols/NSE-SHRIRAMFIN/technicals/", "&amp;#128202;")</f>
      </c>
      <c r="I16" s="7">
        <f>HYPERLINK("https://www.tradingview.com/symbols/NSE-SHRIRAMFIN/financials-overview/", "&amp;#128194;")</f>
      </c>
      <c r="J16" s="4" t="s">
        <v>11</v>
      </c>
      <c r="K16" s="5">
        <v>0.1785714285714371</v>
      </c>
    </row>
    <row x14ac:dyDescent="0.25" r="17" customHeight="1" ht="18.75">
      <c r="A17" s="4" t="s">
        <v>209</v>
      </c>
      <c r="B17" s="5">
        <v>6088.95</v>
      </c>
      <c r="C17" s="5">
        <v>5955.6</v>
      </c>
      <c r="D17" s="5">
        <v>6000.6</v>
      </c>
      <c r="E17" s="6">
        <v>6014</v>
      </c>
      <c r="F17" s="7">
        <f>HYPERLINK("https://www.tradingview.com/chart/tioZvgwv/?symbol=NSE%3ATATAELXSI&amp;interval=", "&amp;#128200;")</f>
      </c>
      <c r="G17" s="7">
        <f>HYPERLINK("https://www.tradingview.com/symbols/NSE-TATAELXSI/news/", "&amp;#128240;")</f>
      </c>
      <c r="H17" s="7">
        <f>HYPERLINK("https://www.tradingview.com/symbols/NSE-TATAELXSI/technicals/", "&amp;#128202;")</f>
      </c>
      <c r="I17" s="7">
        <f>HYPERLINK("https://www.tradingview.com/symbols/NSE-TATAELXSI/financials-overview/", "&amp;#128194;")</f>
      </c>
      <c r="J17" s="4" t="s">
        <v>11</v>
      </c>
      <c r="K17" s="5">
        <v>0.2233110022331039</v>
      </c>
    </row>
    <row x14ac:dyDescent="0.25" r="18" customHeight="1" ht="18.75">
      <c r="A18" s="4" t="s">
        <v>213</v>
      </c>
      <c r="B18" s="5">
        <v>4316.8</v>
      </c>
      <c r="C18" s="5">
        <v>4227.4</v>
      </c>
      <c r="D18" s="5">
        <v>4265.65</v>
      </c>
      <c r="E18" s="6">
        <v>4294</v>
      </c>
      <c r="F18" s="7">
        <f>HYPERLINK("https://www.tradingview.com/chart/tioZvgwv/?symbol=NSE%3ATCS&amp;interval=", "&amp;#128200;")</f>
      </c>
      <c r="G18" s="7">
        <f>HYPERLINK("https://www.tradingview.com/symbols/NSE-TCS/news/", "&amp;#128240;")</f>
      </c>
      <c r="H18" s="7">
        <f>HYPERLINK("https://www.tradingview.com/symbols/NSE-TCS/technicals/", "&amp;#128202;")</f>
      </c>
      <c r="I18" s="7">
        <f>HYPERLINK("https://www.tradingview.com/symbols/NSE-TCS/financials-overview/", "&amp;#128194;")</f>
      </c>
      <c r="J18" s="4" t="s">
        <v>11</v>
      </c>
      <c r="K18" s="5">
        <v>0.6646114894564806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4"/>
  <sheetViews>
    <sheetView workbookViewId="0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9" width="13.576428571428572" customWidth="1" bestFit="1"/>
    <col min="5" max="5" style="9" width="13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231</v>
      </c>
    </row>
    <row x14ac:dyDescent="0.25" r="2" customHeight="1" ht="18.75">
      <c r="A2" s="4" t="s">
        <v>12</v>
      </c>
      <c r="B2" s="5">
        <v>6383.9</v>
      </c>
      <c r="C2" s="5">
        <v>6216.25</v>
      </c>
      <c r="D2" s="5">
        <v>6415.65</v>
      </c>
      <c r="E2" s="5">
        <v>6230.25</v>
      </c>
      <c r="F2" s="7">
        <f>HYPERLINK("https://www.tradingview.com/chart/tioZvgwv/?symbol=NSE%3AABB&amp;interval=", "&amp;#128200;")</f>
      </c>
      <c r="G2" s="7">
        <f>HYPERLINK("https://www.tradingview.com/symbols/NSE-ABB/news/", "&amp;#128240;")</f>
      </c>
      <c r="H2" s="7">
        <f>HYPERLINK("https://www.tradingview.com/symbols/NSE-ABB/technicals/", "&amp;#128202;")</f>
      </c>
      <c r="I2" s="7">
        <f>HYPERLINK("https://www.tradingview.com/symbols/NSE-ABB/financials-overview/", "&amp;#128194;")</f>
      </c>
      <c r="J2" s="4" t="s">
        <v>11</v>
      </c>
      <c r="K2" s="5">
        <v>-2.889808515115377</v>
      </c>
    </row>
    <row x14ac:dyDescent="0.25" r="3" customHeight="1" ht="18.75">
      <c r="A3" s="4" t="s">
        <v>13</v>
      </c>
      <c r="B3" s="5">
        <v>28656.25</v>
      </c>
      <c r="C3" s="5">
        <v>28242.1</v>
      </c>
      <c r="D3" s="5">
        <v>28772.8</v>
      </c>
      <c r="E3" s="5">
        <v>28405.6</v>
      </c>
      <c r="F3" s="7">
        <f>HYPERLINK("https://www.tradingview.com/chart/tioZvgwv/?symbol=NSE%3AABBOTINDIA&amp;interval=", "&amp;#128200;")</f>
      </c>
      <c r="G3" s="7">
        <f>HYPERLINK("https://www.tradingview.com/symbols/NSE-ABBOTINDIA/news/", "&amp;#128240;")</f>
      </c>
      <c r="H3" s="7">
        <f>HYPERLINK("https://www.tradingview.com/symbols/NSE-ABBOTINDIA/technicals/", "&amp;#128202;")</f>
      </c>
      <c r="I3" s="7">
        <f>HYPERLINK("https://www.tradingview.com/symbols/NSE-ABBOTINDIA/financials-overview/", "&amp;#128194;")</f>
      </c>
      <c r="J3" s="4" t="s">
        <v>11</v>
      </c>
      <c r="K3" s="5">
        <v>-1.27620530501029</v>
      </c>
    </row>
    <row x14ac:dyDescent="0.25" r="4" customHeight="1" ht="18.75">
      <c r="A4" s="4" t="s">
        <v>15</v>
      </c>
      <c r="B4" s="5">
        <v>273.35</v>
      </c>
      <c r="C4" s="5">
        <v>264.5</v>
      </c>
      <c r="D4" s="5">
        <v>274.1</v>
      </c>
      <c r="E4" s="5">
        <v>265.55</v>
      </c>
      <c r="F4" s="7">
        <f>HYPERLINK("https://www.tradingview.com/chart/tioZvgwv/?symbol=NSE%3AABFRL&amp;interval=", "&amp;#128200;")</f>
      </c>
      <c r="G4" s="7">
        <f>HYPERLINK("https://www.tradingview.com/symbols/NSE-ABFRL/news/", "&amp;#128240;")</f>
      </c>
      <c r="H4" s="7">
        <f>HYPERLINK("https://www.tradingview.com/symbols/NSE-ABFRL/technicals/", "&amp;#128202;")</f>
      </c>
      <c r="I4" s="7">
        <f>HYPERLINK("https://www.tradingview.com/symbols/NSE-ABFRL/financials-overview/", "&amp;#128194;")</f>
      </c>
      <c r="J4" s="4" t="s">
        <v>11</v>
      </c>
      <c r="K4" s="5">
        <v>-3.119299525720544</v>
      </c>
    </row>
    <row x14ac:dyDescent="0.25" r="5" customHeight="1" ht="18.75">
      <c r="A5" s="4" t="s">
        <v>16</v>
      </c>
      <c r="B5" s="6">
        <v>1925</v>
      </c>
      <c r="C5" s="5">
        <v>1882.8</v>
      </c>
      <c r="D5" s="5">
        <v>1931.05</v>
      </c>
      <c r="E5" s="5">
        <v>1888.45</v>
      </c>
      <c r="F5" s="7">
        <f>HYPERLINK("https://www.tradingview.com/chart/tioZvgwv/?symbol=NSE%3AACC&amp;interval=", "&amp;#128200;")</f>
      </c>
      <c r="G5" s="7">
        <f>HYPERLINK("https://www.tradingview.com/symbols/NSE-ACC/news/", "&amp;#128240;")</f>
      </c>
      <c r="H5" s="7">
        <f>HYPERLINK("https://www.tradingview.com/symbols/NSE-ACC/technicals/", "&amp;#128202;")</f>
      </c>
      <c r="I5" s="7">
        <f>HYPERLINK("https://www.tradingview.com/symbols/NSE-ACC/financials-overview/", "&amp;#128194;")</f>
      </c>
      <c r="J5" s="4" t="s">
        <v>11</v>
      </c>
      <c r="K5" s="5">
        <v>-2.206053701354181</v>
      </c>
    </row>
    <row x14ac:dyDescent="0.25" r="6" customHeight="1" ht="18.75">
      <c r="A6" s="4" t="s">
        <v>17</v>
      </c>
      <c r="B6" s="5">
        <v>724.5</v>
      </c>
      <c r="C6" s="5">
        <v>707.7</v>
      </c>
      <c r="D6" s="5">
        <v>729.25</v>
      </c>
      <c r="E6" s="5">
        <v>707.7</v>
      </c>
      <c r="F6" s="7">
        <f>HYPERLINK("https://www.tradingview.com/chart/tioZvgwv/?symbol=NSE%3AADANIENSOL&amp;interval=", "&amp;#128200;")</f>
      </c>
      <c r="G6" s="7">
        <f>HYPERLINK("https://www.tradingview.com/symbols/NSE-ADANIENSOL/news/", "&amp;#128240;")</f>
      </c>
      <c r="H6" s="7">
        <f>HYPERLINK("https://www.tradingview.com/symbols/NSE-ADANIENSOL/technicals/", "&amp;#128202;")</f>
      </c>
      <c r="I6" s="7">
        <f>HYPERLINK("https://www.tradingview.com/symbols/NSE-ADANIENSOL/financials-overview/", "&amp;#128194;")</f>
      </c>
      <c r="J6" s="4" t="s">
        <v>11</v>
      </c>
      <c r="K6" s="5">
        <v>-2.955090846760364</v>
      </c>
    </row>
    <row x14ac:dyDescent="0.25" r="7" customHeight="1" ht="18.75">
      <c r="A7" s="4" t="s">
        <v>18</v>
      </c>
      <c r="B7" s="6">
        <v>2365</v>
      </c>
      <c r="C7" s="6">
        <v>2298</v>
      </c>
      <c r="D7" s="5">
        <v>2374.4</v>
      </c>
      <c r="E7" s="6">
        <v>2300</v>
      </c>
      <c r="F7" s="7">
        <f>HYPERLINK("https://www.tradingview.com/chart/tioZvgwv/?symbol=NSE%3AADANIENT&amp;interval=", "&amp;#128200;")</f>
      </c>
      <c r="G7" s="7">
        <f>HYPERLINK("https://www.tradingview.com/symbols/NSE-ADANIENT/news/", "&amp;#128240;")</f>
      </c>
      <c r="H7" s="7">
        <f>HYPERLINK("https://www.tradingview.com/symbols/NSE-ADANIENT/technicals/", "&amp;#128202;")</f>
      </c>
      <c r="I7" s="7">
        <f>HYPERLINK("https://www.tradingview.com/symbols/NSE-ADANIENT/financials-overview/", "&amp;#128194;")</f>
      </c>
      <c r="J7" s="4" t="s">
        <v>11</v>
      </c>
      <c r="K7" s="5">
        <v>-3.133423180592996</v>
      </c>
    </row>
    <row x14ac:dyDescent="0.25" r="8" customHeight="1" ht="18.75">
      <c r="A8" s="4" t="s">
        <v>19</v>
      </c>
      <c r="B8" s="5">
        <v>937.8</v>
      </c>
      <c r="C8" s="5">
        <v>914.05</v>
      </c>
      <c r="D8" s="5">
        <v>943.05</v>
      </c>
      <c r="E8" s="6">
        <v>916</v>
      </c>
      <c r="F8" s="7">
        <f>HYPERLINK("https://www.tradingview.com/chart/tioZvgwv/?symbol=NSE%3AADANIGREEN&amp;interval=", "&amp;#128200;")</f>
      </c>
      <c r="G8" s="7">
        <f>HYPERLINK("https://www.tradingview.com/symbols/NSE-ADANIGREEN/news/", "&amp;#128240;")</f>
      </c>
      <c r="H8" s="7">
        <f>HYPERLINK("https://www.tradingview.com/symbols/NSE-ADANIGREEN/technicals/", "&amp;#128202;")</f>
      </c>
      <c r="I8" s="7">
        <f>HYPERLINK("https://www.tradingview.com/symbols/NSE-ADANIGREEN/financials-overview/", "&amp;#128194;")</f>
      </c>
      <c r="J8" s="4" t="s">
        <v>11</v>
      </c>
      <c r="K8" s="5">
        <v>-2.86835268543555</v>
      </c>
    </row>
    <row x14ac:dyDescent="0.25" r="9" customHeight="1" ht="18.75">
      <c r="A9" s="4" t="s">
        <v>20</v>
      </c>
      <c r="B9" s="5">
        <v>1106.45</v>
      </c>
      <c r="C9" s="5">
        <v>1084.15</v>
      </c>
      <c r="D9" s="5">
        <v>1112.2</v>
      </c>
      <c r="E9" s="5">
        <v>1085.75</v>
      </c>
      <c r="F9" s="7">
        <f>HYPERLINK("https://www.tradingview.com/chart/tioZvgwv/?symbol=NSE%3AADANIPORTS&amp;interval=", "&amp;#128200;")</f>
      </c>
      <c r="G9" s="7">
        <f>HYPERLINK("https://www.tradingview.com/symbols/NSE-ADANIPORTS/news/", "&amp;#128240;")</f>
      </c>
      <c r="H9" s="7">
        <f>HYPERLINK("https://www.tradingview.com/symbols/NSE-ADANIPORTS/technicals/", "&amp;#128202;")</f>
      </c>
      <c r="I9" s="7">
        <f>HYPERLINK("https://www.tradingview.com/symbols/NSE-ADANIPORTS/financials-overview/", "&amp;#128194;")</f>
      </c>
      <c r="J9" s="4" t="s">
        <v>11</v>
      </c>
      <c r="K9" s="5">
        <v>-2.37816939399389</v>
      </c>
    </row>
    <row x14ac:dyDescent="0.25" r="10" customHeight="1" ht="18.75">
      <c r="A10" s="4" t="s">
        <v>21</v>
      </c>
      <c r="B10" s="5">
        <v>5382.45</v>
      </c>
      <c r="C10" s="5">
        <v>5274.6</v>
      </c>
      <c r="D10" s="5">
        <v>5376.05</v>
      </c>
      <c r="E10" s="5">
        <v>5305.15</v>
      </c>
      <c r="F10" s="7">
        <f>HYPERLINK("https://www.tradingview.com/chart/tioZvgwv/?symbol=NSE%3AALKEM&amp;interval=", "&amp;#128200;")</f>
      </c>
      <c r="G10" s="7">
        <f>HYPERLINK("https://www.tradingview.com/symbols/NSE-ALKEM/news/", "&amp;#128240;")</f>
      </c>
      <c r="H10" s="7">
        <f>HYPERLINK("https://www.tradingview.com/symbols/NSE-ALKEM/technicals/", "&amp;#128202;")</f>
      </c>
      <c r="I10" s="7">
        <f>HYPERLINK("https://www.tradingview.com/symbols/NSE-ALKEM/financials-overview/", "&amp;#128194;")</f>
      </c>
      <c r="J10" s="4" t="s">
        <v>11</v>
      </c>
      <c r="K10" s="5">
        <v>-1.318812139024015</v>
      </c>
    </row>
    <row x14ac:dyDescent="0.25" r="11" customHeight="1" ht="18.75">
      <c r="A11" s="4" t="s">
        <v>22</v>
      </c>
      <c r="B11" s="6">
        <v>514</v>
      </c>
      <c r="C11" s="5">
        <v>502.1</v>
      </c>
      <c r="D11" s="5">
        <v>511.25</v>
      </c>
      <c r="E11" s="5">
        <v>507.65</v>
      </c>
      <c r="F11" s="7">
        <f>HYPERLINK("https://www.tradingview.com/chart/tioZvgwv/?symbol=NSE%3AAMBUJACEM&amp;interval=", "&amp;#128200;")</f>
      </c>
      <c r="G11" s="7">
        <f>HYPERLINK("https://www.tradingview.com/symbols/NSE-AMBUJACEM/news/", "&amp;#128240;")</f>
      </c>
      <c r="H11" s="7">
        <f>HYPERLINK("https://www.tradingview.com/symbols/NSE-AMBUJACEM/technicals/", "&amp;#128202;")</f>
      </c>
      <c r="I11" s="7">
        <f>HYPERLINK("https://www.tradingview.com/symbols/NSE-AMBUJACEM/financials-overview/", "&amp;#128194;")</f>
      </c>
      <c r="J11" s="4" t="s">
        <v>11</v>
      </c>
      <c r="K11" s="5">
        <v>-0.7041564792176084</v>
      </c>
    </row>
    <row x14ac:dyDescent="0.25" r="12" customHeight="1" ht="18.75">
      <c r="A12" s="4" t="s">
        <v>23</v>
      </c>
      <c r="B12" s="5">
        <v>2555.7</v>
      </c>
      <c r="C12" s="5">
        <v>2468.05</v>
      </c>
      <c r="D12" s="5">
        <v>2544.05</v>
      </c>
      <c r="E12" s="6">
        <v>2513</v>
      </c>
      <c r="F12" s="7">
        <f>HYPERLINK("https://www.tradingview.com/chart/tioZvgwv/?symbol=NSE%3AANGELONE&amp;interval=", "&amp;#128200;")</f>
      </c>
      <c r="G12" s="7">
        <f>HYPERLINK("https://www.tradingview.com/symbols/NSE-ANGELONE/news/", "&amp;#128240;")</f>
      </c>
      <c r="H12" s="7">
        <f>HYPERLINK("https://www.tradingview.com/symbols/NSE-ANGELONE/technicals/", "&amp;#128202;")</f>
      </c>
      <c r="I12" s="7">
        <f>HYPERLINK("https://www.tradingview.com/symbols/NSE-ANGELONE/financials-overview/", "&amp;#128194;")</f>
      </c>
      <c r="J12" s="4" t="s">
        <v>11</v>
      </c>
      <c r="K12" s="5">
        <v>-1.220494880210695</v>
      </c>
    </row>
    <row x14ac:dyDescent="0.25" r="13" customHeight="1" ht="18.75">
      <c r="A13" s="4" t="s">
        <v>24</v>
      </c>
      <c r="B13" s="6">
        <v>1502</v>
      </c>
      <c r="C13" s="5">
        <v>1440.15</v>
      </c>
      <c r="D13" s="5">
        <v>1520.7</v>
      </c>
      <c r="E13" s="5">
        <v>1440.15</v>
      </c>
      <c r="F13" s="7">
        <f>HYPERLINK("https://www.tradingview.com/chart/tioZvgwv/?symbol=NSE%3AAPLAPOLLO&amp;interval=", "&amp;#128200;")</f>
      </c>
      <c r="G13" s="7">
        <f>HYPERLINK("https://www.tradingview.com/symbols/NSE-APLAPOLLO/news/", "&amp;#128240;")</f>
      </c>
      <c r="H13" s="7">
        <f>HYPERLINK("https://www.tradingview.com/symbols/NSE-APLAPOLLO/technicals/", "&amp;#128202;")</f>
      </c>
      <c r="I13" s="7">
        <f>HYPERLINK("https://www.tradingview.com/symbols/NSE-APLAPOLLO/financials-overview/", "&amp;#128194;")</f>
      </c>
      <c r="J13" s="4" t="s">
        <v>11</v>
      </c>
      <c r="K13" s="5">
        <v>-5.296902742158213</v>
      </c>
    </row>
    <row x14ac:dyDescent="0.25" r="14" customHeight="1" ht="18.75">
      <c r="A14" s="4" t="s">
        <v>25</v>
      </c>
      <c r="B14" s="6">
        <v>7000</v>
      </c>
      <c r="C14" s="6">
        <v>6825</v>
      </c>
      <c r="D14" s="5">
        <v>7036.75</v>
      </c>
      <c r="E14" s="6">
        <v>6833</v>
      </c>
      <c r="F14" s="7">
        <f>HYPERLINK("https://www.tradingview.com/chart/tioZvgwv/?symbol=NSE%3AAPOLLOHOSP&amp;interval=", "&amp;#128200;")</f>
      </c>
      <c r="G14" s="7">
        <f>HYPERLINK("https://www.tradingview.com/symbols/NSE-APOLLOHOSP/news/", "&amp;#128240;")</f>
      </c>
      <c r="H14" s="7">
        <f>HYPERLINK("https://www.tradingview.com/symbols/NSE-APOLLOHOSP/technicals/", "&amp;#128202;")</f>
      </c>
      <c r="I14" s="7">
        <f>HYPERLINK("https://www.tradingview.com/symbols/NSE-APOLLOHOSP/financials-overview/", "&amp;#128194;")</f>
      </c>
      <c r="J14" s="4" t="s">
        <v>11</v>
      </c>
      <c r="K14" s="5">
        <v>-2.895512843287029</v>
      </c>
    </row>
    <row x14ac:dyDescent="0.25" r="15" customHeight="1" ht="18.75">
      <c r="A15" s="4" t="s">
        <v>26</v>
      </c>
      <c r="B15" s="5">
        <v>460.45</v>
      </c>
      <c r="C15" s="6">
        <v>448</v>
      </c>
      <c r="D15" s="6">
        <v>462</v>
      </c>
      <c r="E15" s="5">
        <v>448.1</v>
      </c>
      <c r="F15" s="7">
        <f>HYPERLINK("https://www.tradingview.com/chart/tioZvgwv/?symbol=NSE%3AAPOLLOTYRE&amp;interval=", "&amp;#128200;")</f>
      </c>
      <c r="G15" s="7">
        <f>HYPERLINK("https://www.tradingview.com/symbols/NSE-APOLLOTYRE/news/", "&amp;#128240;")</f>
      </c>
      <c r="H15" s="7">
        <f>HYPERLINK("https://www.tradingview.com/symbols/NSE-APOLLOTYRE/technicals/", "&amp;#128202;")</f>
      </c>
      <c r="I15" s="7">
        <f>HYPERLINK("https://www.tradingview.com/symbols/NSE-APOLLOTYRE/financials-overview/", "&amp;#128194;")</f>
      </c>
      <c r="J15" s="4" t="s">
        <v>11</v>
      </c>
      <c r="K15" s="5">
        <v>-3.008658008658004</v>
      </c>
    </row>
    <row x14ac:dyDescent="0.25" r="16" customHeight="1" ht="18.75">
      <c r="A16" s="4" t="s">
        <v>27</v>
      </c>
      <c r="B16" s="5">
        <v>208.99</v>
      </c>
      <c r="C16" s="5">
        <v>206.1</v>
      </c>
      <c r="D16" s="5">
        <v>210.57</v>
      </c>
      <c r="E16" s="5">
        <v>206.49</v>
      </c>
      <c r="F16" s="7">
        <f>HYPERLINK("https://www.tradingview.com/chart/tioZvgwv/?symbol=NSE%3AASHOKLEY&amp;interval=", "&amp;#128200;")</f>
      </c>
      <c r="G16" s="7">
        <f>HYPERLINK("https://www.tradingview.com/symbols/NSE-ASHOKLEY/news/", "&amp;#128240;")</f>
      </c>
      <c r="H16" s="7">
        <f>HYPERLINK("https://www.tradingview.com/symbols/NSE-ASHOKLEY/technicals/", "&amp;#128202;")</f>
      </c>
      <c r="I16" s="7">
        <f>HYPERLINK("https://www.tradingview.com/symbols/NSE-ASHOKLEY/financials-overview/", "&amp;#128194;")</f>
      </c>
      <c r="J16" s="4" t="s">
        <v>11</v>
      </c>
      <c r="K16" s="5">
        <v>-1.937597948425694</v>
      </c>
    </row>
    <row x14ac:dyDescent="0.25" r="17" customHeight="1" ht="18.75">
      <c r="A17" s="4" t="s">
        <v>28</v>
      </c>
      <c r="B17" s="5">
        <v>2301.9</v>
      </c>
      <c r="C17" s="5">
        <v>2269.5</v>
      </c>
      <c r="D17" s="5">
        <v>2320.75</v>
      </c>
      <c r="E17" s="5">
        <v>2274.5</v>
      </c>
      <c r="F17" s="7">
        <f>HYPERLINK("https://www.tradingview.com/chart/tioZvgwv/?symbol=NSE%3AASIANPAINT&amp;interval=", "&amp;#128200;")</f>
      </c>
      <c r="G17" s="7">
        <f>HYPERLINK("https://www.tradingview.com/symbols/NSE-ASIANPAINT/news/", "&amp;#128240;")</f>
      </c>
      <c r="H17" s="7">
        <f>HYPERLINK("https://www.tradingview.com/symbols/NSE-ASIANPAINT/technicals/", "&amp;#128202;")</f>
      </c>
      <c r="I17" s="7">
        <f>HYPERLINK("https://www.tradingview.com/symbols/NSE-ASIANPAINT/financials-overview/", "&amp;#128194;")</f>
      </c>
      <c r="J17" s="4" t="s">
        <v>11</v>
      </c>
      <c r="K17" s="5">
        <v>-1.992890229451686</v>
      </c>
    </row>
    <row x14ac:dyDescent="0.25" r="18" customHeight="1" ht="18.75">
      <c r="A18" s="4" t="s">
        <v>29</v>
      </c>
      <c r="B18" s="6">
        <v>1550</v>
      </c>
      <c r="C18" s="5">
        <v>1500.35</v>
      </c>
      <c r="D18" s="5">
        <v>1564.4</v>
      </c>
      <c r="E18" s="6">
        <v>1503</v>
      </c>
      <c r="F18" s="7">
        <f>HYPERLINK("https://www.tradingview.com/chart/tioZvgwv/?symbol=NSE%3AASTRAL&amp;interval=", "&amp;#128200;")</f>
      </c>
      <c r="G18" s="7">
        <f>HYPERLINK("https://www.tradingview.com/symbols/NSE-ASTRAL/news/", "&amp;#128240;")</f>
      </c>
      <c r="H18" s="7">
        <f>HYPERLINK("https://www.tradingview.com/symbols/NSE-ASTRAL/technicals/", "&amp;#128202;")</f>
      </c>
      <c r="I18" s="7">
        <f>HYPERLINK("https://www.tradingview.com/symbols/NSE-ASTRAL/financials-overview/", "&amp;#128194;")</f>
      </c>
      <c r="J18" s="4" t="s">
        <v>11</v>
      </c>
      <c r="K18" s="5">
        <v>-3.924827409869605</v>
      </c>
    </row>
    <row x14ac:dyDescent="0.25" r="19" customHeight="1" ht="18.75">
      <c r="A19" s="4" t="s">
        <v>30</v>
      </c>
      <c r="B19" s="6">
        <v>675</v>
      </c>
      <c r="C19" s="5">
        <v>650.55</v>
      </c>
      <c r="D19" s="5">
        <v>681.25</v>
      </c>
      <c r="E19" s="5">
        <v>651.15</v>
      </c>
      <c r="F19" s="7">
        <f>HYPERLINK("https://www.tradingview.com/chart/tioZvgwv/?symbol=NSE%3AATGL&amp;interval=", "&amp;#128200;")</f>
      </c>
      <c r="G19" s="7">
        <f>HYPERLINK("https://www.tradingview.com/symbols/NSE-ATGL/news/", "&amp;#128240;")</f>
      </c>
      <c r="H19" s="7">
        <f>HYPERLINK("https://www.tradingview.com/symbols/NSE-ATGL/technicals/", "&amp;#128202;")</f>
      </c>
      <c r="I19" s="7">
        <f>HYPERLINK("https://www.tradingview.com/symbols/NSE-ATGL/financials-overview/", "&amp;#128194;")</f>
      </c>
      <c r="J19" s="4" t="s">
        <v>11</v>
      </c>
      <c r="K19" s="5">
        <v>-4.418348623853214</v>
      </c>
    </row>
    <row x14ac:dyDescent="0.25" r="20" customHeight="1" ht="18.75">
      <c r="A20" s="4" t="s">
        <v>31</v>
      </c>
      <c r="B20" s="5">
        <v>6838.4</v>
      </c>
      <c r="C20" s="5">
        <v>6671.6</v>
      </c>
      <c r="D20" s="5">
        <v>6795.85</v>
      </c>
      <c r="E20" s="6">
        <v>6690</v>
      </c>
      <c r="F20" s="7">
        <f>HYPERLINK("https://www.tradingview.com/chart/tioZvgwv/?symbol=NSE%3AATUL&amp;interval=", "&amp;#128200;")</f>
      </c>
      <c r="G20" s="7">
        <f>HYPERLINK("https://www.tradingview.com/symbols/NSE-ATUL/news/", "&amp;#128240;")</f>
      </c>
      <c r="H20" s="7">
        <f>HYPERLINK("https://www.tradingview.com/symbols/NSE-ATUL/technicals/", "&amp;#128202;")</f>
      </c>
      <c r="I20" s="7">
        <f>HYPERLINK("https://www.tradingview.com/symbols/NSE-ATUL/financials-overview/", "&amp;#128194;")</f>
      </c>
      <c r="J20" s="4" t="s">
        <v>11</v>
      </c>
      <c r="K20" s="5">
        <v>-1.557568221782416</v>
      </c>
    </row>
    <row x14ac:dyDescent="0.25" r="21" customHeight="1" ht="18.75">
      <c r="A21" s="4" t="s">
        <v>32</v>
      </c>
      <c r="B21" s="5">
        <v>571.95</v>
      </c>
      <c r="C21" s="5">
        <v>556.2</v>
      </c>
      <c r="D21" s="5">
        <v>575.15</v>
      </c>
      <c r="E21" s="5">
        <v>558.35</v>
      </c>
      <c r="F21" s="7">
        <f>HYPERLINK("https://www.tradingview.com/chart/tioZvgwv/?symbol=NSE%3AAUBANK&amp;interval=", "&amp;#128200;")</f>
      </c>
      <c r="G21" s="7">
        <f>HYPERLINK("https://www.tradingview.com/symbols/NSE-AUBANK/news/", "&amp;#128240;")</f>
      </c>
      <c r="H21" s="7">
        <f>HYPERLINK("https://www.tradingview.com/symbols/NSE-AUBANK/technicals/", "&amp;#128202;")</f>
      </c>
      <c r="I21" s="7">
        <f>HYPERLINK("https://www.tradingview.com/symbols/NSE-AUBANK/financials-overview/", "&amp;#128194;")</f>
      </c>
      <c r="J21" s="4" t="s">
        <v>11</v>
      </c>
      <c r="K21" s="5">
        <v>-2.920977136399193</v>
      </c>
    </row>
    <row x14ac:dyDescent="0.25" r="22" customHeight="1" ht="18.75">
      <c r="A22" s="4" t="s">
        <v>33</v>
      </c>
      <c r="B22" s="5">
        <v>1191.65</v>
      </c>
      <c r="C22" s="5">
        <v>1157.1</v>
      </c>
      <c r="D22" s="5">
        <v>1199.55</v>
      </c>
      <c r="E22" s="5">
        <v>1173.15</v>
      </c>
      <c r="F22" s="7">
        <f>HYPERLINK("https://www.tradingview.com/chart/tioZvgwv/?symbol=NSE%3AAUROPHARMA&amp;interval=", "&amp;#128200;")</f>
      </c>
      <c r="G22" s="7">
        <f>HYPERLINK("https://www.tradingview.com/symbols/NSE-AUROPHARMA/news/", "&amp;#128240;")</f>
      </c>
      <c r="H22" s="7">
        <f>HYPERLINK("https://www.tradingview.com/symbols/NSE-AUROPHARMA/technicals/", "&amp;#128202;")</f>
      </c>
      <c r="I22" s="7">
        <f>HYPERLINK("https://www.tradingview.com/symbols/NSE-AUROPHARMA/financials-overview/", "&amp;#128194;")</f>
      </c>
      <c r="J22" s="4" t="s">
        <v>11</v>
      </c>
      <c r="K22" s="5">
        <v>-2.200825309491048</v>
      </c>
    </row>
    <row x14ac:dyDescent="0.25" r="23" customHeight="1" ht="18.75">
      <c r="A23" s="4" t="s">
        <v>35</v>
      </c>
      <c r="B23" s="5">
        <v>8749.9</v>
      </c>
      <c r="C23" s="6">
        <v>8600</v>
      </c>
      <c r="D23" s="6">
        <v>8764</v>
      </c>
      <c r="E23" s="5">
        <v>8643.75</v>
      </c>
      <c r="F23" s="7">
        <f>HYPERLINK("https://www.tradingview.com/chart/tioZvgwv/?symbol=NSE%3ABAJAJ-AUTO&amp;interval=", "&amp;#128200;")</f>
      </c>
      <c r="G23" s="7">
        <f>HYPERLINK("https://www.tradingview.com/symbols/NSE-BAJAJ-AUTO/news/", "&amp;#128240;")</f>
      </c>
      <c r="H23" s="7">
        <f>HYPERLINK("https://www.tradingview.com/symbols/NSE-BAJAJ-AUTO/technicals/", "&amp;#128202;")</f>
      </c>
      <c r="I23" s="7">
        <f>HYPERLINK("https://www.tradingview.com/symbols/NSE-BAJAJ-AUTO/financials-overview/", "&amp;#128194;")</f>
      </c>
      <c r="J23" s="4" t="s">
        <v>11</v>
      </c>
      <c r="K23" s="5">
        <v>-1.372090369694204</v>
      </c>
    </row>
    <row x14ac:dyDescent="0.25" r="24" customHeight="1" ht="18.75">
      <c r="A24" s="4" t="s">
        <v>36</v>
      </c>
      <c r="B24" s="6">
        <v>1700</v>
      </c>
      <c r="C24" s="6">
        <v>1678</v>
      </c>
      <c r="D24" s="5">
        <v>1701.25</v>
      </c>
      <c r="E24" s="5">
        <v>1683.3</v>
      </c>
      <c r="F24" s="7">
        <f>HYPERLINK("https://www.tradingview.com/chart/tioZvgwv/?symbol=NSE%3ABAJAJFINSV&amp;interval=", "&amp;#128200;")</f>
      </c>
      <c r="G24" s="7">
        <f>HYPERLINK("https://www.tradingview.com/symbols/NSE-BAJAJFINSV/news/", "&amp;#128240;")</f>
      </c>
      <c r="H24" s="7">
        <f>HYPERLINK("https://www.tradingview.com/symbols/NSE-BAJAJFINSV/technicals/", "&amp;#128202;")</f>
      </c>
      <c r="I24" s="7">
        <f>HYPERLINK("https://www.tradingview.com/symbols/NSE-BAJAJFINSV/financials-overview/", "&amp;#128194;")</f>
      </c>
      <c r="J24" s="4" t="s">
        <v>11</v>
      </c>
      <c r="K24" s="5">
        <v>-1.055106539309334</v>
      </c>
    </row>
    <row x14ac:dyDescent="0.25" r="25" customHeight="1" ht="18.75">
      <c r="A25" s="4" t="s">
        <v>37</v>
      </c>
      <c r="B25" s="5">
        <v>7255.1</v>
      </c>
      <c r="C25" s="6">
        <v>7155</v>
      </c>
      <c r="D25" s="5">
        <v>7288.05</v>
      </c>
      <c r="E25" s="5">
        <v>7186.5</v>
      </c>
      <c r="F25" s="7">
        <f>HYPERLINK("https://www.tradingview.com/chart/tioZvgwv/?symbol=NSE%3ABAJFINANCE&amp;interval=", "&amp;#128200;")</f>
      </c>
      <c r="G25" s="7">
        <f>HYPERLINK("https://www.tradingview.com/symbols/NSE-BAJFINANCE/news/", "&amp;#128240;")</f>
      </c>
      <c r="H25" s="7">
        <f>HYPERLINK("https://www.tradingview.com/symbols/NSE-BAJFINANCE/technicals/", "&amp;#128202;")</f>
      </c>
      <c r="I25" s="7">
        <f>HYPERLINK("https://www.tradingview.com/symbols/NSE-BAJFINANCE/financials-overview/", "&amp;#128194;")</f>
      </c>
      <c r="J25" s="4" t="s">
        <v>11</v>
      </c>
      <c r="K25" s="5">
        <v>-1.393376829192996</v>
      </c>
    </row>
    <row x14ac:dyDescent="0.25" r="26" customHeight="1" ht="18.75">
      <c r="A26" s="4" t="s">
        <v>38</v>
      </c>
      <c r="B26" s="5">
        <v>2719.75</v>
      </c>
      <c r="C26" s="6">
        <v>2651</v>
      </c>
      <c r="D26" s="5">
        <v>2732.65</v>
      </c>
      <c r="E26" s="5">
        <v>2657.35</v>
      </c>
      <c r="F26" s="7">
        <f>HYPERLINK("https://www.tradingview.com/chart/tioZvgwv/?symbol=NSE%3ABALKRISIND&amp;interval=", "&amp;#128200;")</f>
      </c>
      <c r="G26" s="7">
        <f>HYPERLINK("https://www.tradingview.com/symbols/NSE-BALKRISIND/news/", "&amp;#128240;")</f>
      </c>
      <c r="H26" s="7">
        <f>HYPERLINK("https://www.tradingview.com/symbols/NSE-BALKRISIND/technicals/", "&amp;#128202;")</f>
      </c>
      <c r="I26" s="7">
        <f>HYPERLINK("https://www.tradingview.com/symbols/NSE-BALKRISIND/financials-overview/", "&amp;#128194;")</f>
      </c>
      <c r="J26" s="4" t="s">
        <v>11</v>
      </c>
      <c r="K26" s="5">
        <v>-2.755566940515623</v>
      </c>
    </row>
    <row x14ac:dyDescent="0.25" r="27" customHeight="1" ht="18.75">
      <c r="A27" s="4" t="s">
        <v>39</v>
      </c>
      <c r="B27" s="5">
        <v>143.49</v>
      </c>
      <c r="C27" s="5">
        <v>141.35</v>
      </c>
      <c r="D27" s="5">
        <v>143.96</v>
      </c>
      <c r="E27" s="5">
        <v>141.42</v>
      </c>
      <c r="F27" s="7">
        <f>HYPERLINK("https://www.tradingview.com/chart/tioZvgwv/?symbol=NSE%3ABANDHANBNK&amp;interval=", "&amp;#128200;")</f>
      </c>
      <c r="G27" s="7">
        <f>HYPERLINK("https://www.tradingview.com/symbols/NSE-BANDHANBNK/news/", "&amp;#128240;")</f>
      </c>
      <c r="H27" s="7">
        <f>HYPERLINK("https://www.tradingview.com/symbols/NSE-BANDHANBNK/technicals/", "&amp;#128202;")</f>
      </c>
      <c r="I27" s="7">
        <f>HYPERLINK("https://www.tradingview.com/symbols/NSE-BANDHANBNK/financials-overview/", "&amp;#128194;")</f>
      </c>
      <c r="J27" s="4" t="s">
        <v>11</v>
      </c>
      <c r="K27" s="5">
        <v>-1.76437899416506</v>
      </c>
    </row>
    <row x14ac:dyDescent="0.25" r="28" customHeight="1" ht="18.75">
      <c r="A28" s="4" t="s">
        <v>40</v>
      </c>
      <c r="B28" s="5">
        <v>224.43</v>
      </c>
      <c r="C28" s="5">
        <v>221.3</v>
      </c>
      <c r="D28" s="5">
        <v>225.4</v>
      </c>
      <c r="E28" s="5">
        <v>222.1</v>
      </c>
      <c r="F28" s="7">
        <f>HYPERLINK("https://www.tradingview.com/chart/tioZvgwv/?symbol=NSE%3ABANKBARODA&amp;interval=", "&amp;#128200;")</f>
      </c>
      <c r="G28" s="7">
        <f>HYPERLINK("https://www.tradingview.com/symbols/NSE-BANKBARODA/news/", "&amp;#128240;")</f>
      </c>
      <c r="H28" s="7">
        <f>HYPERLINK("https://www.tradingview.com/symbols/NSE-BANKBARODA/technicals/", "&amp;#128202;")</f>
      </c>
      <c r="I28" s="7">
        <f>HYPERLINK("https://www.tradingview.com/symbols/NSE-BANKBARODA/financials-overview/", "&amp;#128194;")</f>
      </c>
      <c r="J28" s="4" t="s">
        <v>11</v>
      </c>
      <c r="K28" s="5">
        <v>-1.46406388642414</v>
      </c>
    </row>
    <row x14ac:dyDescent="0.25" r="29" customHeight="1" ht="18.75">
      <c r="A29" s="4" t="s">
        <v>41</v>
      </c>
      <c r="B29" s="5">
        <v>94.37</v>
      </c>
      <c r="C29" s="5">
        <v>92.6</v>
      </c>
      <c r="D29" s="5">
        <v>94.27</v>
      </c>
      <c r="E29" s="5">
        <v>92.8</v>
      </c>
      <c r="F29" s="7">
        <f>HYPERLINK("https://www.tradingview.com/chart/tioZvgwv/?symbol=NSE%3ABANKINDIA&amp;interval=", "&amp;#128200;")</f>
      </c>
      <c r="G29" s="7">
        <f>HYPERLINK("https://www.tradingview.com/symbols/NSE-BANKINDIA/news/", "&amp;#128240;")</f>
      </c>
      <c r="H29" s="7">
        <f>HYPERLINK("https://www.tradingview.com/symbols/NSE-BANKINDIA/technicals/", "&amp;#128202;")</f>
      </c>
      <c r="I29" s="7">
        <f>HYPERLINK("https://www.tradingview.com/symbols/NSE-BANKINDIA/financials-overview/", "&amp;#128194;")</f>
      </c>
      <c r="J29" s="4" t="s">
        <v>11</v>
      </c>
      <c r="K29" s="5">
        <v>-1.559350800891056</v>
      </c>
    </row>
    <row x14ac:dyDescent="0.25" r="30" customHeight="1" ht="18.75">
      <c r="A30" s="4" t="s">
        <v>42</v>
      </c>
      <c r="B30" s="6">
        <v>1420</v>
      </c>
      <c r="C30" s="5">
        <v>1365.35</v>
      </c>
      <c r="D30" s="5">
        <v>1425.9</v>
      </c>
      <c r="E30" s="5">
        <v>1366.25</v>
      </c>
      <c r="F30" s="7">
        <f>HYPERLINK("https://www.tradingview.com/chart/tioZvgwv/?symbol=NSE%3ABATAINDIA&amp;interval=", "&amp;#128200;")</f>
      </c>
      <c r="G30" s="7">
        <f>HYPERLINK("https://www.tradingview.com/symbols/NSE-BATAINDIA/news/", "&amp;#128240;")</f>
      </c>
      <c r="H30" s="7">
        <f>HYPERLINK("https://www.tradingview.com/symbols/NSE-BATAINDIA/technicals/", "&amp;#128202;")</f>
      </c>
      <c r="I30" s="7">
        <f>HYPERLINK("https://www.tradingview.com/symbols/NSE-BATAINDIA/financials-overview/", "&amp;#128194;")</f>
      </c>
      <c r="J30" s="4" t="s">
        <v>11</v>
      </c>
      <c r="K30" s="5">
        <v>-4.183322813661553</v>
      </c>
    </row>
    <row x14ac:dyDescent="0.25" r="31" customHeight="1" ht="18.75">
      <c r="A31" s="4" t="s">
        <v>43</v>
      </c>
      <c r="B31" s="5">
        <v>268.9</v>
      </c>
      <c r="C31" s="6">
        <v>264</v>
      </c>
      <c r="D31" s="6">
        <v>271</v>
      </c>
      <c r="E31" s="5">
        <v>265.75</v>
      </c>
      <c r="F31" s="7">
        <f>HYPERLINK("https://www.tradingview.com/chart/tioZvgwv/?symbol=NSE%3ABEL&amp;interval=", "&amp;#128200;")</f>
      </c>
      <c r="G31" s="7">
        <f>HYPERLINK("https://www.tradingview.com/symbols/NSE-BEL/news/", "&amp;#128240;")</f>
      </c>
      <c r="H31" s="7">
        <f>HYPERLINK("https://www.tradingview.com/symbols/NSE-BEL/technicals/", "&amp;#128202;")</f>
      </c>
      <c r="I31" s="7">
        <f>HYPERLINK("https://www.tradingview.com/symbols/NSE-BEL/financials-overview/", "&amp;#128194;")</f>
      </c>
      <c r="J31" s="4" t="s">
        <v>11</v>
      </c>
      <c r="K31" s="5">
        <v>-1.937269372693727</v>
      </c>
    </row>
    <row x14ac:dyDescent="0.25" r="32" customHeight="1" ht="18.75">
      <c r="A32" s="4" t="s">
        <v>44</v>
      </c>
      <c r="B32" s="5">
        <v>461.65</v>
      </c>
      <c r="C32" s="5">
        <v>451.5</v>
      </c>
      <c r="D32" s="5">
        <v>460.85</v>
      </c>
      <c r="E32" s="5">
        <v>454.25</v>
      </c>
      <c r="F32" s="7">
        <f>HYPERLINK("https://www.tradingview.com/chart/tioZvgwv/?symbol=NSE%3ABERGEPAINT&amp;interval=", "&amp;#128200;")</f>
      </c>
      <c r="G32" s="7">
        <f>HYPERLINK("https://www.tradingview.com/symbols/NSE-BERGEPAINT/news/", "&amp;#128240;")</f>
      </c>
      <c r="H32" s="7">
        <f>HYPERLINK("https://www.tradingview.com/symbols/NSE-BERGEPAINT/technicals/", "&amp;#128202;")</f>
      </c>
      <c r="I32" s="7">
        <f>HYPERLINK("https://www.tradingview.com/symbols/NSE-BERGEPAINT/financials-overview/", "&amp;#128194;")</f>
      </c>
      <c r="J32" s="4" t="s">
        <v>11</v>
      </c>
      <c r="K32" s="5">
        <v>-1.432136269935993</v>
      </c>
    </row>
    <row x14ac:dyDescent="0.25" r="33" customHeight="1" ht="18.75">
      <c r="A33" s="4" t="s">
        <v>45</v>
      </c>
      <c r="B33" s="5">
        <v>1211.3</v>
      </c>
      <c r="C33" s="5">
        <v>1185.8</v>
      </c>
      <c r="D33" s="5">
        <v>1209.85</v>
      </c>
      <c r="E33" s="5">
        <v>1201.95</v>
      </c>
      <c r="F33" s="7">
        <f>HYPERLINK("https://www.tradingview.com/chart/tioZvgwv/?symbol=NSE%3ABHARATFORG&amp;interval=", "&amp;#128200;")</f>
      </c>
      <c r="G33" s="7">
        <f>HYPERLINK("https://www.tradingview.com/symbols/NSE-BHARATFORG/news/", "&amp;#128240;")</f>
      </c>
      <c r="H33" s="7">
        <f>HYPERLINK("https://www.tradingview.com/symbols/NSE-BHARATFORG/technicals/", "&amp;#128202;")</f>
      </c>
      <c r="I33" s="7">
        <f>HYPERLINK("https://www.tradingview.com/symbols/NSE-BHARATFORG/financials-overview/", "&amp;#128194;")</f>
      </c>
      <c r="J33" s="4" t="s">
        <v>11</v>
      </c>
      <c r="K33" s="5">
        <v>-0.6529735091126887</v>
      </c>
    </row>
    <row x14ac:dyDescent="0.25" r="34" customHeight="1" ht="18.75">
      <c r="A34" s="4" t="s">
        <v>46</v>
      </c>
      <c r="B34" s="5">
        <v>1614.7</v>
      </c>
      <c r="C34" s="5">
        <v>1578.1</v>
      </c>
      <c r="D34" s="5">
        <v>1615.9</v>
      </c>
      <c r="E34" s="5">
        <v>1599.8</v>
      </c>
      <c r="F34" s="7">
        <f>HYPERLINK("https://www.tradingview.com/chart/tioZvgwv/?symbol=NSE%3ABHARTIARTL&amp;interval=", "&amp;#128200;")</f>
      </c>
      <c r="G34" s="7">
        <f>HYPERLINK("https://www.tradingview.com/symbols/NSE-BHARTIARTL/news/", "&amp;#128240;")</f>
      </c>
      <c r="H34" s="7">
        <f>HYPERLINK("https://www.tradingview.com/symbols/NSE-BHARTIARTL/technicals/", "&amp;#128202;")</f>
      </c>
      <c r="I34" s="7">
        <f>HYPERLINK("https://www.tradingview.com/symbols/NSE-BHARTIARTL/financials-overview/", "&amp;#128194;")</f>
      </c>
      <c r="J34" s="4" t="s">
        <v>11</v>
      </c>
      <c r="K34" s="5">
        <v>-0.9963487839594118</v>
      </c>
    </row>
    <row x14ac:dyDescent="0.25" r="35" customHeight="1" ht="18.75">
      <c r="A35" s="4" t="s">
        <v>47</v>
      </c>
      <c r="B35" s="6">
        <v>201</v>
      </c>
      <c r="C35" s="5">
        <v>196.06</v>
      </c>
      <c r="D35" s="5">
        <v>204.49</v>
      </c>
      <c r="E35" s="5">
        <v>196.88</v>
      </c>
      <c r="F35" s="7">
        <f>HYPERLINK("https://www.tradingview.com/chart/tioZvgwv/?symbol=NSE%3ABHEL&amp;interval=", "&amp;#128200;")</f>
      </c>
      <c r="G35" s="7">
        <f>HYPERLINK("https://www.tradingview.com/symbols/NSE-BHEL/news/", "&amp;#128240;")</f>
      </c>
      <c r="H35" s="7">
        <f>HYPERLINK("https://www.tradingview.com/symbols/NSE-BHEL/technicals/", "&amp;#128202;")</f>
      </c>
      <c r="I35" s="7">
        <f>HYPERLINK("https://www.tradingview.com/symbols/NSE-BHEL/financials-overview/", "&amp;#128194;")</f>
      </c>
      <c r="J35" s="4" t="s">
        <v>11</v>
      </c>
      <c r="K35" s="5">
        <v>-3.721453371803029</v>
      </c>
    </row>
    <row x14ac:dyDescent="0.25" r="36" customHeight="1" ht="18.75">
      <c r="A36" s="4" t="s">
        <v>49</v>
      </c>
      <c r="B36" s="5">
        <v>31697.2</v>
      </c>
      <c r="C36" s="6">
        <v>31267</v>
      </c>
      <c r="D36" s="5">
        <v>31713.85</v>
      </c>
      <c r="E36" s="6">
        <v>31463</v>
      </c>
      <c r="F36" s="7">
        <f>HYPERLINK("https://www.tradingview.com/chart/tioZvgwv/?symbol=NSE%3ABOSCHLTD&amp;interval=", "&amp;#128200;")</f>
      </c>
      <c r="G36" s="7">
        <f>HYPERLINK("https://www.tradingview.com/symbols/NSE-BOSCHLTD/news/", "&amp;#128240;")</f>
      </c>
      <c r="H36" s="7">
        <f>HYPERLINK("https://www.tradingview.com/symbols/NSE-BOSCHLTD/technicals/", "&amp;#128202;")</f>
      </c>
      <c r="I36" s="7">
        <f>HYPERLINK("https://www.tradingview.com/symbols/NSE-BOSCHLTD/financials-overview/", "&amp;#128194;")</f>
      </c>
      <c r="J36" s="4" t="s">
        <v>11</v>
      </c>
      <c r="K36" s="5">
        <v>-0.7909793355269025</v>
      </c>
    </row>
    <row x14ac:dyDescent="0.25" r="37" customHeight="1" ht="18.75">
      <c r="A37" s="4" t="s">
        <v>50</v>
      </c>
      <c r="B37" s="5">
        <v>274.7</v>
      </c>
      <c r="C37" s="5">
        <v>269.8</v>
      </c>
      <c r="D37" s="5">
        <v>277.65</v>
      </c>
      <c r="E37" s="5">
        <v>270.25</v>
      </c>
      <c r="F37" s="7">
        <f>HYPERLINK("https://www.tradingview.com/chart/tioZvgwv/?symbol=NSE%3ABPCL&amp;interval=", "&amp;#128200;")</f>
      </c>
      <c r="G37" s="7">
        <f>HYPERLINK("https://www.tradingview.com/symbols/NSE-BPCL/news/", "&amp;#128240;")</f>
      </c>
      <c r="H37" s="7">
        <f>HYPERLINK("https://www.tradingview.com/symbols/NSE-BPCL/technicals/", "&amp;#128202;")</f>
      </c>
      <c r="I37" s="7">
        <f>HYPERLINK("https://www.tradingview.com/symbols/NSE-BPCL/financials-overview/", "&amp;#128194;")</f>
      </c>
      <c r="J37" s="4" t="s">
        <v>11</v>
      </c>
      <c r="K37" s="5">
        <v>-2.665226003961815</v>
      </c>
    </row>
    <row x14ac:dyDescent="0.25" r="38" customHeight="1" ht="18.75">
      <c r="A38" s="4" t="s">
        <v>51</v>
      </c>
      <c r="B38" s="5">
        <v>4997.9</v>
      </c>
      <c r="C38" s="6">
        <v>4906</v>
      </c>
      <c r="D38" s="5">
        <v>4939.2</v>
      </c>
      <c r="E38" s="5">
        <v>4932.95</v>
      </c>
      <c r="F38" s="7">
        <f>HYPERLINK("https://www.tradingview.com/chart/tioZvgwv/?symbol=NSE%3ABRITANNIA&amp;interval=", "&amp;#128200;")</f>
      </c>
      <c r="G38" s="7">
        <f>HYPERLINK("https://www.tradingview.com/symbols/NSE-BRITANNIA/news/", "&amp;#128240;")</f>
      </c>
      <c r="H38" s="7">
        <f>HYPERLINK("https://www.tradingview.com/symbols/NSE-BRITANNIA/technicals/", "&amp;#128202;")</f>
      </c>
      <c r="I38" s="7">
        <f>HYPERLINK("https://www.tradingview.com/symbols/NSE-BRITANNIA/financials-overview/", "&amp;#128194;")</f>
      </c>
      <c r="J38" s="4" t="s">
        <v>11</v>
      </c>
      <c r="K38" s="5">
        <v>-0.1265387107223842</v>
      </c>
    </row>
    <row x14ac:dyDescent="0.25" r="39" customHeight="1" ht="18.75">
      <c r="A39" s="4" t="s">
        <v>53</v>
      </c>
      <c r="B39" s="5">
        <v>564.4</v>
      </c>
      <c r="C39" s="5">
        <v>542.3</v>
      </c>
      <c r="D39" s="5">
        <v>551.35</v>
      </c>
      <c r="E39" s="5">
        <v>551.1</v>
      </c>
      <c r="F39" s="7">
        <f>HYPERLINK("https://www.tradingview.com/chart/tioZvgwv/?symbol=NSE%3ABSOFT&amp;interval=", "&amp;#128200;")</f>
      </c>
      <c r="G39" s="7">
        <f>HYPERLINK("https://www.tradingview.com/symbols/NSE-BSOFT/news/", "&amp;#128240;")</f>
      </c>
      <c r="H39" s="7">
        <f>HYPERLINK("https://www.tradingview.com/symbols/NSE-BSOFT/technicals/", "&amp;#128202;")</f>
      </c>
      <c r="I39" s="7">
        <f>HYPERLINK("https://www.tradingview.com/symbols/NSE-BSOFT/financials-overview/", "&amp;#128194;")</f>
      </c>
      <c r="J39" s="4" t="s">
        <v>11</v>
      </c>
      <c r="K39" s="5">
        <v>-0.04534324839031468</v>
      </c>
    </row>
    <row x14ac:dyDescent="0.25" r="40" customHeight="1" ht="18.75">
      <c r="A40" s="4" t="s">
        <v>54</v>
      </c>
      <c r="B40" s="5">
        <v>4519.45</v>
      </c>
      <c r="C40" s="6">
        <v>4355</v>
      </c>
      <c r="D40" s="5">
        <v>4522.75</v>
      </c>
      <c r="E40" s="6">
        <v>4358</v>
      </c>
      <c r="F40" s="7">
        <f>HYPERLINK("https://www.tradingview.com/chart/tioZvgwv/?symbol=NSE%3ACAMS&amp;interval=", "&amp;#128200;")</f>
      </c>
      <c r="G40" s="7">
        <f>HYPERLINK("https://www.tradingview.com/symbols/NSE-CAMS/news/", "&amp;#128240;")</f>
      </c>
      <c r="H40" s="7">
        <f>HYPERLINK("https://www.tradingview.com/symbols/NSE-CAMS/technicals/", "&amp;#128202;")</f>
      </c>
      <c r="I40" s="7">
        <f>HYPERLINK("https://www.tradingview.com/symbols/NSE-CAMS/financials-overview/", "&amp;#128194;")</f>
      </c>
      <c r="J40" s="4" t="s">
        <v>11</v>
      </c>
      <c r="K40" s="5">
        <v>-3.642695262837875</v>
      </c>
    </row>
    <row x14ac:dyDescent="0.25" r="41" customHeight="1" ht="18.75">
      <c r="A41" s="4" t="s">
        <v>55</v>
      </c>
      <c r="B41" s="5">
        <v>92.36</v>
      </c>
      <c r="C41" s="5">
        <v>90.57</v>
      </c>
      <c r="D41" s="5">
        <v>92.83</v>
      </c>
      <c r="E41" s="5">
        <v>90.74</v>
      </c>
      <c r="F41" s="7">
        <f>HYPERLINK("https://www.tradingview.com/chart/tioZvgwv/?symbol=NSE%3ACANBK&amp;interval=", "&amp;#128200;")</f>
      </c>
      <c r="G41" s="7">
        <f>HYPERLINK("https://www.tradingview.com/symbols/NSE-CANBK/news/", "&amp;#128240;")</f>
      </c>
      <c r="H41" s="7">
        <f>HYPERLINK("https://www.tradingview.com/symbols/NSE-CANBK/technicals/", "&amp;#128202;")</f>
      </c>
      <c r="I41" s="7">
        <f>HYPERLINK("https://www.tradingview.com/symbols/NSE-CANBK/financials-overview/", "&amp;#128194;")</f>
      </c>
      <c r="J41" s="4" t="s">
        <v>11</v>
      </c>
      <c r="K41" s="5">
        <v>-2.251427340299476</v>
      </c>
    </row>
    <row x14ac:dyDescent="0.25" r="42" customHeight="1" ht="18.75">
      <c r="A42" s="4" t="s">
        <v>56</v>
      </c>
      <c r="B42" s="5">
        <v>677.95</v>
      </c>
      <c r="C42" s="6">
        <v>666</v>
      </c>
      <c r="D42" s="5">
        <v>679.35</v>
      </c>
      <c r="E42" s="5">
        <v>667.2</v>
      </c>
      <c r="F42" s="7">
        <f>HYPERLINK("https://www.tradingview.com/chart/tioZvgwv/?symbol=NSE%3ACANFINHOME&amp;interval=", "&amp;#128200;")</f>
      </c>
      <c r="G42" s="7">
        <f>HYPERLINK("https://www.tradingview.com/symbols/NSE-CANFINHOME/news/", "&amp;#128240;")</f>
      </c>
      <c r="H42" s="7">
        <f>HYPERLINK("https://www.tradingview.com/symbols/NSE-CANFINHOME/technicals/", "&amp;#128202;")</f>
      </c>
      <c r="I42" s="7">
        <f>HYPERLINK("https://www.tradingview.com/symbols/NSE-CANFINHOME/financials-overview/", "&amp;#128194;")</f>
      </c>
      <c r="J42" s="4" t="s">
        <v>11</v>
      </c>
      <c r="K42" s="5">
        <v>-1.788474276882311</v>
      </c>
    </row>
    <row x14ac:dyDescent="0.25" r="43" customHeight="1" ht="18.75">
      <c r="A43" s="4" t="s">
        <v>57</v>
      </c>
      <c r="B43" s="6">
        <v>1598</v>
      </c>
      <c r="C43" s="6">
        <v>1555</v>
      </c>
      <c r="D43" s="5">
        <v>1594.45</v>
      </c>
      <c r="E43" s="5">
        <v>1555.25</v>
      </c>
      <c r="F43" s="7">
        <f>HYPERLINK("https://www.tradingview.com/chart/tioZvgwv/?symbol=NSE%3ACDSL&amp;interval=", "&amp;#128200;")</f>
      </c>
      <c r="G43" s="7">
        <f>HYPERLINK("https://www.tradingview.com/symbols/NSE-CDSL/news/", "&amp;#128240;")</f>
      </c>
      <c r="H43" s="7">
        <f>HYPERLINK("https://www.tradingview.com/symbols/NSE-CDSL/technicals/", "&amp;#128202;")</f>
      </c>
      <c r="I43" s="7">
        <f>HYPERLINK("https://www.tradingview.com/symbols/NSE-CDSL/financials-overview/", "&amp;#128194;")</f>
      </c>
      <c r="J43" s="4" t="s">
        <v>11</v>
      </c>
      <c r="K43" s="5">
        <v>-2.458528019066138</v>
      </c>
    </row>
    <row x14ac:dyDescent="0.25" r="44" customHeight="1" ht="18.75">
      <c r="A44" s="4" t="s">
        <v>58</v>
      </c>
      <c r="B44" s="5">
        <v>161.6</v>
      </c>
      <c r="C44" s="5">
        <v>152.77</v>
      </c>
      <c r="D44" s="5">
        <v>162.42</v>
      </c>
      <c r="E44" s="5">
        <v>157.08</v>
      </c>
      <c r="F44" s="7">
        <f>HYPERLINK("https://www.tradingview.com/chart/tioZvgwv/?symbol=NSE%3ACESC&amp;interval=", "&amp;#128200;")</f>
      </c>
      <c r="G44" s="7">
        <f>HYPERLINK("https://www.tradingview.com/symbols/NSE-CESC/news/", "&amp;#128240;")</f>
      </c>
      <c r="H44" s="7">
        <f>HYPERLINK("https://www.tradingview.com/symbols/NSE-CESC/technicals/", "&amp;#128202;")</f>
      </c>
      <c r="I44" s="7">
        <f>HYPERLINK("https://www.tradingview.com/symbols/NSE-CESC/financials-overview/", "&amp;#128194;")</f>
      </c>
      <c r="J44" s="4" t="s">
        <v>11</v>
      </c>
      <c r="K44" s="5">
        <v>-3.287772441817495</v>
      </c>
    </row>
    <row x14ac:dyDescent="0.25" r="45" customHeight="1" ht="18.75">
      <c r="A45" s="4" t="s">
        <v>59</v>
      </c>
      <c r="B45" s="5">
        <v>643.6</v>
      </c>
      <c r="C45" s="5">
        <v>621.05</v>
      </c>
      <c r="D45" s="5">
        <v>650.2</v>
      </c>
      <c r="E45" s="5">
        <v>622.1</v>
      </c>
      <c r="F45" s="7">
        <f>HYPERLINK("https://www.tradingview.com/chart/tioZvgwv/?symbol=NSE%3ACGPOWER&amp;interval=", "&amp;#128200;")</f>
      </c>
      <c r="G45" s="7">
        <f>HYPERLINK("https://www.tradingview.com/symbols/NSE-CGPOWER/news/", "&amp;#128240;")</f>
      </c>
      <c r="H45" s="7">
        <f>HYPERLINK("https://www.tradingview.com/symbols/NSE-CGPOWER/technicals/", "&amp;#128202;")</f>
      </c>
      <c r="I45" s="7">
        <f>HYPERLINK("https://www.tradingview.com/symbols/NSE-CGPOWER/financials-overview/", "&amp;#128194;")</f>
      </c>
      <c r="J45" s="4" t="s">
        <v>11</v>
      </c>
      <c r="K45" s="5">
        <v>-4.321747154721627</v>
      </c>
    </row>
    <row x14ac:dyDescent="0.25" r="46" customHeight="1" ht="18.75">
      <c r="A46" s="4" t="s">
        <v>60</v>
      </c>
      <c r="B46" s="5">
        <v>478.85</v>
      </c>
      <c r="C46" s="5">
        <v>467.5</v>
      </c>
      <c r="D46" s="5">
        <v>481.4</v>
      </c>
      <c r="E46" s="5">
        <v>468.1</v>
      </c>
      <c r="F46" s="7">
        <f>HYPERLINK("https://www.tradingview.com/chart/tioZvgwv/?symbol=NSE%3ACHAMBLFERT&amp;interval=", "&amp;#128200;")</f>
      </c>
      <c r="G46" s="7">
        <f>HYPERLINK("https://www.tradingview.com/symbols/NSE-CHAMBLFERT/news/", "&amp;#128240;")</f>
      </c>
      <c r="H46" s="7">
        <f>HYPERLINK("https://www.tradingview.com/symbols/NSE-CHAMBLFERT/technicals/", "&amp;#128202;")</f>
      </c>
      <c r="I46" s="7">
        <f>HYPERLINK("https://www.tradingview.com/symbols/NSE-CHAMBLFERT/financials-overview/", "&amp;#128194;")</f>
      </c>
      <c r="J46" s="4" t="s">
        <v>11</v>
      </c>
      <c r="K46" s="5">
        <v>-2.762775238886571</v>
      </c>
    </row>
    <row x14ac:dyDescent="0.25" r="47" customHeight="1" ht="18.75">
      <c r="A47" s="4" t="s">
        <v>61</v>
      </c>
      <c r="B47" s="5">
        <v>1259.4</v>
      </c>
      <c r="C47" s="5">
        <v>1225.15</v>
      </c>
      <c r="D47" s="5">
        <v>1255.05</v>
      </c>
      <c r="E47" s="5">
        <v>1235.35</v>
      </c>
      <c r="F47" s="7">
        <f>HYPERLINK("https://www.tradingview.com/chart/tioZvgwv/?symbol=NSE%3ACHOLAFIN&amp;interval=", "&amp;#128200;")</f>
      </c>
      <c r="G47" s="7">
        <f>HYPERLINK("https://www.tradingview.com/symbols/NSE-CHOLAFIN/news/", "&amp;#128240;")</f>
      </c>
      <c r="H47" s="7">
        <f>HYPERLINK("https://www.tradingview.com/symbols/NSE-CHOLAFIN/technicals/", "&amp;#128202;")</f>
      </c>
      <c r="I47" s="7">
        <f>HYPERLINK("https://www.tradingview.com/symbols/NSE-CHOLAFIN/financials-overview/", "&amp;#128194;")</f>
      </c>
      <c r="J47" s="4" t="s">
        <v>11</v>
      </c>
      <c r="K47" s="5">
        <v>-1.569658579339472</v>
      </c>
    </row>
    <row x14ac:dyDescent="0.25" r="48" customHeight="1" ht="18.75">
      <c r="A48" s="4" t="s">
        <v>62</v>
      </c>
      <c r="B48" s="5">
        <v>1463.95</v>
      </c>
      <c r="C48" s="6">
        <v>1445</v>
      </c>
      <c r="D48" s="5">
        <v>1468.8</v>
      </c>
      <c r="E48" s="5">
        <v>1446.05</v>
      </c>
      <c r="F48" s="7">
        <f>HYPERLINK("https://www.tradingview.com/chart/tioZvgwv/?symbol=NSE%3ACIPLA&amp;interval=", "&amp;#128200;")</f>
      </c>
      <c r="G48" s="7">
        <f>HYPERLINK("https://www.tradingview.com/symbols/NSE-CIPLA/news/", "&amp;#128240;")</f>
      </c>
      <c r="H48" s="7">
        <f>HYPERLINK("https://www.tradingview.com/symbols/NSE-CIPLA/technicals/", "&amp;#128202;")</f>
      </c>
      <c r="I48" s="7">
        <f>HYPERLINK("https://www.tradingview.com/symbols/NSE-CIPLA/financials-overview/", "&amp;#128194;")</f>
      </c>
      <c r="J48" s="4" t="s">
        <v>11</v>
      </c>
      <c r="K48" s="5">
        <v>-1.548883442265795</v>
      </c>
    </row>
    <row x14ac:dyDescent="0.25" r="49" customHeight="1" ht="18.75">
      <c r="A49" s="4" t="s">
        <v>63</v>
      </c>
      <c r="B49" s="5">
        <v>370.4</v>
      </c>
      <c r="C49" s="5">
        <v>362.2</v>
      </c>
      <c r="D49" s="5">
        <v>368.5</v>
      </c>
      <c r="E49" s="5">
        <v>367.4</v>
      </c>
      <c r="F49" s="7">
        <f>HYPERLINK("https://www.tradingview.com/chart/tioZvgwv/?symbol=NSE%3ACOALINDIA&amp;interval=", "&amp;#128200;")</f>
      </c>
      <c r="G49" s="7">
        <f>HYPERLINK("https://www.tradingview.com/symbols/NSE-COALINDIA/news/", "&amp;#128240;")</f>
      </c>
      <c r="H49" s="7">
        <f>HYPERLINK("https://www.tradingview.com/symbols/NSE-COALINDIA/technicals/", "&amp;#128202;")</f>
      </c>
      <c r="I49" s="7">
        <f>HYPERLINK("https://www.tradingview.com/symbols/NSE-COALINDIA/financials-overview/", "&amp;#128194;")</f>
      </c>
      <c r="J49" s="4" t="s">
        <v>11</v>
      </c>
      <c r="K49" s="5">
        <v>-0.2985074626865733</v>
      </c>
    </row>
    <row x14ac:dyDescent="0.25" r="50" customHeight="1" ht="18.75">
      <c r="A50" s="4" t="s">
        <v>64</v>
      </c>
      <c r="B50" s="5">
        <v>9323.5</v>
      </c>
      <c r="C50" s="5">
        <v>8891.4</v>
      </c>
      <c r="D50" s="5">
        <v>9404.15</v>
      </c>
      <c r="E50" s="5">
        <v>8898.05</v>
      </c>
      <c r="F50" s="7">
        <f>HYPERLINK("https://www.tradingview.com/chart/tioZvgwv/?symbol=NSE%3ACOFORGE&amp;interval=", "&amp;#128200;")</f>
      </c>
      <c r="G50" s="7">
        <f>HYPERLINK("https://www.tradingview.com/symbols/NSE-COFORGE/news/", "&amp;#128240;")</f>
      </c>
      <c r="H50" s="7">
        <f>HYPERLINK("https://www.tradingview.com/symbols/NSE-COFORGE/technicals/", "&amp;#128202;")</f>
      </c>
      <c r="I50" s="7">
        <f>HYPERLINK("https://www.tradingview.com/symbols/NSE-COFORGE/financials-overview/", "&amp;#128194;")</f>
      </c>
      <c r="J50" s="4" t="s">
        <v>11</v>
      </c>
      <c r="K50" s="5">
        <v>-5.381666604637318</v>
      </c>
    </row>
    <row x14ac:dyDescent="0.25" r="51" customHeight="1" ht="18.75">
      <c r="A51" s="4" t="s">
        <v>65</v>
      </c>
      <c r="B51" s="5">
        <v>2835.6</v>
      </c>
      <c r="C51" s="5">
        <v>2784.15</v>
      </c>
      <c r="D51" s="5">
        <v>2830.7</v>
      </c>
      <c r="E51" s="5">
        <v>2788.6</v>
      </c>
      <c r="F51" s="7">
        <f>HYPERLINK("https://www.tradingview.com/chart/tioZvgwv/?symbol=NSE%3ACOLPAL&amp;interval=", "&amp;#128200;")</f>
      </c>
      <c r="G51" s="7">
        <f>HYPERLINK("https://www.tradingview.com/symbols/NSE-COLPAL/news/", "&amp;#128240;")</f>
      </c>
      <c r="H51" s="7">
        <f>HYPERLINK("https://www.tradingview.com/symbols/NSE-COLPAL/technicals/", "&amp;#128202;")</f>
      </c>
      <c r="I51" s="7">
        <f>HYPERLINK("https://www.tradingview.com/symbols/NSE-COLPAL/financials-overview/", "&amp;#128194;")</f>
      </c>
      <c r="J51" s="4" t="s">
        <v>11</v>
      </c>
      <c r="K51" s="5">
        <v>-1.48726463418942</v>
      </c>
    </row>
    <row x14ac:dyDescent="0.25" r="52" customHeight="1" ht="18.75">
      <c r="A52" s="4" t="s">
        <v>66</v>
      </c>
      <c r="B52" s="5">
        <v>750.25</v>
      </c>
      <c r="C52" s="5">
        <v>739.25</v>
      </c>
      <c r="D52" s="5">
        <v>750.25</v>
      </c>
      <c r="E52" s="5">
        <v>740.85</v>
      </c>
      <c r="F52" s="7">
        <f>HYPERLINK("https://www.tradingview.com/chart/tioZvgwv/?symbol=NSE%3ACONCOR&amp;interval=", "&amp;#128200;")</f>
      </c>
      <c r="G52" s="7">
        <f>HYPERLINK("https://www.tradingview.com/symbols/NSE-CONCOR/news/", "&amp;#128240;")</f>
      </c>
      <c r="H52" s="7">
        <f>HYPERLINK("https://www.tradingview.com/symbols/NSE-CONCOR/technicals/", "&amp;#128202;")</f>
      </c>
      <c r="I52" s="7">
        <f>HYPERLINK("https://www.tradingview.com/symbols/NSE-CONCOR/financials-overview/", "&amp;#128194;")</f>
      </c>
      <c r="J52" s="4" t="s">
        <v>11</v>
      </c>
      <c r="K52" s="5">
        <v>-1.252915694768407</v>
      </c>
    </row>
    <row x14ac:dyDescent="0.25" r="53" customHeight="1" ht="18.75">
      <c r="A53" s="4" t="s">
        <v>67</v>
      </c>
      <c r="B53" s="5">
        <v>1903.7</v>
      </c>
      <c r="C53" s="5">
        <v>1819.25</v>
      </c>
      <c r="D53" s="5">
        <v>1922.45</v>
      </c>
      <c r="E53" s="5">
        <v>1820.75</v>
      </c>
      <c r="F53" s="7">
        <f>HYPERLINK("https://www.tradingview.com/chart/tioZvgwv/?symbol=NSE%3ACOROMANDEL&amp;interval=", "&amp;#128200;")</f>
      </c>
      <c r="G53" s="7">
        <f>HYPERLINK("https://www.tradingview.com/symbols/NSE-COROMANDEL/news/", "&amp;#128240;")</f>
      </c>
      <c r="H53" s="7">
        <f>HYPERLINK("https://www.tradingview.com/symbols/NSE-COROMANDEL/technicals/", "&amp;#128202;")</f>
      </c>
      <c r="I53" s="7">
        <f>HYPERLINK("https://www.tradingview.com/symbols/NSE-COROMANDEL/financials-overview/", "&amp;#128194;")</f>
      </c>
      <c r="J53" s="4" t="s">
        <v>11</v>
      </c>
      <c r="K53" s="5">
        <v>-5.290124580613282</v>
      </c>
    </row>
    <row x14ac:dyDescent="0.25" r="54" customHeight="1" ht="18.75">
      <c r="A54" s="4" t="s">
        <v>68</v>
      </c>
      <c r="B54" s="5">
        <v>356.65</v>
      </c>
      <c r="C54" s="5">
        <v>348.25</v>
      </c>
      <c r="D54" s="5">
        <v>359.75</v>
      </c>
      <c r="E54" s="5">
        <v>348.7</v>
      </c>
      <c r="F54" s="7">
        <f>HYPERLINK("https://www.tradingview.com/chart/tioZvgwv/?symbol=NSE%3ACROMPTON&amp;interval=", "&amp;#128200;")</f>
      </c>
      <c r="G54" s="7">
        <f>HYPERLINK("https://www.tradingview.com/symbols/NSE-CROMPTON/news/", "&amp;#128240;")</f>
      </c>
      <c r="H54" s="7">
        <f>HYPERLINK("https://www.tradingview.com/symbols/NSE-CROMPTON/technicals/", "&amp;#128202;")</f>
      </c>
      <c r="I54" s="7">
        <f>HYPERLINK("https://www.tradingview.com/symbols/NSE-CROMPTON/financials-overview/", "&amp;#128194;")</f>
      </c>
      <c r="J54" s="4" t="s">
        <v>11</v>
      </c>
      <c r="K54" s="5">
        <v>-3.071577484364145</v>
      </c>
    </row>
    <row x14ac:dyDescent="0.25" r="55" customHeight="1" ht="18.75">
      <c r="A55" s="4" t="s">
        <v>69</v>
      </c>
      <c r="B55" s="5">
        <v>165.19</v>
      </c>
      <c r="C55" s="5">
        <v>161.16</v>
      </c>
      <c r="D55" s="5">
        <v>165.28</v>
      </c>
      <c r="E55" s="5">
        <v>164.15</v>
      </c>
      <c r="F55" s="7">
        <f>HYPERLINK("https://www.tradingview.com/chart/tioZvgwv/?symbol=NSE%3ACUB&amp;interval=", "&amp;#128200;")</f>
      </c>
      <c r="G55" s="7">
        <f>HYPERLINK("https://www.tradingview.com/symbols/NSE-CUB/news/", "&amp;#128240;")</f>
      </c>
      <c r="H55" s="7">
        <f>HYPERLINK("https://www.tradingview.com/symbols/NSE-CUB/technicals/", "&amp;#128202;")</f>
      </c>
      <c r="I55" s="7">
        <f>HYPERLINK("https://www.tradingview.com/symbols/NSE-CUB/financials-overview/", "&amp;#128194;")</f>
      </c>
      <c r="J55" s="4" t="s">
        <v>11</v>
      </c>
      <c r="K55" s="5">
        <v>-0.6836882865440437</v>
      </c>
    </row>
    <row x14ac:dyDescent="0.25" r="56" customHeight="1" ht="18.75">
      <c r="A56" s="4" t="s">
        <v>70</v>
      </c>
      <c r="B56" s="5">
        <v>2988.6</v>
      </c>
      <c r="C56" s="5">
        <v>2926.7</v>
      </c>
      <c r="D56" s="5">
        <v>2999.45</v>
      </c>
      <c r="E56" s="5">
        <v>2931.55</v>
      </c>
      <c r="F56" s="7">
        <f>HYPERLINK("https://www.tradingview.com/chart/tioZvgwv/?symbol=NSE%3ACUMMINSIND&amp;interval=", "&amp;#128200;")</f>
      </c>
      <c r="G56" s="7">
        <f>HYPERLINK("https://www.tradingview.com/symbols/NSE-CUMMINSIND/news/", "&amp;#128240;")</f>
      </c>
      <c r="H56" s="7">
        <f>HYPERLINK("https://www.tradingview.com/symbols/NSE-CUMMINSIND/technicals/", "&amp;#128202;")</f>
      </c>
      <c r="I56" s="7">
        <f>HYPERLINK("https://www.tradingview.com/symbols/NSE-CUMMINSIND/financials-overview/", "&amp;#128194;")</f>
      </c>
      <c r="J56" s="4" t="s">
        <v>11</v>
      </c>
      <c r="K56" s="5">
        <v>-2.263748353864863</v>
      </c>
    </row>
    <row x14ac:dyDescent="0.25" r="57" customHeight="1" ht="18.75">
      <c r="A57" s="4" t="s">
        <v>71</v>
      </c>
      <c r="B57" s="5">
        <v>1752.7</v>
      </c>
      <c r="C57" s="5">
        <v>1711.35</v>
      </c>
      <c r="D57" s="5">
        <v>1740.7</v>
      </c>
      <c r="E57" s="5">
        <v>1717.3</v>
      </c>
      <c r="F57" s="7">
        <f>HYPERLINK("https://www.tradingview.com/chart/tioZvgwv/?symbol=NSE%3ACYIENT&amp;interval=", "&amp;#128200;")</f>
      </c>
      <c r="G57" s="7">
        <f>HYPERLINK("https://www.tradingview.com/symbols/NSE-CYIENT/news/", "&amp;#128240;")</f>
      </c>
      <c r="H57" s="7">
        <f>HYPERLINK("https://www.tradingview.com/symbols/NSE-CYIENT/technicals/", "&amp;#128202;")</f>
      </c>
      <c r="I57" s="7">
        <f>HYPERLINK("https://www.tradingview.com/symbols/NSE-CYIENT/financials-overview/", "&amp;#128194;")</f>
      </c>
      <c r="J57" s="4" t="s">
        <v>11</v>
      </c>
      <c r="K57" s="5">
        <v>-1.34428678117999</v>
      </c>
    </row>
    <row x14ac:dyDescent="0.25" r="58" customHeight="1" ht="18.75">
      <c r="A58" s="4" t="s">
        <v>72</v>
      </c>
      <c r="B58" s="5">
        <v>516.9</v>
      </c>
      <c r="C58" s="6">
        <v>511</v>
      </c>
      <c r="D58" s="5">
        <v>517.9</v>
      </c>
      <c r="E58" s="5">
        <v>511.05</v>
      </c>
      <c r="F58" s="7">
        <f>HYPERLINK("https://www.tradingview.com/chart/tioZvgwv/?symbol=NSE%3ADABUR&amp;interval=", "&amp;#128200;")</f>
      </c>
      <c r="G58" s="7">
        <f>HYPERLINK("https://www.tradingview.com/symbols/NSE-DABUR/news/", "&amp;#128240;")</f>
      </c>
      <c r="H58" s="7">
        <f>HYPERLINK("https://www.tradingview.com/symbols/NSE-DABUR/technicals/", "&amp;#128202;")</f>
      </c>
      <c r="I58" s="7">
        <f>HYPERLINK("https://www.tradingview.com/symbols/NSE-DABUR/financials-overview/", "&amp;#128194;")</f>
      </c>
      <c r="J58" s="4" t="s">
        <v>11</v>
      </c>
      <c r="K58" s="5">
        <v>-1.322649160069505</v>
      </c>
    </row>
    <row x14ac:dyDescent="0.25" r="59" customHeight="1" ht="18.75">
      <c r="A59" s="4" t="s">
        <v>73</v>
      </c>
      <c r="B59" s="5">
        <v>1757.35</v>
      </c>
      <c r="C59" s="5">
        <v>1716.5</v>
      </c>
      <c r="D59" s="5">
        <v>1727.5</v>
      </c>
      <c r="E59" s="5">
        <v>1717.4</v>
      </c>
      <c r="F59" s="7">
        <f>HYPERLINK("https://www.tradingview.com/chart/tioZvgwv/?symbol=NSE%3ADALBHARAT&amp;interval=", "&amp;#128200;")</f>
      </c>
      <c r="G59" s="7">
        <f>HYPERLINK("https://www.tradingview.com/symbols/NSE-DALBHARAT/news/", "&amp;#128240;")</f>
      </c>
      <c r="H59" s="7">
        <f>HYPERLINK("https://www.tradingview.com/symbols/NSE-DALBHARAT/technicals/", "&amp;#128202;")</f>
      </c>
      <c r="I59" s="7">
        <f>HYPERLINK("https://www.tradingview.com/symbols/NSE-DALBHARAT/financials-overview/", "&amp;#128194;")</f>
      </c>
      <c r="J59" s="4" t="s">
        <v>11</v>
      </c>
      <c r="K59" s="5">
        <v>-0.5846599131693146</v>
      </c>
    </row>
    <row x14ac:dyDescent="0.25" r="60" customHeight="1" ht="18.75">
      <c r="A60" s="4" t="s">
        <v>74</v>
      </c>
      <c r="B60" s="5">
        <v>2400.4</v>
      </c>
      <c r="C60" s="5">
        <v>2360.6</v>
      </c>
      <c r="D60" s="5">
        <v>2418.75</v>
      </c>
      <c r="E60" s="5">
        <v>2364.6</v>
      </c>
      <c r="F60" s="7">
        <f>HYPERLINK("https://www.tradingview.com/chart/tioZvgwv/?symbol=NSE%3ADEEPAKNTR&amp;interval=", "&amp;#128200;")</f>
      </c>
      <c r="G60" s="7">
        <f>HYPERLINK("https://www.tradingview.com/symbols/NSE-DEEPAKNTR/news/", "&amp;#128240;")</f>
      </c>
      <c r="H60" s="7">
        <f>HYPERLINK("https://www.tradingview.com/symbols/NSE-DEEPAKNTR/technicals/", "&amp;#128202;")</f>
      </c>
      <c r="I60" s="7">
        <f>HYPERLINK("https://www.tradingview.com/symbols/NSE-DEEPAKNTR/financials-overview/", "&amp;#128194;")</f>
      </c>
      <c r="J60" s="4" t="s">
        <v>11</v>
      </c>
      <c r="K60" s="5">
        <v>-2.238759689922484</v>
      </c>
    </row>
    <row x14ac:dyDescent="0.25" r="61" customHeight="1" ht="18.75">
      <c r="A61" s="4" t="s">
        <v>75</v>
      </c>
      <c r="B61" s="6">
        <v>334</v>
      </c>
      <c r="C61" s="5">
        <v>323.05</v>
      </c>
      <c r="D61" s="5">
        <v>333.85</v>
      </c>
      <c r="E61" s="5">
        <v>323.6</v>
      </c>
      <c r="F61" s="7">
        <f>HYPERLINK("https://www.tradingview.com/chart/tioZvgwv/?symbol=NSE%3ADELHIVERY&amp;interval=", "&amp;#128200;")</f>
      </c>
      <c r="G61" s="7">
        <f>HYPERLINK("https://www.tradingview.com/symbols/NSE-DELHIVERY/news/", "&amp;#128240;")</f>
      </c>
      <c r="H61" s="7">
        <f>HYPERLINK("https://www.tradingview.com/symbols/NSE-DELHIVERY/technicals/", "&amp;#128202;")</f>
      </c>
      <c r="I61" s="7">
        <f>HYPERLINK("https://www.tradingview.com/symbols/NSE-DELHIVERY/financials-overview/", "&amp;#128194;")</f>
      </c>
      <c r="J61" s="4" t="s">
        <v>11</v>
      </c>
      <c r="K61" s="5">
        <v>-3.070241126254305</v>
      </c>
    </row>
    <row x14ac:dyDescent="0.25" r="62" customHeight="1" ht="18.75">
      <c r="A62" s="4" t="s">
        <v>77</v>
      </c>
      <c r="B62" s="6">
        <v>16550</v>
      </c>
      <c r="C62" s="6">
        <v>16110</v>
      </c>
      <c r="D62" s="5">
        <v>16709.2</v>
      </c>
      <c r="E62" s="6">
        <v>16150</v>
      </c>
      <c r="F62" s="7">
        <f>HYPERLINK("https://www.tradingview.com/chart/tioZvgwv/?symbol=NSE%3ADIXON&amp;interval=", "&amp;#128200;")</f>
      </c>
      <c r="G62" s="7">
        <f>HYPERLINK("https://www.tradingview.com/symbols/NSE-DIXON/news/", "&amp;#128240;")</f>
      </c>
      <c r="H62" s="7">
        <f>HYPERLINK("https://www.tradingview.com/symbols/NSE-DIXON/technicals/", "&amp;#128202;")</f>
      </c>
      <c r="I62" s="7">
        <f>HYPERLINK("https://www.tradingview.com/symbols/NSE-DIXON/financials-overview/", "&amp;#128194;")</f>
      </c>
      <c r="J62" s="4" t="s">
        <v>11</v>
      </c>
      <c r="K62" s="5">
        <v>-3.34665932540158</v>
      </c>
    </row>
    <row x14ac:dyDescent="0.25" r="63" customHeight="1" ht="18.75">
      <c r="A63" s="4" t="s">
        <v>78</v>
      </c>
      <c r="B63" s="5">
        <v>747.95</v>
      </c>
      <c r="C63" s="5">
        <v>728.55</v>
      </c>
      <c r="D63" s="5">
        <v>752.15</v>
      </c>
      <c r="E63" s="5">
        <v>729.1</v>
      </c>
      <c r="F63" s="7">
        <f>HYPERLINK("https://www.tradingview.com/chart/tioZvgwv/?symbol=NSE%3ADLF&amp;interval=", "&amp;#128200;")</f>
      </c>
      <c r="G63" s="7">
        <f>HYPERLINK("https://www.tradingview.com/symbols/NSE-DLF/news/", "&amp;#128240;")</f>
      </c>
      <c r="H63" s="7">
        <f>HYPERLINK("https://www.tradingview.com/symbols/NSE-DLF/technicals/", "&amp;#128202;")</f>
      </c>
      <c r="I63" s="7">
        <f>HYPERLINK("https://www.tradingview.com/symbols/NSE-DLF/financials-overview/", "&amp;#128194;")</f>
      </c>
      <c r="J63" s="4" t="s">
        <v>11</v>
      </c>
      <c r="K63" s="5">
        <v>-3.064548294887982</v>
      </c>
    </row>
    <row x14ac:dyDescent="0.25" r="64" customHeight="1" ht="18.75">
      <c r="A64" s="4" t="s">
        <v>79</v>
      </c>
      <c r="B64" s="5">
        <v>3643.95</v>
      </c>
      <c r="C64" s="5">
        <v>3469.95</v>
      </c>
      <c r="D64" s="5">
        <v>3686.25</v>
      </c>
      <c r="E64" s="5">
        <v>3606.15</v>
      </c>
      <c r="F64" s="7">
        <f>HYPERLINK("https://www.tradingview.com/chart/tioZvgwv/?symbol=NSE%3ADMART&amp;interval=", "&amp;#128200;")</f>
      </c>
      <c r="G64" s="7">
        <f>HYPERLINK("https://www.tradingview.com/symbols/NSE-DMART/news/", "&amp;#128240;")</f>
      </c>
      <c r="H64" s="7">
        <f>HYPERLINK("https://www.tradingview.com/symbols/NSE-DMART/technicals/", "&amp;#128202;")</f>
      </c>
      <c r="I64" s="7">
        <f>HYPERLINK("https://www.tradingview.com/symbols/NSE-DMART/financials-overview/", "&amp;#128194;")</f>
      </c>
      <c r="J64" s="4" t="s">
        <v>11</v>
      </c>
      <c r="K64" s="5">
        <v>-2.172939979654118</v>
      </c>
    </row>
    <row x14ac:dyDescent="0.25" r="65" customHeight="1" ht="18.75">
      <c r="A65" s="4" t="s">
        <v>80</v>
      </c>
      <c r="B65" s="5">
        <v>1354.15</v>
      </c>
      <c r="C65" s="5">
        <v>1330.2</v>
      </c>
      <c r="D65" s="5">
        <v>1354.4</v>
      </c>
      <c r="E65" s="6">
        <v>1337</v>
      </c>
      <c r="F65" s="7">
        <f>HYPERLINK("https://www.tradingview.com/chart/tioZvgwv/?symbol=NSE%3ADRREDDY&amp;interval=", "&amp;#128200;")</f>
      </c>
      <c r="G65" s="7">
        <f>HYPERLINK("https://www.tradingview.com/symbols/NSE-DRREDDY/news/", "&amp;#128240;")</f>
      </c>
      <c r="H65" s="7">
        <f>HYPERLINK("https://www.tradingview.com/symbols/NSE-DRREDDY/technicals/", "&amp;#128202;")</f>
      </c>
      <c r="I65" s="7">
        <f>HYPERLINK("https://www.tradingview.com/symbols/NSE-DRREDDY/financials-overview/", "&amp;#128194;")</f>
      </c>
      <c r="J65" s="4" t="s">
        <v>11</v>
      </c>
      <c r="K65" s="5">
        <v>-1.284701712935624</v>
      </c>
    </row>
    <row x14ac:dyDescent="0.25" r="66" customHeight="1" ht="18.75">
      <c r="A66" s="4" t="s">
        <v>81</v>
      </c>
      <c r="B66" s="5">
        <v>5024.2</v>
      </c>
      <c r="C66" s="5">
        <v>4935.2</v>
      </c>
      <c r="D66" s="5">
        <v>5058.45</v>
      </c>
      <c r="E66" s="5">
        <v>4939.75</v>
      </c>
      <c r="F66" s="7">
        <f>HYPERLINK("https://www.tradingview.com/chart/tioZvgwv/?symbol=NSE%3AEICHERMOT&amp;interval=", "&amp;#128200;")</f>
      </c>
      <c r="G66" s="7">
        <f>HYPERLINK("https://www.tradingview.com/symbols/NSE-EICHERMOT/news/", "&amp;#128240;")</f>
      </c>
      <c r="H66" s="7">
        <f>HYPERLINK("https://www.tradingview.com/symbols/NSE-EICHERMOT/technicals/", "&amp;#128202;")</f>
      </c>
      <c r="I66" s="7">
        <f>HYPERLINK("https://www.tradingview.com/symbols/NSE-EICHERMOT/financials-overview/", "&amp;#128194;")</f>
      </c>
      <c r="J66" s="4" t="s">
        <v>11</v>
      </c>
      <c r="K66" s="5">
        <v>-2.34656861291502</v>
      </c>
    </row>
    <row x14ac:dyDescent="0.25" r="67" customHeight="1" ht="18.75">
      <c r="A67" s="4" t="s">
        <v>82</v>
      </c>
      <c r="B67" s="5">
        <v>3397.9</v>
      </c>
      <c r="C67" s="5">
        <v>3324.75</v>
      </c>
      <c r="D67" s="5">
        <v>3405.9</v>
      </c>
      <c r="E67" s="5">
        <v>3328.75</v>
      </c>
      <c r="F67" s="7">
        <f>HYPERLINK("https://www.tradingview.com/chart/tioZvgwv/?symbol=NSE%3AESCORTS&amp;interval=", "&amp;#128200;")</f>
      </c>
      <c r="G67" s="7">
        <f>HYPERLINK("https://www.tradingview.com/symbols/NSE-ESCORTS/news/", "&amp;#128240;")</f>
      </c>
      <c r="H67" s="7">
        <f>HYPERLINK("https://www.tradingview.com/symbols/NSE-ESCORTS/technicals/", "&amp;#128202;")</f>
      </c>
      <c r="I67" s="7">
        <f>HYPERLINK("https://www.tradingview.com/symbols/NSE-ESCORTS/financials-overview/", "&amp;#128194;")</f>
      </c>
      <c r="J67" s="4" t="s">
        <v>11</v>
      </c>
      <c r="K67" s="5">
        <v>-2.265186881587836</v>
      </c>
    </row>
    <row x14ac:dyDescent="0.25" r="68" customHeight="1" ht="18.75">
      <c r="A68" s="4" t="s">
        <v>83</v>
      </c>
      <c r="B68" s="5">
        <v>390.5</v>
      </c>
      <c r="C68" s="5">
        <v>382.55</v>
      </c>
      <c r="D68" s="5">
        <v>389.1</v>
      </c>
      <c r="E68" s="6">
        <v>383</v>
      </c>
      <c r="F68" s="7">
        <f>HYPERLINK("https://www.tradingview.com/chart/tioZvgwv/?symbol=NSE%3AEXIDEIND&amp;interval=", "&amp;#128200;")</f>
      </c>
      <c r="G68" s="7">
        <f>HYPERLINK("https://www.tradingview.com/symbols/NSE-EXIDEIND/news/", "&amp;#128240;")</f>
      </c>
      <c r="H68" s="7">
        <f>HYPERLINK("https://www.tradingview.com/symbols/NSE-EXIDEIND/technicals/", "&amp;#128202;")</f>
      </c>
      <c r="I68" s="7">
        <f>HYPERLINK("https://www.tradingview.com/symbols/NSE-EXIDEIND/financials-overview/", "&amp;#128194;")</f>
      </c>
      <c r="J68" s="4" t="s">
        <v>11</v>
      </c>
      <c r="K68" s="5">
        <v>-1.56772038036495</v>
      </c>
    </row>
    <row x14ac:dyDescent="0.25" r="69" customHeight="1" ht="18.75">
      <c r="A69" s="4" t="s">
        <v>84</v>
      </c>
      <c r="B69" s="5">
        <v>188.09</v>
      </c>
      <c r="C69" s="5">
        <v>185.71</v>
      </c>
      <c r="D69" s="5">
        <v>189.1</v>
      </c>
      <c r="E69" s="5">
        <v>187.39</v>
      </c>
      <c r="F69" s="7">
        <f>HYPERLINK("https://www.tradingview.com/chart/tioZvgwv/?symbol=NSE%3AFEDERALBNK&amp;interval=", "&amp;#128200;")</f>
      </c>
      <c r="G69" s="7">
        <f>HYPERLINK("https://www.tradingview.com/symbols/NSE-FEDERALBNK/news/", "&amp;#128240;")</f>
      </c>
      <c r="H69" s="7">
        <f>HYPERLINK("https://www.tradingview.com/symbols/NSE-FEDERALBNK/technicals/", "&amp;#128202;")</f>
      </c>
      <c r="I69" s="7">
        <f>HYPERLINK("https://www.tradingview.com/symbols/NSE-FEDERALBNK/financials-overview/", "&amp;#128194;")</f>
      </c>
      <c r="J69" s="4" t="s">
        <v>11</v>
      </c>
      <c r="K69" s="5">
        <v>-0.9042834479111623</v>
      </c>
    </row>
    <row x14ac:dyDescent="0.25" r="70" customHeight="1" ht="18.75">
      <c r="A70" s="4" t="s">
        <v>85</v>
      </c>
      <c r="B70" s="5">
        <v>178.76</v>
      </c>
      <c r="C70" s="5">
        <v>175.18</v>
      </c>
      <c r="D70" s="5">
        <v>179.58</v>
      </c>
      <c r="E70" s="5">
        <v>176.13</v>
      </c>
      <c r="F70" s="7">
        <f>HYPERLINK("https://www.tradingview.com/chart/tioZvgwv/?symbol=NSE%3AGAIL&amp;interval=", "&amp;#128200;")</f>
      </c>
      <c r="G70" s="7">
        <f>HYPERLINK("https://www.tradingview.com/symbols/NSE-GAIL/news/", "&amp;#128240;")</f>
      </c>
      <c r="H70" s="7">
        <f>HYPERLINK("https://www.tradingview.com/symbols/NSE-GAIL/technicals/", "&amp;#128202;")</f>
      </c>
      <c r="I70" s="7">
        <f>HYPERLINK("https://www.tradingview.com/symbols/NSE-GAIL/financials-overview/", "&amp;#128194;")</f>
      </c>
      <c r="J70" s="4" t="s">
        <v>11</v>
      </c>
      <c r="K70" s="5">
        <v>-1.921149348479795</v>
      </c>
    </row>
    <row x14ac:dyDescent="0.25" r="71" customHeight="1" ht="18.75">
      <c r="A71" s="4" t="s">
        <v>86</v>
      </c>
      <c r="B71" s="5">
        <v>1546.15</v>
      </c>
      <c r="C71" s="5">
        <v>1516.55</v>
      </c>
      <c r="D71" s="5">
        <v>1541.7</v>
      </c>
      <c r="E71" s="6">
        <v>1530</v>
      </c>
      <c r="F71" s="7">
        <f>HYPERLINK("https://www.tradingview.com/chart/tioZvgwv/?symbol=NSE%3AGLENMARK&amp;interval=", "&amp;#128200;")</f>
      </c>
      <c r="G71" s="7">
        <f>HYPERLINK("https://www.tradingview.com/symbols/NSE-GLENMARK/news/", "&amp;#128240;")</f>
      </c>
      <c r="H71" s="7">
        <f>HYPERLINK("https://www.tradingview.com/symbols/NSE-GLENMARK/technicals/", "&amp;#128202;")</f>
      </c>
      <c r="I71" s="7">
        <f>HYPERLINK("https://www.tradingview.com/symbols/NSE-GLENMARK/financials-overview/", "&amp;#128194;")</f>
      </c>
      <c r="J71" s="4" t="s">
        <v>11</v>
      </c>
      <c r="K71" s="5">
        <v>-0.7589025102159983</v>
      </c>
    </row>
    <row x14ac:dyDescent="0.25" r="72" customHeight="1" ht="18.75">
      <c r="A72" s="4" t="s">
        <v>87</v>
      </c>
      <c r="B72" s="5">
        <v>545.95</v>
      </c>
      <c r="C72" s="5">
        <v>532.35</v>
      </c>
      <c r="D72" s="5">
        <v>546.4</v>
      </c>
      <c r="E72" s="5">
        <v>532.65</v>
      </c>
      <c r="F72" s="7">
        <f>HYPERLINK("https://www.tradingview.com/chart/tioZvgwv/?symbol=NSE%3AGNFC&amp;interval=", "&amp;#128200;")</f>
      </c>
      <c r="G72" s="7">
        <f>HYPERLINK("https://www.tradingview.com/symbols/NSE-GNFC/news/", "&amp;#128240;")</f>
      </c>
      <c r="H72" s="7">
        <f>HYPERLINK("https://www.tradingview.com/symbols/NSE-GNFC/technicals/", "&amp;#128202;")</f>
      </c>
      <c r="I72" s="7">
        <f>HYPERLINK("https://www.tradingview.com/symbols/NSE-GNFC/financials-overview/", "&amp;#128194;")</f>
      </c>
      <c r="J72" s="4" t="s">
        <v>11</v>
      </c>
      <c r="K72" s="5">
        <v>-2.516471449487555</v>
      </c>
    </row>
    <row x14ac:dyDescent="0.25" r="73" customHeight="1" ht="18.75">
      <c r="A73" s="4" t="s">
        <v>88</v>
      </c>
      <c r="B73" s="6">
        <v>1180</v>
      </c>
      <c r="C73" s="5">
        <v>1162.05</v>
      </c>
      <c r="D73" s="5">
        <v>1174.3</v>
      </c>
      <c r="E73" s="5">
        <v>1167.25</v>
      </c>
      <c r="F73" s="7">
        <f>HYPERLINK("https://www.tradingview.com/chart/tioZvgwv/?symbol=NSE%3AGODREJCP&amp;interval=", "&amp;#128200;")</f>
      </c>
      <c r="G73" s="7">
        <f>HYPERLINK("https://www.tradingview.com/symbols/NSE-GODREJCP/news/", "&amp;#128240;")</f>
      </c>
      <c r="H73" s="7">
        <f>HYPERLINK("https://www.tradingview.com/symbols/NSE-GODREJCP/technicals/", "&amp;#128202;")</f>
      </c>
      <c r="I73" s="7">
        <f>HYPERLINK("https://www.tradingview.com/symbols/NSE-GODREJCP/financials-overview/", "&amp;#128194;")</f>
      </c>
      <c r="J73" s="4" t="s">
        <v>11</v>
      </c>
      <c r="K73" s="5">
        <v>-0.6003576598824794</v>
      </c>
    </row>
    <row x14ac:dyDescent="0.25" r="74" customHeight="1" ht="18.75">
      <c r="A74" s="4" t="s">
        <v>89</v>
      </c>
      <c r="B74" s="5">
        <v>2373.5</v>
      </c>
      <c r="C74" s="5">
        <v>2305.45</v>
      </c>
      <c r="D74" s="5">
        <v>2386.5</v>
      </c>
      <c r="E74" s="5">
        <v>2307.7</v>
      </c>
      <c r="F74" s="7">
        <f>HYPERLINK("https://www.tradingview.com/chart/tioZvgwv/?symbol=NSE%3AGODREJPROP&amp;interval=", "&amp;#128200;")</f>
      </c>
      <c r="G74" s="7">
        <f>HYPERLINK("https://www.tradingview.com/symbols/NSE-GODREJPROP/news/", "&amp;#128240;")</f>
      </c>
      <c r="H74" s="7">
        <f>HYPERLINK("https://www.tradingview.com/symbols/NSE-GODREJPROP/technicals/", "&amp;#128202;")</f>
      </c>
      <c r="I74" s="7">
        <f>HYPERLINK("https://www.tradingview.com/symbols/NSE-GODREJPROP/financials-overview/", "&amp;#128194;")</f>
      </c>
      <c r="J74" s="4" t="s">
        <v>11</v>
      </c>
      <c r="K74" s="5">
        <v>-3.301906557720518</v>
      </c>
    </row>
    <row x14ac:dyDescent="0.25" r="75" customHeight="1" ht="18.75">
      <c r="A75" s="4" t="s">
        <v>90</v>
      </c>
      <c r="B75" s="5">
        <v>596.35</v>
      </c>
      <c r="C75" s="6">
        <v>581</v>
      </c>
      <c r="D75" s="5">
        <v>593.6</v>
      </c>
      <c r="E75" s="5">
        <v>581.7</v>
      </c>
      <c r="F75" s="7">
        <f>HYPERLINK("https://www.tradingview.com/chart/tioZvgwv/?symbol=NSE%3AGRANULES&amp;interval=", "&amp;#128200;")</f>
      </c>
      <c r="G75" s="7">
        <f>HYPERLINK("https://www.tradingview.com/symbols/NSE-GRANULES/news/", "&amp;#128240;")</f>
      </c>
      <c r="H75" s="7">
        <f>HYPERLINK("https://www.tradingview.com/symbols/NSE-GRANULES/technicals/", "&amp;#128202;")</f>
      </c>
      <c r="I75" s="7">
        <f>HYPERLINK("https://www.tradingview.com/symbols/NSE-GRANULES/financials-overview/", "&amp;#128194;")</f>
      </c>
      <c r="J75" s="4" t="s">
        <v>11</v>
      </c>
      <c r="K75" s="5">
        <v>-2.004716981132072</v>
      </c>
    </row>
    <row x14ac:dyDescent="0.25" r="76" customHeight="1" ht="18.75">
      <c r="A76" s="4" t="s">
        <v>91</v>
      </c>
      <c r="B76" s="5">
        <v>2348.2</v>
      </c>
      <c r="C76" s="6">
        <v>2305</v>
      </c>
      <c r="D76" s="5">
        <v>2364.1</v>
      </c>
      <c r="E76" s="5">
        <v>2306.55</v>
      </c>
      <c r="F76" s="7">
        <f>HYPERLINK("https://www.tradingview.com/chart/tioZvgwv/?symbol=NSE%3AGRASIM&amp;interval=", "&amp;#128200;")</f>
      </c>
      <c r="G76" s="7">
        <f>HYPERLINK("https://www.tradingview.com/symbols/NSE-GRASIM/news/", "&amp;#128240;")</f>
      </c>
      <c r="H76" s="7">
        <f>HYPERLINK("https://www.tradingview.com/symbols/NSE-GRASIM/technicals/", "&amp;#128202;")</f>
      </c>
      <c r="I76" s="7">
        <f>HYPERLINK("https://www.tradingview.com/symbols/NSE-GRASIM/financials-overview/", "&amp;#128194;")</f>
      </c>
      <c r="J76" s="4" t="s">
        <v>11</v>
      </c>
      <c r="K76" s="5">
        <v>-2.434330189078285</v>
      </c>
    </row>
    <row x14ac:dyDescent="0.25" r="77" customHeight="1" ht="18.75">
      <c r="A77" s="4" t="s">
        <v>92</v>
      </c>
      <c r="B77" s="5">
        <v>487.35</v>
      </c>
      <c r="C77" s="5">
        <v>477.95</v>
      </c>
      <c r="D77" s="5">
        <v>486.05</v>
      </c>
      <c r="E77" s="6">
        <v>478</v>
      </c>
      <c r="F77" s="7">
        <f>HYPERLINK("https://www.tradingview.com/chart/tioZvgwv/?symbol=NSE%3AGUJGASLTD&amp;interval=", "&amp;#128200;")</f>
      </c>
      <c r="G77" s="7">
        <f>HYPERLINK("https://www.tradingview.com/symbols/NSE-GUJGASLTD/news/", "&amp;#128240;")</f>
      </c>
      <c r="H77" s="7">
        <f>HYPERLINK("https://www.tradingview.com/symbols/NSE-GUJGASLTD/technicals/", "&amp;#128202;")</f>
      </c>
      <c r="I77" s="7">
        <f>HYPERLINK("https://www.tradingview.com/symbols/NSE-GUJGASLTD/financials-overview/", "&amp;#128194;")</f>
      </c>
      <c r="J77" s="4" t="s">
        <v>11</v>
      </c>
      <c r="K77" s="5">
        <v>-1.656208209031995</v>
      </c>
    </row>
    <row x14ac:dyDescent="0.25" r="78" customHeight="1" ht="18.75">
      <c r="A78" s="4" t="s">
        <v>93</v>
      </c>
      <c r="B78" s="5">
        <v>3985.25</v>
      </c>
      <c r="C78" s="6">
        <v>3900</v>
      </c>
      <c r="D78" s="5">
        <v>4000.5</v>
      </c>
      <c r="E78" s="6">
        <v>3911</v>
      </c>
      <c r="F78" s="7">
        <f>HYPERLINK("https://www.tradingview.com/chart/tioZvgwv/?symbol=NSE%3AHAL&amp;interval=", "&amp;#128200;")</f>
      </c>
      <c r="G78" s="7">
        <f>HYPERLINK("https://www.tradingview.com/symbols/NSE-HAL/news/", "&amp;#128240;")</f>
      </c>
      <c r="H78" s="7">
        <f>HYPERLINK("https://www.tradingview.com/symbols/NSE-HAL/technicals/", "&amp;#128202;")</f>
      </c>
      <c r="I78" s="7">
        <f>HYPERLINK("https://www.tradingview.com/symbols/NSE-HAL/financials-overview/", "&amp;#128194;")</f>
      </c>
      <c r="J78" s="4" t="s">
        <v>11</v>
      </c>
      <c r="K78" s="5">
        <v>-2.237220347456568</v>
      </c>
    </row>
    <row x14ac:dyDescent="0.25" r="79" customHeight="1" ht="18.75">
      <c r="A79" s="4" t="s">
        <v>94</v>
      </c>
      <c r="B79" s="5">
        <v>1588.95</v>
      </c>
      <c r="C79" s="5">
        <v>1551.4</v>
      </c>
      <c r="D79" s="5">
        <v>1600.25</v>
      </c>
      <c r="E79" s="5">
        <v>1555.3</v>
      </c>
      <c r="F79" s="7">
        <f>HYPERLINK("https://www.tradingview.com/chart/tioZvgwv/?symbol=NSE%3AHAVELLS&amp;interval=", "&amp;#128200;")</f>
      </c>
      <c r="G79" s="7">
        <f>HYPERLINK("https://www.tradingview.com/symbols/NSE-HAVELLS/news/", "&amp;#128240;")</f>
      </c>
      <c r="H79" s="7">
        <f>HYPERLINK("https://www.tradingview.com/symbols/NSE-HAVELLS/technicals/", "&amp;#128202;")</f>
      </c>
      <c r="I79" s="7">
        <f>HYPERLINK("https://www.tradingview.com/symbols/NSE-HAVELLS/financials-overview/", "&amp;#128194;")</f>
      </c>
      <c r="J79" s="4" t="s">
        <v>11</v>
      </c>
      <c r="K79" s="5">
        <v>-2.808936103733795</v>
      </c>
    </row>
    <row x14ac:dyDescent="0.25" r="80" customHeight="1" ht="18.75">
      <c r="A80" s="4" t="s">
        <v>95</v>
      </c>
      <c r="B80" s="5">
        <v>2000.4</v>
      </c>
      <c r="C80" s="6">
        <v>1980</v>
      </c>
      <c r="D80" s="5">
        <v>1995.1</v>
      </c>
      <c r="E80" s="5">
        <v>1990.25</v>
      </c>
      <c r="F80" s="7">
        <f>HYPERLINK("https://www.tradingview.com/chart/tioZvgwv/?symbol=NSE%3AHCLTECH&amp;interval=", "&amp;#128200;")</f>
      </c>
      <c r="G80" s="7">
        <f>HYPERLINK("https://www.tradingview.com/symbols/NSE-HCLTECH/news/", "&amp;#128240;")</f>
      </c>
      <c r="H80" s="7">
        <f>HYPERLINK("https://www.tradingview.com/symbols/NSE-HCLTECH/technicals/", "&amp;#128202;")</f>
      </c>
      <c r="I80" s="7">
        <f>HYPERLINK("https://www.tradingview.com/symbols/NSE-HCLTECH/financials-overview/", "&amp;#128194;")</f>
      </c>
      <c r="J80" s="4" t="s">
        <v>11</v>
      </c>
      <c r="K80" s="5">
        <v>-0.2430955841812395</v>
      </c>
    </row>
    <row x14ac:dyDescent="0.25" r="81" customHeight="1" ht="18.75">
      <c r="A81" s="4" t="s">
        <v>97</v>
      </c>
      <c r="B81" s="5">
        <v>1646.75</v>
      </c>
      <c r="C81" s="5">
        <v>1624.3</v>
      </c>
      <c r="D81" s="5">
        <v>1656.75</v>
      </c>
      <c r="E81" s="5">
        <v>1638.35</v>
      </c>
      <c r="F81" s="7">
        <f>HYPERLINK("https://www.tradingview.com/chart/tioZvgwv/?symbol=NSE%3AHDFCBANK&amp;interval=", "&amp;#128200;")</f>
      </c>
      <c r="G81" s="7">
        <f>HYPERLINK("https://www.tradingview.com/symbols/NSE-HDFCBANK/news/", "&amp;#128240;")</f>
      </c>
      <c r="H81" s="7">
        <f>HYPERLINK("https://www.tradingview.com/symbols/NSE-HDFCBANK/technicals/", "&amp;#128202;")</f>
      </c>
      <c r="I81" s="7">
        <f>HYPERLINK("https://www.tradingview.com/symbols/NSE-HDFCBANK/financials-overview/", "&amp;#128194;")</f>
      </c>
      <c r="J81" s="4" t="s">
        <v>11</v>
      </c>
      <c r="K81" s="5">
        <v>-1.110608118303914</v>
      </c>
    </row>
    <row x14ac:dyDescent="0.25" r="82" customHeight="1" ht="18.75">
      <c r="A82" s="4" t="s">
        <v>98</v>
      </c>
      <c r="B82" s="5">
        <v>608.45</v>
      </c>
      <c r="C82" s="5">
        <v>599.6</v>
      </c>
      <c r="D82" s="5">
        <v>608.65</v>
      </c>
      <c r="E82" s="6">
        <v>602</v>
      </c>
      <c r="F82" s="7">
        <f>HYPERLINK("https://www.tradingview.com/chart/tioZvgwv/?symbol=NSE%3AHDFCLIFE&amp;interval=", "&amp;#128200;")</f>
      </c>
      <c r="G82" s="7">
        <f>HYPERLINK("https://www.tradingview.com/symbols/NSE-HDFCLIFE/news/", "&amp;#128240;")</f>
      </c>
      <c r="H82" s="7">
        <f>HYPERLINK("https://www.tradingview.com/symbols/NSE-HDFCLIFE/technicals/", "&amp;#128202;")</f>
      </c>
      <c r="I82" s="7">
        <f>HYPERLINK("https://www.tradingview.com/symbols/NSE-HDFCLIFE/financials-overview/", "&amp;#128194;")</f>
      </c>
      <c r="J82" s="4" t="s">
        <v>11</v>
      </c>
      <c r="K82" s="5">
        <v>-1.09258194364577</v>
      </c>
    </row>
    <row x14ac:dyDescent="0.25" r="83" customHeight="1" ht="18.75">
      <c r="A83" s="4" t="s">
        <v>99</v>
      </c>
      <c r="B83" s="5">
        <v>4121.95</v>
      </c>
      <c r="C83" s="6">
        <v>4041</v>
      </c>
      <c r="D83" s="5">
        <v>4122.2</v>
      </c>
      <c r="E83" s="5">
        <v>4043.8</v>
      </c>
      <c r="F83" s="7">
        <f>HYPERLINK("https://www.tradingview.com/chart/tioZvgwv/?symbol=NSE%3AHEROMOTOCO&amp;interval=", "&amp;#128200;")</f>
      </c>
      <c r="G83" s="7">
        <f>HYPERLINK("https://www.tradingview.com/symbols/NSE-HEROMOTOCO/news/", "&amp;#128240;")</f>
      </c>
      <c r="H83" s="7">
        <f>HYPERLINK("https://www.tradingview.com/symbols/NSE-HEROMOTOCO/technicals/", "&amp;#128202;")</f>
      </c>
      <c r="I83" s="7">
        <f>HYPERLINK("https://www.tradingview.com/symbols/NSE-HEROMOTOCO/financials-overview/", "&amp;#128194;")</f>
      </c>
      <c r="J83" s="4" t="s">
        <v>11</v>
      </c>
      <c r="K83" s="5">
        <v>-1.901897045267082</v>
      </c>
    </row>
    <row x14ac:dyDescent="0.25" r="84" customHeight="1" ht="18.75">
      <c r="A84" s="4" t="s">
        <v>100</v>
      </c>
      <c r="B84" s="5">
        <v>101.09</v>
      </c>
      <c r="C84" s="5">
        <v>97.4</v>
      </c>
      <c r="D84" s="5">
        <v>100.47</v>
      </c>
      <c r="E84" s="5">
        <v>97.63</v>
      </c>
      <c r="F84" s="7">
        <f>HYPERLINK("https://www.tradingview.com/chart/tioZvgwv/?symbol=NSE%3AHFCL&amp;interval=", "&amp;#128200;")</f>
      </c>
      <c r="G84" s="7">
        <f>HYPERLINK("https://www.tradingview.com/symbols/NSE-HFCL/news/", "&amp;#128240;")</f>
      </c>
      <c r="H84" s="7">
        <f>HYPERLINK("https://www.tradingview.com/symbols/NSE-HFCL/technicals/", "&amp;#128202;")</f>
      </c>
      <c r="I84" s="7">
        <f>HYPERLINK("https://www.tradingview.com/symbols/NSE-HFCL/financials-overview/", "&amp;#128194;")</f>
      </c>
      <c r="J84" s="4" t="s">
        <v>11</v>
      </c>
      <c r="K84" s="5">
        <v>-2.82671444212203</v>
      </c>
    </row>
    <row x14ac:dyDescent="0.25" r="85" customHeight="1" ht="18.75">
      <c r="A85" s="4" t="s">
        <v>101</v>
      </c>
      <c r="B85" s="5">
        <v>573.95</v>
      </c>
      <c r="C85" s="5">
        <v>566.05</v>
      </c>
      <c r="D85" s="5">
        <v>574.45</v>
      </c>
      <c r="E85" s="5">
        <v>570.3</v>
      </c>
      <c r="F85" s="7">
        <f>HYPERLINK("https://www.tradingview.com/chart/tioZvgwv/?symbol=NSE%3AHINDALCO&amp;interval=", "&amp;#128200;")</f>
      </c>
      <c r="G85" s="7">
        <f>HYPERLINK("https://www.tradingview.com/symbols/NSE-HINDALCO/news/", "&amp;#128240;")</f>
      </c>
      <c r="H85" s="7">
        <f>HYPERLINK("https://www.tradingview.com/symbols/NSE-HINDALCO/technicals/", "&amp;#128202;")</f>
      </c>
      <c r="I85" s="7">
        <f>HYPERLINK("https://www.tradingview.com/symbols/NSE-HINDALCO/financials-overview/", "&amp;#128194;")</f>
      </c>
      <c r="J85" s="4" t="s">
        <v>11</v>
      </c>
      <c r="K85" s="5">
        <v>-0.7224301505788302</v>
      </c>
    </row>
    <row x14ac:dyDescent="0.25" r="86" customHeight="1" ht="18.75">
      <c r="A86" s="4" t="s">
        <v>102</v>
      </c>
      <c r="B86" s="5">
        <v>235.85</v>
      </c>
      <c r="C86" s="5">
        <v>228.75</v>
      </c>
      <c r="D86" s="5">
        <v>233.31</v>
      </c>
      <c r="E86" s="5">
        <v>233.03</v>
      </c>
      <c r="F86" s="7">
        <f>HYPERLINK("https://www.tradingview.com/chart/tioZvgwv/?symbol=NSE%3AHINDCOPPER&amp;interval=", "&amp;#128200;")</f>
      </c>
      <c r="G86" s="7">
        <f>HYPERLINK("https://www.tradingview.com/symbols/NSE-HINDCOPPER/news/", "&amp;#128240;")</f>
      </c>
      <c r="H86" s="7">
        <f>HYPERLINK("https://www.tradingview.com/symbols/NSE-HINDCOPPER/technicals/", "&amp;#128202;")</f>
      </c>
      <c r="I86" s="7">
        <f>HYPERLINK("https://www.tradingview.com/symbols/NSE-HINDCOPPER/financials-overview/", "&amp;#128194;")</f>
      </c>
      <c r="J86" s="4" t="s">
        <v>11</v>
      </c>
      <c r="K86" s="5">
        <v>-0.1200120012001205</v>
      </c>
    </row>
    <row x14ac:dyDescent="0.25" r="87" customHeight="1" ht="18.75">
      <c r="A87" s="4" t="s">
        <v>103</v>
      </c>
      <c r="B87" s="5">
        <v>376.55</v>
      </c>
      <c r="C87" s="5">
        <v>360.15</v>
      </c>
      <c r="D87" s="5">
        <v>388.45</v>
      </c>
      <c r="E87" s="5">
        <v>364.5</v>
      </c>
      <c r="F87" s="7">
        <f>HYPERLINK("https://www.tradingview.com/chart/tioZvgwv/?symbol=NSE%3AHINDPETRO&amp;interval=", "&amp;#128200;")</f>
      </c>
      <c r="G87" s="7">
        <f>HYPERLINK("https://www.tradingview.com/symbols/NSE-HINDPETRO/news/", "&amp;#128240;")</f>
      </c>
      <c r="H87" s="7">
        <f>HYPERLINK("https://www.tradingview.com/symbols/NSE-HINDPETRO/technicals/", "&amp;#128202;")</f>
      </c>
      <c r="I87" s="7">
        <f>HYPERLINK("https://www.tradingview.com/symbols/NSE-HINDPETRO/financials-overview/", "&amp;#128194;")</f>
      </c>
      <c r="J87" s="4" t="s">
        <v>11</v>
      </c>
      <c r="K87" s="5">
        <v>-6.165529669198092</v>
      </c>
    </row>
    <row x14ac:dyDescent="0.25" r="88" customHeight="1" ht="18.75">
      <c r="A88" s="4" t="s">
        <v>104</v>
      </c>
      <c r="B88" s="5">
        <v>2454.35</v>
      </c>
      <c r="C88" s="5">
        <v>2409.05</v>
      </c>
      <c r="D88" s="5">
        <v>2442.05</v>
      </c>
      <c r="E88" s="5">
        <v>2436.4</v>
      </c>
      <c r="F88" s="7">
        <f>HYPERLINK("https://www.tradingview.com/chart/tioZvgwv/?symbol=NSE%3AHINDUNILVR&amp;interval=", "&amp;#128200;")</f>
      </c>
      <c r="G88" s="7">
        <f>HYPERLINK("https://www.tradingview.com/symbols/NSE-HINDUNILVR/news/", "&amp;#128240;")</f>
      </c>
      <c r="H88" s="7">
        <f>HYPERLINK("https://www.tradingview.com/symbols/NSE-HINDUNILVR/technicals/", "&amp;#128202;")</f>
      </c>
      <c r="I88" s="7">
        <f>HYPERLINK("https://www.tradingview.com/symbols/NSE-HINDUNILVR/financials-overview/", "&amp;#128194;")</f>
      </c>
      <c r="J88" s="4" t="s">
        <v>11</v>
      </c>
      <c r="K88" s="5">
        <v>-0.2313629942056915</v>
      </c>
    </row>
    <row x14ac:dyDescent="0.25" r="89" customHeight="1" ht="18.75">
      <c r="A89" s="4" t="s">
        <v>105</v>
      </c>
      <c r="B89" s="5">
        <v>214.8</v>
      </c>
      <c r="C89" s="5">
        <v>208.5</v>
      </c>
      <c r="D89" s="5">
        <v>214.19</v>
      </c>
      <c r="E89" s="5">
        <v>209.61</v>
      </c>
      <c r="F89" s="7">
        <f>HYPERLINK("https://www.tradingview.com/chart/tioZvgwv/?symbol=NSE%3AHUDCO&amp;interval=", "&amp;#128200;")</f>
      </c>
      <c r="G89" s="7">
        <f>HYPERLINK("https://www.tradingview.com/symbols/NSE-HUDCO/news/", "&amp;#128240;")</f>
      </c>
      <c r="H89" s="7">
        <f>HYPERLINK("https://www.tradingview.com/symbols/NSE-HUDCO/technicals/", "&amp;#128202;")</f>
      </c>
      <c r="I89" s="7">
        <f>HYPERLINK("https://www.tradingview.com/symbols/NSE-HUDCO/financials-overview/", "&amp;#128194;")</f>
      </c>
      <c r="J89" s="4" t="s">
        <v>11</v>
      </c>
      <c r="K89" s="5">
        <v>-2.138288435501183</v>
      </c>
    </row>
    <row x14ac:dyDescent="0.25" r="90" customHeight="1" ht="18.75">
      <c r="A90" s="4" t="s">
        <v>106</v>
      </c>
      <c r="B90" s="5">
        <v>1243.95</v>
      </c>
      <c r="C90" s="5">
        <v>1232.6</v>
      </c>
      <c r="D90" s="5">
        <v>1249.85</v>
      </c>
      <c r="E90" s="5">
        <v>1234.25</v>
      </c>
      <c r="F90" s="7">
        <f>HYPERLINK("https://www.tradingview.com/chart/tioZvgwv/?symbol=NSE%3AICICIBANK&amp;interval=", "&amp;#128200;")</f>
      </c>
      <c r="G90" s="7">
        <f>HYPERLINK("https://www.tradingview.com/symbols/NSE-ICICIBANK/news/", "&amp;#128240;")</f>
      </c>
      <c r="H90" s="7">
        <f>HYPERLINK("https://www.tradingview.com/symbols/NSE-ICICIBANK/technicals/", "&amp;#128202;")</f>
      </c>
      <c r="I90" s="7">
        <f>HYPERLINK("https://www.tradingview.com/symbols/NSE-ICICIBANK/financials-overview/", "&amp;#128194;")</f>
      </c>
      <c r="J90" s="4" t="s">
        <v>11</v>
      </c>
      <c r="K90" s="5">
        <v>-1.24814977797335</v>
      </c>
    </row>
    <row x14ac:dyDescent="0.25" r="91" customHeight="1" ht="18.75">
      <c r="A91" s="4" t="s">
        <v>107</v>
      </c>
      <c r="B91" s="5">
        <v>1887.95</v>
      </c>
      <c r="C91" s="5">
        <v>1848.1</v>
      </c>
      <c r="D91" s="5">
        <v>1877.6</v>
      </c>
      <c r="E91" s="5">
        <v>1848.75</v>
      </c>
      <c r="F91" s="7">
        <f>HYPERLINK("https://www.tradingview.com/chart/tioZvgwv/?symbol=NSE%3AICICIGI&amp;interval=", "&amp;#128200;")</f>
      </c>
      <c r="G91" s="7">
        <f>HYPERLINK("https://www.tradingview.com/symbols/NSE-ICICIGI/news/", "&amp;#128240;")</f>
      </c>
      <c r="H91" s="7">
        <f>HYPERLINK("https://www.tradingview.com/symbols/NSE-ICICIGI/technicals/", "&amp;#128202;")</f>
      </c>
      <c r="I91" s="7">
        <f>HYPERLINK("https://www.tradingview.com/symbols/NSE-ICICIGI/financials-overview/", "&amp;#128194;")</f>
      </c>
      <c r="J91" s="4" t="s">
        <v>11</v>
      </c>
      <c r="K91" s="5">
        <v>-1.536536003408602</v>
      </c>
    </row>
    <row x14ac:dyDescent="0.25" r="92" customHeight="1" ht="18.75">
      <c r="A92" s="4" t="s">
        <v>108</v>
      </c>
      <c r="B92" s="6">
        <v>653</v>
      </c>
      <c r="C92" s="5">
        <v>635.55</v>
      </c>
      <c r="D92" s="5">
        <v>644.55</v>
      </c>
      <c r="E92" s="5">
        <v>643.95</v>
      </c>
      <c r="F92" s="7">
        <f>HYPERLINK("https://www.tradingview.com/chart/tioZvgwv/?symbol=NSE%3AICICIPRULI&amp;interval=", "&amp;#128200;")</f>
      </c>
      <c r="G92" s="7">
        <f>HYPERLINK("https://www.tradingview.com/symbols/NSE-ICICIPRULI/news/", "&amp;#128240;")</f>
      </c>
      <c r="H92" s="7">
        <f>HYPERLINK("https://www.tradingview.com/symbols/NSE-ICICIPRULI/technicals/", "&amp;#128202;")</f>
      </c>
      <c r="I92" s="7">
        <f>HYPERLINK("https://www.tradingview.com/symbols/NSE-ICICIPRULI/financials-overview/", "&amp;#128194;")</f>
      </c>
      <c r="J92" s="4" t="s">
        <v>11</v>
      </c>
      <c r="K92" s="5">
        <v>-0.0930882010705002</v>
      </c>
    </row>
    <row x14ac:dyDescent="0.25" r="93" customHeight="1" ht="18.75">
      <c r="A93" s="4" t="s">
        <v>110</v>
      </c>
      <c r="B93" s="5">
        <v>60.66</v>
      </c>
      <c r="C93" s="5">
        <v>59.58</v>
      </c>
      <c r="D93" s="5">
        <v>60.39</v>
      </c>
      <c r="E93" s="5">
        <v>59.9</v>
      </c>
      <c r="F93" s="7">
        <f>HYPERLINK("https://www.tradingview.com/chart/tioZvgwv/?symbol=NSE%3AIDFCFIRSTB&amp;interval=", "&amp;#128200;")</f>
      </c>
      <c r="G93" s="7">
        <f>HYPERLINK("https://www.tradingview.com/symbols/NSE-IDFCFIRSTB/news/", "&amp;#128240;")</f>
      </c>
      <c r="H93" s="7">
        <f>HYPERLINK("https://www.tradingview.com/symbols/NSE-IDFCFIRSTB/technicals/", "&amp;#128202;")</f>
      </c>
      <c r="I93" s="7">
        <f>HYPERLINK("https://www.tradingview.com/symbols/NSE-IDFCFIRSTB/financials-overview/", "&amp;#128194;")</f>
      </c>
      <c r="J93" s="4" t="s">
        <v>11</v>
      </c>
      <c r="K93" s="5">
        <v>-0.8113926146713064</v>
      </c>
    </row>
    <row x14ac:dyDescent="0.25" r="94" customHeight="1" ht="18.75">
      <c r="A94" s="4" t="s">
        <v>111</v>
      </c>
      <c r="B94" s="5">
        <v>167.6</v>
      </c>
      <c r="C94" s="5">
        <v>164.09</v>
      </c>
      <c r="D94" s="5">
        <v>168.19</v>
      </c>
      <c r="E94" s="5">
        <v>164.23</v>
      </c>
      <c r="F94" s="7">
        <f>HYPERLINK("https://www.tradingview.com/chart/tioZvgwv/?symbol=NSE%3AIEX&amp;interval=", "&amp;#128200;")</f>
      </c>
      <c r="G94" s="7">
        <f>HYPERLINK("https://www.tradingview.com/symbols/NSE-IEX/news/", "&amp;#128240;")</f>
      </c>
      <c r="H94" s="7">
        <f>HYPERLINK("https://www.tradingview.com/symbols/NSE-IEX/technicals/", "&amp;#128202;")</f>
      </c>
      <c r="I94" s="7">
        <f>HYPERLINK("https://www.tradingview.com/symbols/NSE-IEX/financials-overview/", "&amp;#128194;")</f>
      </c>
      <c r="J94" s="4" t="s">
        <v>11</v>
      </c>
      <c r="K94" s="5">
        <v>-2.354480052321784</v>
      </c>
    </row>
    <row x14ac:dyDescent="0.25" r="95" customHeight="1" ht="18.75">
      <c r="A95" s="4" t="s">
        <v>112</v>
      </c>
      <c r="B95" s="5">
        <v>412.95</v>
      </c>
      <c r="C95" s="6">
        <v>403</v>
      </c>
      <c r="D95" s="5">
        <v>412.8</v>
      </c>
      <c r="E95" s="5">
        <v>403.65</v>
      </c>
      <c r="F95" s="7">
        <f>HYPERLINK("https://www.tradingview.com/chart/tioZvgwv/?symbol=NSE%3AIGL&amp;interval=", "&amp;#128200;")</f>
      </c>
      <c r="G95" s="7">
        <f>HYPERLINK("https://www.tradingview.com/symbols/NSE-IGL/news/", "&amp;#128240;")</f>
      </c>
      <c r="H95" s="7">
        <f>HYPERLINK("https://www.tradingview.com/symbols/NSE-IGL/technicals/", "&amp;#128202;")</f>
      </c>
      <c r="I95" s="7">
        <f>HYPERLINK("https://www.tradingview.com/symbols/NSE-IGL/financials-overview/", "&amp;#128194;")</f>
      </c>
      <c r="J95" s="4" t="s">
        <v>11</v>
      </c>
      <c r="K95" s="5">
        <v>-2.216569767441869</v>
      </c>
    </row>
    <row x14ac:dyDescent="0.25" r="96" customHeight="1" ht="18.75">
      <c r="A96" s="4" t="s">
        <v>113</v>
      </c>
      <c r="B96" s="5">
        <v>801.85</v>
      </c>
      <c r="C96" s="5">
        <v>774.25</v>
      </c>
      <c r="D96" s="5">
        <v>805.9</v>
      </c>
      <c r="E96" s="5">
        <v>774.95</v>
      </c>
      <c r="F96" s="7">
        <f>HYPERLINK("https://www.tradingview.com/chart/tioZvgwv/?symbol=NSE%3AINDHOTEL&amp;interval=", "&amp;#128200;")</f>
      </c>
      <c r="G96" s="7">
        <f>HYPERLINK("https://www.tradingview.com/symbols/NSE-INDHOTEL/news/", "&amp;#128240;")</f>
      </c>
      <c r="H96" s="7">
        <f>HYPERLINK("https://www.tradingview.com/symbols/NSE-INDHOTEL/technicals/", "&amp;#128202;")</f>
      </c>
      <c r="I96" s="7">
        <f>HYPERLINK("https://www.tradingview.com/symbols/NSE-INDHOTEL/financials-overview/", "&amp;#128194;")</f>
      </c>
      <c r="J96" s="4" t="s">
        <v>11</v>
      </c>
      <c r="K96" s="5">
        <v>-3.840426851966737</v>
      </c>
    </row>
    <row x14ac:dyDescent="0.25" r="97" customHeight="1" ht="18.75">
      <c r="A97" s="4" t="s">
        <v>114</v>
      </c>
      <c r="B97" s="5">
        <v>2314.95</v>
      </c>
      <c r="C97" s="5">
        <v>2265.4</v>
      </c>
      <c r="D97" s="5">
        <v>2325.15</v>
      </c>
      <c r="E97" s="5">
        <v>2269.45</v>
      </c>
      <c r="F97" s="7">
        <f>HYPERLINK("https://www.tradingview.com/chart/tioZvgwv/?symbol=NSE%3AINDIAMART&amp;interval=", "&amp;#128200;")</f>
      </c>
      <c r="G97" s="7">
        <f>HYPERLINK("https://www.tradingview.com/symbols/NSE-INDIAMART/news/", "&amp;#128240;")</f>
      </c>
      <c r="H97" s="7">
        <f>HYPERLINK("https://www.tradingview.com/symbols/NSE-INDIAMART/technicals/", "&amp;#128202;")</f>
      </c>
      <c r="I97" s="7">
        <f>HYPERLINK("https://www.tradingview.com/symbols/NSE-INDIAMART/financials-overview/", "&amp;#128194;")</f>
      </c>
      <c r="J97" s="4" t="s">
        <v>11</v>
      </c>
      <c r="K97" s="5">
        <v>-2.395544373481293</v>
      </c>
    </row>
    <row x14ac:dyDescent="0.25" r="98" customHeight="1" ht="18.75">
      <c r="A98" s="4" t="s">
        <v>115</v>
      </c>
      <c r="B98" s="6">
        <v>492</v>
      </c>
      <c r="C98" s="5">
        <v>480.55</v>
      </c>
      <c r="D98" s="5">
        <v>492.4</v>
      </c>
      <c r="E98" s="5">
        <v>482.3</v>
      </c>
      <c r="F98" s="7">
        <f>HYPERLINK("https://www.tradingview.com/chart/tioZvgwv/?symbol=NSE%3AINDIANB&amp;interval=", "&amp;#128200;")</f>
      </c>
      <c r="G98" s="7">
        <f>HYPERLINK("https://www.tradingview.com/symbols/NSE-INDIANB/news/", "&amp;#128240;")</f>
      </c>
      <c r="H98" s="7">
        <f>HYPERLINK("https://www.tradingview.com/symbols/NSE-INDIANB/technicals/", "&amp;#128202;")</f>
      </c>
      <c r="I98" s="7">
        <f>HYPERLINK("https://www.tradingview.com/symbols/NSE-INDIANB/financials-overview/", "&amp;#128194;")</f>
      </c>
      <c r="J98" s="4" t="s">
        <v>11</v>
      </c>
      <c r="K98" s="5">
        <v>-2.051177904142966</v>
      </c>
    </row>
    <row x14ac:dyDescent="0.25" r="99" customHeight="1" ht="18.75">
      <c r="A99" s="4" t="s">
        <v>116</v>
      </c>
      <c r="B99" s="5">
        <v>4129.95</v>
      </c>
      <c r="C99" s="6">
        <v>3952</v>
      </c>
      <c r="D99" s="5">
        <v>4228.8</v>
      </c>
      <c r="E99" s="5">
        <v>4041.45</v>
      </c>
      <c r="F99" s="7">
        <f>HYPERLINK("https://www.tradingview.com/chart/tioZvgwv/?symbol=NSE%3AINDIGO&amp;interval=", "&amp;#128200;")</f>
      </c>
      <c r="G99" s="7">
        <f>HYPERLINK("https://www.tradingview.com/symbols/NSE-INDIGO/news/", "&amp;#128240;")</f>
      </c>
      <c r="H99" s="7">
        <f>HYPERLINK("https://www.tradingview.com/symbols/NSE-INDIGO/technicals/", "&amp;#128202;")</f>
      </c>
      <c r="I99" s="7">
        <f>HYPERLINK("https://www.tradingview.com/symbols/NSE-INDIGO/financials-overview/", "&amp;#128194;")</f>
      </c>
      <c r="J99" s="4" t="s">
        <v>11</v>
      </c>
      <c r="K99" s="5">
        <v>-4.430334846765048</v>
      </c>
    </row>
    <row x14ac:dyDescent="0.25" r="100" customHeight="1" ht="18.75">
      <c r="A100" s="4" t="s">
        <v>120</v>
      </c>
      <c r="B100" s="5">
        <v>128.39</v>
      </c>
      <c r="C100" s="5">
        <v>123.6</v>
      </c>
      <c r="D100" s="5">
        <v>130.28</v>
      </c>
      <c r="E100" s="5">
        <v>123.69</v>
      </c>
      <c r="F100" s="7">
        <f>HYPERLINK("https://www.tradingview.com/chart/tioZvgwv/?symbol=NSE%3AIOC&amp;interval=", "&amp;#128200;")</f>
      </c>
      <c r="G100" s="7">
        <f>HYPERLINK("https://www.tradingview.com/symbols/NSE-IOC/news/", "&amp;#128240;")</f>
      </c>
      <c r="H100" s="7">
        <f>HYPERLINK("https://www.tradingview.com/symbols/NSE-IOC/technicals/", "&amp;#128202;")</f>
      </c>
      <c r="I100" s="7">
        <f>HYPERLINK("https://www.tradingview.com/symbols/NSE-IOC/financials-overview/", "&amp;#128194;")</f>
      </c>
      <c r="J100" s="4" t="s">
        <v>11</v>
      </c>
      <c r="K100" s="5">
        <v>-5.058335891925087</v>
      </c>
    </row>
    <row x14ac:dyDescent="0.25" r="101" customHeight="1" ht="18.75">
      <c r="A101" s="4" t="s">
        <v>121</v>
      </c>
      <c r="B101" s="5">
        <v>1634.75</v>
      </c>
      <c r="C101" s="5">
        <v>1575.05</v>
      </c>
      <c r="D101" s="5">
        <v>1632.35</v>
      </c>
      <c r="E101" s="5">
        <v>1606.9</v>
      </c>
      <c r="F101" s="7">
        <f>HYPERLINK("https://www.tradingview.com/chart/tioZvgwv/?symbol=NSE%3AIPCALAB&amp;interval=", "&amp;#128200;")</f>
      </c>
      <c r="G101" s="7">
        <f>HYPERLINK("https://www.tradingview.com/symbols/NSE-IPCALAB/news/", "&amp;#128240;")</f>
      </c>
      <c r="H101" s="7">
        <f>HYPERLINK("https://www.tradingview.com/symbols/NSE-IPCALAB/technicals/", "&amp;#128202;")</f>
      </c>
      <c r="I101" s="7">
        <f>HYPERLINK("https://www.tradingview.com/symbols/NSE-IPCALAB/financials-overview/", "&amp;#128194;")</f>
      </c>
      <c r="J101" s="4" t="s">
        <v>11</v>
      </c>
      <c r="K101" s="5">
        <v>-1.559101908291715</v>
      </c>
    </row>
    <row x14ac:dyDescent="0.25" r="102" customHeight="1" ht="18.75">
      <c r="A102" s="4" t="s">
        <v>122</v>
      </c>
      <c r="B102" s="5">
        <v>52.73</v>
      </c>
      <c r="C102" s="6">
        <v>51</v>
      </c>
      <c r="D102" s="5">
        <v>52.91</v>
      </c>
      <c r="E102" s="5">
        <v>51.17</v>
      </c>
      <c r="F102" s="7">
        <f>HYPERLINK("https://www.tradingview.com/chart/tioZvgwv/?symbol=NSE%3AIRB&amp;interval=", "&amp;#128200;")</f>
      </c>
      <c r="G102" s="7">
        <f>HYPERLINK("https://www.tradingview.com/symbols/NSE-IRB/news/", "&amp;#128240;")</f>
      </c>
      <c r="H102" s="7">
        <f>HYPERLINK("https://www.tradingview.com/symbols/NSE-IRB/technicals/", "&amp;#128202;")</f>
      </c>
      <c r="I102" s="7">
        <f>HYPERLINK("https://www.tradingview.com/symbols/NSE-IRB/financials-overview/", "&amp;#128194;")</f>
      </c>
      <c r="J102" s="4" t="s">
        <v>11</v>
      </c>
      <c r="K102" s="5">
        <v>-3.288603288603279</v>
      </c>
    </row>
    <row x14ac:dyDescent="0.25" r="103" customHeight="1" ht="18.75">
      <c r="A103" s="4" t="s">
        <v>123</v>
      </c>
      <c r="B103" s="5">
        <v>779.15</v>
      </c>
      <c r="C103" s="5">
        <v>759.5</v>
      </c>
      <c r="D103" s="5">
        <v>779.15</v>
      </c>
      <c r="E103" s="5">
        <v>760.75</v>
      </c>
      <c r="F103" s="7">
        <f>HYPERLINK("https://www.tradingview.com/chart/tioZvgwv/?symbol=NSE%3AIRCTC&amp;interval=", "&amp;#128200;")</f>
      </c>
      <c r="G103" s="7">
        <f>HYPERLINK("https://www.tradingview.com/symbols/NSE-IRCTC/news/", "&amp;#128240;")</f>
      </c>
      <c r="H103" s="7">
        <f>HYPERLINK("https://www.tradingview.com/symbols/NSE-IRCTC/technicals/", "&amp;#128202;")</f>
      </c>
      <c r="I103" s="7">
        <f>HYPERLINK("https://www.tradingview.com/symbols/NSE-IRCTC/financials-overview/", "&amp;#128194;")</f>
      </c>
      <c r="J103" s="4" t="s">
        <v>11</v>
      </c>
      <c r="K103" s="5">
        <v>-2.361547840595518</v>
      </c>
    </row>
    <row x14ac:dyDescent="0.25" r="104" customHeight="1" ht="18.75">
      <c r="A104" s="4" t="s">
        <v>124</v>
      </c>
      <c r="B104" s="5">
        <v>135.77</v>
      </c>
      <c r="C104" s="5">
        <v>132.2</v>
      </c>
      <c r="D104" s="5">
        <v>135.71</v>
      </c>
      <c r="E104" s="5">
        <v>132.26</v>
      </c>
      <c r="F104" s="7">
        <f>HYPERLINK("https://www.tradingview.com/chart/tioZvgwv/?symbol=NSE%3AIRFC&amp;interval=", "&amp;#128200;")</f>
      </c>
      <c r="G104" s="7">
        <f>HYPERLINK("https://www.tradingview.com/symbols/NSE-IRFC/news/", "&amp;#128240;")</f>
      </c>
      <c r="H104" s="7">
        <f>HYPERLINK("https://www.tradingview.com/symbols/NSE-IRFC/technicals/", "&amp;#128202;")</f>
      </c>
      <c r="I104" s="7">
        <f>HYPERLINK("https://www.tradingview.com/symbols/NSE-IRFC/financials-overview/", "&amp;#128194;")</f>
      </c>
      <c r="J104" s="4" t="s">
        <v>11</v>
      </c>
      <c r="K104" s="5">
        <v>-2.542185542701361</v>
      </c>
    </row>
    <row x14ac:dyDescent="0.25" r="105" customHeight="1" ht="18.75">
      <c r="A105" s="4" t="s">
        <v>125</v>
      </c>
      <c r="B105" s="5">
        <v>442.6</v>
      </c>
      <c r="C105" s="6">
        <v>435</v>
      </c>
      <c r="D105" s="5">
        <v>444.9</v>
      </c>
      <c r="E105" s="5">
        <v>441.3</v>
      </c>
      <c r="F105" s="7">
        <f>HYPERLINK("https://www.tradingview.com/chart/tioZvgwv/?symbol=NSE%3AITC&amp;interval=", "&amp;#128200;")</f>
      </c>
      <c r="G105" s="7">
        <f>HYPERLINK("https://www.tradingview.com/symbols/NSE-ITC/news/", "&amp;#128240;")</f>
      </c>
      <c r="H105" s="7">
        <f>HYPERLINK("https://www.tradingview.com/symbols/NSE-ITC/technicals/", "&amp;#128202;")</f>
      </c>
      <c r="I105" s="7">
        <f>HYPERLINK("https://www.tradingview.com/symbols/NSE-ITC/financials-overview/", "&amp;#128194;")</f>
      </c>
      <c r="J105" s="4" t="s">
        <v>11</v>
      </c>
      <c r="K105" s="5">
        <v>-0.8091706001348542</v>
      </c>
    </row>
    <row x14ac:dyDescent="0.25" r="106" customHeight="1" ht="18.75">
      <c r="A106" s="4" t="s">
        <v>126</v>
      </c>
      <c r="B106" s="5">
        <v>918.55</v>
      </c>
      <c r="C106" s="5">
        <v>901.2</v>
      </c>
      <c r="D106" s="5">
        <v>917.7</v>
      </c>
      <c r="E106" s="5">
        <v>903.9</v>
      </c>
      <c r="F106" s="7">
        <f>HYPERLINK("https://www.tradingview.com/chart/tioZvgwv/?symbol=NSE%3AJINDALSTEL&amp;interval=", "&amp;#128200;")</f>
      </c>
      <c r="G106" s="7">
        <f>HYPERLINK("https://www.tradingview.com/symbols/NSE-JINDALSTEL/news/", "&amp;#128240;")</f>
      </c>
      <c r="H106" s="7">
        <f>HYPERLINK("https://www.tradingview.com/symbols/NSE-JINDALSTEL/technicals/", "&amp;#128202;")</f>
      </c>
      <c r="I106" s="7">
        <f>HYPERLINK("https://www.tradingview.com/symbols/NSE-JINDALSTEL/financials-overview/", "&amp;#128194;")</f>
      </c>
      <c r="J106" s="4" t="s">
        <v>11</v>
      </c>
      <c r="K106" s="5">
        <v>-1.503759398496248</v>
      </c>
    </row>
    <row x14ac:dyDescent="0.25" r="107" customHeight="1" ht="18.75">
      <c r="A107" s="4" t="s">
        <v>127</v>
      </c>
      <c r="B107" s="6">
        <v>278</v>
      </c>
      <c r="C107" s="5">
        <v>269.15</v>
      </c>
      <c r="D107" s="5">
        <v>280.55</v>
      </c>
      <c r="E107" s="5">
        <v>269.4</v>
      </c>
      <c r="F107" s="7">
        <f>HYPERLINK("https://www.tradingview.com/chart/tioZvgwv/?symbol=NSE%3AJIOFIN&amp;interval=", "&amp;#128200;")</f>
      </c>
      <c r="G107" s="7">
        <f>HYPERLINK("https://www.tradingview.com/symbols/NSE-JIOFIN/news/", "&amp;#128240;")</f>
      </c>
      <c r="H107" s="7">
        <f>HYPERLINK("https://www.tradingview.com/symbols/NSE-JIOFIN/technicals/", "&amp;#128202;")</f>
      </c>
      <c r="I107" s="7">
        <f>HYPERLINK("https://www.tradingview.com/symbols/NSE-JIOFIN/financials-overview/", "&amp;#128194;")</f>
      </c>
      <c r="J107" s="4" t="s">
        <v>11</v>
      </c>
      <c r="K107" s="5">
        <v>-3.974336125467843</v>
      </c>
    </row>
    <row x14ac:dyDescent="0.25" r="108" customHeight="1" ht="18.75">
      <c r="A108" s="4" t="s">
        <v>128</v>
      </c>
      <c r="B108" s="6">
        <v>4570</v>
      </c>
      <c r="C108" s="5">
        <v>4441.3</v>
      </c>
      <c r="D108" s="5">
        <v>4543.55</v>
      </c>
      <c r="E108" s="5">
        <v>4445.9</v>
      </c>
      <c r="F108" s="7">
        <f>HYPERLINK("https://www.tradingview.com/chart/tioZvgwv/?symbol=NSE%3AJKCEMENT&amp;interval=", "&amp;#128200;")</f>
      </c>
      <c r="G108" s="7">
        <f>HYPERLINK("https://www.tradingview.com/symbols/NSE-JKCEMENT/news/", "&amp;#128240;")</f>
      </c>
      <c r="H108" s="7">
        <f>HYPERLINK("https://www.tradingview.com/symbols/NSE-JKCEMENT/technicals/", "&amp;#128202;")</f>
      </c>
      <c r="I108" s="7">
        <f>HYPERLINK("https://www.tradingview.com/symbols/NSE-JKCEMENT/financials-overview/", "&amp;#128194;")</f>
      </c>
      <c r="J108" s="4" t="s">
        <v>11</v>
      </c>
      <c r="K108" s="5">
        <v>-2.149200515015804</v>
      </c>
    </row>
    <row x14ac:dyDescent="0.25" r="109" customHeight="1" ht="18.75">
      <c r="A109" s="4" t="s">
        <v>129</v>
      </c>
      <c r="B109" s="5">
        <v>628.6</v>
      </c>
      <c r="C109" s="5">
        <v>612.75</v>
      </c>
      <c r="D109" s="5">
        <v>625.55</v>
      </c>
      <c r="E109" s="5">
        <v>613.85</v>
      </c>
      <c r="F109" s="7">
        <f>HYPERLINK("https://www.tradingview.com/chart/tioZvgwv/?symbol=NSE%3AJSL&amp;interval=", "&amp;#128200;")</f>
      </c>
      <c r="G109" s="7">
        <f>HYPERLINK("https://www.tradingview.com/symbols/NSE-JSL/news/", "&amp;#128240;")</f>
      </c>
      <c r="H109" s="7">
        <f>HYPERLINK("https://www.tradingview.com/symbols/NSE-JSL/technicals/", "&amp;#128202;")</f>
      </c>
      <c r="I109" s="7">
        <f>HYPERLINK("https://www.tradingview.com/symbols/NSE-JSL/financials-overview/", "&amp;#128194;")</f>
      </c>
      <c r="J109" s="4" t="s">
        <v>11</v>
      </c>
      <c r="K109" s="5">
        <v>-1.870354088402195</v>
      </c>
    </row>
    <row x14ac:dyDescent="0.25" r="110" customHeight="1" ht="18.75">
      <c r="A110" s="4" t="s">
        <v>130</v>
      </c>
      <c r="B110" s="5">
        <v>539.6</v>
      </c>
      <c r="C110" s="5">
        <v>527.7</v>
      </c>
      <c r="D110" s="5">
        <v>539.6</v>
      </c>
      <c r="E110" s="5">
        <v>530.4</v>
      </c>
      <c r="F110" s="7">
        <f>HYPERLINK("https://www.tradingview.com/chart/tioZvgwv/?symbol=NSE%3AJSWENERGY&amp;interval=", "&amp;#128200;")</f>
      </c>
      <c r="G110" s="7">
        <f>HYPERLINK("https://www.tradingview.com/symbols/NSE-JSWENERGY/news/", "&amp;#128240;")</f>
      </c>
      <c r="H110" s="7">
        <f>HYPERLINK("https://www.tradingview.com/symbols/NSE-JSWENERGY/technicals/", "&amp;#128202;")</f>
      </c>
      <c r="I110" s="7">
        <f>HYPERLINK("https://www.tradingview.com/symbols/NSE-JSWENERGY/financials-overview/", "&amp;#128194;")</f>
      </c>
      <c r="J110" s="4" t="s">
        <v>11</v>
      </c>
      <c r="K110" s="5">
        <v>-1.704966641957014</v>
      </c>
    </row>
    <row x14ac:dyDescent="0.25" r="111" customHeight="1" ht="18.75">
      <c r="A111" s="4" t="s">
        <v>131</v>
      </c>
      <c r="B111" s="5">
        <v>898.7</v>
      </c>
      <c r="C111" s="5">
        <v>887.65</v>
      </c>
      <c r="D111" s="5">
        <v>900.1</v>
      </c>
      <c r="E111" s="5">
        <v>890.15</v>
      </c>
      <c r="F111" s="7">
        <f>HYPERLINK("https://www.tradingview.com/chart/tioZvgwv/?symbol=NSE%3AJSWSTEEL&amp;interval=", "&amp;#128200;")</f>
      </c>
      <c r="G111" s="7">
        <f>HYPERLINK("https://www.tradingview.com/symbols/NSE-JSWSTEEL/news/", "&amp;#128240;")</f>
      </c>
      <c r="H111" s="7">
        <f>HYPERLINK("https://www.tradingview.com/symbols/NSE-JSWSTEEL/technicals/", "&amp;#128202;")</f>
      </c>
      <c r="I111" s="7">
        <f>HYPERLINK("https://www.tradingview.com/symbols/NSE-JSWSTEEL/financials-overview/", "&amp;#128194;")</f>
      </c>
      <c r="J111" s="4" t="s">
        <v>11</v>
      </c>
      <c r="K111" s="5">
        <v>-1.105432729696705</v>
      </c>
    </row>
    <row x14ac:dyDescent="0.25" r="112" customHeight="1" ht="18.75">
      <c r="A112" s="4" t="s">
        <v>132</v>
      </c>
      <c r="B112" s="5">
        <v>733.55</v>
      </c>
      <c r="C112" s="6">
        <v>717</v>
      </c>
      <c r="D112" s="6">
        <v>737</v>
      </c>
      <c r="E112" s="5">
        <v>717.95</v>
      </c>
      <c r="F112" s="7">
        <f>HYPERLINK("https://www.tradingview.com/chart/tioZvgwv/?symbol=NSE%3AJUBLFOOD&amp;interval=", "&amp;#128200;")</f>
      </c>
      <c r="G112" s="7">
        <f>HYPERLINK("https://www.tradingview.com/symbols/NSE-JUBLFOOD/news/", "&amp;#128240;")</f>
      </c>
      <c r="H112" s="7">
        <f>HYPERLINK("https://www.tradingview.com/symbols/NSE-JUBLFOOD/technicals/", "&amp;#128202;")</f>
      </c>
      <c r="I112" s="7">
        <f>HYPERLINK("https://www.tradingview.com/symbols/NSE-JUBLFOOD/financials-overview/", "&amp;#128194;")</f>
      </c>
      <c r="J112" s="4" t="s">
        <v>11</v>
      </c>
      <c r="K112" s="5">
        <v>-2.584803256445041</v>
      </c>
    </row>
    <row x14ac:dyDescent="0.25" r="113" customHeight="1" ht="18.75">
      <c r="A113" s="4" t="s">
        <v>133</v>
      </c>
      <c r="B113" s="5">
        <v>609.7</v>
      </c>
      <c r="C113" s="6">
        <v>584</v>
      </c>
      <c r="D113" s="5">
        <v>626.75</v>
      </c>
      <c r="E113" s="5">
        <v>584.85</v>
      </c>
      <c r="F113" s="7">
        <f>HYPERLINK("https://www.tradingview.com/chart/tioZvgwv/?symbol=NSE%3AKALYANKJIL&amp;interval=", "&amp;#128200;")</f>
      </c>
      <c r="G113" s="7">
        <f>HYPERLINK("https://www.tradingview.com/symbols/NSE-KALYANKJIL/news/", "&amp;#128240;")</f>
      </c>
      <c r="H113" s="7">
        <f>HYPERLINK("https://www.tradingview.com/symbols/NSE-KALYANKJIL/technicals/", "&amp;#128202;")</f>
      </c>
      <c r="I113" s="7">
        <f>HYPERLINK("https://www.tradingview.com/symbols/NSE-KALYANKJIL/financials-overview/", "&amp;#128194;")</f>
      </c>
      <c r="J113" s="4" t="s">
        <v>11</v>
      </c>
      <c r="K113" s="5">
        <v>-6.685281212604703</v>
      </c>
    </row>
    <row x14ac:dyDescent="0.25" r="114" customHeight="1" ht="18.75">
      <c r="A114" s="4" t="s">
        <v>134</v>
      </c>
      <c r="B114" s="5">
        <v>4139.45</v>
      </c>
      <c r="C114" s="6">
        <v>4004</v>
      </c>
      <c r="D114" s="5">
        <v>4177.05</v>
      </c>
      <c r="E114" s="6">
        <v>4020</v>
      </c>
      <c r="F114" s="7">
        <f>HYPERLINK("https://www.tradingview.com/chart/tioZvgwv/?symbol=NSE%3AKEI&amp;interval=", "&amp;#128200;")</f>
      </c>
      <c r="G114" s="7">
        <f>HYPERLINK("https://www.tradingview.com/symbols/NSE-KEI/news/", "&amp;#128240;")</f>
      </c>
      <c r="H114" s="7">
        <f>HYPERLINK("https://www.tradingview.com/symbols/NSE-KEI/technicals/", "&amp;#128202;")</f>
      </c>
      <c r="I114" s="7">
        <f>HYPERLINK("https://www.tradingview.com/symbols/NSE-KEI/financials-overview/", "&amp;#128194;")</f>
      </c>
      <c r="J114" s="4" t="s">
        <v>11</v>
      </c>
      <c r="K114" s="5">
        <v>-3.759830502388053</v>
      </c>
    </row>
    <row x14ac:dyDescent="0.25" r="115" customHeight="1" ht="18.75">
      <c r="A115" s="4" t="s">
        <v>135</v>
      </c>
      <c r="B115" s="5">
        <v>1744.55</v>
      </c>
      <c r="C115" s="5">
        <v>1723.75</v>
      </c>
      <c r="D115" s="5">
        <v>1756.2</v>
      </c>
      <c r="E115" s="5">
        <v>1735.15</v>
      </c>
      <c r="F115" s="7">
        <f>HYPERLINK("https://www.tradingview.com/chart/tioZvgwv/?symbol=NSE%3AKOTAKBANK&amp;interval=", "&amp;#128200;")</f>
      </c>
      <c r="G115" s="7">
        <f>HYPERLINK("https://www.tradingview.com/symbols/NSE-KOTAKBANK/news/", "&amp;#128240;")</f>
      </c>
      <c r="H115" s="7">
        <f>HYPERLINK("https://www.tradingview.com/symbols/NSE-KOTAKBANK/technicals/", "&amp;#128202;")</f>
      </c>
      <c r="I115" s="7">
        <f>HYPERLINK("https://www.tradingview.com/symbols/NSE-KOTAKBANK/financials-overview/", "&amp;#128194;")</f>
      </c>
      <c r="J115" s="4" t="s">
        <v>11</v>
      </c>
      <c r="K115" s="5">
        <v>-1.198610636601751</v>
      </c>
    </row>
    <row x14ac:dyDescent="0.25" r="116" customHeight="1" ht="18.75">
      <c r="A116" s="4" t="s">
        <v>136</v>
      </c>
      <c r="B116" s="5">
        <v>1381.85</v>
      </c>
      <c r="C116" s="5">
        <v>1337.1</v>
      </c>
      <c r="D116" s="5">
        <v>1369.65</v>
      </c>
      <c r="E116" s="5">
        <v>1339.7</v>
      </c>
      <c r="F116" s="7">
        <f>HYPERLINK("https://www.tradingview.com/chart/tioZvgwv/?symbol=NSE%3AKPITTECH&amp;interval=", "&amp;#128200;")</f>
      </c>
      <c r="G116" s="7">
        <f>HYPERLINK("https://www.tradingview.com/symbols/NSE-KPITTECH/news/", "&amp;#128240;")</f>
      </c>
      <c r="H116" s="7">
        <f>HYPERLINK("https://www.tradingview.com/symbols/NSE-KPITTECH/technicals/", "&amp;#128202;")</f>
      </c>
      <c r="I116" s="7">
        <f>HYPERLINK("https://www.tradingview.com/symbols/NSE-KPITTECH/financials-overview/", "&amp;#128194;")</f>
      </c>
      <c r="J116" s="4" t="s">
        <v>11</v>
      </c>
      <c r="K116" s="5">
        <v>-2.186690030299715</v>
      </c>
    </row>
    <row x14ac:dyDescent="0.25" r="117" customHeight="1" ht="18.75">
      <c r="A117" s="4" t="s">
        <v>137</v>
      </c>
      <c r="B117" s="6">
        <v>2912</v>
      </c>
      <c r="C117" s="5">
        <v>2865.25</v>
      </c>
      <c r="D117" s="5">
        <v>2928.15</v>
      </c>
      <c r="E117" s="5">
        <v>2868.35</v>
      </c>
      <c r="F117" s="7">
        <f>HYPERLINK("https://www.tradingview.com/chart/tioZvgwv/?symbol=NSE%3ALALPATHLAB&amp;interval=", "&amp;#128200;")</f>
      </c>
      <c r="G117" s="7">
        <f>HYPERLINK("https://www.tradingview.com/symbols/NSE-LALPATHLAB/news/", "&amp;#128240;")</f>
      </c>
      <c r="H117" s="7">
        <f>HYPERLINK("https://www.tradingview.com/symbols/NSE-LALPATHLAB/technicals/", "&amp;#128202;")</f>
      </c>
      <c r="I117" s="7">
        <f>HYPERLINK("https://www.tradingview.com/symbols/NSE-LALPATHLAB/financials-overview/", "&amp;#128194;")</f>
      </c>
      <c r="J117" s="4" t="s">
        <v>11</v>
      </c>
      <c r="K117" s="5">
        <v>-2.04224510356369</v>
      </c>
    </row>
    <row x14ac:dyDescent="0.25" r="118" customHeight="1" ht="18.75">
      <c r="A118" s="4" t="s">
        <v>138</v>
      </c>
      <c r="B118" s="6">
        <v>586</v>
      </c>
      <c r="C118" s="6">
        <v>571</v>
      </c>
      <c r="D118" s="5">
        <v>583.7</v>
      </c>
      <c r="E118" s="5">
        <v>572.7</v>
      </c>
      <c r="F118" s="7">
        <f>HYPERLINK("https://www.tradingview.com/chart/tioZvgwv/?symbol=NSE%3ALAURUSLABS&amp;interval=", "&amp;#128200;")</f>
      </c>
      <c r="G118" s="7">
        <f>HYPERLINK("https://www.tradingview.com/symbols/NSE-LAURUSLABS/news/", "&amp;#128240;")</f>
      </c>
      <c r="H118" s="7">
        <f>HYPERLINK("https://www.tradingview.com/symbols/NSE-LAURUSLABS/technicals/", "&amp;#128202;")</f>
      </c>
      <c r="I118" s="7">
        <f>HYPERLINK("https://www.tradingview.com/symbols/NSE-LAURUSLABS/financials-overview/", "&amp;#128194;")</f>
      </c>
      <c r="J118" s="4" t="s">
        <v>11</v>
      </c>
      <c r="K118" s="5">
        <v>-1.884529724173376</v>
      </c>
    </row>
    <row x14ac:dyDescent="0.25" r="119" customHeight="1" ht="18.75">
      <c r="A119" s="4" t="s">
        <v>139</v>
      </c>
      <c r="B119" s="6">
        <v>555</v>
      </c>
      <c r="C119" s="5">
        <v>541.65</v>
      </c>
      <c r="D119" s="5">
        <v>554.9</v>
      </c>
      <c r="E119" s="5">
        <v>541.9</v>
      </c>
      <c r="F119" s="7">
        <f>HYPERLINK("https://www.tradingview.com/chart/tioZvgwv/?symbol=NSE%3ALICHSGFIN&amp;interval=", "&amp;#128200;")</f>
      </c>
      <c r="G119" s="7">
        <f>HYPERLINK("https://www.tradingview.com/symbols/NSE-LICHSGFIN/news/", "&amp;#128240;")</f>
      </c>
      <c r="H119" s="7">
        <f>HYPERLINK("https://www.tradingview.com/symbols/NSE-LICHSGFIN/technicals/", "&amp;#128202;")</f>
      </c>
      <c r="I119" s="7">
        <f>HYPERLINK("https://www.tradingview.com/symbols/NSE-LICHSGFIN/financials-overview/", "&amp;#128194;")</f>
      </c>
      <c r="J119" s="4" t="s">
        <v>11</v>
      </c>
      <c r="K119" s="5">
        <v>-2.342764462065237</v>
      </c>
    </row>
    <row x14ac:dyDescent="0.25" r="120" customHeight="1" ht="18.75">
      <c r="A120" s="4" t="s">
        <v>140</v>
      </c>
      <c r="B120" s="5">
        <v>836.85</v>
      </c>
      <c r="C120" s="6">
        <v>825</v>
      </c>
      <c r="D120" s="5">
        <v>839.5</v>
      </c>
      <c r="E120" s="5">
        <v>825.15</v>
      </c>
      <c r="F120" s="7">
        <f>HYPERLINK("https://www.tradingview.com/chart/tioZvgwv/?symbol=NSE%3ALICI&amp;interval=", "&amp;#128200;")</f>
      </c>
      <c r="G120" s="7">
        <f>HYPERLINK("https://www.tradingview.com/symbols/NSE-LICI/news/", "&amp;#128240;")</f>
      </c>
      <c r="H120" s="7">
        <f>HYPERLINK("https://www.tradingview.com/symbols/NSE-LICI/technicals/", "&amp;#128202;")</f>
      </c>
      <c r="I120" s="7">
        <f>HYPERLINK("https://www.tradingview.com/symbols/NSE-LICI/financials-overview/", "&amp;#128194;")</f>
      </c>
      <c r="J120" s="4" t="s">
        <v>11</v>
      </c>
      <c r="K120" s="5">
        <v>-1.709350804050032</v>
      </c>
    </row>
    <row x14ac:dyDescent="0.25" r="121" customHeight="1" ht="18.75">
      <c r="A121" s="4" t="s">
        <v>141</v>
      </c>
      <c r="B121" s="5">
        <v>1259.9</v>
      </c>
      <c r="C121" s="5">
        <v>1198.55</v>
      </c>
      <c r="D121" s="5">
        <v>1283.7</v>
      </c>
      <c r="E121" s="5">
        <v>1199.8</v>
      </c>
      <c r="F121" s="7">
        <f>HYPERLINK("https://www.tradingview.com/chart/tioZvgwv/?symbol=NSE%3ALODHA&amp;interval=", "&amp;#128200;")</f>
      </c>
      <c r="G121" s="7">
        <f>HYPERLINK("https://www.tradingview.com/symbols/NSE-LODHA/news/", "&amp;#128240;")</f>
      </c>
      <c r="H121" s="7">
        <f>HYPERLINK("https://www.tradingview.com/symbols/NSE-LODHA/technicals/", "&amp;#128202;")</f>
      </c>
      <c r="I121" s="7">
        <f>HYPERLINK("https://www.tradingview.com/symbols/NSE-LODHA/financials-overview/", "&amp;#128194;")</f>
      </c>
      <c r="J121" s="4" t="s">
        <v>11</v>
      </c>
      <c r="K121" s="5">
        <v>-6.53579496767158</v>
      </c>
    </row>
    <row x14ac:dyDescent="0.25" r="122" customHeight="1" ht="18.75">
      <c r="A122" s="4" t="s">
        <v>142</v>
      </c>
      <c r="B122" s="5">
        <v>3534.5</v>
      </c>
      <c r="C122" s="5">
        <v>3496.05</v>
      </c>
      <c r="D122" s="5">
        <v>3536.15</v>
      </c>
      <c r="E122" s="5">
        <v>3520.8</v>
      </c>
      <c r="F122" s="7">
        <f>HYPERLINK("https://www.tradingview.com/chart/tioZvgwv/?symbol=NSE%3ALT&amp;interval=", "&amp;#128200;")</f>
      </c>
      <c r="G122" s="7">
        <f>HYPERLINK("https://www.tradingview.com/symbols/NSE-LT/news/", "&amp;#128240;")</f>
      </c>
      <c r="H122" s="7">
        <f>HYPERLINK("https://www.tradingview.com/symbols/NSE-LT/technicals/", "&amp;#128202;")</f>
      </c>
      <c r="I122" s="7">
        <f>HYPERLINK("https://www.tradingview.com/symbols/NSE-LT/financials-overview/", "&amp;#128194;")</f>
      </c>
      <c r="J122" s="4" t="s">
        <v>11</v>
      </c>
      <c r="K122" s="5">
        <v>-0.4340879204784839</v>
      </c>
    </row>
    <row x14ac:dyDescent="0.25" r="123" customHeight="1" ht="18.75">
      <c r="A123" s="4" t="s">
        <v>143</v>
      </c>
      <c r="B123" s="5">
        <v>6157.95</v>
      </c>
      <c r="C123" s="5">
        <v>6051.1</v>
      </c>
      <c r="D123" s="5">
        <v>6124.4</v>
      </c>
      <c r="E123" s="5">
        <v>6108.95</v>
      </c>
      <c r="F123" s="7">
        <f>HYPERLINK("https://www.tradingview.com/chart/tioZvgwv/?symbol=NSE%3ALTIM&amp;interval=", "&amp;#128200;")</f>
      </c>
      <c r="G123" s="7">
        <f>HYPERLINK("https://www.tradingview.com/symbols/NSE-LTIM/news/", "&amp;#128240;")</f>
      </c>
      <c r="H123" s="7">
        <f>HYPERLINK("https://www.tradingview.com/symbols/NSE-LTIM/technicals/", "&amp;#128202;")</f>
      </c>
      <c r="I123" s="7">
        <f>HYPERLINK("https://www.tradingview.com/symbols/NSE-LTIM/financials-overview/", "&amp;#128194;")</f>
      </c>
      <c r="J123" s="4" t="s">
        <v>11</v>
      </c>
      <c r="K123" s="5">
        <v>-0.2522696100842502</v>
      </c>
    </row>
    <row x14ac:dyDescent="0.25" r="124" customHeight="1" ht="18.75">
      <c r="A124" s="4" t="s">
        <v>144</v>
      </c>
      <c r="B124" s="5">
        <v>4969.8</v>
      </c>
      <c r="C124" s="5">
        <v>4879.1</v>
      </c>
      <c r="D124" s="5">
        <v>4935.65</v>
      </c>
      <c r="E124" s="6">
        <v>4928</v>
      </c>
      <c r="F124" s="7">
        <f>HYPERLINK("https://www.tradingview.com/chart/tioZvgwv/?symbol=NSE%3ALTTS&amp;interval=", "&amp;#128200;")</f>
      </c>
      <c r="G124" s="7">
        <f>HYPERLINK("https://www.tradingview.com/symbols/NSE-LTTS/news/", "&amp;#128240;")</f>
      </c>
      <c r="H124" s="7">
        <f>HYPERLINK("https://www.tradingview.com/symbols/NSE-LTTS/technicals/", "&amp;#128202;")</f>
      </c>
      <c r="I124" s="7">
        <f>HYPERLINK("https://www.tradingview.com/symbols/NSE-LTTS/financials-overview/", "&amp;#128194;")</f>
      </c>
      <c r="J124" s="4" t="s">
        <v>11</v>
      </c>
      <c r="K124" s="5">
        <v>-0.154994782855341</v>
      </c>
    </row>
    <row x14ac:dyDescent="0.25" r="125" customHeight="1" ht="18.75">
      <c r="A125" s="4" t="s">
        <v>145</v>
      </c>
      <c r="B125" s="5">
        <v>2192.95</v>
      </c>
      <c r="C125" s="5">
        <v>2144.9</v>
      </c>
      <c r="D125" s="5">
        <v>2191.1</v>
      </c>
      <c r="E125" s="5">
        <v>2145.75</v>
      </c>
      <c r="F125" s="7">
        <f>HYPERLINK("https://www.tradingview.com/chart/tioZvgwv/?symbol=NSE%3ALUPIN&amp;interval=", "&amp;#128200;")</f>
      </c>
      <c r="G125" s="7">
        <f>HYPERLINK("https://www.tradingview.com/symbols/NSE-LUPIN/news/", "&amp;#128240;")</f>
      </c>
      <c r="H125" s="7">
        <f>HYPERLINK("https://www.tradingview.com/symbols/NSE-LUPIN/technicals/", "&amp;#128202;")</f>
      </c>
      <c r="I125" s="7">
        <f>HYPERLINK("https://www.tradingview.com/symbols/NSE-LUPIN/financials-overview/", "&amp;#128194;")</f>
      </c>
      <c r="J125" s="4" t="s">
        <v>11</v>
      </c>
      <c r="K125" s="5">
        <v>-2.069736661950614</v>
      </c>
    </row>
    <row x14ac:dyDescent="0.25" r="126" customHeight="1" ht="18.75">
      <c r="A126" s="4" t="s">
        <v>146</v>
      </c>
      <c r="B126" s="5">
        <v>3066.85</v>
      </c>
      <c r="C126" s="5">
        <v>3005.65</v>
      </c>
      <c r="D126" s="5">
        <v>3092.85</v>
      </c>
      <c r="E126" s="5">
        <v>3029.85</v>
      </c>
      <c r="F126" s="7">
        <f>HYPERLINK("https://www.tradingview.com/chart/tioZvgwv/?symbol=NSE%3AM&amp;M&amp;interval=", "&amp;#128200;")</f>
      </c>
      <c r="G126" s="7">
        <f>HYPERLINK("https://www.tradingview.com/symbols/NSE-M&amp;M/news/", "&amp;#128240;")</f>
      </c>
      <c r="H126" s="7">
        <f>HYPERLINK("https://www.tradingview.com/symbols/NSE-M&amp;M/technicals/", "&amp;#128202;")</f>
      </c>
      <c r="I126" s="7">
        <f>HYPERLINK("https://www.tradingview.com/symbols/NSE-M&amp;M/financials-overview/", "&amp;#128194;")</f>
      </c>
      <c r="J126" s="4" t="s">
        <v>11</v>
      </c>
      <c r="K126" s="5">
        <v>-2.036956205441583</v>
      </c>
    </row>
    <row x14ac:dyDescent="0.25" r="127" customHeight="1" ht="18.75">
      <c r="A127" s="4" t="s">
        <v>147</v>
      </c>
      <c r="B127" s="5">
        <v>273.3</v>
      </c>
      <c r="C127" s="5">
        <v>267.85</v>
      </c>
      <c r="D127" s="5">
        <v>275.55</v>
      </c>
      <c r="E127" s="5">
        <v>268.35</v>
      </c>
      <c r="F127" s="7">
        <f>HYPERLINK("https://www.tradingview.com/chart/tioZvgwv/?symbol=NSE%3AM&amp;MFIN&amp;interval=", "&amp;#128200;")</f>
      </c>
      <c r="G127" s="7">
        <f>HYPERLINK("https://www.tradingview.com/symbols/NSE-M&amp;MFIN/news/", "&amp;#128240;")</f>
      </c>
      <c r="H127" s="7">
        <f>HYPERLINK("https://www.tradingview.com/symbols/NSE-M&amp;MFIN/technicals/", "&amp;#128202;")</f>
      </c>
      <c r="I127" s="7">
        <f>HYPERLINK("https://www.tradingview.com/symbols/NSE-M&amp;MFIN/financials-overview/", "&amp;#128194;")</f>
      </c>
      <c r="J127" s="4" t="s">
        <v>11</v>
      </c>
      <c r="K127" s="5">
        <v>-2.612955906369076</v>
      </c>
    </row>
    <row x14ac:dyDescent="0.25" r="128" customHeight="1" ht="18.75">
      <c r="A128" s="4" t="s">
        <v>148</v>
      </c>
      <c r="B128" s="5">
        <v>180.99</v>
      </c>
      <c r="C128" s="5">
        <v>176.45</v>
      </c>
      <c r="D128" s="5">
        <v>180.32</v>
      </c>
      <c r="E128" s="5">
        <v>176.55</v>
      </c>
      <c r="F128" s="7">
        <f>HYPERLINK("https://www.tradingview.com/chart/tioZvgwv/?symbol=NSE%3AMANAPPURAM&amp;interval=", "&amp;#128200;")</f>
      </c>
      <c r="G128" s="7">
        <f>HYPERLINK("https://www.tradingview.com/symbols/NSE-MANAPPURAM/news/", "&amp;#128240;")</f>
      </c>
      <c r="H128" s="7">
        <f>HYPERLINK("https://www.tradingview.com/symbols/NSE-MANAPPURAM/technicals/", "&amp;#128202;")</f>
      </c>
      <c r="I128" s="7">
        <f>HYPERLINK("https://www.tradingview.com/symbols/NSE-MANAPPURAM/financials-overview/", "&amp;#128194;")</f>
      </c>
      <c r="J128" s="4" t="s">
        <v>11</v>
      </c>
      <c r="K128" s="5">
        <v>-2.090727595385971</v>
      </c>
    </row>
    <row x14ac:dyDescent="0.25" r="129" customHeight="1" ht="18.75">
      <c r="A129" s="4" t="s">
        <v>149</v>
      </c>
      <c r="B129" s="5">
        <v>674.9</v>
      </c>
      <c r="C129" s="5">
        <v>666.65</v>
      </c>
      <c r="D129" s="5">
        <v>673.9</v>
      </c>
      <c r="E129" s="5">
        <v>669.4</v>
      </c>
      <c r="F129" s="7">
        <f>HYPERLINK("https://www.tradingview.com/chart/tioZvgwv/?symbol=NSE%3AMARICO&amp;interval=", "&amp;#128200;")</f>
      </c>
      <c r="G129" s="7">
        <f>HYPERLINK("https://www.tradingview.com/symbols/NSE-MARICO/news/", "&amp;#128240;")</f>
      </c>
      <c r="H129" s="7">
        <f>HYPERLINK("https://www.tradingview.com/symbols/NSE-MARICO/technicals/", "&amp;#128202;")</f>
      </c>
      <c r="I129" s="7">
        <f>HYPERLINK("https://www.tradingview.com/symbols/NSE-MARICO/financials-overview/", "&amp;#128194;")</f>
      </c>
      <c r="J129" s="4" t="s">
        <v>11</v>
      </c>
      <c r="K129" s="5">
        <v>-0.6677548597714794</v>
      </c>
    </row>
    <row x14ac:dyDescent="0.25" r="130" customHeight="1" ht="18.75">
      <c r="A130" s="4" t="s">
        <v>150</v>
      </c>
      <c r="B130" s="5">
        <v>11654.45</v>
      </c>
      <c r="C130" s="6">
        <v>11468</v>
      </c>
      <c r="D130" s="5">
        <v>11631.1</v>
      </c>
      <c r="E130" s="5">
        <v>11588.9</v>
      </c>
      <c r="F130" s="7">
        <f>HYPERLINK("https://www.tradingview.com/chart/tioZvgwv/?symbol=NSE%3AMARUTI&amp;interval=", "&amp;#128200;")</f>
      </c>
      <c r="G130" s="7">
        <f>HYPERLINK("https://www.tradingview.com/symbols/NSE-MARUTI/news/", "&amp;#128240;")</f>
      </c>
      <c r="H130" s="7">
        <f>HYPERLINK("https://www.tradingview.com/symbols/NSE-MARUTI/technicals/", "&amp;#128202;")</f>
      </c>
      <c r="I130" s="7">
        <f>HYPERLINK("https://www.tradingview.com/symbols/NSE-MARUTI/financials-overview/", "&amp;#128194;")</f>
      </c>
      <c r="J130" s="4" t="s">
        <v>11</v>
      </c>
      <c r="K130" s="5">
        <v>-0.3628203695265343</v>
      </c>
    </row>
    <row x14ac:dyDescent="0.25" r="131" customHeight="1" ht="18.75">
      <c r="A131" s="4" t="s">
        <v>151</v>
      </c>
      <c r="B131" s="5">
        <v>1127.45</v>
      </c>
      <c r="C131" s="5">
        <v>1092.9</v>
      </c>
      <c r="D131" s="5">
        <v>1149.9</v>
      </c>
      <c r="E131" s="5">
        <v>1094.2</v>
      </c>
      <c r="F131" s="7">
        <f>HYPERLINK("https://www.tradingview.com/chart/tioZvgwv/?symbol=NSE%3AMAXHEALTH&amp;interval=", "&amp;#128200;")</f>
      </c>
      <c r="G131" s="7">
        <f>HYPERLINK("https://www.tradingview.com/symbols/NSE-MAXHEALTH/news/", "&amp;#128240;")</f>
      </c>
      <c r="H131" s="7">
        <f>HYPERLINK("https://www.tradingview.com/symbols/NSE-MAXHEALTH/technicals/", "&amp;#128202;")</f>
      </c>
      <c r="I131" s="7">
        <f>HYPERLINK("https://www.tradingview.com/symbols/NSE-MAXHEALTH/financials-overview/", "&amp;#128194;")</f>
      </c>
      <c r="J131" s="4" t="s">
        <v>11</v>
      </c>
      <c r="K131" s="5">
        <v>-4.843899469519092</v>
      </c>
    </row>
    <row x14ac:dyDescent="0.25" r="132" customHeight="1" ht="18.75">
      <c r="A132" s="4" t="s">
        <v>152</v>
      </c>
      <c r="B132" s="6">
        <v>5689</v>
      </c>
      <c r="C132" s="5">
        <v>5496.8</v>
      </c>
      <c r="D132" s="5">
        <v>5635.85</v>
      </c>
      <c r="E132" s="5">
        <v>5620.95</v>
      </c>
      <c r="F132" s="7">
        <f>HYPERLINK("https://www.tradingview.com/chart/tioZvgwv/?symbol=NSE%3AMCX&amp;interval=", "&amp;#128200;")</f>
      </c>
      <c r="G132" s="7">
        <f>HYPERLINK("https://www.tradingview.com/symbols/NSE-MCX/news/", "&amp;#128240;")</f>
      </c>
      <c r="H132" s="7">
        <f>HYPERLINK("https://www.tradingview.com/symbols/NSE-MCX/technicals/", "&amp;#128202;")</f>
      </c>
      <c r="I132" s="7">
        <f>HYPERLINK("https://www.tradingview.com/symbols/NSE-MCX/financials-overview/", "&amp;#128194;")</f>
      </c>
      <c r="J132" s="4" t="s">
        <v>11</v>
      </c>
      <c r="K132" s="5">
        <v>-0.2643789313058464</v>
      </c>
    </row>
    <row x14ac:dyDescent="0.25" r="133" customHeight="1" ht="18.75">
      <c r="A133" s="4" t="s">
        <v>153</v>
      </c>
      <c r="B133" s="5">
        <v>1949.95</v>
      </c>
      <c r="C133" s="6">
        <v>1906</v>
      </c>
      <c r="D133" s="5">
        <v>1953.6</v>
      </c>
      <c r="E133" s="5">
        <v>1907.35</v>
      </c>
      <c r="F133" s="7">
        <f>HYPERLINK("https://www.tradingview.com/chart/tioZvgwv/?symbol=NSE%3AMETROPOLIS&amp;interval=", "&amp;#128200;")</f>
      </c>
      <c r="G133" s="7">
        <f>HYPERLINK("https://www.tradingview.com/symbols/NSE-METROPOLIS/news/", "&amp;#128240;")</f>
      </c>
      <c r="H133" s="7">
        <f>HYPERLINK("https://www.tradingview.com/symbols/NSE-METROPOLIS/technicals/", "&amp;#128202;")</f>
      </c>
      <c r="I133" s="7">
        <f>HYPERLINK("https://www.tradingview.com/symbols/NSE-METROPOLIS/financials-overview/", "&amp;#128194;")</f>
      </c>
      <c r="J133" s="4" t="s">
        <v>11</v>
      </c>
      <c r="K133" s="5">
        <v>-2.367424242424242</v>
      </c>
    </row>
    <row x14ac:dyDescent="0.25" r="134" customHeight="1" ht="18.75">
      <c r="A134" s="4" t="s">
        <v>154</v>
      </c>
      <c r="B134" s="6">
        <v>1070</v>
      </c>
      <c r="C134" s="5">
        <v>1051.1</v>
      </c>
      <c r="D134" s="5">
        <v>1077.65</v>
      </c>
      <c r="E134" s="5">
        <v>1063.15</v>
      </c>
      <c r="F134" s="7">
        <f>HYPERLINK("https://www.tradingview.com/chart/tioZvgwv/?symbol=NSE%3AMFSL&amp;interval=", "&amp;#128200;")</f>
      </c>
      <c r="G134" s="7">
        <f>HYPERLINK("https://www.tradingview.com/symbols/NSE-MFSL/news/", "&amp;#128240;")</f>
      </c>
      <c r="H134" s="7">
        <f>HYPERLINK("https://www.tradingview.com/symbols/NSE-MFSL/technicals/", "&amp;#128202;")</f>
      </c>
      <c r="I134" s="7">
        <f>HYPERLINK("https://www.tradingview.com/symbols/NSE-MFSL/financials-overview/", "&amp;#128194;")</f>
      </c>
      <c r="J134" s="4" t="s">
        <v>11</v>
      </c>
      <c r="K134" s="5">
        <v>-1.345520345195564</v>
      </c>
    </row>
    <row x14ac:dyDescent="0.25" r="135" customHeight="1" ht="18.75">
      <c r="A135" s="4" t="s">
        <v>155</v>
      </c>
      <c r="B135" s="5">
        <v>1282.8</v>
      </c>
      <c r="C135" s="5">
        <v>1241.5</v>
      </c>
      <c r="D135" s="5">
        <v>1286.1</v>
      </c>
      <c r="E135" s="5">
        <v>1241.95</v>
      </c>
      <c r="F135" s="7">
        <f>HYPERLINK("https://www.tradingview.com/chart/tioZvgwv/?symbol=NSE%3AMGL&amp;interval=", "&amp;#128200;")</f>
      </c>
      <c r="G135" s="7">
        <f>HYPERLINK("https://www.tradingview.com/symbols/NSE-MGL/news/", "&amp;#128240;")</f>
      </c>
      <c r="H135" s="7">
        <f>HYPERLINK("https://www.tradingview.com/symbols/NSE-MGL/technicals/", "&amp;#128202;")</f>
      </c>
      <c r="I135" s="7">
        <f>HYPERLINK("https://www.tradingview.com/symbols/NSE-MGL/financials-overview/", "&amp;#128194;")</f>
      </c>
      <c r="J135" s="4" t="s">
        <v>11</v>
      </c>
      <c r="K135" s="5">
        <v>-3.432859031179525</v>
      </c>
    </row>
    <row x14ac:dyDescent="0.25" r="136" customHeight="1" ht="18.75">
      <c r="A136" s="4" t="s">
        <v>156</v>
      </c>
      <c r="B136" s="5">
        <v>144.07</v>
      </c>
      <c r="C136" s="5">
        <v>141.75</v>
      </c>
      <c r="D136" s="5">
        <v>144.88</v>
      </c>
      <c r="E136" s="5">
        <v>142.02</v>
      </c>
      <c r="F136" s="7">
        <f>HYPERLINK("https://www.tradingview.com/chart/tioZvgwv/?symbol=NSE%3AMOTHERSON&amp;interval=", "&amp;#128200;")</f>
      </c>
      <c r="G136" s="7">
        <f>HYPERLINK("https://www.tradingview.com/symbols/NSE-MOTHERSON/news/", "&amp;#128240;")</f>
      </c>
      <c r="H136" s="7">
        <f>HYPERLINK("https://www.tradingview.com/symbols/NSE-MOTHERSON/technicals/", "&amp;#128202;")</f>
      </c>
      <c r="I136" s="7">
        <f>HYPERLINK("https://www.tradingview.com/symbols/NSE-MOTHERSON/financials-overview/", "&amp;#128194;")</f>
      </c>
      <c r="J136" s="4" t="s">
        <v>11</v>
      </c>
      <c r="K136" s="5">
        <v>-1.974047487575915</v>
      </c>
    </row>
    <row x14ac:dyDescent="0.25" r="137" customHeight="1" ht="18.75">
      <c r="A137" s="4" t="s">
        <v>157</v>
      </c>
      <c r="B137" s="5">
        <v>2897.9</v>
      </c>
      <c r="C137" s="6">
        <v>2798</v>
      </c>
      <c r="D137" s="6">
        <v>2915</v>
      </c>
      <c r="E137" s="5">
        <v>2832.45</v>
      </c>
      <c r="F137" s="7">
        <f>HYPERLINK("https://www.tradingview.com/chart/tioZvgwv/?symbol=NSE%3AMPHASIS&amp;interval=", "&amp;#128200;")</f>
      </c>
      <c r="G137" s="7">
        <f>HYPERLINK("https://www.tradingview.com/symbols/NSE-MPHASIS/news/", "&amp;#128240;")</f>
      </c>
      <c r="H137" s="7">
        <f>HYPERLINK("https://www.tradingview.com/symbols/NSE-MPHASIS/technicals/", "&amp;#128202;")</f>
      </c>
      <c r="I137" s="7">
        <f>HYPERLINK("https://www.tradingview.com/symbols/NSE-MPHASIS/financials-overview/", "&amp;#128194;")</f>
      </c>
      <c r="J137" s="4" t="s">
        <v>11</v>
      </c>
      <c r="K137" s="5">
        <v>-2.831903945111498</v>
      </c>
    </row>
    <row x14ac:dyDescent="0.25" r="138" customHeight="1" ht="18.75">
      <c r="A138" s="4" t="s">
        <v>158</v>
      </c>
      <c r="B138" s="6">
        <v>117000</v>
      </c>
      <c r="C138" s="5">
        <v>114009.55</v>
      </c>
      <c r="D138" s="5">
        <v>117104.55</v>
      </c>
      <c r="E138" s="5">
        <v>114009.55</v>
      </c>
      <c r="F138" s="7">
        <f>HYPERLINK("https://www.tradingview.com/chart/tioZvgwv/?symbol=NSE%3AMRF&amp;interval=", "&amp;#128200;")</f>
      </c>
      <c r="G138" s="7">
        <f>HYPERLINK("https://www.tradingview.com/symbols/NSE-MRF/news/", "&amp;#128240;")</f>
      </c>
      <c r="H138" s="7">
        <f>HYPERLINK("https://www.tradingview.com/symbols/NSE-MRF/technicals/", "&amp;#128202;")</f>
      </c>
      <c r="I138" s="7">
        <f>HYPERLINK("https://www.tradingview.com/symbols/NSE-MRF/financials-overview/", "&amp;#128194;")</f>
      </c>
      <c r="J138" s="4" t="s">
        <v>11</v>
      </c>
      <c r="K138" s="5">
        <v>-2.642937443506678</v>
      </c>
    </row>
    <row x14ac:dyDescent="0.25" r="139" customHeight="1" ht="18.75">
      <c r="A139" s="4" t="s">
        <v>159</v>
      </c>
      <c r="B139" s="5">
        <v>2136.55</v>
      </c>
      <c r="C139" s="5">
        <v>2104.95</v>
      </c>
      <c r="D139" s="5">
        <v>2136.55</v>
      </c>
      <c r="E139" s="5">
        <v>2115.35</v>
      </c>
      <c r="F139" s="7">
        <f>HYPERLINK("https://www.tradingview.com/chart/tioZvgwv/?symbol=NSE%3AMUTHOOTFIN&amp;interval=", "&amp;#128200;")</f>
      </c>
      <c r="G139" s="7">
        <f>HYPERLINK("https://www.tradingview.com/symbols/NSE-MUTHOOTFIN/news/", "&amp;#128240;")</f>
      </c>
      <c r="H139" s="7">
        <f>HYPERLINK("https://www.tradingview.com/symbols/NSE-MUTHOOTFIN/technicals/", "&amp;#128202;")</f>
      </c>
      <c r="I139" s="7">
        <f>HYPERLINK("https://www.tradingview.com/symbols/NSE-MUTHOOTFIN/financials-overview/", "&amp;#128194;")</f>
      </c>
      <c r="J139" s="4" t="s">
        <v>11</v>
      </c>
      <c r="K139" s="5">
        <v>-0.9922538672158513</v>
      </c>
    </row>
    <row x14ac:dyDescent="0.25" r="140" customHeight="1" ht="18.75">
      <c r="A140" s="4" t="s">
        <v>160</v>
      </c>
      <c r="B140" s="5">
        <v>200.87</v>
      </c>
      <c r="C140" s="5">
        <v>197.5</v>
      </c>
      <c r="D140" s="5">
        <v>202.26</v>
      </c>
      <c r="E140" s="5">
        <v>197.77</v>
      </c>
      <c r="F140" s="7">
        <f>HYPERLINK("https://www.tradingview.com/chart/tioZvgwv/?symbol=NSE%3ANATIONALUM&amp;interval=", "&amp;#128200;")</f>
      </c>
      <c r="G140" s="7">
        <f>HYPERLINK("https://www.tradingview.com/symbols/NSE-NATIONALUM/news/", "&amp;#128240;")</f>
      </c>
      <c r="H140" s="7">
        <f>HYPERLINK("https://www.tradingview.com/symbols/NSE-NATIONALUM/technicals/", "&amp;#128202;")</f>
      </c>
      <c r="I140" s="7">
        <f>HYPERLINK("https://www.tradingview.com/symbols/NSE-NATIONALUM/financials-overview/", "&amp;#128194;")</f>
      </c>
      <c r="J140" s="4" t="s">
        <v>11</v>
      </c>
      <c r="K140" s="5">
        <v>-2.219914960941353</v>
      </c>
    </row>
    <row x14ac:dyDescent="0.25" r="141" customHeight="1" ht="18.75">
      <c r="A141" s="4" t="s">
        <v>161</v>
      </c>
      <c r="B141" s="5">
        <v>7754.6</v>
      </c>
      <c r="C141" s="5">
        <v>7427.3</v>
      </c>
      <c r="D141" s="5">
        <v>7835.7</v>
      </c>
      <c r="E141" s="5">
        <v>7430.5</v>
      </c>
      <c r="F141" s="7">
        <f>HYPERLINK("https://www.tradingview.com/chart/tioZvgwv/?symbol=NSE%3ANAUKRI&amp;interval=", "&amp;#128200;")</f>
      </c>
      <c r="G141" s="7">
        <f>HYPERLINK("https://www.tradingview.com/symbols/NSE-NAUKRI/news/", "&amp;#128240;")</f>
      </c>
      <c r="H141" s="7">
        <f>HYPERLINK("https://www.tradingview.com/symbols/NSE-NAUKRI/technicals/", "&amp;#128202;")</f>
      </c>
      <c r="I141" s="7">
        <f>HYPERLINK("https://www.tradingview.com/symbols/NSE-NAUKRI/financials-overview/", "&amp;#128194;")</f>
      </c>
      <c r="J141" s="4" t="s">
        <v>11</v>
      </c>
      <c r="K141" s="5">
        <v>-5.171203593807825</v>
      </c>
    </row>
    <row x14ac:dyDescent="0.25" r="142" customHeight="1" ht="18.75">
      <c r="A142" s="4" t="s">
        <v>163</v>
      </c>
      <c r="B142" s="5">
        <v>250.3</v>
      </c>
      <c r="C142" s="5">
        <v>244.1</v>
      </c>
      <c r="D142" s="5">
        <v>251.05</v>
      </c>
      <c r="E142" s="5">
        <v>244.4</v>
      </c>
      <c r="F142" s="7">
        <f>HYPERLINK("https://www.tradingview.com/chart/tioZvgwv/?symbol=NSE%3ANCC&amp;interval=", "&amp;#128200;")</f>
      </c>
      <c r="G142" s="7">
        <f>HYPERLINK("https://www.tradingview.com/symbols/NSE-NCC/news/", "&amp;#128240;")</f>
      </c>
      <c r="H142" s="7">
        <f>HYPERLINK("https://www.tradingview.com/symbols/NSE-NCC/technicals/", "&amp;#128202;")</f>
      </c>
      <c r="I142" s="7">
        <f>HYPERLINK("https://www.tradingview.com/symbols/NSE-NCC/financials-overview/", "&amp;#128194;")</f>
      </c>
      <c r="J142" s="4" t="s">
        <v>11</v>
      </c>
      <c r="K142" s="5">
        <v>-2.648874726150171</v>
      </c>
    </row>
    <row x14ac:dyDescent="0.25" r="143" customHeight="1" ht="18.75">
      <c r="A143" s="4" t="s">
        <v>164</v>
      </c>
      <c r="B143" s="5">
        <v>2261.15</v>
      </c>
      <c r="C143" s="5">
        <v>2221.55</v>
      </c>
      <c r="D143" s="5">
        <v>2247.9</v>
      </c>
      <c r="E143" s="5">
        <v>2235.45</v>
      </c>
      <c r="F143" s="7">
        <f>HYPERLINK("https://www.tradingview.com/chart/tioZvgwv/?symbol=NSE%3ANESTLEIND&amp;interval=", "&amp;#128200;")</f>
      </c>
      <c r="G143" s="7">
        <f>HYPERLINK("https://www.tradingview.com/symbols/NSE-NESTLEIND/news/", "&amp;#128240;")</f>
      </c>
      <c r="H143" s="7">
        <f>HYPERLINK("https://www.tradingview.com/symbols/NSE-NESTLEIND/technicals/", "&amp;#128202;")</f>
      </c>
      <c r="I143" s="7">
        <f>HYPERLINK("https://www.tradingview.com/symbols/NSE-NESTLEIND/financials-overview/", "&amp;#128194;")</f>
      </c>
      <c r="J143" s="4" t="s">
        <v>11</v>
      </c>
      <c r="K143" s="5">
        <v>-0.5538502602429054</v>
      </c>
    </row>
    <row x14ac:dyDescent="0.25" r="144" customHeight="1" ht="18.75">
      <c r="A144" s="4" t="s">
        <v>165</v>
      </c>
      <c r="B144" s="5">
        <v>75.3</v>
      </c>
      <c r="C144" s="5">
        <v>73.86</v>
      </c>
      <c r="D144" s="5">
        <v>76.6</v>
      </c>
      <c r="E144" s="5">
        <v>74.14</v>
      </c>
      <c r="F144" s="7">
        <f>HYPERLINK("https://www.tradingview.com/chart/tioZvgwv/?symbol=NSE%3ANHPC&amp;interval=", "&amp;#128200;")</f>
      </c>
      <c r="G144" s="7">
        <f>HYPERLINK("https://www.tradingview.com/symbols/NSE-NHPC/news/", "&amp;#128240;")</f>
      </c>
      <c r="H144" s="7">
        <f>HYPERLINK("https://www.tradingview.com/symbols/NSE-NHPC/technicals/", "&amp;#128202;")</f>
      </c>
      <c r="I144" s="7">
        <f>HYPERLINK("https://www.tradingview.com/symbols/NSE-NHPC/financials-overview/", "&amp;#128194;")</f>
      </c>
      <c r="J144" s="4" t="s">
        <v>11</v>
      </c>
      <c r="K144" s="5">
        <v>-3.211488250652734</v>
      </c>
    </row>
    <row x14ac:dyDescent="0.25" r="145" customHeight="1" ht="18.75">
      <c r="A145" s="4" t="s">
        <v>166</v>
      </c>
      <c r="B145" s="5">
        <v>62.57</v>
      </c>
      <c r="C145" s="5">
        <v>60.93</v>
      </c>
      <c r="D145" s="5">
        <v>63.04</v>
      </c>
      <c r="E145" s="5">
        <v>61.03</v>
      </c>
      <c r="F145" s="7">
        <f>HYPERLINK("https://www.tradingview.com/chart/tioZvgwv/?symbol=NSE%3ANMDC&amp;interval=", "&amp;#128200;")</f>
      </c>
      <c r="G145" s="7">
        <f>HYPERLINK("https://www.tradingview.com/symbols/NSE-NMDC/news/", "&amp;#128240;")</f>
      </c>
      <c r="H145" s="7">
        <f>HYPERLINK("https://www.tradingview.com/symbols/NSE-NMDC/technicals/", "&amp;#128202;")</f>
      </c>
      <c r="I145" s="7">
        <f>HYPERLINK("https://www.tradingview.com/symbols/NSE-NMDC/financials-overview/", "&amp;#128194;")</f>
      </c>
      <c r="J145" s="4" t="s">
        <v>11</v>
      </c>
      <c r="K145" s="5">
        <v>-3.188451776649743</v>
      </c>
    </row>
    <row x14ac:dyDescent="0.25" r="146" customHeight="1" ht="18.75">
      <c r="A146" s="4" t="s">
        <v>167</v>
      </c>
      <c r="B146" s="5">
        <v>309.95</v>
      </c>
      <c r="C146" s="5">
        <v>301.1</v>
      </c>
      <c r="D146" s="5">
        <v>308.25</v>
      </c>
      <c r="E146" s="5">
        <v>307.1</v>
      </c>
      <c r="F146" s="7">
        <f>HYPERLINK("https://www.tradingview.com/chart/tioZvgwv/?symbol=NSE%3ANTPC&amp;interval=", "&amp;#128200;")</f>
      </c>
      <c r="G146" s="7">
        <f>HYPERLINK("https://www.tradingview.com/symbols/NSE-NTPC/news/", "&amp;#128240;")</f>
      </c>
      <c r="H146" s="7">
        <f>HYPERLINK("https://www.tradingview.com/symbols/NSE-NTPC/technicals/", "&amp;#128202;")</f>
      </c>
      <c r="I146" s="7">
        <f>HYPERLINK("https://www.tradingview.com/symbols/NSE-NTPC/financials-overview/", "&amp;#128194;")</f>
      </c>
      <c r="J146" s="4" t="s">
        <v>11</v>
      </c>
      <c r="K146" s="5">
        <v>-0.3730738037307306</v>
      </c>
    </row>
    <row x14ac:dyDescent="0.25" r="147" customHeight="1" ht="18.75">
      <c r="A147" s="4" t="s">
        <v>168</v>
      </c>
      <c r="B147" s="6">
        <v>168</v>
      </c>
      <c r="C147" s="5">
        <v>162.19</v>
      </c>
      <c r="D147" s="5">
        <v>169.7</v>
      </c>
      <c r="E147" s="5">
        <v>163.27</v>
      </c>
      <c r="F147" s="7">
        <f>HYPERLINK("https://www.tradingview.com/chart/tioZvgwv/?symbol=NSE%3ANYKAA&amp;interval=", "&amp;#128200;")</f>
      </c>
      <c r="G147" s="7">
        <f>HYPERLINK("https://www.tradingview.com/symbols/NSE-NYKAA/news/", "&amp;#128240;")</f>
      </c>
      <c r="H147" s="7">
        <f>HYPERLINK("https://www.tradingview.com/symbols/NSE-NYKAA/technicals/", "&amp;#128202;")</f>
      </c>
      <c r="I147" s="7">
        <f>HYPERLINK("https://www.tradingview.com/symbols/NSE-NYKAA/financials-overview/", "&amp;#128194;")</f>
      </c>
      <c r="J147" s="4" t="s">
        <v>11</v>
      </c>
      <c r="K147" s="5">
        <v>-3.789039481437819</v>
      </c>
    </row>
    <row x14ac:dyDescent="0.25" r="148" customHeight="1" ht="18.75">
      <c r="A148" s="4" t="s">
        <v>169</v>
      </c>
      <c r="B148" s="6">
        <v>2124</v>
      </c>
      <c r="C148" s="5">
        <v>2053.05</v>
      </c>
      <c r="D148" s="5">
        <v>2128.3</v>
      </c>
      <c r="E148" s="5">
        <v>2056.15</v>
      </c>
      <c r="F148" s="7">
        <f>HYPERLINK("https://www.tradingview.com/chart/tioZvgwv/?symbol=NSE%3AOBEROIRLTY&amp;interval=", "&amp;#128200;")</f>
      </c>
      <c r="G148" s="7">
        <f>HYPERLINK("https://www.tradingview.com/symbols/NSE-OBEROIRLTY/news/", "&amp;#128240;")</f>
      </c>
      <c r="H148" s="7">
        <f>HYPERLINK("https://www.tradingview.com/symbols/NSE-OBEROIRLTY/technicals/", "&amp;#128202;")</f>
      </c>
      <c r="I148" s="7">
        <f>HYPERLINK("https://www.tradingview.com/symbols/NSE-OBEROIRLTY/financials-overview/", "&amp;#128194;")</f>
      </c>
      <c r="J148" s="4" t="s">
        <v>11</v>
      </c>
      <c r="K148" s="5">
        <v>-3.390029601090076</v>
      </c>
    </row>
    <row x14ac:dyDescent="0.25" r="149" customHeight="1" ht="18.75">
      <c r="A149" s="4" t="s">
        <v>170</v>
      </c>
      <c r="B149" s="5">
        <v>11399.95</v>
      </c>
      <c r="C149" s="5">
        <v>11045.45</v>
      </c>
      <c r="D149" s="5">
        <v>11451.35</v>
      </c>
      <c r="E149" s="5">
        <v>11069.45</v>
      </c>
      <c r="F149" s="7">
        <f>HYPERLINK("https://www.tradingview.com/chart/tioZvgwv/?symbol=NSE%3AOFSS&amp;interval=", "&amp;#128200;")</f>
      </c>
      <c r="G149" s="7">
        <f>HYPERLINK("https://www.tradingview.com/symbols/NSE-OFSS/news/", "&amp;#128240;")</f>
      </c>
      <c r="H149" s="7">
        <f>HYPERLINK("https://www.tradingview.com/symbols/NSE-OFSS/technicals/", "&amp;#128202;")</f>
      </c>
      <c r="I149" s="7">
        <f>HYPERLINK("https://www.tradingview.com/symbols/NSE-OFSS/financials-overview/", "&amp;#128194;")</f>
      </c>
      <c r="J149" s="4" t="s">
        <v>11</v>
      </c>
      <c r="K149" s="5">
        <v>-3.334977972029495</v>
      </c>
    </row>
    <row x14ac:dyDescent="0.25" r="150" customHeight="1" ht="18.75">
      <c r="A150" s="4" t="s">
        <v>172</v>
      </c>
      <c r="B150" s="5">
        <v>268.6</v>
      </c>
      <c r="C150" s="5">
        <v>257.1</v>
      </c>
      <c r="D150" s="5">
        <v>263.02</v>
      </c>
      <c r="E150" s="5">
        <v>257.95</v>
      </c>
      <c r="F150" s="7">
        <f>HYPERLINK("https://www.tradingview.com/chart/tioZvgwv/?symbol=NSE%3AONGC&amp;interval=", "&amp;#128200;")</f>
      </c>
      <c r="G150" s="7">
        <f>HYPERLINK("https://www.tradingview.com/symbols/NSE-ONGC/news/", "&amp;#128240;")</f>
      </c>
      <c r="H150" s="7">
        <f>HYPERLINK("https://www.tradingview.com/symbols/NSE-ONGC/technicals/", "&amp;#128202;")</f>
      </c>
      <c r="I150" s="7">
        <f>HYPERLINK("https://www.tradingview.com/symbols/NSE-ONGC/financials-overview/", "&amp;#128194;")</f>
      </c>
      <c r="J150" s="4" t="s">
        <v>11</v>
      </c>
      <c r="K150" s="5">
        <v>-1.92761006767546</v>
      </c>
    </row>
    <row x14ac:dyDescent="0.25" r="151" customHeight="1" ht="18.75">
      <c r="A151" s="4" t="s">
        <v>173</v>
      </c>
      <c r="B151" s="5">
        <v>46729.35</v>
      </c>
      <c r="C151" s="6">
        <v>45702</v>
      </c>
      <c r="D151" s="5">
        <v>46745.55</v>
      </c>
      <c r="E151" s="5">
        <v>45752.05</v>
      </c>
      <c r="F151" s="7">
        <f>HYPERLINK("https://www.tradingview.com/chart/tioZvgwv/?symbol=NSE%3APAGEIND&amp;interval=", "&amp;#128200;")</f>
      </c>
      <c r="G151" s="7">
        <f>HYPERLINK("https://www.tradingview.com/symbols/NSE-PAGEIND/news/", "&amp;#128240;")</f>
      </c>
      <c r="H151" s="7">
        <f>HYPERLINK("https://www.tradingview.com/symbols/NSE-PAGEIND/technicals/", "&amp;#128202;")</f>
      </c>
      <c r="I151" s="7">
        <f>HYPERLINK("https://www.tradingview.com/symbols/NSE-PAGEIND/financials-overview/", "&amp;#128194;")</f>
      </c>
      <c r="J151" s="4" t="s">
        <v>11</v>
      </c>
      <c r="K151" s="5">
        <v>-2.125335994549213</v>
      </c>
    </row>
    <row x14ac:dyDescent="0.25" r="152" customHeight="1" ht="18.75">
      <c r="A152" s="4" t="s">
        <v>174</v>
      </c>
      <c r="B152" s="5">
        <v>831.7</v>
      </c>
      <c r="C152" s="6">
        <v>799</v>
      </c>
      <c r="D152" s="5">
        <v>847.7</v>
      </c>
      <c r="E152" s="6">
        <v>803</v>
      </c>
      <c r="F152" s="7">
        <f>HYPERLINK("https://www.tradingview.com/chart/tioZvgwv/?symbol=NSE%3APAYTM&amp;interval=", "&amp;#128200;")</f>
      </c>
      <c r="G152" s="7">
        <f>HYPERLINK("https://www.tradingview.com/symbols/NSE-PAYTM/news/", "&amp;#128240;")</f>
      </c>
      <c r="H152" s="7">
        <f>HYPERLINK("https://www.tradingview.com/symbols/NSE-PAYTM/technicals/", "&amp;#128202;")</f>
      </c>
      <c r="I152" s="7">
        <f>HYPERLINK("https://www.tradingview.com/symbols/NSE-PAYTM/financials-overview/", "&amp;#128194;")</f>
      </c>
      <c r="J152" s="4" t="s">
        <v>11</v>
      </c>
      <c r="K152" s="5">
        <v>-5.27309189571783</v>
      </c>
    </row>
    <row x14ac:dyDescent="0.25" r="153" customHeight="1" ht="18.75">
      <c r="A153" s="4" t="s">
        <v>175</v>
      </c>
      <c r="B153" s="5">
        <v>987.85</v>
      </c>
      <c r="C153" s="6">
        <v>966</v>
      </c>
      <c r="D153" s="5">
        <v>987.85</v>
      </c>
      <c r="E153" s="5">
        <v>968.15</v>
      </c>
      <c r="F153" s="7">
        <f>HYPERLINK("https://www.tradingview.com/chart/tioZvgwv/?symbol=NSE%3APEL&amp;interval=", "&amp;#128200;")</f>
      </c>
      <c r="G153" s="7">
        <f>HYPERLINK("https://www.tradingview.com/symbols/NSE-PEL/news/", "&amp;#128240;")</f>
      </c>
      <c r="H153" s="7">
        <f>HYPERLINK("https://www.tradingview.com/symbols/NSE-PEL/technicals/", "&amp;#128202;")</f>
      </c>
      <c r="I153" s="7">
        <f>HYPERLINK("https://www.tradingview.com/symbols/NSE-PEL/financials-overview/", "&amp;#128194;")</f>
      </c>
      <c r="J153" s="4" t="s">
        <v>11</v>
      </c>
      <c r="K153" s="5">
        <v>-1.994229893202414</v>
      </c>
    </row>
    <row x14ac:dyDescent="0.25" r="154" customHeight="1" ht="18.75">
      <c r="A154" s="4" t="s">
        <v>176</v>
      </c>
      <c r="B154" s="5">
        <v>6306.65</v>
      </c>
      <c r="C154" s="5">
        <v>6156.5</v>
      </c>
      <c r="D154" s="5">
        <v>6319.65</v>
      </c>
      <c r="E154" s="5">
        <v>6161.85</v>
      </c>
      <c r="F154" s="7">
        <f>HYPERLINK("https://www.tradingview.com/chart/tioZvgwv/?symbol=NSE%3APERSISTENT&amp;interval=", "&amp;#128200;")</f>
      </c>
      <c r="G154" s="7">
        <f>HYPERLINK("https://www.tradingview.com/symbols/NSE-PERSISTENT/news/", "&amp;#128240;")</f>
      </c>
      <c r="H154" s="7">
        <f>HYPERLINK("https://www.tradingview.com/symbols/NSE-PERSISTENT/technicals/", "&amp;#128202;")</f>
      </c>
      <c r="I154" s="7">
        <f>HYPERLINK("https://www.tradingview.com/symbols/NSE-PERSISTENT/financials-overview/", "&amp;#128194;")</f>
      </c>
      <c r="J154" s="4" t="s">
        <v>11</v>
      </c>
      <c r="K154" s="5">
        <v>-2.496973724810698</v>
      </c>
    </row>
    <row x14ac:dyDescent="0.25" r="155" customHeight="1" ht="18.75">
      <c r="A155" s="4" t="s">
        <v>177</v>
      </c>
      <c r="B155" s="5">
        <v>319.05</v>
      </c>
      <c r="C155" s="5">
        <v>315.5</v>
      </c>
      <c r="D155" s="5">
        <v>320.35</v>
      </c>
      <c r="E155" s="5">
        <v>317.25</v>
      </c>
      <c r="F155" s="7">
        <f>HYPERLINK("https://www.tradingview.com/chart/tioZvgwv/?symbol=NSE%3APETRONET&amp;interval=", "&amp;#128200;")</f>
      </c>
      <c r="G155" s="7">
        <f>HYPERLINK("https://www.tradingview.com/symbols/NSE-PETRONET/news/", "&amp;#128240;")</f>
      </c>
      <c r="H155" s="7">
        <f>HYPERLINK("https://www.tradingview.com/symbols/NSE-PETRONET/technicals/", "&amp;#128202;")</f>
      </c>
      <c r="I155" s="7">
        <f>HYPERLINK("https://www.tradingview.com/symbols/NSE-PETRONET/financials-overview/", "&amp;#128194;")</f>
      </c>
      <c r="J155" s="4" t="s">
        <v>11</v>
      </c>
      <c r="K155" s="5">
        <v>-0.9676915873263688</v>
      </c>
    </row>
    <row x14ac:dyDescent="0.25" r="156" customHeight="1" ht="18.75">
      <c r="A156" s="4" t="s">
        <v>178</v>
      </c>
      <c r="B156" s="5">
        <v>408.35</v>
      </c>
      <c r="C156" s="5">
        <v>394.3</v>
      </c>
      <c r="D156" s="5">
        <v>404.2</v>
      </c>
      <c r="E156" s="6">
        <v>401</v>
      </c>
      <c r="F156" s="7">
        <f>HYPERLINK("https://www.tradingview.com/chart/tioZvgwv/?symbol=NSE%3APFC&amp;interval=", "&amp;#128200;")</f>
      </c>
      <c r="G156" s="7">
        <f>HYPERLINK("https://www.tradingview.com/symbols/NSE-PFC/news/", "&amp;#128240;")</f>
      </c>
      <c r="H156" s="7">
        <f>HYPERLINK("https://www.tradingview.com/symbols/NSE-PFC/technicals/", "&amp;#128202;")</f>
      </c>
      <c r="I156" s="7">
        <f>HYPERLINK("https://www.tradingview.com/symbols/NSE-PFC/financials-overview/", "&amp;#128194;")</f>
      </c>
      <c r="J156" s="4" t="s">
        <v>11</v>
      </c>
      <c r="K156" s="5">
        <v>-0.7916872835230055</v>
      </c>
    </row>
    <row x14ac:dyDescent="0.25" r="157" customHeight="1" ht="18.75">
      <c r="A157" s="4" t="s">
        <v>179</v>
      </c>
      <c r="B157" s="6">
        <v>2879</v>
      </c>
      <c r="C157" s="5">
        <v>2822.35</v>
      </c>
      <c r="D157" s="5">
        <v>2901.35</v>
      </c>
      <c r="E157" s="5">
        <v>2824.05</v>
      </c>
      <c r="F157" s="7">
        <f>HYPERLINK("https://www.tradingview.com/chart/tioZvgwv/?symbol=NSE%3APIDILITIND&amp;interval=", "&amp;#128200;")</f>
      </c>
      <c r="G157" s="7">
        <f>HYPERLINK("https://www.tradingview.com/symbols/NSE-PIDILITIND/news/", "&amp;#128240;")</f>
      </c>
      <c r="H157" s="7">
        <f>HYPERLINK("https://www.tradingview.com/symbols/NSE-PIDILITIND/technicals/", "&amp;#128202;")</f>
      </c>
      <c r="I157" s="7">
        <f>HYPERLINK("https://www.tradingview.com/symbols/NSE-PIDILITIND/financials-overview/", "&amp;#128194;")</f>
      </c>
      <c r="J157" s="4" t="s">
        <v>11</v>
      </c>
      <c r="K157" s="5">
        <v>-2.664276974511856</v>
      </c>
    </row>
    <row x14ac:dyDescent="0.25" r="158" customHeight="1" ht="18.75">
      <c r="A158" s="4" t="s">
        <v>180</v>
      </c>
      <c r="B158" s="6">
        <v>3610</v>
      </c>
      <c r="C158" s="5">
        <v>3465.05</v>
      </c>
      <c r="D158" s="5">
        <v>3614.5</v>
      </c>
      <c r="E158" s="5">
        <v>3466.05</v>
      </c>
      <c r="F158" s="7">
        <f>HYPERLINK("https://www.tradingview.com/chart/tioZvgwv/?symbol=NSE%3APIIND&amp;interval=", "&amp;#128200;")</f>
      </c>
      <c r="G158" s="7">
        <f>HYPERLINK("https://www.tradingview.com/symbols/NSE-PIIND/news/", "&amp;#128240;")</f>
      </c>
      <c r="H158" s="7">
        <f>HYPERLINK("https://www.tradingview.com/symbols/NSE-PIIND/technicals/", "&amp;#128202;")</f>
      </c>
      <c r="I158" s="7">
        <f>HYPERLINK("https://www.tradingview.com/symbols/NSE-PIIND/financials-overview/", "&amp;#128194;")</f>
      </c>
      <c r="J158" s="4" t="s">
        <v>11</v>
      </c>
      <c r="K158" s="5">
        <v>-4.107068750864569</v>
      </c>
    </row>
    <row x14ac:dyDescent="0.25" r="159" customHeight="1" ht="18.75">
      <c r="A159" s="4" t="s">
        <v>181</v>
      </c>
      <c r="B159" s="5">
        <v>98.5</v>
      </c>
      <c r="C159" s="5">
        <v>96.64</v>
      </c>
      <c r="D159" s="5">
        <v>98.64</v>
      </c>
      <c r="E159" s="5">
        <v>97.64</v>
      </c>
      <c r="F159" s="7">
        <f>HYPERLINK("https://www.tradingview.com/chart/tioZvgwv/?symbol=NSE%3APNB&amp;interval=", "&amp;#128200;")</f>
      </c>
      <c r="G159" s="7">
        <f>HYPERLINK("https://www.tradingview.com/symbols/NSE-PNB/news/", "&amp;#128240;")</f>
      </c>
      <c r="H159" s="7">
        <f>HYPERLINK("https://www.tradingview.com/symbols/NSE-PNB/technicals/", "&amp;#128202;")</f>
      </c>
      <c r="I159" s="7">
        <f>HYPERLINK("https://www.tradingview.com/symbols/NSE-PNB/financials-overview/", "&amp;#128194;")</f>
      </c>
      <c r="J159" s="4" t="s">
        <v>11</v>
      </c>
      <c r="K159" s="5">
        <v>-1.013787510137875</v>
      </c>
    </row>
    <row x14ac:dyDescent="0.25" r="160" customHeight="1" ht="18.75">
      <c r="A160" s="4" t="s">
        <v>182</v>
      </c>
      <c r="B160" s="5">
        <v>1802.95</v>
      </c>
      <c r="C160" s="6">
        <v>1730</v>
      </c>
      <c r="D160" s="5">
        <v>1862.95</v>
      </c>
      <c r="E160" s="5">
        <v>1750.2</v>
      </c>
      <c r="F160" s="7">
        <f>HYPERLINK("https://www.tradingview.com/chart/tioZvgwv/?symbol=NSE%3APOLICYBZR&amp;interval=", "&amp;#128200;")</f>
      </c>
      <c r="G160" s="7">
        <f>HYPERLINK("https://www.tradingview.com/symbols/NSE-POLICYBZR/news/", "&amp;#128240;")</f>
      </c>
      <c r="H160" s="7">
        <f>HYPERLINK("https://www.tradingview.com/symbols/NSE-POLICYBZR/technicals/", "&amp;#128202;")</f>
      </c>
      <c r="I160" s="7">
        <f>HYPERLINK("https://www.tradingview.com/symbols/NSE-POLICYBZR/financials-overview/", "&amp;#128194;")</f>
      </c>
      <c r="J160" s="4" t="s">
        <v>11</v>
      </c>
      <c r="K160" s="5">
        <v>-6.052228991653023</v>
      </c>
    </row>
    <row x14ac:dyDescent="0.25" r="161" customHeight="1" ht="18.75">
      <c r="A161" s="4" t="s">
        <v>183</v>
      </c>
      <c r="B161" s="5">
        <v>6537.3</v>
      </c>
      <c r="C161" s="5">
        <v>6411.5</v>
      </c>
      <c r="D161" s="5">
        <v>6538.95</v>
      </c>
      <c r="E161" s="5">
        <v>6427.25</v>
      </c>
      <c r="F161" s="7">
        <f>HYPERLINK("https://www.tradingview.com/chart/tioZvgwv/?symbol=NSE%3APOLYCAB&amp;interval=", "&amp;#128200;")</f>
      </c>
      <c r="G161" s="7">
        <f>HYPERLINK("https://www.tradingview.com/symbols/NSE-POLYCAB/news/", "&amp;#128240;")</f>
      </c>
      <c r="H161" s="7">
        <f>HYPERLINK("https://www.tradingview.com/symbols/NSE-POLYCAB/technicals/", "&amp;#128202;")</f>
      </c>
      <c r="I161" s="7">
        <f>HYPERLINK("https://www.tradingview.com/symbols/NSE-POLYCAB/financials-overview/", "&amp;#128194;")</f>
      </c>
      <c r="J161" s="4" t="s">
        <v>11</v>
      </c>
      <c r="K161" s="5">
        <v>-1.70822532669618</v>
      </c>
    </row>
    <row x14ac:dyDescent="0.25" r="162" customHeight="1" ht="18.75">
      <c r="A162" s="4" t="s">
        <v>184</v>
      </c>
      <c r="B162" s="5">
        <v>308.95</v>
      </c>
      <c r="C162" s="6">
        <v>301</v>
      </c>
      <c r="D162" s="5">
        <v>308.25</v>
      </c>
      <c r="E162" s="5">
        <v>305.85</v>
      </c>
      <c r="F162" s="7">
        <f>HYPERLINK("https://www.tradingview.com/chart/tioZvgwv/?symbol=NSE%3APOONAWALLA&amp;interval=", "&amp;#128200;")</f>
      </c>
      <c r="G162" s="7">
        <f>HYPERLINK("https://www.tradingview.com/symbols/NSE-POONAWALLA/news/", "&amp;#128240;")</f>
      </c>
      <c r="H162" s="7">
        <f>HYPERLINK("https://www.tradingview.com/symbols/NSE-POONAWALLA/technicals/", "&amp;#128202;")</f>
      </c>
      <c r="I162" s="7">
        <f>HYPERLINK("https://www.tradingview.com/symbols/NSE-POONAWALLA/financials-overview/", "&amp;#128194;")</f>
      </c>
      <c r="J162" s="4" t="s">
        <v>11</v>
      </c>
      <c r="K162" s="5">
        <v>-0.7785888077858807</v>
      </c>
    </row>
    <row x14ac:dyDescent="0.25" r="163" customHeight="1" ht="18.75">
      <c r="A163" s="4" t="s">
        <v>185</v>
      </c>
      <c r="B163" s="5">
        <v>298.55</v>
      </c>
      <c r="C163" s="5">
        <v>291.5</v>
      </c>
      <c r="D163" s="5">
        <v>299.7</v>
      </c>
      <c r="E163" s="5">
        <v>294.9</v>
      </c>
      <c r="F163" s="7">
        <f>HYPERLINK("https://www.tradingview.com/chart/tioZvgwv/?symbol=NSE%3APOWERGRID&amp;interval=", "&amp;#128200;")</f>
      </c>
      <c r="G163" s="7">
        <f>HYPERLINK("https://www.tradingview.com/symbols/NSE-POWERGRID/news/", "&amp;#128240;")</f>
      </c>
      <c r="H163" s="7">
        <f>HYPERLINK("https://www.tradingview.com/symbols/NSE-POWERGRID/technicals/", "&amp;#128202;")</f>
      </c>
      <c r="I163" s="7">
        <f>HYPERLINK("https://www.tradingview.com/symbols/NSE-POWERGRID/financials-overview/", "&amp;#128194;")</f>
      </c>
      <c r="J163" s="4" t="s">
        <v>11</v>
      </c>
      <c r="K163" s="5">
        <v>-1.601601601601605</v>
      </c>
    </row>
    <row x14ac:dyDescent="0.25" r="164" customHeight="1" ht="18.75">
      <c r="A164" s="4" t="s">
        <v>186</v>
      </c>
      <c r="B164" s="6">
        <v>1470</v>
      </c>
      <c r="C164" s="6">
        <v>1440</v>
      </c>
      <c r="D164" s="5">
        <v>1492.4</v>
      </c>
      <c r="E164" s="5">
        <v>1450.35</v>
      </c>
      <c r="F164" s="7">
        <f>HYPERLINK("https://www.tradingview.com/chart/tioZvgwv/?symbol=NSE%3APRESTIGE&amp;interval=", "&amp;#128200;")</f>
      </c>
      <c r="G164" s="7">
        <f>HYPERLINK("https://www.tradingview.com/symbols/NSE-PRESTIGE/news/", "&amp;#128240;")</f>
      </c>
      <c r="H164" s="7">
        <f>HYPERLINK("https://www.tradingview.com/symbols/NSE-PRESTIGE/technicals/", "&amp;#128202;")</f>
      </c>
      <c r="I164" s="7">
        <f>HYPERLINK("https://www.tradingview.com/symbols/NSE-PRESTIGE/financials-overview/", "&amp;#128194;")</f>
      </c>
      <c r="J164" s="4" t="s">
        <v>11</v>
      </c>
      <c r="K164" s="5">
        <v>-2.817609220048257</v>
      </c>
    </row>
    <row x14ac:dyDescent="0.25" r="165" customHeight="1" ht="18.75">
      <c r="A165" s="4" t="s">
        <v>187</v>
      </c>
      <c r="B165" s="5">
        <v>1135.9</v>
      </c>
      <c r="C165" s="5">
        <v>1102.55</v>
      </c>
      <c r="D165" s="5">
        <v>1135.5</v>
      </c>
      <c r="E165" s="5">
        <v>1102.75</v>
      </c>
      <c r="F165" s="7">
        <f>HYPERLINK("https://www.tradingview.com/chart/tioZvgwv/?symbol=NSE%3APVRINOX&amp;interval=", "&amp;#128200;")</f>
      </c>
      <c r="G165" s="7">
        <f>HYPERLINK("https://www.tradingview.com/symbols/NSE-PVRINOX/news/", "&amp;#128240;")</f>
      </c>
      <c r="H165" s="7">
        <f>HYPERLINK("https://www.tradingview.com/symbols/NSE-PVRINOX/technicals/", "&amp;#128202;")</f>
      </c>
      <c r="I165" s="7">
        <f>HYPERLINK("https://www.tradingview.com/symbols/NSE-PVRINOX/financials-overview/", "&amp;#128194;")</f>
      </c>
      <c r="J165" s="4" t="s">
        <v>11</v>
      </c>
      <c r="K165" s="5">
        <v>-2.884191985909291</v>
      </c>
    </row>
    <row x14ac:dyDescent="0.25" r="166" customHeight="1" ht="18.75">
      <c r="A166" s="4" t="s">
        <v>188</v>
      </c>
      <c r="B166" s="5">
        <v>911.6</v>
      </c>
      <c r="C166" s="5">
        <v>890.15</v>
      </c>
      <c r="D166" s="5">
        <v>916.25</v>
      </c>
      <c r="E166" s="5">
        <v>893.85</v>
      </c>
      <c r="F166" s="7">
        <f>HYPERLINK("https://www.tradingview.com/chart/tioZvgwv/?symbol=NSE%3ARAMCOCEM&amp;interval=", "&amp;#128200;")</f>
      </c>
      <c r="G166" s="7">
        <f>HYPERLINK("https://www.tradingview.com/symbols/NSE-RAMCOCEM/news/", "&amp;#128240;")</f>
      </c>
      <c r="H166" s="7">
        <f>HYPERLINK("https://www.tradingview.com/symbols/NSE-RAMCOCEM/technicals/", "&amp;#128202;")</f>
      </c>
      <c r="I166" s="7">
        <f>HYPERLINK("https://www.tradingview.com/symbols/NSE-RAMCOCEM/financials-overview/", "&amp;#128194;")</f>
      </c>
      <c r="J166" s="4" t="s">
        <v>11</v>
      </c>
      <c r="K166" s="5">
        <v>-2.444747612551157</v>
      </c>
    </row>
    <row x14ac:dyDescent="0.25" r="167" customHeight="1" ht="18.75">
      <c r="A167" s="4" t="s">
        <v>189</v>
      </c>
      <c r="B167" s="5">
        <v>153.54</v>
      </c>
      <c r="C167" s="6">
        <v>151</v>
      </c>
      <c r="D167" s="5">
        <v>154.21</v>
      </c>
      <c r="E167" s="5">
        <v>151.28</v>
      </c>
      <c r="F167" s="7">
        <f>HYPERLINK("https://www.tradingview.com/chart/tioZvgwv/?symbol=NSE%3ARBLBANK&amp;interval=", "&amp;#128200;")</f>
      </c>
      <c r="G167" s="7">
        <f>HYPERLINK("https://www.tradingview.com/symbols/NSE-RBLBANK/news/", "&amp;#128240;")</f>
      </c>
      <c r="H167" s="7">
        <f>HYPERLINK("https://www.tradingview.com/symbols/NSE-RBLBANK/technicals/", "&amp;#128202;")</f>
      </c>
      <c r="I167" s="7">
        <f>HYPERLINK("https://www.tradingview.com/symbols/NSE-RBLBANK/financials-overview/", "&amp;#128194;")</f>
      </c>
      <c r="J167" s="4" t="s">
        <v>11</v>
      </c>
      <c r="K167" s="5">
        <v>-1.900006484663775</v>
      </c>
    </row>
    <row x14ac:dyDescent="0.25" r="168" customHeight="1" ht="18.75">
      <c r="A168" s="4" t="s">
        <v>191</v>
      </c>
      <c r="B168" s="5">
        <v>1241.4</v>
      </c>
      <c r="C168" s="5">
        <v>1226.4</v>
      </c>
      <c r="D168" s="5">
        <v>1241.9</v>
      </c>
      <c r="E168" s="5">
        <v>1236.7</v>
      </c>
      <c r="F168" s="7">
        <f>HYPERLINK("https://www.tradingview.com/chart/tioZvgwv/?symbol=NSE%3ARELIANCE&amp;interval=", "&amp;#128200;")</f>
      </c>
      <c r="G168" s="7">
        <f>HYPERLINK("https://www.tradingview.com/symbols/NSE-RELIANCE/news/", "&amp;#128240;")</f>
      </c>
      <c r="H168" s="7">
        <f>HYPERLINK("https://www.tradingview.com/symbols/NSE-RELIANCE/technicals/", "&amp;#128202;")</f>
      </c>
      <c r="I168" s="7">
        <f>HYPERLINK("https://www.tradingview.com/symbols/NSE-RELIANCE/financials-overview/", "&amp;#128194;")</f>
      </c>
      <c r="J168" s="4" t="s">
        <v>11</v>
      </c>
      <c r="K168" s="5">
        <v>-0.4187132619373578</v>
      </c>
    </row>
    <row x14ac:dyDescent="0.25" r="169" customHeight="1" ht="18.75">
      <c r="A169" s="4" t="s">
        <v>192</v>
      </c>
      <c r="B169" s="5">
        <v>105.5</v>
      </c>
      <c r="C169" s="5">
        <v>102.7</v>
      </c>
      <c r="D169" s="5">
        <v>106.03</v>
      </c>
      <c r="E169" s="5">
        <v>102.87</v>
      </c>
      <c r="F169" s="7">
        <f>HYPERLINK("https://www.tradingview.com/chart/tioZvgwv/?symbol=NSE%3ASAIL&amp;interval=", "&amp;#128200;")</f>
      </c>
      <c r="G169" s="7">
        <f>HYPERLINK("https://www.tradingview.com/symbols/NSE-SAIL/news/", "&amp;#128240;")</f>
      </c>
      <c r="H169" s="7">
        <f>HYPERLINK("https://www.tradingview.com/symbols/NSE-SAIL/technicals/", "&amp;#128202;")</f>
      </c>
      <c r="I169" s="7">
        <f>HYPERLINK("https://www.tradingview.com/symbols/NSE-SAIL/financials-overview/", "&amp;#128194;")</f>
      </c>
      <c r="J169" s="4" t="s">
        <v>11</v>
      </c>
      <c r="K169" s="5">
        <v>-2.980288597566723</v>
      </c>
    </row>
    <row x14ac:dyDescent="0.25" r="170" customHeight="1" ht="18.75">
      <c r="A170" s="4" t="s">
        <v>193</v>
      </c>
      <c r="B170" s="5">
        <v>716.2</v>
      </c>
      <c r="C170" s="5">
        <v>705.55</v>
      </c>
      <c r="D170" s="5">
        <v>722.55</v>
      </c>
      <c r="E170" s="5">
        <v>706.9</v>
      </c>
      <c r="F170" s="7">
        <f>HYPERLINK("https://www.tradingview.com/chart/tioZvgwv/?symbol=NSE%3ASBICARD&amp;interval=", "&amp;#128200;")</f>
      </c>
      <c r="G170" s="7">
        <f>HYPERLINK("https://www.tradingview.com/symbols/NSE-SBICARD/news/", "&amp;#128240;")</f>
      </c>
      <c r="H170" s="7">
        <f>HYPERLINK("https://www.tradingview.com/symbols/NSE-SBICARD/technicals/", "&amp;#128202;")</f>
      </c>
      <c r="I170" s="7">
        <f>HYPERLINK("https://www.tradingview.com/symbols/NSE-SBICARD/financials-overview/", "&amp;#128194;")</f>
      </c>
      <c r="J170" s="4" t="s">
        <v>11</v>
      </c>
      <c r="K170" s="5">
        <v>-2.165940073351322</v>
      </c>
    </row>
    <row x14ac:dyDescent="0.25" r="171" customHeight="1" ht="18.75">
      <c r="A171" s="4" t="s">
        <v>194</v>
      </c>
      <c r="B171" s="5">
        <v>1478.3</v>
      </c>
      <c r="C171" s="5">
        <v>1445.65</v>
      </c>
      <c r="D171" s="5">
        <v>1478.3</v>
      </c>
      <c r="E171" s="5">
        <v>1465.75</v>
      </c>
      <c r="F171" s="7">
        <f>HYPERLINK("https://www.tradingview.com/chart/tioZvgwv/?symbol=NSE%3ASBILIFE&amp;interval=", "&amp;#128200;")</f>
      </c>
      <c r="G171" s="7">
        <f>HYPERLINK("https://www.tradingview.com/symbols/NSE-SBILIFE/news/", "&amp;#128240;")</f>
      </c>
      <c r="H171" s="7">
        <f>HYPERLINK("https://www.tradingview.com/symbols/NSE-SBILIFE/technicals/", "&amp;#128202;")</f>
      </c>
      <c r="I171" s="7">
        <f>HYPERLINK("https://www.tradingview.com/symbols/NSE-SBILIFE/financials-overview/", "&amp;#128194;")</f>
      </c>
      <c r="J171" s="4" t="s">
        <v>11</v>
      </c>
      <c r="K171" s="5">
        <v>-0.8489481160792771</v>
      </c>
    </row>
    <row x14ac:dyDescent="0.25" r="172" customHeight="1" ht="18.75">
      <c r="A172" s="4" t="s">
        <v>195</v>
      </c>
      <c r="B172" s="5">
        <v>743.95</v>
      </c>
      <c r="C172" s="6">
        <v>731</v>
      </c>
      <c r="D172" s="5">
        <v>743.25</v>
      </c>
      <c r="E172" s="5">
        <v>738.85</v>
      </c>
      <c r="F172" s="7">
        <f>HYPERLINK("https://www.tradingview.com/chart/tioZvgwv/?symbol=NSE%3ASBIN&amp;interval=", "&amp;#128200;")</f>
      </c>
      <c r="G172" s="7">
        <f>HYPERLINK("https://www.tradingview.com/symbols/NSE-SBIN/news/", "&amp;#128240;")</f>
      </c>
      <c r="H172" s="7">
        <f>HYPERLINK("https://www.tradingview.com/symbols/NSE-SBIN/technicals/", "&amp;#128202;")</f>
      </c>
      <c r="I172" s="7">
        <f>HYPERLINK("https://www.tradingview.com/symbols/NSE-SBIN/financials-overview/", "&amp;#128194;")</f>
      </c>
      <c r="J172" s="4" t="s">
        <v>11</v>
      </c>
      <c r="K172" s="5">
        <v>-0.5919946182307403</v>
      </c>
    </row>
    <row x14ac:dyDescent="0.25" r="173" customHeight="1" ht="18.75">
      <c r="A173" s="4" t="s">
        <v>196</v>
      </c>
      <c r="B173" s="5">
        <v>25499.9</v>
      </c>
      <c r="C173" s="6">
        <v>25001</v>
      </c>
      <c r="D173" s="5">
        <v>25738.3</v>
      </c>
      <c r="E173" s="5">
        <v>25019.8</v>
      </c>
      <c r="F173" s="7">
        <f>HYPERLINK("https://www.tradingview.com/chart/tioZvgwv/?symbol=NSE%3ASHREECEM&amp;interval=", "&amp;#128200;")</f>
      </c>
      <c r="G173" s="7">
        <f>HYPERLINK("https://www.tradingview.com/symbols/NSE-SHREECEM/news/", "&amp;#128240;")</f>
      </c>
      <c r="H173" s="7">
        <f>HYPERLINK("https://www.tradingview.com/symbols/NSE-SHREECEM/technicals/", "&amp;#128202;")</f>
      </c>
      <c r="I173" s="7">
        <f>HYPERLINK("https://www.tradingview.com/symbols/NSE-SHREECEM/financials-overview/", "&amp;#128194;")</f>
      </c>
      <c r="J173" s="4" t="s">
        <v>11</v>
      </c>
      <c r="K173" s="5">
        <v>-2.791559660117413</v>
      </c>
    </row>
    <row x14ac:dyDescent="0.25" r="174" customHeight="1" ht="18.75">
      <c r="A174" s="4" t="s">
        <v>198</v>
      </c>
      <c r="B174" s="5">
        <v>6079.45</v>
      </c>
      <c r="C174" s="6">
        <v>5945</v>
      </c>
      <c r="D174" s="5">
        <v>6104.8</v>
      </c>
      <c r="E174" s="5">
        <v>5953.2</v>
      </c>
      <c r="F174" s="7">
        <f>HYPERLINK("https://www.tradingview.com/chart/tioZvgwv/?symbol=NSE%3ASIEMENS&amp;interval=", "&amp;#128200;")</f>
      </c>
      <c r="G174" s="7">
        <f>HYPERLINK("https://www.tradingview.com/symbols/NSE-SIEMENS/news/", "&amp;#128240;")</f>
      </c>
      <c r="H174" s="7">
        <f>HYPERLINK("https://www.tradingview.com/symbols/NSE-SIEMENS/technicals/", "&amp;#128202;")</f>
      </c>
      <c r="I174" s="7">
        <f>HYPERLINK("https://www.tradingview.com/symbols/NSE-SIEMENS/financials-overview/", "&amp;#128194;")</f>
      </c>
      <c r="J174" s="4" t="s">
        <v>11</v>
      </c>
      <c r="K174" s="5">
        <v>-2.483291835932387</v>
      </c>
    </row>
    <row x14ac:dyDescent="0.25" r="175" customHeight="1" ht="18.75">
      <c r="A175" s="4" t="s">
        <v>199</v>
      </c>
      <c r="B175" s="5">
        <v>96.96</v>
      </c>
      <c r="C175" s="6">
        <v>94</v>
      </c>
      <c r="D175" s="5">
        <v>96.92</v>
      </c>
      <c r="E175" s="5">
        <v>94.15</v>
      </c>
      <c r="F175" s="7">
        <f>HYPERLINK("https://www.tradingview.com/chart/tioZvgwv/?symbol=NSE%3ASJVN&amp;interval=", "&amp;#128200;")</f>
      </c>
      <c r="G175" s="7">
        <f>HYPERLINK("https://www.tradingview.com/symbols/NSE-SJVN/news/", "&amp;#128240;")</f>
      </c>
      <c r="H175" s="7">
        <f>HYPERLINK("https://www.tradingview.com/symbols/NSE-SJVN/technicals/", "&amp;#128202;")</f>
      </c>
      <c r="I175" s="7">
        <f>HYPERLINK("https://www.tradingview.com/symbols/NSE-SJVN/financials-overview/", "&amp;#128194;")</f>
      </c>
      <c r="J175" s="4" t="s">
        <v>11</v>
      </c>
      <c r="K175" s="5">
        <v>-2.858027238959963</v>
      </c>
    </row>
    <row x14ac:dyDescent="0.25" r="176" customHeight="1" ht="18.75">
      <c r="A176" s="4" t="s">
        <v>200</v>
      </c>
      <c r="B176" s="5">
        <v>571.7</v>
      </c>
      <c r="C176" s="5">
        <v>556.25</v>
      </c>
      <c r="D176" s="5">
        <v>569.55</v>
      </c>
      <c r="E176" s="5">
        <v>568.4</v>
      </c>
      <c r="F176" s="7">
        <f>HYPERLINK("https://www.tradingview.com/chart/tioZvgwv/?symbol=NSE%3ASONACOMS&amp;interval=", "&amp;#128200;")</f>
      </c>
      <c r="G176" s="7">
        <f>HYPERLINK("https://www.tradingview.com/symbols/NSE-SONACOMS/news/", "&amp;#128240;")</f>
      </c>
      <c r="H176" s="7">
        <f>HYPERLINK("https://www.tradingview.com/symbols/NSE-SONACOMS/technicals/", "&amp;#128202;")</f>
      </c>
      <c r="I176" s="7">
        <f>HYPERLINK("https://www.tradingview.com/symbols/NSE-SONACOMS/financials-overview/", "&amp;#128194;")</f>
      </c>
      <c r="J176" s="4" t="s">
        <v>11</v>
      </c>
      <c r="K176" s="5">
        <v>-0.2019137915898477</v>
      </c>
    </row>
    <row x14ac:dyDescent="0.25" r="177" customHeight="1" ht="18.75">
      <c r="A177" s="4" t="s">
        <v>201</v>
      </c>
      <c r="B177" s="5">
        <v>2597.5</v>
      </c>
      <c r="C177" s="5">
        <v>2526.1</v>
      </c>
      <c r="D177" s="5">
        <v>2601.1</v>
      </c>
      <c r="E177" s="5">
        <v>2541.55</v>
      </c>
      <c r="F177" s="7">
        <f>HYPERLINK("https://www.tradingview.com/chart/tioZvgwv/?symbol=NSE%3ASRF&amp;interval=", "&amp;#128200;")</f>
      </c>
      <c r="G177" s="7">
        <f>HYPERLINK("https://www.tradingview.com/symbols/NSE-SRF/news/", "&amp;#128240;")</f>
      </c>
      <c r="H177" s="7">
        <f>HYPERLINK("https://www.tradingview.com/symbols/NSE-SRF/technicals/", "&amp;#128202;")</f>
      </c>
      <c r="I177" s="7">
        <f>HYPERLINK("https://www.tradingview.com/symbols/NSE-SRF/financials-overview/", "&amp;#128194;")</f>
      </c>
      <c r="J177" s="4" t="s">
        <v>11</v>
      </c>
      <c r="K177" s="5">
        <v>-2.289416016300785</v>
      </c>
    </row>
    <row x14ac:dyDescent="0.25" r="178" customHeight="1" ht="18.75">
      <c r="A178" s="4" t="s">
        <v>202</v>
      </c>
      <c r="B178" s="5">
        <v>1785.55</v>
      </c>
      <c r="C178" s="5">
        <v>1755.1</v>
      </c>
      <c r="D178" s="5">
        <v>1784.8</v>
      </c>
      <c r="E178" s="5">
        <v>1757.3</v>
      </c>
      <c r="F178" s="7">
        <f>HYPERLINK("https://www.tradingview.com/chart/tioZvgwv/?symbol=NSE%3ASUNPHARMA&amp;interval=", "&amp;#128200;")</f>
      </c>
      <c r="G178" s="7">
        <f>HYPERLINK("https://www.tradingview.com/symbols/NSE-SUNPHARMA/news/", "&amp;#128240;")</f>
      </c>
      <c r="H178" s="7">
        <f>HYPERLINK("https://www.tradingview.com/symbols/NSE-SUNPHARMA/technicals/", "&amp;#128202;")</f>
      </c>
      <c r="I178" s="7">
        <f>HYPERLINK("https://www.tradingview.com/symbols/NSE-SUNPHARMA/financials-overview/", "&amp;#128194;")</f>
      </c>
      <c r="J178" s="4" t="s">
        <v>11</v>
      </c>
      <c r="K178" s="5">
        <v>-1.540788883908561</v>
      </c>
    </row>
    <row x14ac:dyDescent="0.25" r="179" customHeight="1" ht="18.75">
      <c r="A179" s="4" t="s">
        <v>203</v>
      </c>
      <c r="B179" s="5">
        <v>667.55</v>
      </c>
      <c r="C179" s="5">
        <v>650.35</v>
      </c>
      <c r="D179" s="5">
        <v>670.2</v>
      </c>
      <c r="E179" s="5">
        <v>651.6</v>
      </c>
      <c r="F179" s="7">
        <f>HYPERLINK("https://www.tradingview.com/chart/tioZvgwv/?symbol=NSE%3ASUNTV&amp;interval=", "&amp;#128200;")</f>
      </c>
      <c r="G179" s="7">
        <f>HYPERLINK("https://www.tradingview.com/symbols/NSE-SUNTV/news/", "&amp;#128240;")</f>
      </c>
      <c r="H179" s="7">
        <f>HYPERLINK("https://www.tradingview.com/symbols/NSE-SUNTV/technicals/", "&amp;#128202;")</f>
      </c>
      <c r="I179" s="7">
        <f>HYPERLINK("https://www.tradingview.com/symbols/NSE-SUNTV/financials-overview/", "&amp;#128194;")</f>
      </c>
      <c r="J179" s="4" t="s">
        <v>11</v>
      </c>
      <c r="K179" s="5">
        <v>-2.775290957923011</v>
      </c>
    </row>
    <row x14ac:dyDescent="0.25" r="180" customHeight="1" ht="18.75">
      <c r="A180" s="4" t="s">
        <v>204</v>
      </c>
      <c r="B180" s="5">
        <v>4503.9</v>
      </c>
      <c r="C180" s="5">
        <v>4361.3</v>
      </c>
      <c r="D180" s="5">
        <v>4544.85</v>
      </c>
      <c r="E180" s="5">
        <v>4364.35</v>
      </c>
      <c r="F180" s="7">
        <f>HYPERLINK("https://www.tradingview.com/chart/tioZvgwv/?symbol=NSE%3ASUPREMEIND&amp;interval=", "&amp;#128200;")</f>
      </c>
      <c r="G180" s="7">
        <f>HYPERLINK("https://www.tradingview.com/symbols/NSE-SUPREMEIND/news/", "&amp;#128240;")</f>
      </c>
      <c r="H180" s="7">
        <f>HYPERLINK("https://www.tradingview.com/symbols/NSE-SUPREMEIND/technicals/", "&amp;#128202;")</f>
      </c>
      <c r="I180" s="7">
        <f>HYPERLINK("https://www.tradingview.com/symbols/NSE-SUPREMEIND/financials-overview/", "&amp;#128194;")</f>
      </c>
      <c r="J180" s="4" t="s">
        <v>11</v>
      </c>
      <c r="K180" s="5">
        <v>-3.971528213252362</v>
      </c>
    </row>
    <row x14ac:dyDescent="0.25" r="181" customHeight="1" ht="18.75">
      <c r="A181" s="4" t="s">
        <v>205</v>
      </c>
      <c r="B181" s="5">
        <v>856.15</v>
      </c>
      <c r="C181" s="5">
        <v>813.4</v>
      </c>
      <c r="D181" s="5">
        <v>859.8</v>
      </c>
      <c r="E181" s="5">
        <v>815.15</v>
      </c>
      <c r="F181" s="7">
        <f>HYPERLINK("https://www.tradingview.com/chart/tioZvgwv/?symbol=NSE%3ASYNGENE&amp;interval=", "&amp;#128200;")</f>
      </c>
      <c r="G181" s="7">
        <f>HYPERLINK("https://www.tradingview.com/symbols/NSE-SYNGENE/news/", "&amp;#128240;")</f>
      </c>
      <c r="H181" s="7">
        <f>HYPERLINK("https://www.tradingview.com/symbols/NSE-SYNGENE/technicals/", "&amp;#128202;")</f>
      </c>
      <c r="I181" s="7">
        <f>HYPERLINK("https://www.tradingview.com/symbols/NSE-SYNGENE/financials-overview/", "&amp;#128194;")</f>
      </c>
      <c r="J181" s="4" t="s">
        <v>11</v>
      </c>
      <c r="K181" s="5">
        <v>-5.193068155384971</v>
      </c>
    </row>
    <row x14ac:dyDescent="0.25" r="182" customHeight="1" ht="18.75">
      <c r="A182" s="4" t="s">
        <v>206</v>
      </c>
      <c r="B182" s="5">
        <v>972.3</v>
      </c>
      <c r="C182" s="6">
        <v>963</v>
      </c>
      <c r="D182" s="5">
        <v>977.75</v>
      </c>
      <c r="E182" s="5">
        <v>967.4</v>
      </c>
      <c r="F182" s="7">
        <f>HYPERLINK("https://www.tradingview.com/chart/tioZvgwv/?symbol=NSE%3ATATACHEM&amp;interval=", "&amp;#128200;")</f>
      </c>
      <c r="G182" s="7">
        <f>HYPERLINK("https://www.tradingview.com/symbols/NSE-TATACHEM/news/", "&amp;#128240;")</f>
      </c>
      <c r="H182" s="7">
        <f>HYPERLINK("https://www.tradingview.com/symbols/NSE-TATACHEM/technicals/", "&amp;#128202;")</f>
      </c>
      <c r="I182" s="7">
        <f>HYPERLINK("https://www.tradingview.com/symbols/NSE-TATACHEM/financials-overview/", "&amp;#128194;")</f>
      </c>
      <c r="J182" s="4" t="s">
        <v>11</v>
      </c>
      <c r="K182" s="5">
        <v>-1.058552799795451</v>
      </c>
    </row>
    <row x14ac:dyDescent="0.25" r="183" customHeight="1" ht="18.75">
      <c r="A183" s="4" t="s">
        <v>207</v>
      </c>
      <c r="B183" s="5">
        <v>1706.9</v>
      </c>
      <c r="C183" s="5">
        <v>1661.05</v>
      </c>
      <c r="D183" s="5">
        <v>1718.9</v>
      </c>
      <c r="E183" s="5">
        <v>1663.45</v>
      </c>
      <c r="F183" s="7">
        <f>HYPERLINK("https://www.tradingview.com/chart/tioZvgwv/?symbol=NSE%3ATATACOMM&amp;interval=", "&amp;#128200;")</f>
      </c>
      <c r="G183" s="7">
        <f>HYPERLINK("https://www.tradingview.com/symbols/NSE-TATACOMM/news/", "&amp;#128240;")</f>
      </c>
      <c r="H183" s="7">
        <f>HYPERLINK("https://www.tradingview.com/symbols/NSE-TATACOMM/technicals/", "&amp;#128202;")</f>
      </c>
      <c r="I183" s="7">
        <f>HYPERLINK("https://www.tradingview.com/symbols/NSE-TATACOMM/financials-overview/", "&amp;#128194;")</f>
      </c>
      <c r="J183" s="4" t="s">
        <v>11</v>
      </c>
      <c r="K183" s="5">
        <v>-3.225900285066033</v>
      </c>
    </row>
    <row x14ac:dyDescent="0.25" r="184" customHeight="1" ht="18.75">
      <c r="A184" s="4" t="s">
        <v>208</v>
      </c>
      <c r="B184" s="5">
        <v>968.9</v>
      </c>
      <c r="C184" s="6">
        <v>945</v>
      </c>
      <c r="D184" s="5">
        <v>972.8</v>
      </c>
      <c r="E184" s="5">
        <v>965.5</v>
      </c>
      <c r="F184" s="7">
        <f>HYPERLINK("https://www.tradingview.com/chart/tioZvgwv/?symbol=NSE%3ATATACONSUM&amp;interval=", "&amp;#128200;")</f>
      </c>
      <c r="G184" s="7">
        <f>HYPERLINK("https://www.tradingview.com/symbols/NSE-TATACONSUM/news/", "&amp;#128240;")</f>
      </c>
      <c r="H184" s="7">
        <f>HYPERLINK("https://www.tradingview.com/symbols/NSE-TATACONSUM/technicals/", "&amp;#128202;")</f>
      </c>
      <c r="I184" s="7">
        <f>HYPERLINK("https://www.tradingview.com/symbols/NSE-TATACONSUM/financials-overview/", "&amp;#128194;")</f>
      </c>
      <c r="J184" s="4" t="s">
        <v>11</v>
      </c>
      <c r="K184" s="5">
        <v>-0.7504111842105217</v>
      </c>
    </row>
    <row x14ac:dyDescent="0.25" r="185" customHeight="1" ht="18.75">
      <c r="A185" s="4" t="s">
        <v>210</v>
      </c>
      <c r="B185" s="5">
        <v>773.55</v>
      </c>
      <c r="C185" s="5">
        <v>758.65</v>
      </c>
      <c r="D185" s="5">
        <v>774.65</v>
      </c>
      <c r="E185" s="6">
        <v>764</v>
      </c>
      <c r="F185" s="7">
        <f>HYPERLINK("https://www.tradingview.com/chart/tioZvgwv/?symbol=NSE%3ATATAMOTORS&amp;interval=", "&amp;#128200;")</f>
      </c>
      <c r="G185" s="7">
        <f>HYPERLINK("https://www.tradingview.com/symbols/NSE-TATAMOTORS/news/", "&amp;#128240;")</f>
      </c>
      <c r="H185" s="7">
        <f>HYPERLINK("https://www.tradingview.com/symbols/NSE-TATAMOTORS/technicals/", "&amp;#128202;")</f>
      </c>
      <c r="I185" s="7">
        <f>HYPERLINK("https://www.tradingview.com/symbols/NSE-TATAMOTORS/financials-overview/", "&amp;#128194;")</f>
      </c>
      <c r="J185" s="4" t="s">
        <v>11</v>
      </c>
      <c r="K185" s="5">
        <v>-1.374814432324273</v>
      </c>
    </row>
    <row x14ac:dyDescent="0.25" r="186" customHeight="1" ht="18.75">
      <c r="A186" s="4" t="s">
        <v>211</v>
      </c>
      <c r="B186" s="5">
        <v>354.85</v>
      </c>
      <c r="C186" s="5">
        <v>348.35</v>
      </c>
      <c r="D186" s="5">
        <v>356.35</v>
      </c>
      <c r="E186" s="5">
        <v>349.2</v>
      </c>
      <c r="F186" s="7">
        <f>HYPERLINK("https://www.tradingview.com/chart/tioZvgwv/?symbol=NSE%3ATATAPOWER&amp;interval=", "&amp;#128200;")</f>
      </c>
      <c r="G186" s="7">
        <f>HYPERLINK("https://www.tradingview.com/symbols/NSE-TATAPOWER/news/", "&amp;#128240;")</f>
      </c>
      <c r="H186" s="7">
        <f>HYPERLINK("https://www.tradingview.com/symbols/NSE-TATAPOWER/technicals/", "&amp;#128202;")</f>
      </c>
      <c r="I186" s="7">
        <f>HYPERLINK("https://www.tradingview.com/symbols/NSE-TATAPOWER/financials-overview/", "&amp;#128194;")</f>
      </c>
      <c r="J186" s="4" t="s">
        <v>11</v>
      </c>
      <c r="K186" s="5">
        <v>-2.006454328609522</v>
      </c>
    </row>
    <row x14ac:dyDescent="0.25" r="187" customHeight="1" ht="18.75">
      <c r="A187" s="4" t="s">
        <v>212</v>
      </c>
      <c r="B187" s="5">
        <v>126.5</v>
      </c>
      <c r="C187" s="5">
        <v>124.18</v>
      </c>
      <c r="D187" s="5">
        <v>127.43</v>
      </c>
      <c r="E187" s="5">
        <v>124.24</v>
      </c>
      <c r="F187" s="7">
        <f>HYPERLINK("https://www.tradingview.com/chart/tioZvgwv/?symbol=NSE%3ATATASTEEL&amp;interval=", "&amp;#128200;")</f>
      </c>
      <c r="G187" s="7">
        <f>HYPERLINK("https://www.tradingview.com/symbols/NSE-TATASTEEL/news/", "&amp;#128240;")</f>
      </c>
      <c r="H187" s="7">
        <f>HYPERLINK("https://www.tradingview.com/symbols/NSE-TATASTEEL/technicals/", "&amp;#128202;")</f>
      </c>
      <c r="I187" s="7">
        <f>HYPERLINK("https://www.tradingview.com/symbols/NSE-TATASTEEL/financials-overview/", "&amp;#128194;")</f>
      </c>
      <c r="J187" s="4" t="s">
        <v>11</v>
      </c>
      <c r="K187" s="5">
        <v>-2.503335164403996</v>
      </c>
    </row>
    <row x14ac:dyDescent="0.25" r="188" customHeight="1" ht="18.75">
      <c r="A188" s="4" t="s">
        <v>214</v>
      </c>
      <c r="B188" s="6">
        <v>1701</v>
      </c>
      <c r="C188" s="5">
        <v>1670.05</v>
      </c>
      <c r="D188" s="5">
        <v>1705.6</v>
      </c>
      <c r="E188" s="5">
        <v>1671.45</v>
      </c>
      <c r="F188" s="7">
        <f>HYPERLINK("https://www.tradingview.com/chart/tioZvgwv/?symbol=NSE%3ATECHM&amp;interval=", "&amp;#128200;")</f>
      </c>
      <c r="G188" s="7">
        <f>HYPERLINK("https://www.tradingview.com/symbols/NSE-TECHM/news/", "&amp;#128240;")</f>
      </c>
      <c r="H188" s="7">
        <f>HYPERLINK("https://www.tradingview.com/symbols/NSE-TECHM/technicals/", "&amp;#128202;")</f>
      </c>
      <c r="I188" s="7">
        <f>HYPERLINK("https://www.tradingview.com/symbols/NSE-TECHM/financials-overview/", "&amp;#128194;")</f>
      </c>
      <c r="J188" s="4" t="s">
        <v>11</v>
      </c>
      <c r="K188" s="5">
        <v>-2.00222795497185</v>
      </c>
    </row>
    <row x14ac:dyDescent="0.25" r="189" customHeight="1" ht="18.75">
      <c r="A189" s="4" t="s">
        <v>215</v>
      </c>
      <c r="B189" s="5">
        <v>3448.3</v>
      </c>
      <c r="C189" s="6">
        <v>3315</v>
      </c>
      <c r="D189" s="5">
        <v>3454.5</v>
      </c>
      <c r="E189" s="5">
        <v>3320.15</v>
      </c>
      <c r="F189" s="7">
        <f>HYPERLINK("https://www.tradingview.com/chart/tioZvgwv/?symbol=NSE%3ATIINDIA&amp;interval=", "&amp;#128200;")</f>
      </c>
      <c r="G189" s="7">
        <f>HYPERLINK("https://www.tradingview.com/symbols/NSE-TIINDIA/news/", "&amp;#128240;")</f>
      </c>
      <c r="H189" s="7">
        <f>HYPERLINK("https://www.tradingview.com/symbols/NSE-TIINDIA/technicals/", "&amp;#128202;")</f>
      </c>
      <c r="I189" s="7">
        <f>HYPERLINK("https://www.tradingview.com/symbols/NSE-TIINDIA/financials-overview/", "&amp;#128194;")</f>
      </c>
      <c r="J189" s="4" t="s">
        <v>11</v>
      </c>
      <c r="K189" s="5">
        <v>-3.889130120133157</v>
      </c>
    </row>
    <row x14ac:dyDescent="0.25" r="190" customHeight="1" ht="18.75">
      <c r="A190" s="4" t="s">
        <v>216</v>
      </c>
      <c r="B190" s="6">
        <v>3467</v>
      </c>
      <c r="C190" s="5">
        <v>3352.5</v>
      </c>
      <c r="D190" s="5">
        <v>3440.25</v>
      </c>
      <c r="E190" s="6">
        <v>3422</v>
      </c>
      <c r="F190" s="7">
        <f>HYPERLINK("https://www.tradingview.com/chart/tioZvgwv/?symbol=NSE%3ATITAN&amp;interval=", "&amp;#128200;")</f>
      </c>
      <c r="G190" s="7">
        <f>HYPERLINK("https://www.tradingview.com/symbols/NSE-TITAN/news/", "&amp;#128240;")</f>
      </c>
      <c r="H190" s="7">
        <f>HYPERLINK("https://www.tradingview.com/symbols/NSE-TITAN/technicals/", "&amp;#128202;")</f>
      </c>
      <c r="I190" s="7">
        <f>HYPERLINK("https://www.tradingview.com/symbols/NSE-TITAN/financials-overview/", "&amp;#128194;")</f>
      </c>
      <c r="J190" s="4" t="s">
        <v>11</v>
      </c>
      <c r="K190" s="5">
        <v>-0.5304847031465737</v>
      </c>
    </row>
    <row x14ac:dyDescent="0.25" r="191" customHeight="1" ht="18.75">
      <c r="A191" s="4" t="s">
        <v>217</v>
      </c>
      <c r="B191" s="5">
        <v>3294.15</v>
      </c>
      <c r="C191" s="5">
        <v>3234.25</v>
      </c>
      <c r="D191" s="5">
        <v>3274.45</v>
      </c>
      <c r="E191" s="5">
        <v>3240.1</v>
      </c>
      <c r="F191" s="7">
        <f>HYPERLINK("https://www.tradingview.com/chart/tioZvgwv/?symbol=NSE%3ATORNTPHARM&amp;interval=", "&amp;#128200;")</f>
      </c>
      <c r="G191" s="7">
        <f>HYPERLINK("https://www.tradingview.com/symbols/NSE-TORNTPHARM/news/", "&amp;#128240;")</f>
      </c>
      <c r="H191" s="7">
        <f>HYPERLINK("https://www.tradingview.com/symbols/NSE-TORNTPHARM/technicals/", "&amp;#128202;")</f>
      </c>
      <c r="I191" s="7">
        <f>HYPERLINK("https://www.tradingview.com/symbols/NSE-TORNTPHARM/financials-overview/", "&amp;#128194;")</f>
      </c>
      <c r="J191" s="4" t="s">
        <v>11</v>
      </c>
      <c r="K191" s="5">
        <v>-1.049031134999768</v>
      </c>
    </row>
    <row x14ac:dyDescent="0.25" r="192" customHeight="1" ht="18.75">
      <c r="A192" s="4" t="s">
        <v>218</v>
      </c>
      <c r="B192" s="5">
        <v>6523.85</v>
      </c>
      <c r="C192" s="5">
        <v>6263.1</v>
      </c>
      <c r="D192" s="5">
        <v>6584.1</v>
      </c>
      <c r="E192" s="5">
        <v>6270.8</v>
      </c>
      <c r="F192" s="7">
        <f>HYPERLINK("https://www.tradingview.com/chart/tioZvgwv/?symbol=NSE%3ATRENT&amp;interval=", "&amp;#128200;")</f>
      </c>
      <c r="G192" s="7">
        <f>HYPERLINK("https://www.tradingview.com/symbols/NSE-TRENT/news/", "&amp;#128240;")</f>
      </c>
      <c r="H192" s="7">
        <f>HYPERLINK("https://www.tradingview.com/symbols/NSE-TRENT/technicals/", "&amp;#128202;")</f>
      </c>
      <c r="I192" s="7">
        <f>HYPERLINK("https://www.tradingview.com/symbols/NSE-TRENT/financials-overview/", "&amp;#128194;")</f>
      </c>
      <c r="J192" s="4" t="s">
        <v>11</v>
      </c>
      <c r="K192" s="5">
        <v>-4.758433195121584</v>
      </c>
    </row>
    <row x14ac:dyDescent="0.25" r="193" customHeight="1" ht="18.75">
      <c r="A193" s="4" t="s">
        <v>219</v>
      </c>
      <c r="B193" s="5">
        <v>2278.25</v>
      </c>
      <c r="C193" s="5">
        <v>2210.65</v>
      </c>
      <c r="D193" s="5">
        <v>2283.25</v>
      </c>
      <c r="E193" s="5">
        <v>2218.6</v>
      </c>
      <c r="F193" s="7">
        <f>HYPERLINK("https://www.tradingview.com/chart/tioZvgwv/?symbol=NSE%3ATVSMOTOR&amp;interval=", "&amp;#128200;")</f>
      </c>
      <c r="G193" s="7">
        <f>HYPERLINK("https://www.tradingview.com/symbols/NSE-TVSMOTOR/news/", "&amp;#128240;")</f>
      </c>
      <c r="H193" s="7">
        <f>HYPERLINK("https://www.tradingview.com/symbols/NSE-TVSMOTOR/technicals/", "&amp;#128202;")</f>
      </c>
      <c r="I193" s="7">
        <f>HYPERLINK("https://www.tradingview.com/symbols/NSE-TVSMOTOR/financials-overview/", "&amp;#128194;")</f>
      </c>
      <c r="J193" s="4" t="s">
        <v>11</v>
      </c>
      <c r="K193" s="5">
        <v>-2.83149020037228</v>
      </c>
    </row>
    <row x14ac:dyDescent="0.25" r="194" customHeight="1" ht="18.75">
      <c r="A194" s="4" t="s">
        <v>220</v>
      </c>
      <c r="B194" s="5">
        <v>2018.45</v>
      </c>
      <c r="C194" s="5">
        <v>1972.1</v>
      </c>
      <c r="D194" s="5">
        <v>2029.5</v>
      </c>
      <c r="E194" s="5">
        <v>1974.5</v>
      </c>
      <c r="F194" s="7">
        <f>HYPERLINK("https://www.tradingview.com/chart/tioZvgwv/?symbol=NSE%3AUBL&amp;interval=", "&amp;#128200;")</f>
      </c>
      <c r="G194" s="7">
        <f>HYPERLINK("https://www.tradingview.com/symbols/NSE-UBL/news/", "&amp;#128240;")</f>
      </c>
      <c r="H194" s="7">
        <f>HYPERLINK("https://www.tradingview.com/symbols/NSE-UBL/technicals/", "&amp;#128202;")</f>
      </c>
      <c r="I194" s="7">
        <f>HYPERLINK("https://www.tradingview.com/symbols/NSE-UBL/financials-overview/", "&amp;#128194;")</f>
      </c>
      <c r="J194" s="4" t="s">
        <v>11</v>
      </c>
      <c r="K194" s="5">
        <v>-2.710027100271003</v>
      </c>
    </row>
    <row x14ac:dyDescent="0.25" r="195" customHeight="1" ht="18.75">
      <c r="A195" s="4" t="s">
        <v>221</v>
      </c>
      <c r="B195" s="6">
        <v>10830</v>
      </c>
      <c r="C195" s="6">
        <v>10700</v>
      </c>
      <c r="D195" s="5">
        <v>10865.2</v>
      </c>
      <c r="E195" s="5">
        <v>10751.95</v>
      </c>
      <c r="F195" s="7">
        <f>HYPERLINK("https://www.tradingview.com/chart/tioZvgwv/?symbol=NSE%3AULTRACEMCO&amp;interval=", "&amp;#128200;")</f>
      </c>
      <c r="G195" s="7">
        <f>HYPERLINK("https://www.tradingview.com/symbols/NSE-ULTRACEMCO/news/", "&amp;#128240;")</f>
      </c>
      <c r="H195" s="7">
        <f>HYPERLINK("https://www.tradingview.com/symbols/NSE-ULTRACEMCO/technicals/", "&amp;#128202;")</f>
      </c>
      <c r="I195" s="7">
        <f>HYPERLINK("https://www.tradingview.com/symbols/NSE-ULTRACEMCO/financials-overview/", "&amp;#128194;")</f>
      </c>
      <c r="J195" s="4" t="s">
        <v>11</v>
      </c>
      <c r="K195" s="5">
        <v>-1.042318595147811</v>
      </c>
    </row>
    <row x14ac:dyDescent="0.25" r="196" customHeight="1" ht="18.75">
      <c r="A196" s="4" t="s">
        <v>222</v>
      </c>
      <c r="B196" s="5">
        <v>104.59</v>
      </c>
      <c r="C196" s="5">
        <v>101.63</v>
      </c>
      <c r="D196" s="5">
        <v>103.62</v>
      </c>
      <c r="E196" s="5">
        <v>103.2</v>
      </c>
      <c r="F196" s="7">
        <f>HYPERLINK("https://www.tradingview.com/chart/tioZvgwv/?symbol=NSE%3AUNIONBANK&amp;interval=", "&amp;#128200;")</f>
      </c>
      <c r="G196" s="7">
        <f>HYPERLINK("https://www.tradingview.com/symbols/NSE-UNIONBANK/news/", "&amp;#128240;")</f>
      </c>
      <c r="H196" s="7">
        <f>HYPERLINK("https://www.tradingview.com/symbols/NSE-UNIONBANK/technicals/", "&amp;#128202;")</f>
      </c>
      <c r="I196" s="7">
        <f>HYPERLINK("https://www.tradingview.com/symbols/NSE-UNIONBANK/financials-overview/", "&amp;#128194;")</f>
      </c>
      <c r="J196" s="4" t="s">
        <v>11</v>
      </c>
      <c r="K196" s="5">
        <v>-0.4053271569195153</v>
      </c>
    </row>
    <row x14ac:dyDescent="0.25" r="197" customHeight="1" ht="18.75">
      <c r="A197" s="4" t="s">
        <v>223</v>
      </c>
      <c r="B197" s="6">
        <v>549</v>
      </c>
      <c r="C197" s="6">
        <v>537</v>
      </c>
      <c r="D197" s="5">
        <v>548.85</v>
      </c>
      <c r="E197" s="5">
        <v>537.8</v>
      </c>
      <c r="F197" s="7">
        <f>HYPERLINK("https://www.tradingview.com/chart/tioZvgwv/?symbol=NSE%3AUPL&amp;interval=", "&amp;#128200;")</f>
      </c>
      <c r="G197" s="7">
        <f>HYPERLINK("https://www.tradingview.com/symbols/NSE-UPL/news/", "&amp;#128240;")</f>
      </c>
      <c r="H197" s="7">
        <f>HYPERLINK("https://www.tradingview.com/symbols/NSE-UPL/technicals/", "&amp;#128202;")</f>
      </c>
      <c r="I197" s="7">
        <f>HYPERLINK("https://www.tradingview.com/symbols/NSE-UPL/financials-overview/", "&amp;#128194;")</f>
      </c>
      <c r="J197" s="4" t="s">
        <v>11</v>
      </c>
      <c r="K197" s="5">
        <v>-2.013300537487486</v>
      </c>
    </row>
    <row x14ac:dyDescent="0.25" r="198" customHeight="1" ht="18.75">
      <c r="A198" s="4" t="s">
        <v>224</v>
      </c>
      <c r="B198" s="5">
        <v>591.35</v>
      </c>
      <c r="C198" s="5">
        <v>576.05</v>
      </c>
      <c r="D198" s="5">
        <v>596.55</v>
      </c>
      <c r="E198" s="5">
        <v>577.15</v>
      </c>
      <c r="F198" s="7">
        <f>HYPERLINK("https://www.tradingview.com/chart/tioZvgwv/?symbol=NSE%3AVBL&amp;interval=", "&amp;#128200;")</f>
      </c>
      <c r="G198" s="7">
        <f>HYPERLINK("https://www.tradingview.com/symbols/NSE-VBL/news/", "&amp;#128240;")</f>
      </c>
      <c r="H198" s="7">
        <f>HYPERLINK("https://www.tradingview.com/symbols/NSE-VBL/technicals/", "&amp;#128202;")</f>
      </c>
      <c r="I198" s="7">
        <f>HYPERLINK("https://www.tradingview.com/symbols/NSE-VBL/financials-overview/", "&amp;#128194;")</f>
      </c>
      <c r="J198" s="4" t="s">
        <v>11</v>
      </c>
      <c r="K198" s="5">
        <v>-3.2520325203252</v>
      </c>
    </row>
    <row x14ac:dyDescent="0.25" r="199" customHeight="1" ht="18.75">
      <c r="A199" s="4" t="s">
        <v>225</v>
      </c>
      <c r="B199" s="5">
        <v>428.8</v>
      </c>
      <c r="C199" s="5">
        <v>420.05</v>
      </c>
      <c r="D199" s="5">
        <v>432.15</v>
      </c>
      <c r="E199" s="5">
        <v>420.8</v>
      </c>
      <c r="F199" s="7">
        <f>HYPERLINK("https://www.tradingview.com/chart/tioZvgwv/?symbol=NSE%3AVEDL&amp;interval=", "&amp;#128200;")</f>
      </c>
      <c r="G199" s="7">
        <f>HYPERLINK("https://www.tradingview.com/symbols/NSE-VEDL/news/", "&amp;#128240;")</f>
      </c>
      <c r="H199" s="7">
        <f>HYPERLINK("https://www.tradingview.com/symbols/NSE-VEDL/technicals/", "&amp;#128202;")</f>
      </c>
      <c r="I199" s="7">
        <f>HYPERLINK("https://www.tradingview.com/symbols/NSE-VEDL/financials-overview/", "&amp;#128194;")</f>
      </c>
      <c r="J199" s="4" t="s">
        <v>11</v>
      </c>
      <c r="K199" s="5">
        <v>-2.626402869374052</v>
      </c>
    </row>
    <row x14ac:dyDescent="0.25" r="200" customHeight="1" ht="18.75">
      <c r="A200" s="4" t="s">
        <v>226</v>
      </c>
      <c r="B200" s="6">
        <v>1654</v>
      </c>
      <c r="C200" s="6">
        <v>1618</v>
      </c>
      <c r="D200" s="5">
        <v>1663.5</v>
      </c>
      <c r="E200" s="5">
        <v>1619.45</v>
      </c>
      <c r="F200" s="7">
        <f>HYPERLINK("https://www.tradingview.com/chart/tioZvgwv/?symbol=NSE%3AVOLTAS&amp;interval=", "&amp;#128200;")</f>
      </c>
      <c r="G200" s="7">
        <f>HYPERLINK("https://www.tradingview.com/symbols/NSE-VOLTAS/news/", "&amp;#128240;")</f>
      </c>
      <c r="H200" s="7">
        <f>HYPERLINK("https://www.tradingview.com/symbols/NSE-VOLTAS/technicals/", "&amp;#128202;")</f>
      </c>
      <c r="I200" s="7">
        <f>HYPERLINK("https://www.tradingview.com/symbols/NSE-VOLTAS/financials-overview/", "&amp;#128194;")</f>
      </c>
      <c r="J200" s="4" t="s">
        <v>11</v>
      </c>
      <c r="K200" s="5">
        <v>-2.648031259392844</v>
      </c>
    </row>
    <row x14ac:dyDescent="0.25" r="201" customHeight="1" ht="18.75">
      <c r="A201" s="4" t="s">
        <v>227</v>
      </c>
      <c r="B201" s="5">
        <v>299.25</v>
      </c>
      <c r="C201" s="5">
        <v>292.4</v>
      </c>
      <c r="D201" s="5">
        <v>300.55</v>
      </c>
      <c r="E201" s="5">
        <v>293.5</v>
      </c>
      <c r="F201" s="7">
        <f>HYPERLINK("https://www.tradingview.com/chart/tioZvgwv/?symbol=NSE%3AWIPRO&amp;interval=", "&amp;#128200;")</f>
      </c>
      <c r="G201" s="7">
        <f>HYPERLINK("https://www.tradingview.com/symbols/NSE-WIPRO/news/", "&amp;#128240;")</f>
      </c>
      <c r="H201" s="7">
        <f>HYPERLINK("https://www.tradingview.com/symbols/NSE-WIPRO/technicals/", "&amp;#128202;")</f>
      </c>
      <c r="I201" s="7">
        <f>HYPERLINK("https://www.tradingview.com/symbols/NSE-WIPRO/financials-overview/", "&amp;#128194;")</f>
      </c>
      <c r="J201" s="4" t="s">
        <v>11</v>
      </c>
      <c r="K201" s="5">
        <v>-2.345699550823494</v>
      </c>
    </row>
    <row x14ac:dyDescent="0.25" r="202" customHeight="1" ht="18.75">
      <c r="A202" s="4" t="s">
        <v>228</v>
      </c>
      <c r="B202" s="5">
        <v>17.93</v>
      </c>
      <c r="C202" s="5">
        <v>17.57</v>
      </c>
      <c r="D202" s="5">
        <v>17.96</v>
      </c>
      <c r="E202" s="5">
        <v>17.59</v>
      </c>
      <c r="F202" s="7">
        <f>HYPERLINK("https://www.tradingview.com/chart/tioZvgwv/?symbol=NSE%3AYESBANK&amp;interval=", "&amp;#128200;")</f>
      </c>
      <c r="G202" s="7">
        <f>HYPERLINK("https://www.tradingview.com/symbols/NSE-YESBANK/news/", "&amp;#128240;")</f>
      </c>
      <c r="H202" s="7">
        <f>HYPERLINK("https://www.tradingview.com/symbols/NSE-YESBANK/technicals/", "&amp;#128202;")</f>
      </c>
      <c r="I202" s="7">
        <f>HYPERLINK("https://www.tradingview.com/symbols/NSE-YESBANK/financials-overview/", "&amp;#128194;")</f>
      </c>
      <c r="J202" s="4" t="s">
        <v>11</v>
      </c>
      <c r="K202" s="5">
        <v>-2.060133630289538</v>
      </c>
    </row>
    <row x14ac:dyDescent="0.25" r="203" customHeight="1" ht="18.75">
      <c r="A203" s="4" t="s">
        <v>229</v>
      </c>
      <c r="B203" s="5">
        <v>240.4</v>
      </c>
      <c r="C203" s="5">
        <v>232.6</v>
      </c>
      <c r="D203" s="5">
        <v>242.95</v>
      </c>
      <c r="E203" s="5">
        <v>233.15</v>
      </c>
      <c r="F203" s="7">
        <f>HYPERLINK("https://www.tradingview.com/chart/tioZvgwv/?symbol=NSE%3AZOMATO&amp;interval=", "&amp;#128200;")</f>
      </c>
      <c r="G203" s="7">
        <f>HYPERLINK("https://www.tradingview.com/symbols/NSE-ZOMATO/news/", "&amp;#128240;")</f>
      </c>
      <c r="H203" s="7">
        <f>HYPERLINK("https://www.tradingview.com/symbols/NSE-ZOMATO/technicals/", "&amp;#128202;")</f>
      </c>
      <c r="I203" s="7">
        <f>HYPERLINK("https://www.tradingview.com/symbols/NSE-ZOMATO/financials-overview/", "&amp;#128194;")</f>
      </c>
      <c r="J203" s="4" t="s">
        <v>11</v>
      </c>
      <c r="K203" s="5">
        <v>-4.033751800782047</v>
      </c>
    </row>
    <row x14ac:dyDescent="0.25" r="204" customHeight="1" ht="18.75">
      <c r="A204" s="4" t="s">
        <v>230</v>
      </c>
      <c r="B204" s="5">
        <v>997.9</v>
      </c>
      <c r="C204" s="6">
        <v>973</v>
      </c>
      <c r="D204" s="5">
        <v>1004.4</v>
      </c>
      <c r="E204" s="5">
        <v>973.5</v>
      </c>
      <c r="F204" s="7">
        <f>HYPERLINK("https://www.tradingview.com/chart/tioZvgwv/?symbol=NSE%3AZYDUSLIFE&amp;interval=", "&amp;#128200;")</f>
      </c>
      <c r="G204" s="7">
        <f>HYPERLINK("https://www.tradingview.com/symbols/NSE-ZYDUSLIFE/news/", "&amp;#128240;")</f>
      </c>
      <c r="H204" s="7">
        <f>HYPERLINK("https://www.tradingview.com/symbols/NSE-ZYDUSLIFE/technicals/", "&amp;#128202;")</f>
      </c>
      <c r="I204" s="7">
        <f>HYPERLINK("https://www.tradingview.com/symbols/NSE-ZYDUSLIFE/financials-overview/", "&amp;#128194;")</f>
      </c>
      <c r="J204" s="4" t="s">
        <v>11</v>
      </c>
      <c r="K204" s="5">
        <v>-3.076463560334526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"/>
  <sheetViews>
    <sheetView workbookViewId="0"/>
  </sheetViews>
  <sheetFormatPr defaultRowHeight="15" x14ac:dyDescent="0.25"/>
  <cols>
    <col min="1" max="1" style="8" width="13.576428571428572" customWidth="1" bestFit="1"/>
    <col min="2" max="2" style="10" width="14.43357142857143" customWidth="1" bestFit="1"/>
    <col min="3" max="3" style="9" width="14.290714285714287" customWidth="1" bestFit="1"/>
    <col min="4" max="4" style="9" width="16.433571428571426" customWidth="1" bestFit="1"/>
    <col min="5" max="5" style="9" width="13.43357142857143" customWidth="1" bestFit="1"/>
    <col min="6" max="6" style="8" width="13.576428571428572" customWidth="1" bestFit="1"/>
    <col min="7" max="7" style="8" width="15.43357142857143" customWidth="1" bestFit="1"/>
    <col min="8" max="8" style="8" width="19.290714285714284" customWidth="1" bestFit="1"/>
    <col min="9" max="9" style="8" width="15.862142857142858" customWidth="1" bestFit="1"/>
    <col min="10" max="10" style="10" width="13.005" customWidth="1" bestFit="1"/>
  </cols>
  <sheetData>
    <row x14ac:dyDescent="0.25" r="1" customHeight="1" ht="18.75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231</v>
      </c>
    </row>
    <row x14ac:dyDescent="0.25" r="2" customHeight="1" ht="18.75">
      <c r="A2" s="4" t="s">
        <v>140</v>
      </c>
      <c r="B2" s="6">
        <v>852</v>
      </c>
      <c r="C2" s="5">
        <v>835.85</v>
      </c>
      <c r="D2" s="5">
        <v>843.1</v>
      </c>
      <c r="E2" s="5">
        <v>843.1</v>
      </c>
      <c r="F2" s="7">
        <f>HYPERLINK("https://www.tradingview.com/chart/tioZvgwv/?symbol=NSE%3ALICI&amp;interval=", "&amp;#128200;")</f>
      </c>
      <c r="G2" s="7">
        <f>HYPERLINK("https://www.tradingview.com/symbols/NSE-LICI/news/", "&amp;#128240;")</f>
      </c>
      <c r="H2" s="7">
        <f>HYPERLINK("https://www.tradingview.com/symbols/NSE-LICI/technicals/", "&amp;#128202;")</f>
      </c>
      <c r="I2" s="7">
        <f>HYPERLINK("https://www.tradingview.com/symbols/NSE-LICI/financials-overview/", "&amp;#128194;")</f>
      </c>
      <c r="J2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21"/>
  <sheetViews>
    <sheetView workbookViewId="0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9" width="13.576428571428572" customWidth="1" bestFit="1"/>
    <col min="5" max="5" style="9" width="13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x14ac:dyDescent="0.25" r="2" customHeight="1" ht="18.75">
      <c r="A2" s="4" t="s">
        <v>10</v>
      </c>
      <c r="B2" s="5">
        <v>434.85</v>
      </c>
      <c r="C2" s="6">
        <v>415</v>
      </c>
      <c r="D2" s="5">
        <v>421.75</v>
      </c>
      <c r="E2" s="5">
        <v>426.5</v>
      </c>
      <c r="F2" s="7">
        <f>HYPERLINK("https://www.tradingview.com/chart/tioZvgwv/?symbol=NSE%3AAARTIIND&amp;interval=", "&amp;#128200;")</f>
      </c>
      <c r="G2" s="7">
        <f>HYPERLINK("https://www.tradingview.com/symbols/NSE-AARTIIND/news/", "&amp;#128240;")</f>
      </c>
      <c r="H2" s="7">
        <f>HYPERLINK("https://www.tradingview.com/symbols/NSE-AARTIIND/technicals/", "&amp;#128202;")</f>
      </c>
      <c r="I2" s="7">
        <f>HYPERLINK("https://www.tradingview.com/symbols/NSE-AARTIIND/financials-overview/", "&amp;#128194;")</f>
      </c>
      <c r="J2" s="4" t="s">
        <v>11</v>
      </c>
    </row>
    <row x14ac:dyDescent="0.25" r="3" customHeight="1" ht="18.75">
      <c r="A3" s="4" t="s">
        <v>12</v>
      </c>
      <c r="B3" s="5">
        <v>6383.9</v>
      </c>
      <c r="C3" s="5">
        <v>6216.25</v>
      </c>
      <c r="D3" s="5">
        <v>6415.65</v>
      </c>
      <c r="E3" s="5">
        <v>6230.25</v>
      </c>
      <c r="F3" s="7">
        <f>HYPERLINK("https://www.tradingview.com/chart/tioZvgwv/?symbol=NSE%3AABB&amp;interval=", "&amp;#128200;")</f>
      </c>
      <c r="G3" s="7">
        <f>HYPERLINK("https://www.tradingview.com/symbols/NSE-ABB/news/", "&amp;#128240;")</f>
      </c>
      <c r="H3" s="7">
        <f>HYPERLINK("https://www.tradingview.com/symbols/NSE-ABB/technicals/", "&amp;#128202;")</f>
      </c>
      <c r="I3" s="7">
        <f>HYPERLINK("https://www.tradingview.com/symbols/NSE-ABB/financials-overview/", "&amp;#128194;")</f>
      </c>
      <c r="J3" s="4" t="s">
        <v>11</v>
      </c>
    </row>
    <row x14ac:dyDescent="0.25" r="4" customHeight="1" ht="18.75">
      <c r="A4" s="4" t="s">
        <v>13</v>
      </c>
      <c r="B4" s="5">
        <v>28656.25</v>
      </c>
      <c r="C4" s="5">
        <v>28242.1</v>
      </c>
      <c r="D4" s="5">
        <v>28772.8</v>
      </c>
      <c r="E4" s="5">
        <v>28405.6</v>
      </c>
      <c r="F4" s="7">
        <f>HYPERLINK("https://www.tradingview.com/chart/tioZvgwv/?symbol=NSE%3AABBOTINDIA&amp;interval=", "&amp;#128200;")</f>
      </c>
      <c r="G4" s="7">
        <f>HYPERLINK("https://www.tradingview.com/symbols/NSE-ABBOTINDIA/news/", "&amp;#128240;")</f>
      </c>
      <c r="H4" s="7">
        <f>HYPERLINK("https://www.tradingview.com/symbols/NSE-ABBOTINDIA/technicals/", "&amp;#128202;")</f>
      </c>
      <c r="I4" s="7">
        <f>HYPERLINK("https://www.tradingview.com/symbols/NSE-ABBOTINDIA/financials-overview/", "&amp;#128194;")</f>
      </c>
      <c r="J4" s="4" t="s">
        <v>11</v>
      </c>
    </row>
    <row x14ac:dyDescent="0.25" r="5" customHeight="1" ht="18.75">
      <c r="A5" s="4" t="s">
        <v>14</v>
      </c>
      <c r="B5" s="5">
        <v>173.8</v>
      </c>
      <c r="C5" s="5">
        <v>168.46</v>
      </c>
      <c r="D5" s="5">
        <v>167.63</v>
      </c>
      <c r="E5" s="5">
        <v>170.17</v>
      </c>
      <c r="F5" s="7">
        <f>HYPERLINK("https://www.tradingview.com/chart/tioZvgwv/?symbol=NSE%3AABCAPITAL&amp;interval=", "&amp;#128200;")</f>
      </c>
      <c r="G5" s="7">
        <f>HYPERLINK("https://www.tradingview.com/symbols/NSE-ABCAPITAL/news/", "&amp;#128240;")</f>
      </c>
      <c r="H5" s="7">
        <f>HYPERLINK("https://www.tradingview.com/symbols/NSE-ABCAPITAL/technicals/", "&amp;#128202;")</f>
      </c>
      <c r="I5" s="7">
        <f>HYPERLINK("https://www.tradingview.com/symbols/NSE-ABCAPITAL/financials-overview/", "&amp;#128194;")</f>
      </c>
      <c r="J5" s="4" t="s">
        <v>11</v>
      </c>
    </row>
    <row x14ac:dyDescent="0.25" r="6" customHeight="1" ht="18.75">
      <c r="A6" s="4" t="s">
        <v>15</v>
      </c>
      <c r="B6" s="5">
        <v>273.35</v>
      </c>
      <c r="C6" s="5">
        <v>264.5</v>
      </c>
      <c r="D6" s="5">
        <v>274.1</v>
      </c>
      <c r="E6" s="5">
        <v>265.55</v>
      </c>
      <c r="F6" s="7">
        <f>HYPERLINK("https://www.tradingview.com/chart/tioZvgwv/?symbol=NSE%3AABFRL&amp;interval=", "&amp;#128200;")</f>
      </c>
      <c r="G6" s="7">
        <f>HYPERLINK("https://www.tradingview.com/symbols/NSE-ABFRL/news/", "&amp;#128240;")</f>
      </c>
      <c r="H6" s="7">
        <f>HYPERLINK("https://www.tradingview.com/symbols/NSE-ABFRL/technicals/", "&amp;#128202;")</f>
      </c>
      <c r="I6" s="7">
        <f>HYPERLINK("https://www.tradingview.com/symbols/NSE-ABFRL/financials-overview/", "&amp;#128194;")</f>
      </c>
      <c r="J6" s="4" t="s">
        <v>11</v>
      </c>
    </row>
    <row x14ac:dyDescent="0.25" r="7" customHeight="1" ht="18.75">
      <c r="A7" s="4" t="s">
        <v>16</v>
      </c>
      <c r="B7" s="6">
        <v>1925</v>
      </c>
      <c r="C7" s="5">
        <v>1882.8</v>
      </c>
      <c r="D7" s="5">
        <v>1931.05</v>
      </c>
      <c r="E7" s="5">
        <v>1888.45</v>
      </c>
      <c r="F7" s="7">
        <f>HYPERLINK("https://www.tradingview.com/chart/tioZvgwv/?symbol=NSE%3AACC&amp;interval=", "&amp;#128200;")</f>
      </c>
      <c r="G7" s="7">
        <f>HYPERLINK("https://www.tradingview.com/symbols/NSE-ACC/news/", "&amp;#128240;")</f>
      </c>
      <c r="H7" s="7">
        <f>HYPERLINK("https://www.tradingview.com/symbols/NSE-ACC/technicals/", "&amp;#128202;")</f>
      </c>
      <c r="I7" s="7">
        <f>HYPERLINK("https://www.tradingview.com/symbols/NSE-ACC/financials-overview/", "&amp;#128194;")</f>
      </c>
      <c r="J7" s="4" t="s">
        <v>11</v>
      </c>
    </row>
    <row x14ac:dyDescent="0.25" r="8" customHeight="1" ht="18.75">
      <c r="A8" s="4" t="s">
        <v>17</v>
      </c>
      <c r="B8" s="5">
        <v>724.5</v>
      </c>
      <c r="C8" s="5">
        <v>707.7</v>
      </c>
      <c r="D8" s="5">
        <v>729.25</v>
      </c>
      <c r="E8" s="5">
        <v>707.7</v>
      </c>
      <c r="F8" s="7">
        <f>HYPERLINK("https://www.tradingview.com/chart/tioZvgwv/?symbol=NSE%3AADANIENSOL&amp;interval=", "&amp;#128200;")</f>
      </c>
      <c r="G8" s="7">
        <f>HYPERLINK("https://www.tradingview.com/symbols/NSE-ADANIENSOL/news/", "&amp;#128240;")</f>
      </c>
      <c r="H8" s="7">
        <f>HYPERLINK("https://www.tradingview.com/symbols/NSE-ADANIENSOL/technicals/", "&amp;#128202;")</f>
      </c>
      <c r="I8" s="7">
        <f>HYPERLINK("https://www.tradingview.com/symbols/NSE-ADANIENSOL/financials-overview/", "&amp;#128194;")</f>
      </c>
      <c r="J8" s="4" t="s">
        <v>11</v>
      </c>
    </row>
    <row x14ac:dyDescent="0.25" r="9" customHeight="1" ht="18.75">
      <c r="A9" s="4" t="s">
        <v>18</v>
      </c>
      <c r="B9" s="6">
        <v>2365</v>
      </c>
      <c r="C9" s="6">
        <v>2298</v>
      </c>
      <c r="D9" s="5">
        <v>2374.4</v>
      </c>
      <c r="E9" s="6">
        <v>2300</v>
      </c>
      <c r="F9" s="7">
        <f>HYPERLINK("https://www.tradingview.com/chart/tioZvgwv/?symbol=NSE%3AADANIENT&amp;interval=", "&amp;#128200;")</f>
      </c>
      <c r="G9" s="7">
        <f>HYPERLINK("https://www.tradingview.com/symbols/NSE-ADANIENT/news/", "&amp;#128240;")</f>
      </c>
      <c r="H9" s="7">
        <f>HYPERLINK("https://www.tradingview.com/symbols/NSE-ADANIENT/technicals/", "&amp;#128202;")</f>
      </c>
      <c r="I9" s="7">
        <f>HYPERLINK("https://www.tradingview.com/symbols/NSE-ADANIENT/financials-overview/", "&amp;#128194;")</f>
      </c>
      <c r="J9" s="4" t="s">
        <v>11</v>
      </c>
    </row>
    <row x14ac:dyDescent="0.25" r="10" customHeight="1" ht="18.75">
      <c r="A10" s="4" t="s">
        <v>19</v>
      </c>
      <c r="B10" s="5">
        <v>937.8</v>
      </c>
      <c r="C10" s="5">
        <v>914.05</v>
      </c>
      <c r="D10" s="5">
        <v>943.05</v>
      </c>
      <c r="E10" s="6">
        <v>916</v>
      </c>
      <c r="F10" s="7">
        <f>HYPERLINK("https://www.tradingview.com/chart/tioZvgwv/?symbol=NSE%3AADANIGREEN&amp;interval=", "&amp;#128200;")</f>
      </c>
      <c r="G10" s="7">
        <f>HYPERLINK("https://www.tradingview.com/symbols/NSE-ADANIGREEN/news/", "&amp;#128240;")</f>
      </c>
      <c r="H10" s="7">
        <f>HYPERLINK("https://www.tradingview.com/symbols/NSE-ADANIGREEN/technicals/", "&amp;#128202;")</f>
      </c>
      <c r="I10" s="7">
        <f>HYPERLINK("https://www.tradingview.com/symbols/NSE-ADANIGREEN/financials-overview/", "&amp;#128194;")</f>
      </c>
      <c r="J10" s="4" t="s">
        <v>11</v>
      </c>
    </row>
    <row x14ac:dyDescent="0.25" r="11" customHeight="1" ht="18.75">
      <c r="A11" s="4" t="s">
        <v>20</v>
      </c>
      <c r="B11" s="5">
        <v>1106.45</v>
      </c>
      <c r="C11" s="5">
        <v>1084.15</v>
      </c>
      <c r="D11" s="5">
        <v>1112.2</v>
      </c>
      <c r="E11" s="5">
        <v>1085.75</v>
      </c>
      <c r="F11" s="7">
        <f>HYPERLINK("https://www.tradingview.com/chart/tioZvgwv/?symbol=NSE%3AADANIPORTS&amp;interval=", "&amp;#128200;")</f>
      </c>
      <c r="G11" s="7">
        <f>HYPERLINK("https://www.tradingview.com/symbols/NSE-ADANIPORTS/news/", "&amp;#128240;")</f>
      </c>
      <c r="H11" s="7">
        <f>HYPERLINK("https://www.tradingview.com/symbols/NSE-ADANIPORTS/technicals/", "&amp;#128202;")</f>
      </c>
      <c r="I11" s="7">
        <f>HYPERLINK("https://www.tradingview.com/symbols/NSE-ADANIPORTS/financials-overview/", "&amp;#128194;")</f>
      </c>
      <c r="J11" s="4" t="s">
        <v>11</v>
      </c>
    </row>
    <row x14ac:dyDescent="0.25" r="12" customHeight="1" ht="18.75">
      <c r="A12" s="4" t="s">
        <v>21</v>
      </c>
      <c r="B12" s="5">
        <v>5382.45</v>
      </c>
      <c r="C12" s="5">
        <v>5274.6</v>
      </c>
      <c r="D12" s="5">
        <v>5376.05</v>
      </c>
      <c r="E12" s="5">
        <v>5305.15</v>
      </c>
      <c r="F12" s="7">
        <f>HYPERLINK("https://www.tradingview.com/chart/tioZvgwv/?symbol=NSE%3AALKEM&amp;interval=", "&amp;#128200;")</f>
      </c>
      <c r="G12" s="7">
        <f>HYPERLINK("https://www.tradingview.com/symbols/NSE-ALKEM/news/", "&amp;#128240;")</f>
      </c>
      <c r="H12" s="7">
        <f>HYPERLINK("https://www.tradingview.com/symbols/NSE-ALKEM/technicals/", "&amp;#128202;")</f>
      </c>
      <c r="I12" s="7">
        <f>HYPERLINK("https://www.tradingview.com/symbols/NSE-ALKEM/financials-overview/", "&amp;#128194;")</f>
      </c>
      <c r="J12" s="4" t="s">
        <v>11</v>
      </c>
    </row>
    <row x14ac:dyDescent="0.25" r="13" customHeight="1" ht="18.75">
      <c r="A13" s="4" t="s">
        <v>22</v>
      </c>
      <c r="B13" s="6">
        <v>514</v>
      </c>
      <c r="C13" s="5">
        <v>502.1</v>
      </c>
      <c r="D13" s="5">
        <v>511.25</v>
      </c>
      <c r="E13" s="5">
        <v>507.65</v>
      </c>
      <c r="F13" s="7">
        <f>HYPERLINK("https://www.tradingview.com/chart/tioZvgwv/?symbol=NSE%3AAMBUJACEM&amp;interval=", "&amp;#128200;")</f>
      </c>
      <c r="G13" s="7">
        <f>HYPERLINK("https://www.tradingview.com/symbols/NSE-AMBUJACEM/news/", "&amp;#128240;")</f>
      </c>
      <c r="H13" s="7">
        <f>HYPERLINK("https://www.tradingview.com/symbols/NSE-AMBUJACEM/technicals/", "&amp;#128202;")</f>
      </c>
      <c r="I13" s="7">
        <f>HYPERLINK("https://www.tradingview.com/symbols/NSE-AMBUJACEM/financials-overview/", "&amp;#128194;")</f>
      </c>
      <c r="J13" s="4" t="s">
        <v>11</v>
      </c>
    </row>
    <row x14ac:dyDescent="0.25" r="14" customHeight="1" ht="18.75">
      <c r="A14" s="4" t="s">
        <v>23</v>
      </c>
      <c r="B14" s="5">
        <v>2555.7</v>
      </c>
      <c r="C14" s="5">
        <v>2468.05</v>
      </c>
      <c r="D14" s="5">
        <v>2544.05</v>
      </c>
      <c r="E14" s="6">
        <v>2513</v>
      </c>
      <c r="F14" s="7">
        <f>HYPERLINK("https://www.tradingview.com/chart/tioZvgwv/?symbol=NSE%3AANGELONE&amp;interval=", "&amp;#128200;")</f>
      </c>
      <c r="G14" s="7">
        <f>HYPERLINK("https://www.tradingview.com/symbols/NSE-ANGELONE/news/", "&amp;#128240;")</f>
      </c>
      <c r="H14" s="7">
        <f>HYPERLINK("https://www.tradingview.com/symbols/NSE-ANGELONE/technicals/", "&amp;#128202;")</f>
      </c>
      <c r="I14" s="7">
        <f>HYPERLINK("https://www.tradingview.com/symbols/NSE-ANGELONE/financials-overview/", "&amp;#128194;")</f>
      </c>
      <c r="J14" s="4" t="s">
        <v>11</v>
      </c>
    </row>
    <row x14ac:dyDescent="0.25" r="15" customHeight="1" ht="18.75">
      <c r="A15" s="4" t="s">
        <v>24</v>
      </c>
      <c r="B15" s="6">
        <v>1502</v>
      </c>
      <c r="C15" s="5">
        <v>1440.15</v>
      </c>
      <c r="D15" s="5">
        <v>1520.7</v>
      </c>
      <c r="E15" s="5">
        <v>1440.15</v>
      </c>
      <c r="F15" s="7">
        <f>HYPERLINK("https://www.tradingview.com/chart/tioZvgwv/?symbol=NSE%3AAPLAPOLLO&amp;interval=", "&amp;#128200;")</f>
      </c>
      <c r="G15" s="7">
        <f>HYPERLINK("https://www.tradingview.com/symbols/NSE-APLAPOLLO/news/", "&amp;#128240;")</f>
      </c>
      <c r="H15" s="7">
        <f>HYPERLINK("https://www.tradingview.com/symbols/NSE-APLAPOLLO/technicals/", "&amp;#128202;")</f>
      </c>
      <c r="I15" s="7">
        <f>HYPERLINK("https://www.tradingview.com/symbols/NSE-APLAPOLLO/financials-overview/", "&amp;#128194;")</f>
      </c>
      <c r="J15" s="4" t="s">
        <v>11</v>
      </c>
    </row>
    <row x14ac:dyDescent="0.25" r="16" customHeight="1" ht="18.75">
      <c r="A16" s="4" t="s">
        <v>25</v>
      </c>
      <c r="B16" s="6">
        <v>7000</v>
      </c>
      <c r="C16" s="6">
        <v>6825</v>
      </c>
      <c r="D16" s="5">
        <v>7036.75</v>
      </c>
      <c r="E16" s="6">
        <v>6833</v>
      </c>
      <c r="F16" s="7">
        <f>HYPERLINK("https://www.tradingview.com/chart/tioZvgwv/?symbol=NSE%3AAPOLLOHOSP&amp;interval=", "&amp;#128200;")</f>
      </c>
      <c r="G16" s="7">
        <f>HYPERLINK("https://www.tradingview.com/symbols/NSE-APOLLOHOSP/news/", "&amp;#128240;")</f>
      </c>
      <c r="H16" s="7">
        <f>HYPERLINK("https://www.tradingview.com/symbols/NSE-APOLLOHOSP/technicals/", "&amp;#128202;")</f>
      </c>
      <c r="I16" s="7">
        <f>HYPERLINK("https://www.tradingview.com/symbols/NSE-APOLLOHOSP/financials-overview/", "&amp;#128194;")</f>
      </c>
      <c r="J16" s="4" t="s">
        <v>11</v>
      </c>
    </row>
    <row x14ac:dyDescent="0.25" r="17" customHeight="1" ht="18.75">
      <c r="A17" s="4" t="s">
        <v>26</v>
      </c>
      <c r="B17" s="5">
        <v>460.45</v>
      </c>
      <c r="C17" s="6">
        <v>448</v>
      </c>
      <c r="D17" s="6">
        <v>462</v>
      </c>
      <c r="E17" s="5">
        <v>448.1</v>
      </c>
      <c r="F17" s="7">
        <f>HYPERLINK("https://www.tradingview.com/chart/tioZvgwv/?symbol=NSE%3AAPOLLOTYRE&amp;interval=", "&amp;#128200;")</f>
      </c>
      <c r="G17" s="7">
        <f>HYPERLINK("https://www.tradingview.com/symbols/NSE-APOLLOTYRE/news/", "&amp;#128240;")</f>
      </c>
      <c r="H17" s="7">
        <f>HYPERLINK("https://www.tradingview.com/symbols/NSE-APOLLOTYRE/technicals/", "&amp;#128202;")</f>
      </c>
      <c r="I17" s="7">
        <f>HYPERLINK("https://www.tradingview.com/symbols/NSE-APOLLOTYRE/financials-overview/", "&amp;#128194;")</f>
      </c>
      <c r="J17" s="4" t="s">
        <v>11</v>
      </c>
    </row>
    <row x14ac:dyDescent="0.25" r="18" customHeight="1" ht="18.75">
      <c r="A18" s="4" t="s">
        <v>27</v>
      </c>
      <c r="B18" s="5">
        <v>208.99</v>
      </c>
      <c r="C18" s="5">
        <v>206.1</v>
      </c>
      <c r="D18" s="5">
        <v>210.57</v>
      </c>
      <c r="E18" s="5">
        <v>206.49</v>
      </c>
      <c r="F18" s="7">
        <f>HYPERLINK("https://www.tradingview.com/chart/tioZvgwv/?symbol=NSE%3AASHOKLEY&amp;interval=", "&amp;#128200;")</f>
      </c>
      <c r="G18" s="7">
        <f>HYPERLINK("https://www.tradingview.com/symbols/NSE-ASHOKLEY/news/", "&amp;#128240;")</f>
      </c>
      <c r="H18" s="7">
        <f>HYPERLINK("https://www.tradingview.com/symbols/NSE-ASHOKLEY/technicals/", "&amp;#128202;")</f>
      </c>
      <c r="I18" s="7">
        <f>HYPERLINK("https://www.tradingview.com/symbols/NSE-ASHOKLEY/financials-overview/", "&amp;#128194;")</f>
      </c>
      <c r="J18" s="4" t="s">
        <v>11</v>
      </c>
    </row>
    <row x14ac:dyDescent="0.25" r="19" customHeight="1" ht="18.75">
      <c r="A19" s="4" t="s">
        <v>28</v>
      </c>
      <c r="B19" s="5">
        <v>2301.9</v>
      </c>
      <c r="C19" s="5">
        <v>2269.5</v>
      </c>
      <c r="D19" s="5">
        <v>2320.75</v>
      </c>
      <c r="E19" s="5">
        <v>2274.5</v>
      </c>
      <c r="F19" s="7">
        <f>HYPERLINK("https://www.tradingview.com/chart/tioZvgwv/?symbol=NSE%3AASIANPAINT&amp;interval=", "&amp;#128200;")</f>
      </c>
      <c r="G19" s="7">
        <f>HYPERLINK("https://www.tradingview.com/symbols/NSE-ASIANPAINT/news/", "&amp;#128240;")</f>
      </c>
      <c r="H19" s="7">
        <f>HYPERLINK("https://www.tradingview.com/symbols/NSE-ASIANPAINT/technicals/", "&amp;#128202;")</f>
      </c>
      <c r="I19" s="7">
        <f>HYPERLINK("https://www.tradingview.com/symbols/NSE-ASIANPAINT/financials-overview/", "&amp;#128194;")</f>
      </c>
      <c r="J19" s="4" t="s">
        <v>11</v>
      </c>
    </row>
    <row x14ac:dyDescent="0.25" r="20" customHeight="1" ht="18.75">
      <c r="A20" s="4" t="s">
        <v>29</v>
      </c>
      <c r="B20" s="6">
        <v>1550</v>
      </c>
      <c r="C20" s="5">
        <v>1500.35</v>
      </c>
      <c r="D20" s="5">
        <v>1564.4</v>
      </c>
      <c r="E20" s="6">
        <v>1503</v>
      </c>
      <c r="F20" s="7">
        <f>HYPERLINK("https://www.tradingview.com/chart/tioZvgwv/?symbol=NSE%3AASTRAL&amp;interval=", "&amp;#128200;")</f>
      </c>
      <c r="G20" s="7">
        <f>HYPERLINK("https://www.tradingview.com/symbols/NSE-ASTRAL/news/", "&amp;#128240;")</f>
      </c>
      <c r="H20" s="7">
        <f>HYPERLINK("https://www.tradingview.com/symbols/NSE-ASTRAL/technicals/", "&amp;#128202;")</f>
      </c>
      <c r="I20" s="7">
        <f>HYPERLINK("https://www.tradingview.com/symbols/NSE-ASTRAL/financials-overview/", "&amp;#128194;")</f>
      </c>
      <c r="J20" s="4" t="s">
        <v>11</v>
      </c>
    </row>
    <row x14ac:dyDescent="0.25" r="21" customHeight="1" ht="18.75">
      <c r="A21" s="4" t="s">
        <v>30</v>
      </c>
      <c r="B21" s="6">
        <v>675</v>
      </c>
      <c r="C21" s="5">
        <v>650.55</v>
      </c>
      <c r="D21" s="5">
        <v>681.25</v>
      </c>
      <c r="E21" s="5">
        <v>651.15</v>
      </c>
      <c r="F21" s="7">
        <f>HYPERLINK("https://www.tradingview.com/chart/tioZvgwv/?symbol=NSE%3AATGL&amp;interval=", "&amp;#128200;")</f>
      </c>
      <c r="G21" s="7">
        <f>HYPERLINK("https://www.tradingview.com/symbols/NSE-ATGL/news/", "&amp;#128240;")</f>
      </c>
      <c r="H21" s="7">
        <f>HYPERLINK("https://www.tradingview.com/symbols/NSE-ATGL/technicals/", "&amp;#128202;")</f>
      </c>
      <c r="I21" s="7">
        <f>HYPERLINK("https://www.tradingview.com/symbols/NSE-ATGL/financials-overview/", "&amp;#128194;")</f>
      </c>
      <c r="J21" s="4" t="s">
        <v>11</v>
      </c>
    </row>
    <row x14ac:dyDescent="0.25" r="22" customHeight="1" ht="18.75">
      <c r="A22" s="4" t="s">
        <v>31</v>
      </c>
      <c r="B22" s="5">
        <v>6838.4</v>
      </c>
      <c r="C22" s="5">
        <v>6671.6</v>
      </c>
      <c r="D22" s="5">
        <v>6795.85</v>
      </c>
      <c r="E22" s="6">
        <v>6690</v>
      </c>
      <c r="F22" s="7">
        <f>HYPERLINK("https://www.tradingview.com/chart/tioZvgwv/?symbol=NSE%3AATUL&amp;interval=", "&amp;#128200;")</f>
      </c>
      <c r="G22" s="7">
        <f>HYPERLINK("https://www.tradingview.com/symbols/NSE-ATUL/news/", "&amp;#128240;")</f>
      </c>
      <c r="H22" s="7">
        <f>HYPERLINK("https://www.tradingview.com/symbols/NSE-ATUL/technicals/", "&amp;#128202;")</f>
      </c>
      <c r="I22" s="7">
        <f>HYPERLINK("https://www.tradingview.com/symbols/NSE-ATUL/financials-overview/", "&amp;#128194;")</f>
      </c>
      <c r="J22" s="4" t="s">
        <v>11</v>
      </c>
    </row>
    <row x14ac:dyDescent="0.25" r="23" customHeight="1" ht="18.75">
      <c r="A23" s="4" t="s">
        <v>32</v>
      </c>
      <c r="B23" s="5">
        <v>571.95</v>
      </c>
      <c r="C23" s="5">
        <v>556.2</v>
      </c>
      <c r="D23" s="5">
        <v>575.15</v>
      </c>
      <c r="E23" s="5">
        <v>558.35</v>
      </c>
      <c r="F23" s="7">
        <f>HYPERLINK("https://www.tradingview.com/chart/tioZvgwv/?symbol=NSE%3AAUBANK&amp;interval=", "&amp;#128200;")</f>
      </c>
      <c r="G23" s="7">
        <f>HYPERLINK("https://www.tradingview.com/symbols/NSE-AUBANK/news/", "&amp;#128240;")</f>
      </c>
      <c r="H23" s="7">
        <f>HYPERLINK("https://www.tradingview.com/symbols/NSE-AUBANK/technicals/", "&amp;#128202;")</f>
      </c>
      <c r="I23" s="7">
        <f>HYPERLINK("https://www.tradingview.com/symbols/NSE-AUBANK/financials-overview/", "&amp;#128194;")</f>
      </c>
      <c r="J23" s="4" t="s">
        <v>11</v>
      </c>
    </row>
    <row x14ac:dyDescent="0.25" r="24" customHeight="1" ht="18.75">
      <c r="A24" s="4" t="s">
        <v>33</v>
      </c>
      <c r="B24" s="5">
        <v>1191.65</v>
      </c>
      <c r="C24" s="5">
        <v>1157.1</v>
      </c>
      <c r="D24" s="5">
        <v>1199.55</v>
      </c>
      <c r="E24" s="5">
        <v>1173.15</v>
      </c>
      <c r="F24" s="7">
        <f>HYPERLINK("https://www.tradingview.com/chart/tioZvgwv/?symbol=NSE%3AAUROPHARMA&amp;interval=", "&amp;#128200;")</f>
      </c>
      <c r="G24" s="7">
        <f>HYPERLINK("https://www.tradingview.com/symbols/NSE-AUROPHARMA/news/", "&amp;#128240;")</f>
      </c>
      <c r="H24" s="7">
        <f>HYPERLINK("https://www.tradingview.com/symbols/NSE-AUROPHARMA/technicals/", "&amp;#128202;")</f>
      </c>
      <c r="I24" s="7">
        <f>HYPERLINK("https://www.tradingview.com/symbols/NSE-AUROPHARMA/financials-overview/", "&amp;#128194;")</f>
      </c>
      <c r="J24" s="4" t="s">
        <v>11</v>
      </c>
    </row>
    <row x14ac:dyDescent="0.25" r="25" customHeight="1" ht="18.75">
      <c r="A25" s="4" t="s">
        <v>34</v>
      </c>
      <c r="B25" s="6">
        <v>1063</v>
      </c>
      <c r="C25" s="5">
        <v>1023.25</v>
      </c>
      <c r="D25" s="5">
        <v>1040.7</v>
      </c>
      <c r="E25" s="5">
        <v>1054.5</v>
      </c>
      <c r="F25" s="7">
        <f>HYPERLINK("https://www.tradingview.com/chart/tioZvgwv/?symbol=NSE%3AAXISBANK&amp;interval=", "&amp;#128200;")</f>
      </c>
      <c r="G25" s="7">
        <f>HYPERLINK("https://www.tradingview.com/symbols/NSE-AXISBANK/news/", "&amp;#128240;")</f>
      </c>
      <c r="H25" s="7">
        <f>HYPERLINK("https://www.tradingview.com/symbols/NSE-AXISBANK/technicals/", "&amp;#128202;")</f>
      </c>
      <c r="I25" s="7">
        <f>HYPERLINK("https://www.tradingview.com/symbols/NSE-AXISBANK/financials-overview/", "&amp;#128194;")</f>
      </c>
      <c r="J25" s="4" t="s">
        <v>11</v>
      </c>
    </row>
    <row x14ac:dyDescent="0.25" r="26" customHeight="1" ht="18.75">
      <c r="A26" s="4" t="s">
        <v>35</v>
      </c>
      <c r="B26" s="5">
        <v>8749.9</v>
      </c>
      <c r="C26" s="6">
        <v>8600</v>
      </c>
      <c r="D26" s="6">
        <v>8764</v>
      </c>
      <c r="E26" s="5">
        <v>8643.75</v>
      </c>
      <c r="F26" s="7">
        <f>HYPERLINK("https://www.tradingview.com/chart/tioZvgwv/?symbol=NSE%3ABAJAJ-AUTO&amp;interval=", "&amp;#128200;")</f>
      </c>
      <c r="G26" s="7">
        <f>HYPERLINK("https://www.tradingview.com/symbols/NSE-BAJAJ-AUTO/news/", "&amp;#128240;")</f>
      </c>
      <c r="H26" s="7">
        <f>HYPERLINK("https://www.tradingview.com/symbols/NSE-BAJAJ-AUTO/technicals/", "&amp;#128202;")</f>
      </c>
      <c r="I26" s="7">
        <f>HYPERLINK("https://www.tradingview.com/symbols/NSE-BAJAJ-AUTO/financials-overview/", "&amp;#128194;")</f>
      </c>
      <c r="J26" s="4" t="s">
        <v>11</v>
      </c>
    </row>
    <row x14ac:dyDescent="0.25" r="27" customHeight="1" ht="18.75">
      <c r="A27" s="4" t="s">
        <v>36</v>
      </c>
      <c r="B27" s="6">
        <v>1700</v>
      </c>
      <c r="C27" s="6">
        <v>1678</v>
      </c>
      <c r="D27" s="5">
        <v>1701.25</v>
      </c>
      <c r="E27" s="5">
        <v>1683.3</v>
      </c>
      <c r="F27" s="7">
        <f>HYPERLINK("https://www.tradingview.com/chart/tioZvgwv/?symbol=NSE%3ABAJAJFINSV&amp;interval=", "&amp;#128200;")</f>
      </c>
      <c r="G27" s="7">
        <f>HYPERLINK("https://www.tradingview.com/symbols/NSE-BAJAJFINSV/news/", "&amp;#128240;")</f>
      </c>
      <c r="H27" s="7">
        <f>HYPERLINK("https://www.tradingview.com/symbols/NSE-BAJAJFINSV/technicals/", "&amp;#128202;")</f>
      </c>
      <c r="I27" s="7">
        <f>HYPERLINK("https://www.tradingview.com/symbols/NSE-BAJAJFINSV/financials-overview/", "&amp;#128194;")</f>
      </c>
      <c r="J27" s="4" t="s">
        <v>11</v>
      </c>
    </row>
    <row x14ac:dyDescent="0.25" r="28" customHeight="1" ht="18.75">
      <c r="A28" s="4" t="s">
        <v>37</v>
      </c>
      <c r="B28" s="5">
        <v>7255.1</v>
      </c>
      <c r="C28" s="6">
        <v>7155</v>
      </c>
      <c r="D28" s="5">
        <v>7288.05</v>
      </c>
      <c r="E28" s="5">
        <v>7186.5</v>
      </c>
      <c r="F28" s="7">
        <f>HYPERLINK("https://www.tradingview.com/chart/tioZvgwv/?symbol=NSE%3ABAJFINANCE&amp;interval=", "&amp;#128200;")</f>
      </c>
      <c r="G28" s="7">
        <f>HYPERLINK("https://www.tradingview.com/symbols/NSE-BAJFINANCE/news/", "&amp;#128240;")</f>
      </c>
      <c r="H28" s="7">
        <f>HYPERLINK("https://www.tradingview.com/symbols/NSE-BAJFINANCE/technicals/", "&amp;#128202;")</f>
      </c>
      <c r="I28" s="7">
        <f>HYPERLINK("https://www.tradingview.com/symbols/NSE-BAJFINANCE/financials-overview/", "&amp;#128194;")</f>
      </c>
      <c r="J28" s="4" t="s">
        <v>11</v>
      </c>
    </row>
    <row x14ac:dyDescent="0.25" r="29" customHeight="1" ht="18.75">
      <c r="A29" s="4" t="s">
        <v>38</v>
      </c>
      <c r="B29" s="5">
        <v>2719.75</v>
      </c>
      <c r="C29" s="6">
        <v>2651</v>
      </c>
      <c r="D29" s="5">
        <v>2732.65</v>
      </c>
      <c r="E29" s="5">
        <v>2657.35</v>
      </c>
      <c r="F29" s="7">
        <f>HYPERLINK("https://www.tradingview.com/chart/tioZvgwv/?symbol=NSE%3ABALKRISIND&amp;interval=", "&amp;#128200;")</f>
      </c>
      <c r="G29" s="7">
        <f>HYPERLINK("https://www.tradingview.com/symbols/NSE-BALKRISIND/news/", "&amp;#128240;")</f>
      </c>
      <c r="H29" s="7">
        <f>HYPERLINK("https://www.tradingview.com/symbols/NSE-BALKRISIND/technicals/", "&amp;#128202;")</f>
      </c>
      <c r="I29" s="7">
        <f>HYPERLINK("https://www.tradingview.com/symbols/NSE-BALKRISIND/financials-overview/", "&amp;#128194;")</f>
      </c>
      <c r="J29" s="4" t="s">
        <v>11</v>
      </c>
    </row>
    <row x14ac:dyDescent="0.25" r="30" customHeight="1" ht="18.75">
      <c r="A30" s="4" t="s">
        <v>39</v>
      </c>
      <c r="B30" s="5">
        <v>143.49</v>
      </c>
      <c r="C30" s="5">
        <v>141.35</v>
      </c>
      <c r="D30" s="5">
        <v>143.96</v>
      </c>
      <c r="E30" s="5">
        <v>141.42</v>
      </c>
      <c r="F30" s="7">
        <f>HYPERLINK("https://www.tradingview.com/chart/tioZvgwv/?symbol=NSE%3ABANDHANBNK&amp;interval=", "&amp;#128200;")</f>
      </c>
      <c r="G30" s="7">
        <f>HYPERLINK("https://www.tradingview.com/symbols/NSE-BANDHANBNK/news/", "&amp;#128240;")</f>
      </c>
      <c r="H30" s="7">
        <f>HYPERLINK("https://www.tradingview.com/symbols/NSE-BANDHANBNK/technicals/", "&amp;#128202;")</f>
      </c>
      <c r="I30" s="7">
        <f>HYPERLINK("https://www.tradingview.com/symbols/NSE-BANDHANBNK/financials-overview/", "&amp;#128194;")</f>
      </c>
      <c r="J30" s="4" t="s">
        <v>11</v>
      </c>
    </row>
    <row x14ac:dyDescent="0.25" r="31" customHeight="1" ht="18.75">
      <c r="A31" s="4" t="s">
        <v>40</v>
      </c>
      <c r="B31" s="5">
        <v>224.43</v>
      </c>
      <c r="C31" s="5">
        <v>221.3</v>
      </c>
      <c r="D31" s="5">
        <v>225.4</v>
      </c>
      <c r="E31" s="5">
        <v>222.1</v>
      </c>
      <c r="F31" s="7">
        <f>HYPERLINK("https://www.tradingview.com/chart/tioZvgwv/?symbol=NSE%3ABANKBARODA&amp;interval=", "&amp;#128200;")</f>
      </c>
      <c r="G31" s="7">
        <f>HYPERLINK("https://www.tradingview.com/symbols/NSE-BANKBARODA/news/", "&amp;#128240;")</f>
      </c>
      <c r="H31" s="7">
        <f>HYPERLINK("https://www.tradingview.com/symbols/NSE-BANKBARODA/technicals/", "&amp;#128202;")</f>
      </c>
      <c r="I31" s="7">
        <f>HYPERLINK("https://www.tradingview.com/symbols/NSE-BANKBARODA/financials-overview/", "&amp;#128194;")</f>
      </c>
      <c r="J31" s="4" t="s">
        <v>11</v>
      </c>
    </row>
    <row x14ac:dyDescent="0.25" r="32" customHeight="1" ht="18.75">
      <c r="A32" s="4" t="s">
        <v>41</v>
      </c>
      <c r="B32" s="5">
        <v>94.37</v>
      </c>
      <c r="C32" s="5">
        <v>92.6</v>
      </c>
      <c r="D32" s="5">
        <v>94.27</v>
      </c>
      <c r="E32" s="5">
        <v>92.8</v>
      </c>
      <c r="F32" s="7">
        <f>HYPERLINK("https://www.tradingview.com/chart/tioZvgwv/?symbol=NSE%3ABANKINDIA&amp;interval=", "&amp;#128200;")</f>
      </c>
      <c r="G32" s="7">
        <f>HYPERLINK("https://www.tradingview.com/symbols/NSE-BANKINDIA/news/", "&amp;#128240;")</f>
      </c>
      <c r="H32" s="7">
        <f>HYPERLINK("https://www.tradingview.com/symbols/NSE-BANKINDIA/technicals/", "&amp;#128202;")</f>
      </c>
      <c r="I32" s="7">
        <f>HYPERLINK("https://www.tradingview.com/symbols/NSE-BANKINDIA/financials-overview/", "&amp;#128194;")</f>
      </c>
      <c r="J32" s="4" t="s">
        <v>11</v>
      </c>
    </row>
    <row x14ac:dyDescent="0.25" r="33" customHeight="1" ht="18.75">
      <c r="A33" s="4" t="s">
        <v>42</v>
      </c>
      <c r="B33" s="6">
        <v>1420</v>
      </c>
      <c r="C33" s="5">
        <v>1365.35</v>
      </c>
      <c r="D33" s="5">
        <v>1425.9</v>
      </c>
      <c r="E33" s="5">
        <v>1366.25</v>
      </c>
      <c r="F33" s="7">
        <f>HYPERLINK("https://www.tradingview.com/chart/tioZvgwv/?symbol=NSE%3ABATAINDIA&amp;interval=", "&amp;#128200;")</f>
      </c>
      <c r="G33" s="7">
        <f>HYPERLINK("https://www.tradingview.com/symbols/NSE-BATAINDIA/news/", "&amp;#128240;")</f>
      </c>
      <c r="H33" s="7">
        <f>HYPERLINK("https://www.tradingview.com/symbols/NSE-BATAINDIA/technicals/", "&amp;#128202;")</f>
      </c>
      <c r="I33" s="7">
        <f>HYPERLINK("https://www.tradingview.com/symbols/NSE-BATAINDIA/financials-overview/", "&amp;#128194;")</f>
      </c>
      <c r="J33" s="4" t="s">
        <v>11</v>
      </c>
    </row>
    <row x14ac:dyDescent="0.25" r="34" customHeight="1" ht="18.75">
      <c r="A34" s="4" t="s">
        <v>43</v>
      </c>
      <c r="B34" s="5">
        <v>268.9</v>
      </c>
      <c r="C34" s="6">
        <v>264</v>
      </c>
      <c r="D34" s="6">
        <v>271</v>
      </c>
      <c r="E34" s="5">
        <v>265.75</v>
      </c>
      <c r="F34" s="7">
        <f>HYPERLINK("https://www.tradingview.com/chart/tioZvgwv/?symbol=NSE%3ABEL&amp;interval=", "&amp;#128200;")</f>
      </c>
      <c r="G34" s="7">
        <f>HYPERLINK("https://www.tradingview.com/symbols/NSE-BEL/news/", "&amp;#128240;")</f>
      </c>
      <c r="H34" s="7">
        <f>HYPERLINK("https://www.tradingview.com/symbols/NSE-BEL/technicals/", "&amp;#128202;")</f>
      </c>
      <c r="I34" s="7">
        <f>HYPERLINK("https://www.tradingview.com/symbols/NSE-BEL/financials-overview/", "&amp;#128194;")</f>
      </c>
      <c r="J34" s="4" t="s">
        <v>11</v>
      </c>
    </row>
    <row x14ac:dyDescent="0.25" r="35" customHeight="1" ht="18.75">
      <c r="A35" s="4" t="s">
        <v>44</v>
      </c>
      <c r="B35" s="5">
        <v>461.65</v>
      </c>
      <c r="C35" s="5">
        <v>451.5</v>
      </c>
      <c r="D35" s="5">
        <v>460.85</v>
      </c>
      <c r="E35" s="5">
        <v>454.25</v>
      </c>
      <c r="F35" s="7">
        <f>HYPERLINK("https://www.tradingview.com/chart/tioZvgwv/?symbol=NSE%3ABERGEPAINT&amp;interval=", "&amp;#128200;")</f>
      </c>
      <c r="G35" s="7">
        <f>HYPERLINK("https://www.tradingview.com/symbols/NSE-BERGEPAINT/news/", "&amp;#128240;")</f>
      </c>
      <c r="H35" s="7">
        <f>HYPERLINK("https://www.tradingview.com/symbols/NSE-BERGEPAINT/technicals/", "&amp;#128202;")</f>
      </c>
      <c r="I35" s="7">
        <f>HYPERLINK("https://www.tradingview.com/symbols/NSE-BERGEPAINT/financials-overview/", "&amp;#128194;")</f>
      </c>
      <c r="J35" s="4" t="s">
        <v>11</v>
      </c>
    </row>
    <row x14ac:dyDescent="0.25" r="36" customHeight="1" ht="18.75">
      <c r="A36" s="4" t="s">
        <v>45</v>
      </c>
      <c r="B36" s="5">
        <v>1211.3</v>
      </c>
      <c r="C36" s="5">
        <v>1185.8</v>
      </c>
      <c r="D36" s="5">
        <v>1209.85</v>
      </c>
      <c r="E36" s="5">
        <v>1201.95</v>
      </c>
      <c r="F36" s="7">
        <f>HYPERLINK("https://www.tradingview.com/chart/tioZvgwv/?symbol=NSE%3ABHARATFORG&amp;interval=", "&amp;#128200;")</f>
      </c>
      <c r="G36" s="7">
        <f>HYPERLINK("https://www.tradingview.com/symbols/NSE-BHARATFORG/news/", "&amp;#128240;")</f>
      </c>
      <c r="H36" s="7">
        <f>HYPERLINK("https://www.tradingview.com/symbols/NSE-BHARATFORG/technicals/", "&amp;#128202;")</f>
      </c>
      <c r="I36" s="7">
        <f>HYPERLINK("https://www.tradingview.com/symbols/NSE-BHARATFORG/financials-overview/", "&amp;#128194;")</f>
      </c>
      <c r="J36" s="4" t="s">
        <v>11</v>
      </c>
    </row>
    <row x14ac:dyDescent="0.25" r="37" customHeight="1" ht="18.75">
      <c r="A37" s="4" t="s">
        <v>46</v>
      </c>
      <c r="B37" s="5">
        <v>1614.7</v>
      </c>
      <c r="C37" s="5">
        <v>1578.1</v>
      </c>
      <c r="D37" s="5">
        <v>1615.9</v>
      </c>
      <c r="E37" s="5">
        <v>1599.8</v>
      </c>
      <c r="F37" s="7">
        <f>HYPERLINK("https://www.tradingview.com/chart/tioZvgwv/?symbol=NSE%3ABHARTIARTL&amp;interval=", "&amp;#128200;")</f>
      </c>
      <c r="G37" s="7">
        <f>HYPERLINK("https://www.tradingview.com/symbols/NSE-BHARTIARTL/news/", "&amp;#128240;")</f>
      </c>
      <c r="H37" s="7">
        <f>HYPERLINK("https://www.tradingview.com/symbols/NSE-BHARTIARTL/technicals/", "&amp;#128202;")</f>
      </c>
      <c r="I37" s="7">
        <f>HYPERLINK("https://www.tradingview.com/symbols/NSE-BHARTIARTL/financials-overview/", "&amp;#128194;")</f>
      </c>
      <c r="J37" s="4" t="s">
        <v>11</v>
      </c>
    </row>
    <row x14ac:dyDescent="0.25" r="38" customHeight="1" ht="18.75">
      <c r="A38" s="4" t="s">
        <v>47</v>
      </c>
      <c r="B38" s="6">
        <v>201</v>
      </c>
      <c r="C38" s="5">
        <v>196.06</v>
      </c>
      <c r="D38" s="5">
        <v>204.49</v>
      </c>
      <c r="E38" s="5">
        <v>196.88</v>
      </c>
      <c r="F38" s="7">
        <f>HYPERLINK("https://www.tradingview.com/chart/tioZvgwv/?symbol=NSE%3ABHEL&amp;interval=", "&amp;#128200;")</f>
      </c>
      <c r="G38" s="7">
        <f>HYPERLINK("https://www.tradingview.com/symbols/NSE-BHEL/news/", "&amp;#128240;")</f>
      </c>
      <c r="H38" s="7">
        <f>HYPERLINK("https://www.tradingview.com/symbols/NSE-BHEL/technicals/", "&amp;#128202;")</f>
      </c>
      <c r="I38" s="7">
        <f>HYPERLINK("https://www.tradingview.com/symbols/NSE-BHEL/financials-overview/", "&amp;#128194;")</f>
      </c>
      <c r="J38" s="4" t="s">
        <v>11</v>
      </c>
    </row>
    <row x14ac:dyDescent="0.25" r="39" customHeight="1" ht="18.75">
      <c r="A39" s="4" t="s">
        <v>48</v>
      </c>
      <c r="B39" s="5">
        <v>377.5</v>
      </c>
      <c r="C39" s="5">
        <v>364.1</v>
      </c>
      <c r="D39" s="5">
        <v>360.95</v>
      </c>
      <c r="E39" s="5">
        <v>368.1</v>
      </c>
      <c r="F39" s="7">
        <f>HYPERLINK("https://www.tradingview.com/chart/tioZvgwv/?symbol=NSE%3ABIOCON&amp;interval=", "&amp;#128200;")</f>
      </c>
      <c r="G39" s="7">
        <f>HYPERLINK("https://www.tradingview.com/symbols/NSE-BIOCON/news/", "&amp;#128240;")</f>
      </c>
      <c r="H39" s="7">
        <f>HYPERLINK("https://www.tradingview.com/symbols/NSE-BIOCON/technicals/", "&amp;#128202;")</f>
      </c>
      <c r="I39" s="7">
        <f>HYPERLINK("https://www.tradingview.com/symbols/NSE-BIOCON/financials-overview/", "&amp;#128194;")</f>
      </c>
      <c r="J39" s="4" t="s">
        <v>11</v>
      </c>
    </row>
    <row x14ac:dyDescent="0.25" r="40" customHeight="1" ht="18.75">
      <c r="A40" s="4" t="s">
        <v>49</v>
      </c>
      <c r="B40" s="5">
        <v>31697.2</v>
      </c>
      <c r="C40" s="6">
        <v>31267</v>
      </c>
      <c r="D40" s="5">
        <v>31713.85</v>
      </c>
      <c r="E40" s="6">
        <v>31463</v>
      </c>
      <c r="F40" s="7">
        <f>HYPERLINK("https://www.tradingview.com/chart/tioZvgwv/?symbol=NSE%3ABOSCHLTD&amp;interval=", "&amp;#128200;")</f>
      </c>
      <c r="G40" s="7">
        <f>HYPERLINK("https://www.tradingview.com/symbols/NSE-BOSCHLTD/news/", "&amp;#128240;")</f>
      </c>
      <c r="H40" s="7">
        <f>HYPERLINK("https://www.tradingview.com/symbols/NSE-BOSCHLTD/technicals/", "&amp;#128202;")</f>
      </c>
      <c r="I40" s="7">
        <f>HYPERLINK("https://www.tradingview.com/symbols/NSE-BOSCHLTD/financials-overview/", "&amp;#128194;")</f>
      </c>
      <c r="J40" s="4" t="s">
        <v>11</v>
      </c>
    </row>
    <row x14ac:dyDescent="0.25" r="41" customHeight="1" ht="18.75">
      <c r="A41" s="4" t="s">
        <v>50</v>
      </c>
      <c r="B41" s="5">
        <v>274.7</v>
      </c>
      <c r="C41" s="5">
        <v>269.8</v>
      </c>
      <c r="D41" s="5">
        <v>277.65</v>
      </c>
      <c r="E41" s="5">
        <v>270.25</v>
      </c>
      <c r="F41" s="7">
        <f>HYPERLINK("https://www.tradingview.com/chart/tioZvgwv/?symbol=NSE%3ABPCL&amp;interval=", "&amp;#128200;")</f>
      </c>
      <c r="G41" s="7">
        <f>HYPERLINK("https://www.tradingview.com/symbols/NSE-BPCL/news/", "&amp;#128240;")</f>
      </c>
      <c r="H41" s="7">
        <f>HYPERLINK("https://www.tradingview.com/symbols/NSE-BPCL/technicals/", "&amp;#128202;")</f>
      </c>
      <c r="I41" s="7">
        <f>HYPERLINK("https://www.tradingview.com/symbols/NSE-BPCL/financials-overview/", "&amp;#128194;")</f>
      </c>
      <c r="J41" s="4" t="s">
        <v>11</v>
      </c>
    </row>
    <row x14ac:dyDescent="0.25" r="42" customHeight="1" ht="18.75">
      <c r="A42" s="4" t="s">
        <v>51</v>
      </c>
      <c r="B42" s="5">
        <v>4997.9</v>
      </c>
      <c r="C42" s="6">
        <v>4906</v>
      </c>
      <c r="D42" s="5">
        <v>4939.2</v>
      </c>
      <c r="E42" s="5">
        <v>4932.95</v>
      </c>
      <c r="F42" s="7">
        <f>HYPERLINK("https://www.tradingview.com/chart/tioZvgwv/?symbol=NSE%3ABRITANNIA&amp;interval=", "&amp;#128200;")</f>
      </c>
      <c r="G42" s="7">
        <f>HYPERLINK("https://www.tradingview.com/symbols/NSE-BRITANNIA/news/", "&amp;#128240;")</f>
      </c>
      <c r="H42" s="7">
        <f>HYPERLINK("https://www.tradingview.com/symbols/NSE-BRITANNIA/technicals/", "&amp;#128202;")</f>
      </c>
      <c r="I42" s="7">
        <f>HYPERLINK("https://www.tradingview.com/symbols/NSE-BRITANNIA/financials-overview/", "&amp;#128194;")</f>
      </c>
      <c r="J42" s="4" t="s">
        <v>11</v>
      </c>
    </row>
    <row x14ac:dyDescent="0.25" r="43" customHeight="1" ht="18.75">
      <c r="A43" s="4" t="s">
        <v>52</v>
      </c>
      <c r="B43" s="6">
        <v>5243</v>
      </c>
      <c r="C43" s="5">
        <v>5023.1</v>
      </c>
      <c r="D43" s="5">
        <v>5121.65</v>
      </c>
      <c r="E43" s="6">
        <v>5185</v>
      </c>
      <c r="F43" s="7">
        <f>HYPERLINK("https://www.tradingview.com/chart/tioZvgwv/?symbol=NSE%3ABSE&amp;interval=", "&amp;#128200;")</f>
      </c>
      <c r="G43" s="7">
        <f>HYPERLINK("https://www.tradingview.com/symbols/NSE-BSE/news/", "&amp;#128240;")</f>
      </c>
      <c r="H43" s="7">
        <f>HYPERLINK("https://www.tradingview.com/symbols/NSE-BSE/technicals/", "&amp;#128202;")</f>
      </c>
      <c r="I43" s="7">
        <f>HYPERLINK("https://www.tradingview.com/symbols/NSE-BSE/financials-overview/", "&amp;#128194;")</f>
      </c>
      <c r="J43" s="4" t="s">
        <v>11</v>
      </c>
    </row>
    <row x14ac:dyDescent="0.25" r="44" customHeight="1" ht="18.75">
      <c r="A44" s="4" t="s">
        <v>53</v>
      </c>
      <c r="B44" s="5">
        <v>564.4</v>
      </c>
      <c r="C44" s="5">
        <v>542.3</v>
      </c>
      <c r="D44" s="5">
        <v>551.35</v>
      </c>
      <c r="E44" s="5">
        <v>551.1</v>
      </c>
      <c r="F44" s="7">
        <f>HYPERLINK("https://www.tradingview.com/chart/tioZvgwv/?symbol=NSE%3ABSOFT&amp;interval=", "&amp;#128200;")</f>
      </c>
      <c r="G44" s="7">
        <f>HYPERLINK("https://www.tradingview.com/symbols/NSE-BSOFT/news/", "&amp;#128240;")</f>
      </c>
      <c r="H44" s="7">
        <f>HYPERLINK("https://www.tradingview.com/symbols/NSE-BSOFT/technicals/", "&amp;#128202;")</f>
      </c>
      <c r="I44" s="7">
        <f>HYPERLINK("https://www.tradingview.com/symbols/NSE-BSOFT/financials-overview/", "&amp;#128194;")</f>
      </c>
      <c r="J44" s="4" t="s">
        <v>11</v>
      </c>
    </row>
    <row x14ac:dyDescent="0.25" r="45" customHeight="1" ht="18.75">
      <c r="A45" s="4" t="s">
        <v>54</v>
      </c>
      <c r="B45" s="5">
        <v>4519.45</v>
      </c>
      <c r="C45" s="6">
        <v>4355</v>
      </c>
      <c r="D45" s="5">
        <v>4522.75</v>
      </c>
      <c r="E45" s="6">
        <v>4358</v>
      </c>
      <c r="F45" s="7">
        <f>HYPERLINK("https://www.tradingview.com/chart/tioZvgwv/?symbol=NSE%3ACAMS&amp;interval=", "&amp;#128200;")</f>
      </c>
      <c r="G45" s="7">
        <f>HYPERLINK("https://www.tradingview.com/symbols/NSE-CAMS/news/", "&amp;#128240;")</f>
      </c>
      <c r="H45" s="7">
        <f>HYPERLINK("https://www.tradingview.com/symbols/NSE-CAMS/technicals/", "&amp;#128202;")</f>
      </c>
      <c r="I45" s="7">
        <f>HYPERLINK("https://www.tradingview.com/symbols/NSE-CAMS/financials-overview/", "&amp;#128194;")</f>
      </c>
      <c r="J45" s="4" t="s">
        <v>11</v>
      </c>
    </row>
    <row x14ac:dyDescent="0.25" r="46" customHeight="1" ht="18.75">
      <c r="A46" s="4" t="s">
        <v>55</v>
      </c>
      <c r="B46" s="5">
        <v>92.36</v>
      </c>
      <c r="C46" s="5">
        <v>90.57</v>
      </c>
      <c r="D46" s="5">
        <v>92.83</v>
      </c>
      <c r="E46" s="5">
        <v>90.74</v>
      </c>
      <c r="F46" s="7">
        <f>HYPERLINK("https://www.tradingview.com/chart/tioZvgwv/?symbol=NSE%3ACANBK&amp;interval=", "&amp;#128200;")</f>
      </c>
      <c r="G46" s="7">
        <f>HYPERLINK("https://www.tradingview.com/symbols/NSE-CANBK/news/", "&amp;#128240;")</f>
      </c>
      <c r="H46" s="7">
        <f>HYPERLINK("https://www.tradingview.com/symbols/NSE-CANBK/technicals/", "&amp;#128202;")</f>
      </c>
      <c r="I46" s="7">
        <f>HYPERLINK("https://www.tradingview.com/symbols/NSE-CANBK/financials-overview/", "&amp;#128194;")</f>
      </c>
      <c r="J46" s="4" t="s">
        <v>11</v>
      </c>
    </row>
    <row x14ac:dyDescent="0.25" r="47" customHeight="1" ht="18.75">
      <c r="A47" s="4" t="s">
        <v>56</v>
      </c>
      <c r="B47" s="5">
        <v>677.95</v>
      </c>
      <c r="C47" s="6">
        <v>666</v>
      </c>
      <c r="D47" s="5">
        <v>679.35</v>
      </c>
      <c r="E47" s="5">
        <v>667.2</v>
      </c>
      <c r="F47" s="7">
        <f>HYPERLINK("https://www.tradingview.com/chart/tioZvgwv/?symbol=NSE%3ACANFINHOME&amp;interval=", "&amp;#128200;")</f>
      </c>
      <c r="G47" s="7">
        <f>HYPERLINK("https://www.tradingview.com/symbols/NSE-CANFINHOME/news/", "&amp;#128240;")</f>
      </c>
      <c r="H47" s="7">
        <f>HYPERLINK("https://www.tradingview.com/symbols/NSE-CANFINHOME/technicals/", "&amp;#128202;")</f>
      </c>
      <c r="I47" s="7">
        <f>HYPERLINK("https://www.tradingview.com/symbols/NSE-CANFINHOME/financials-overview/", "&amp;#128194;")</f>
      </c>
      <c r="J47" s="4" t="s">
        <v>11</v>
      </c>
    </row>
    <row x14ac:dyDescent="0.25" r="48" customHeight="1" ht="18.75">
      <c r="A48" s="4" t="s">
        <v>57</v>
      </c>
      <c r="B48" s="6">
        <v>1598</v>
      </c>
      <c r="C48" s="6">
        <v>1555</v>
      </c>
      <c r="D48" s="5">
        <v>1594.45</v>
      </c>
      <c r="E48" s="5">
        <v>1555.25</v>
      </c>
      <c r="F48" s="7">
        <f>HYPERLINK("https://www.tradingview.com/chart/tioZvgwv/?symbol=NSE%3ACDSL&amp;interval=", "&amp;#128200;")</f>
      </c>
      <c r="G48" s="7">
        <f>HYPERLINK("https://www.tradingview.com/symbols/NSE-CDSL/news/", "&amp;#128240;")</f>
      </c>
      <c r="H48" s="7">
        <f>HYPERLINK("https://www.tradingview.com/symbols/NSE-CDSL/technicals/", "&amp;#128202;")</f>
      </c>
      <c r="I48" s="7">
        <f>HYPERLINK("https://www.tradingview.com/symbols/NSE-CDSL/financials-overview/", "&amp;#128194;")</f>
      </c>
      <c r="J48" s="4" t="s">
        <v>11</v>
      </c>
    </row>
    <row x14ac:dyDescent="0.25" r="49" customHeight="1" ht="18.75">
      <c r="A49" s="4" t="s">
        <v>58</v>
      </c>
      <c r="B49" s="5">
        <v>161.6</v>
      </c>
      <c r="C49" s="5">
        <v>152.77</v>
      </c>
      <c r="D49" s="5">
        <v>162.42</v>
      </c>
      <c r="E49" s="5">
        <v>157.08</v>
      </c>
      <c r="F49" s="7">
        <f>HYPERLINK("https://www.tradingview.com/chart/tioZvgwv/?symbol=NSE%3ACESC&amp;interval=", "&amp;#128200;")</f>
      </c>
      <c r="G49" s="7">
        <f>HYPERLINK("https://www.tradingview.com/symbols/NSE-CESC/news/", "&amp;#128240;")</f>
      </c>
      <c r="H49" s="7">
        <f>HYPERLINK("https://www.tradingview.com/symbols/NSE-CESC/technicals/", "&amp;#128202;")</f>
      </c>
      <c r="I49" s="7">
        <f>HYPERLINK("https://www.tradingview.com/symbols/NSE-CESC/financials-overview/", "&amp;#128194;")</f>
      </c>
      <c r="J49" s="4" t="s">
        <v>11</v>
      </c>
    </row>
    <row x14ac:dyDescent="0.25" r="50" customHeight="1" ht="18.75">
      <c r="A50" s="4" t="s">
        <v>59</v>
      </c>
      <c r="B50" s="5">
        <v>643.6</v>
      </c>
      <c r="C50" s="5">
        <v>621.05</v>
      </c>
      <c r="D50" s="5">
        <v>650.2</v>
      </c>
      <c r="E50" s="5">
        <v>622.1</v>
      </c>
      <c r="F50" s="7">
        <f>HYPERLINK("https://www.tradingview.com/chart/tioZvgwv/?symbol=NSE%3ACGPOWER&amp;interval=", "&amp;#128200;")</f>
      </c>
      <c r="G50" s="7">
        <f>HYPERLINK("https://www.tradingview.com/symbols/NSE-CGPOWER/news/", "&amp;#128240;")</f>
      </c>
      <c r="H50" s="7">
        <f>HYPERLINK("https://www.tradingview.com/symbols/NSE-CGPOWER/technicals/", "&amp;#128202;")</f>
      </c>
      <c r="I50" s="7">
        <f>HYPERLINK("https://www.tradingview.com/symbols/NSE-CGPOWER/financials-overview/", "&amp;#128194;")</f>
      </c>
      <c r="J50" s="4" t="s">
        <v>11</v>
      </c>
    </row>
    <row x14ac:dyDescent="0.25" r="51" customHeight="1" ht="18.75">
      <c r="A51" s="4" t="s">
        <v>60</v>
      </c>
      <c r="B51" s="5">
        <v>478.85</v>
      </c>
      <c r="C51" s="5">
        <v>467.5</v>
      </c>
      <c r="D51" s="5">
        <v>481.4</v>
      </c>
      <c r="E51" s="5">
        <v>468.1</v>
      </c>
      <c r="F51" s="7">
        <f>HYPERLINK("https://www.tradingview.com/chart/tioZvgwv/?symbol=NSE%3ACHAMBLFERT&amp;interval=", "&amp;#128200;")</f>
      </c>
      <c r="G51" s="7">
        <f>HYPERLINK("https://www.tradingview.com/symbols/NSE-CHAMBLFERT/news/", "&amp;#128240;")</f>
      </c>
      <c r="H51" s="7">
        <f>HYPERLINK("https://www.tradingview.com/symbols/NSE-CHAMBLFERT/technicals/", "&amp;#128202;")</f>
      </c>
      <c r="I51" s="7">
        <f>HYPERLINK("https://www.tradingview.com/symbols/NSE-CHAMBLFERT/financials-overview/", "&amp;#128194;")</f>
      </c>
      <c r="J51" s="4" t="s">
        <v>11</v>
      </c>
    </row>
    <row x14ac:dyDescent="0.25" r="52" customHeight="1" ht="18.75">
      <c r="A52" s="4" t="s">
        <v>61</v>
      </c>
      <c r="B52" s="5">
        <v>1259.4</v>
      </c>
      <c r="C52" s="5">
        <v>1225.15</v>
      </c>
      <c r="D52" s="5">
        <v>1255.05</v>
      </c>
      <c r="E52" s="5">
        <v>1235.35</v>
      </c>
      <c r="F52" s="7">
        <f>HYPERLINK("https://www.tradingview.com/chart/tioZvgwv/?symbol=NSE%3ACHOLAFIN&amp;interval=", "&amp;#128200;")</f>
      </c>
      <c r="G52" s="7">
        <f>HYPERLINK("https://www.tradingview.com/symbols/NSE-CHOLAFIN/news/", "&amp;#128240;")</f>
      </c>
      <c r="H52" s="7">
        <f>HYPERLINK("https://www.tradingview.com/symbols/NSE-CHOLAFIN/technicals/", "&amp;#128202;")</f>
      </c>
      <c r="I52" s="7">
        <f>HYPERLINK("https://www.tradingview.com/symbols/NSE-CHOLAFIN/financials-overview/", "&amp;#128194;")</f>
      </c>
      <c r="J52" s="4" t="s">
        <v>11</v>
      </c>
    </row>
    <row x14ac:dyDescent="0.25" r="53" customHeight="1" ht="18.75">
      <c r="A53" s="4" t="s">
        <v>62</v>
      </c>
      <c r="B53" s="5">
        <v>1463.95</v>
      </c>
      <c r="C53" s="6">
        <v>1445</v>
      </c>
      <c r="D53" s="5">
        <v>1468.8</v>
      </c>
      <c r="E53" s="5">
        <v>1446.05</v>
      </c>
      <c r="F53" s="7">
        <f>HYPERLINK("https://www.tradingview.com/chart/tioZvgwv/?symbol=NSE%3ACIPLA&amp;interval=", "&amp;#128200;")</f>
      </c>
      <c r="G53" s="7">
        <f>HYPERLINK("https://www.tradingview.com/symbols/NSE-CIPLA/news/", "&amp;#128240;")</f>
      </c>
      <c r="H53" s="7">
        <f>HYPERLINK("https://www.tradingview.com/symbols/NSE-CIPLA/technicals/", "&amp;#128202;")</f>
      </c>
      <c r="I53" s="7">
        <f>HYPERLINK("https://www.tradingview.com/symbols/NSE-CIPLA/financials-overview/", "&amp;#128194;")</f>
      </c>
      <c r="J53" s="4" t="s">
        <v>11</v>
      </c>
    </row>
    <row x14ac:dyDescent="0.25" r="54" customHeight="1" ht="18.75">
      <c r="A54" s="4" t="s">
        <v>63</v>
      </c>
      <c r="B54" s="5">
        <v>370.4</v>
      </c>
      <c r="C54" s="5">
        <v>362.2</v>
      </c>
      <c r="D54" s="5">
        <v>368.5</v>
      </c>
      <c r="E54" s="5">
        <v>367.4</v>
      </c>
      <c r="F54" s="7">
        <f>HYPERLINK("https://www.tradingview.com/chart/tioZvgwv/?symbol=NSE%3ACOALINDIA&amp;interval=", "&amp;#128200;")</f>
      </c>
      <c r="G54" s="7">
        <f>HYPERLINK("https://www.tradingview.com/symbols/NSE-COALINDIA/news/", "&amp;#128240;")</f>
      </c>
      <c r="H54" s="7">
        <f>HYPERLINK("https://www.tradingview.com/symbols/NSE-COALINDIA/technicals/", "&amp;#128202;")</f>
      </c>
      <c r="I54" s="7">
        <f>HYPERLINK("https://www.tradingview.com/symbols/NSE-COALINDIA/financials-overview/", "&amp;#128194;")</f>
      </c>
      <c r="J54" s="4" t="s">
        <v>11</v>
      </c>
    </row>
    <row x14ac:dyDescent="0.25" r="55" customHeight="1" ht="18.75">
      <c r="A55" s="4" t="s">
        <v>64</v>
      </c>
      <c r="B55" s="5">
        <v>9323.5</v>
      </c>
      <c r="C55" s="5">
        <v>8891.4</v>
      </c>
      <c r="D55" s="5">
        <v>9404.15</v>
      </c>
      <c r="E55" s="5">
        <v>8898.05</v>
      </c>
      <c r="F55" s="7">
        <f>HYPERLINK("https://www.tradingview.com/chart/tioZvgwv/?symbol=NSE%3ACOFORGE&amp;interval=", "&amp;#128200;")</f>
      </c>
      <c r="G55" s="7">
        <f>HYPERLINK("https://www.tradingview.com/symbols/NSE-COFORGE/news/", "&amp;#128240;")</f>
      </c>
      <c r="H55" s="7">
        <f>HYPERLINK("https://www.tradingview.com/symbols/NSE-COFORGE/technicals/", "&amp;#128202;")</f>
      </c>
      <c r="I55" s="7">
        <f>HYPERLINK("https://www.tradingview.com/symbols/NSE-COFORGE/financials-overview/", "&amp;#128194;")</f>
      </c>
      <c r="J55" s="4" t="s">
        <v>11</v>
      </c>
    </row>
    <row x14ac:dyDescent="0.25" r="56" customHeight="1" ht="18.75">
      <c r="A56" s="4" t="s">
        <v>65</v>
      </c>
      <c r="B56" s="5">
        <v>2835.6</v>
      </c>
      <c r="C56" s="5">
        <v>2784.15</v>
      </c>
      <c r="D56" s="5">
        <v>2830.7</v>
      </c>
      <c r="E56" s="5">
        <v>2788.6</v>
      </c>
      <c r="F56" s="7">
        <f>HYPERLINK("https://www.tradingview.com/chart/tioZvgwv/?symbol=NSE%3ACOLPAL&amp;interval=", "&amp;#128200;")</f>
      </c>
      <c r="G56" s="7">
        <f>HYPERLINK("https://www.tradingview.com/symbols/NSE-COLPAL/news/", "&amp;#128240;")</f>
      </c>
      <c r="H56" s="7">
        <f>HYPERLINK("https://www.tradingview.com/symbols/NSE-COLPAL/technicals/", "&amp;#128202;")</f>
      </c>
      <c r="I56" s="7">
        <f>HYPERLINK("https://www.tradingview.com/symbols/NSE-COLPAL/financials-overview/", "&amp;#128194;")</f>
      </c>
      <c r="J56" s="4" t="s">
        <v>11</v>
      </c>
    </row>
    <row x14ac:dyDescent="0.25" r="57" customHeight="1" ht="18.75">
      <c r="A57" s="4" t="s">
        <v>66</v>
      </c>
      <c r="B57" s="5">
        <v>750.25</v>
      </c>
      <c r="C57" s="5">
        <v>739.25</v>
      </c>
      <c r="D57" s="5">
        <v>750.25</v>
      </c>
      <c r="E57" s="5">
        <v>740.85</v>
      </c>
      <c r="F57" s="7">
        <f>HYPERLINK("https://www.tradingview.com/chart/tioZvgwv/?symbol=NSE%3ACONCOR&amp;interval=", "&amp;#128200;")</f>
      </c>
      <c r="G57" s="7">
        <f>HYPERLINK("https://www.tradingview.com/symbols/NSE-CONCOR/news/", "&amp;#128240;")</f>
      </c>
      <c r="H57" s="7">
        <f>HYPERLINK("https://www.tradingview.com/symbols/NSE-CONCOR/technicals/", "&amp;#128202;")</f>
      </c>
      <c r="I57" s="7">
        <f>HYPERLINK("https://www.tradingview.com/symbols/NSE-CONCOR/financials-overview/", "&amp;#128194;")</f>
      </c>
      <c r="J57" s="4" t="s">
        <v>11</v>
      </c>
    </row>
    <row x14ac:dyDescent="0.25" r="58" customHeight="1" ht="18.75">
      <c r="A58" s="4" t="s">
        <v>67</v>
      </c>
      <c r="B58" s="5">
        <v>1903.7</v>
      </c>
      <c r="C58" s="5">
        <v>1819.25</v>
      </c>
      <c r="D58" s="5">
        <v>1922.45</v>
      </c>
      <c r="E58" s="5">
        <v>1820.75</v>
      </c>
      <c r="F58" s="7">
        <f>HYPERLINK("https://www.tradingview.com/chart/tioZvgwv/?symbol=NSE%3ACOROMANDEL&amp;interval=", "&amp;#128200;")</f>
      </c>
      <c r="G58" s="7">
        <f>HYPERLINK("https://www.tradingview.com/symbols/NSE-COROMANDEL/news/", "&amp;#128240;")</f>
      </c>
      <c r="H58" s="7">
        <f>HYPERLINK("https://www.tradingview.com/symbols/NSE-COROMANDEL/technicals/", "&amp;#128202;")</f>
      </c>
      <c r="I58" s="7">
        <f>HYPERLINK("https://www.tradingview.com/symbols/NSE-COROMANDEL/financials-overview/", "&amp;#128194;")</f>
      </c>
      <c r="J58" s="4" t="s">
        <v>11</v>
      </c>
    </row>
    <row x14ac:dyDescent="0.25" r="59" customHeight="1" ht="18.75">
      <c r="A59" s="4" t="s">
        <v>68</v>
      </c>
      <c r="B59" s="5">
        <v>356.65</v>
      </c>
      <c r="C59" s="5">
        <v>348.25</v>
      </c>
      <c r="D59" s="5">
        <v>359.75</v>
      </c>
      <c r="E59" s="5">
        <v>348.7</v>
      </c>
      <c r="F59" s="7">
        <f>HYPERLINK("https://www.tradingview.com/chart/tioZvgwv/?symbol=NSE%3ACROMPTON&amp;interval=", "&amp;#128200;")</f>
      </c>
      <c r="G59" s="7">
        <f>HYPERLINK("https://www.tradingview.com/symbols/NSE-CROMPTON/news/", "&amp;#128240;")</f>
      </c>
      <c r="H59" s="7">
        <f>HYPERLINK("https://www.tradingview.com/symbols/NSE-CROMPTON/technicals/", "&amp;#128202;")</f>
      </c>
      <c r="I59" s="7">
        <f>HYPERLINK("https://www.tradingview.com/symbols/NSE-CROMPTON/financials-overview/", "&amp;#128194;")</f>
      </c>
      <c r="J59" s="4" t="s">
        <v>11</v>
      </c>
    </row>
    <row x14ac:dyDescent="0.25" r="60" customHeight="1" ht="18.75">
      <c r="A60" s="4" t="s">
        <v>69</v>
      </c>
      <c r="B60" s="5">
        <v>165.19</v>
      </c>
      <c r="C60" s="5">
        <v>161.16</v>
      </c>
      <c r="D60" s="5">
        <v>165.28</v>
      </c>
      <c r="E60" s="5">
        <v>164.15</v>
      </c>
      <c r="F60" s="7">
        <f>HYPERLINK("https://www.tradingview.com/chart/tioZvgwv/?symbol=NSE%3ACUB&amp;interval=", "&amp;#128200;")</f>
      </c>
      <c r="G60" s="7">
        <f>HYPERLINK("https://www.tradingview.com/symbols/NSE-CUB/news/", "&amp;#128240;")</f>
      </c>
      <c r="H60" s="7">
        <f>HYPERLINK("https://www.tradingview.com/symbols/NSE-CUB/technicals/", "&amp;#128202;")</f>
      </c>
      <c r="I60" s="7">
        <f>HYPERLINK("https://www.tradingview.com/symbols/NSE-CUB/financials-overview/", "&amp;#128194;")</f>
      </c>
      <c r="J60" s="4" t="s">
        <v>11</v>
      </c>
    </row>
    <row x14ac:dyDescent="0.25" r="61" customHeight="1" ht="18.75">
      <c r="A61" s="4" t="s">
        <v>70</v>
      </c>
      <c r="B61" s="5">
        <v>2988.6</v>
      </c>
      <c r="C61" s="5">
        <v>2926.7</v>
      </c>
      <c r="D61" s="5">
        <v>2999.45</v>
      </c>
      <c r="E61" s="5">
        <v>2931.55</v>
      </c>
      <c r="F61" s="7">
        <f>HYPERLINK("https://www.tradingview.com/chart/tioZvgwv/?symbol=NSE%3ACUMMINSIND&amp;interval=", "&amp;#128200;")</f>
      </c>
      <c r="G61" s="7">
        <f>HYPERLINK("https://www.tradingview.com/symbols/NSE-CUMMINSIND/news/", "&amp;#128240;")</f>
      </c>
      <c r="H61" s="7">
        <f>HYPERLINK("https://www.tradingview.com/symbols/NSE-CUMMINSIND/technicals/", "&amp;#128202;")</f>
      </c>
      <c r="I61" s="7">
        <f>HYPERLINK("https://www.tradingview.com/symbols/NSE-CUMMINSIND/financials-overview/", "&amp;#128194;")</f>
      </c>
      <c r="J61" s="4" t="s">
        <v>11</v>
      </c>
    </row>
    <row x14ac:dyDescent="0.25" r="62" customHeight="1" ht="18.75">
      <c r="A62" s="4" t="s">
        <v>71</v>
      </c>
      <c r="B62" s="5">
        <v>1752.7</v>
      </c>
      <c r="C62" s="5">
        <v>1711.35</v>
      </c>
      <c r="D62" s="5">
        <v>1740.7</v>
      </c>
      <c r="E62" s="5">
        <v>1717.3</v>
      </c>
      <c r="F62" s="7">
        <f>HYPERLINK("https://www.tradingview.com/chart/tioZvgwv/?symbol=NSE%3ACYIENT&amp;interval=", "&amp;#128200;")</f>
      </c>
      <c r="G62" s="7">
        <f>HYPERLINK("https://www.tradingview.com/symbols/NSE-CYIENT/news/", "&amp;#128240;")</f>
      </c>
      <c r="H62" s="7">
        <f>HYPERLINK("https://www.tradingview.com/symbols/NSE-CYIENT/technicals/", "&amp;#128202;")</f>
      </c>
      <c r="I62" s="7">
        <f>HYPERLINK("https://www.tradingview.com/symbols/NSE-CYIENT/financials-overview/", "&amp;#128194;")</f>
      </c>
      <c r="J62" s="4" t="s">
        <v>11</v>
      </c>
    </row>
    <row x14ac:dyDescent="0.25" r="63" customHeight="1" ht="18.75">
      <c r="A63" s="4" t="s">
        <v>72</v>
      </c>
      <c r="B63" s="5">
        <v>516.9</v>
      </c>
      <c r="C63" s="6">
        <v>511</v>
      </c>
      <c r="D63" s="5">
        <v>517.9</v>
      </c>
      <c r="E63" s="5">
        <v>511.05</v>
      </c>
      <c r="F63" s="7">
        <f>HYPERLINK("https://www.tradingview.com/chart/tioZvgwv/?symbol=NSE%3ADABUR&amp;interval=", "&amp;#128200;")</f>
      </c>
      <c r="G63" s="7">
        <f>HYPERLINK("https://www.tradingview.com/symbols/NSE-DABUR/news/", "&amp;#128240;")</f>
      </c>
      <c r="H63" s="7">
        <f>HYPERLINK("https://www.tradingview.com/symbols/NSE-DABUR/technicals/", "&amp;#128202;")</f>
      </c>
      <c r="I63" s="7">
        <f>HYPERLINK("https://www.tradingview.com/symbols/NSE-DABUR/financials-overview/", "&amp;#128194;")</f>
      </c>
      <c r="J63" s="4" t="s">
        <v>11</v>
      </c>
    </row>
    <row x14ac:dyDescent="0.25" r="64" customHeight="1" ht="18.75">
      <c r="A64" s="4" t="s">
        <v>73</v>
      </c>
      <c r="B64" s="5">
        <v>1757.35</v>
      </c>
      <c r="C64" s="5">
        <v>1716.5</v>
      </c>
      <c r="D64" s="5">
        <v>1727.5</v>
      </c>
      <c r="E64" s="5">
        <v>1717.4</v>
      </c>
      <c r="F64" s="7">
        <f>HYPERLINK("https://www.tradingview.com/chart/tioZvgwv/?symbol=NSE%3ADALBHARAT&amp;interval=", "&amp;#128200;")</f>
      </c>
      <c r="G64" s="7">
        <f>HYPERLINK("https://www.tradingview.com/symbols/NSE-DALBHARAT/news/", "&amp;#128240;")</f>
      </c>
      <c r="H64" s="7">
        <f>HYPERLINK("https://www.tradingview.com/symbols/NSE-DALBHARAT/technicals/", "&amp;#128202;")</f>
      </c>
      <c r="I64" s="7">
        <f>HYPERLINK("https://www.tradingview.com/symbols/NSE-DALBHARAT/financials-overview/", "&amp;#128194;")</f>
      </c>
      <c r="J64" s="4" t="s">
        <v>11</v>
      </c>
    </row>
    <row x14ac:dyDescent="0.25" r="65" customHeight="1" ht="18.75">
      <c r="A65" s="4" t="s">
        <v>74</v>
      </c>
      <c r="B65" s="5">
        <v>2400.4</v>
      </c>
      <c r="C65" s="5">
        <v>2360.6</v>
      </c>
      <c r="D65" s="5">
        <v>2418.75</v>
      </c>
      <c r="E65" s="5">
        <v>2364.6</v>
      </c>
      <c r="F65" s="7">
        <f>HYPERLINK("https://www.tradingview.com/chart/tioZvgwv/?symbol=NSE%3ADEEPAKNTR&amp;interval=", "&amp;#128200;")</f>
      </c>
      <c r="G65" s="7">
        <f>HYPERLINK("https://www.tradingview.com/symbols/NSE-DEEPAKNTR/news/", "&amp;#128240;")</f>
      </c>
      <c r="H65" s="7">
        <f>HYPERLINK("https://www.tradingview.com/symbols/NSE-DEEPAKNTR/technicals/", "&amp;#128202;")</f>
      </c>
      <c r="I65" s="7">
        <f>HYPERLINK("https://www.tradingview.com/symbols/NSE-DEEPAKNTR/financials-overview/", "&amp;#128194;")</f>
      </c>
      <c r="J65" s="4" t="s">
        <v>11</v>
      </c>
    </row>
    <row x14ac:dyDescent="0.25" r="66" customHeight="1" ht="18.75">
      <c r="A66" s="4" t="s">
        <v>75</v>
      </c>
      <c r="B66" s="6">
        <v>334</v>
      </c>
      <c r="C66" s="5">
        <v>323.05</v>
      </c>
      <c r="D66" s="5">
        <v>333.85</v>
      </c>
      <c r="E66" s="5">
        <v>323.6</v>
      </c>
      <c r="F66" s="7">
        <f>HYPERLINK("https://www.tradingview.com/chart/tioZvgwv/?symbol=NSE%3ADELHIVERY&amp;interval=", "&amp;#128200;")</f>
      </c>
      <c r="G66" s="7">
        <f>HYPERLINK("https://www.tradingview.com/symbols/NSE-DELHIVERY/news/", "&amp;#128240;")</f>
      </c>
      <c r="H66" s="7">
        <f>HYPERLINK("https://www.tradingview.com/symbols/NSE-DELHIVERY/technicals/", "&amp;#128202;")</f>
      </c>
      <c r="I66" s="7">
        <f>HYPERLINK("https://www.tradingview.com/symbols/NSE-DELHIVERY/financials-overview/", "&amp;#128194;")</f>
      </c>
      <c r="J66" s="4" t="s">
        <v>11</v>
      </c>
    </row>
    <row x14ac:dyDescent="0.25" r="67" customHeight="1" ht="18.75">
      <c r="A67" s="4" t="s">
        <v>76</v>
      </c>
      <c r="B67" s="5">
        <v>5887.5</v>
      </c>
      <c r="C67" s="5">
        <v>5654.35</v>
      </c>
      <c r="D67" s="5">
        <v>5771.35</v>
      </c>
      <c r="E67" s="5">
        <v>5815.5</v>
      </c>
      <c r="F67" s="7">
        <f>HYPERLINK("https://www.tradingview.com/chart/tioZvgwv/?symbol=NSE%3ADIVISLAB&amp;interval=", "&amp;#128200;")</f>
      </c>
      <c r="G67" s="7">
        <f>HYPERLINK("https://www.tradingview.com/symbols/NSE-DIVISLAB/news/", "&amp;#128240;")</f>
      </c>
      <c r="H67" s="7">
        <f>HYPERLINK("https://www.tradingview.com/symbols/NSE-DIVISLAB/technicals/", "&amp;#128202;")</f>
      </c>
      <c r="I67" s="7">
        <f>HYPERLINK("https://www.tradingview.com/symbols/NSE-DIVISLAB/financials-overview/", "&amp;#128194;")</f>
      </c>
      <c r="J67" s="4" t="s">
        <v>11</v>
      </c>
    </row>
    <row x14ac:dyDescent="0.25" r="68" customHeight="1" ht="18.75">
      <c r="A68" s="4" t="s">
        <v>77</v>
      </c>
      <c r="B68" s="6">
        <v>16550</v>
      </c>
      <c r="C68" s="6">
        <v>16110</v>
      </c>
      <c r="D68" s="5">
        <v>16709.2</v>
      </c>
      <c r="E68" s="6">
        <v>16150</v>
      </c>
      <c r="F68" s="7">
        <f>HYPERLINK("https://www.tradingview.com/chart/tioZvgwv/?symbol=NSE%3ADIXON&amp;interval=", "&amp;#128200;")</f>
      </c>
      <c r="G68" s="7">
        <f>HYPERLINK("https://www.tradingview.com/symbols/NSE-DIXON/news/", "&amp;#128240;")</f>
      </c>
      <c r="H68" s="7">
        <f>HYPERLINK("https://www.tradingview.com/symbols/NSE-DIXON/technicals/", "&amp;#128202;")</f>
      </c>
      <c r="I68" s="7">
        <f>HYPERLINK("https://www.tradingview.com/symbols/NSE-DIXON/financials-overview/", "&amp;#128194;")</f>
      </c>
      <c r="J68" s="4" t="s">
        <v>11</v>
      </c>
    </row>
    <row x14ac:dyDescent="0.25" r="69" customHeight="1" ht="18.75">
      <c r="A69" s="4" t="s">
        <v>78</v>
      </c>
      <c r="B69" s="5">
        <v>747.95</v>
      </c>
      <c r="C69" s="5">
        <v>728.55</v>
      </c>
      <c r="D69" s="5">
        <v>752.15</v>
      </c>
      <c r="E69" s="5">
        <v>729.1</v>
      </c>
      <c r="F69" s="7">
        <f>HYPERLINK("https://www.tradingview.com/chart/tioZvgwv/?symbol=NSE%3ADLF&amp;interval=", "&amp;#128200;")</f>
      </c>
      <c r="G69" s="7">
        <f>HYPERLINK("https://www.tradingview.com/symbols/NSE-DLF/news/", "&amp;#128240;")</f>
      </c>
      <c r="H69" s="7">
        <f>HYPERLINK("https://www.tradingview.com/symbols/NSE-DLF/technicals/", "&amp;#128202;")</f>
      </c>
      <c r="I69" s="7">
        <f>HYPERLINK("https://www.tradingview.com/symbols/NSE-DLF/financials-overview/", "&amp;#128194;")</f>
      </c>
      <c r="J69" s="4" t="s">
        <v>11</v>
      </c>
    </row>
    <row x14ac:dyDescent="0.25" r="70" customHeight="1" ht="18.75">
      <c r="A70" s="4" t="s">
        <v>79</v>
      </c>
      <c r="B70" s="5">
        <v>3643.95</v>
      </c>
      <c r="C70" s="5">
        <v>3469.95</v>
      </c>
      <c r="D70" s="5">
        <v>3686.25</v>
      </c>
      <c r="E70" s="5">
        <v>3606.15</v>
      </c>
      <c r="F70" s="7">
        <f>HYPERLINK("https://www.tradingview.com/chart/tioZvgwv/?symbol=NSE%3ADMART&amp;interval=", "&amp;#128200;")</f>
      </c>
      <c r="G70" s="7">
        <f>HYPERLINK("https://www.tradingview.com/symbols/NSE-DMART/news/", "&amp;#128240;")</f>
      </c>
      <c r="H70" s="7">
        <f>HYPERLINK("https://www.tradingview.com/symbols/NSE-DMART/technicals/", "&amp;#128202;")</f>
      </c>
      <c r="I70" s="7">
        <f>HYPERLINK("https://www.tradingview.com/symbols/NSE-DMART/financials-overview/", "&amp;#128194;")</f>
      </c>
      <c r="J70" s="4" t="s">
        <v>11</v>
      </c>
    </row>
    <row x14ac:dyDescent="0.25" r="71" customHeight="1" ht="18.75">
      <c r="A71" s="4" t="s">
        <v>80</v>
      </c>
      <c r="B71" s="5">
        <v>1354.15</v>
      </c>
      <c r="C71" s="5">
        <v>1330.2</v>
      </c>
      <c r="D71" s="5">
        <v>1354.4</v>
      </c>
      <c r="E71" s="6">
        <v>1337</v>
      </c>
      <c r="F71" s="7">
        <f>HYPERLINK("https://www.tradingview.com/chart/tioZvgwv/?symbol=NSE%3ADRREDDY&amp;interval=", "&amp;#128200;")</f>
      </c>
      <c r="G71" s="7">
        <f>HYPERLINK("https://www.tradingview.com/symbols/NSE-DRREDDY/news/", "&amp;#128240;")</f>
      </c>
      <c r="H71" s="7">
        <f>HYPERLINK("https://www.tradingview.com/symbols/NSE-DRREDDY/technicals/", "&amp;#128202;")</f>
      </c>
      <c r="I71" s="7">
        <f>HYPERLINK("https://www.tradingview.com/symbols/NSE-DRREDDY/financials-overview/", "&amp;#128194;")</f>
      </c>
      <c r="J71" s="4" t="s">
        <v>11</v>
      </c>
    </row>
    <row x14ac:dyDescent="0.25" r="72" customHeight="1" ht="18.75">
      <c r="A72" s="4" t="s">
        <v>81</v>
      </c>
      <c r="B72" s="5">
        <v>5024.2</v>
      </c>
      <c r="C72" s="5">
        <v>4935.2</v>
      </c>
      <c r="D72" s="5">
        <v>5058.45</v>
      </c>
      <c r="E72" s="5">
        <v>4939.75</v>
      </c>
      <c r="F72" s="7">
        <f>HYPERLINK("https://www.tradingview.com/chart/tioZvgwv/?symbol=NSE%3AEICHERMOT&amp;interval=", "&amp;#128200;")</f>
      </c>
      <c r="G72" s="7">
        <f>HYPERLINK("https://www.tradingview.com/symbols/NSE-EICHERMOT/news/", "&amp;#128240;")</f>
      </c>
      <c r="H72" s="7">
        <f>HYPERLINK("https://www.tradingview.com/symbols/NSE-EICHERMOT/technicals/", "&amp;#128202;")</f>
      </c>
      <c r="I72" s="7">
        <f>HYPERLINK("https://www.tradingview.com/symbols/NSE-EICHERMOT/financials-overview/", "&amp;#128194;")</f>
      </c>
      <c r="J72" s="4" t="s">
        <v>11</v>
      </c>
    </row>
    <row x14ac:dyDescent="0.25" r="73" customHeight="1" ht="18.75">
      <c r="A73" s="4" t="s">
        <v>82</v>
      </c>
      <c r="B73" s="5">
        <v>3397.9</v>
      </c>
      <c r="C73" s="5">
        <v>3324.75</v>
      </c>
      <c r="D73" s="5">
        <v>3405.9</v>
      </c>
      <c r="E73" s="5">
        <v>3328.75</v>
      </c>
      <c r="F73" s="7">
        <f>HYPERLINK("https://www.tradingview.com/chart/tioZvgwv/?symbol=NSE%3AESCORTS&amp;interval=", "&amp;#128200;")</f>
      </c>
      <c r="G73" s="7">
        <f>HYPERLINK("https://www.tradingview.com/symbols/NSE-ESCORTS/news/", "&amp;#128240;")</f>
      </c>
      <c r="H73" s="7">
        <f>HYPERLINK("https://www.tradingview.com/symbols/NSE-ESCORTS/technicals/", "&amp;#128202;")</f>
      </c>
      <c r="I73" s="7">
        <f>HYPERLINK("https://www.tradingview.com/symbols/NSE-ESCORTS/financials-overview/", "&amp;#128194;")</f>
      </c>
      <c r="J73" s="4" t="s">
        <v>11</v>
      </c>
    </row>
    <row x14ac:dyDescent="0.25" r="74" customHeight="1" ht="18.75">
      <c r="A74" s="4" t="s">
        <v>83</v>
      </c>
      <c r="B74" s="5">
        <v>390.5</v>
      </c>
      <c r="C74" s="5">
        <v>382.55</v>
      </c>
      <c r="D74" s="5">
        <v>389.1</v>
      </c>
      <c r="E74" s="6">
        <v>383</v>
      </c>
      <c r="F74" s="7">
        <f>HYPERLINK("https://www.tradingview.com/chart/tioZvgwv/?symbol=NSE%3AEXIDEIND&amp;interval=", "&amp;#128200;")</f>
      </c>
      <c r="G74" s="7">
        <f>HYPERLINK("https://www.tradingview.com/symbols/NSE-EXIDEIND/news/", "&amp;#128240;")</f>
      </c>
      <c r="H74" s="7">
        <f>HYPERLINK("https://www.tradingview.com/symbols/NSE-EXIDEIND/technicals/", "&amp;#128202;")</f>
      </c>
      <c r="I74" s="7">
        <f>HYPERLINK("https://www.tradingview.com/symbols/NSE-EXIDEIND/financials-overview/", "&amp;#128194;")</f>
      </c>
      <c r="J74" s="4" t="s">
        <v>11</v>
      </c>
    </row>
    <row x14ac:dyDescent="0.25" r="75" customHeight="1" ht="18.75">
      <c r="A75" s="4" t="s">
        <v>84</v>
      </c>
      <c r="B75" s="5">
        <v>188.09</v>
      </c>
      <c r="C75" s="5">
        <v>185.71</v>
      </c>
      <c r="D75" s="5">
        <v>189.1</v>
      </c>
      <c r="E75" s="5">
        <v>187.39</v>
      </c>
      <c r="F75" s="7">
        <f>HYPERLINK("https://www.tradingview.com/chart/tioZvgwv/?symbol=NSE%3AFEDERALBNK&amp;interval=", "&amp;#128200;")</f>
      </c>
      <c r="G75" s="7">
        <f>HYPERLINK("https://www.tradingview.com/symbols/NSE-FEDERALBNK/news/", "&amp;#128240;")</f>
      </c>
      <c r="H75" s="7">
        <f>HYPERLINK("https://www.tradingview.com/symbols/NSE-FEDERALBNK/technicals/", "&amp;#128202;")</f>
      </c>
      <c r="I75" s="7">
        <f>HYPERLINK("https://www.tradingview.com/symbols/NSE-FEDERALBNK/financials-overview/", "&amp;#128194;")</f>
      </c>
      <c r="J75" s="4" t="s">
        <v>11</v>
      </c>
    </row>
    <row x14ac:dyDescent="0.25" r="76" customHeight="1" ht="18.75">
      <c r="A76" s="4" t="s">
        <v>85</v>
      </c>
      <c r="B76" s="5">
        <v>178.76</v>
      </c>
      <c r="C76" s="5">
        <v>175.18</v>
      </c>
      <c r="D76" s="5">
        <v>179.58</v>
      </c>
      <c r="E76" s="5">
        <v>176.13</v>
      </c>
      <c r="F76" s="7">
        <f>HYPERLINK("https://www.tradingview.com/chart/tioZvgwv/?symbol=NSE%3AGAIL&amp;interval=", "&amp;#128200;")</f>
      </c>
      <c r="G76" s="7">
        <f>HYPERLINK("https://www.tradingview.com/symbols/NSE-GAIL/news/", "&amp;#128240;")</f>
      </c>
      <c r="H76" s="7">
        <f>HYPERLINK("https://www.tradingview.com/symbols/NSE-GAIL/technicals/", "&amp;#128202;")</f>
      </c>
      <c r="I76" s="7">
        <f>HYPERLINK("https://www.tradingview.com/symbols/NSE-GAIL/financials-overview/", "&amp;#128194;")</f>
      </c>
      <c r="J76" s="4" t="s">
        <v>11</v>
      </c>
    </row>
    <row x14ac:dyDescent="0.25" r="77" customHeight="1" ht="18.75">
      <c r="A77" s="4" t="s">
        <v>86</v>
      </c>
      <c r="B77" s="5">
        <v>1546.15</v>
      </c>
      <c r="C77" s="5">
        <v>1516.55</v>
      </c>
      <c r="D77" s="5">
        <v>1541.7</v>
      </c>
      <c r="E77" s="6">
        <v>1530</v>
      </c>
      <c r="F77" s="7">
        <f>HYPERLINK("https://www.tradingview.com/chart/tioZvgwv/?symbol=NSE%3AGLENMARK&amp;interval=", "&amp;#128200;")</f>
      </c>
      <c r="G77" s="7">
        <f>HYPERLINK("https://www.tradingview.com/symbols/NSE-GLENMARK/news/", "&amp;#128240;")</f>
      </c>
      <c r="H77" s="7">
        <f>HYPERLINK("https://www.tradingview.com/symbols/NSE-GLENMARK/technicals/", "&amp;#128202;")</f>
      </c>
      <c r="I77" s="7">
        <f>HYPERLINK("https://www.tradingview.com/symbols/NSE-GLENMARK/financials-overview/", "&amp;#128194;")</f>
      </c>
      <c r="J77" s="4" t="s">
        <v>11</v>
      </c>
    </row>
    <row x14ac:dyDescent="0.25" r="78" customHeight="1" ht="18.75">
      <c r="A78" s="4" t="s">
        <v>87</v>
      </c>
      <c r="B78" s="5">
        <v>545.95</v>
      </c>
      <c r="C78" s="5">
        <v>532.35</v>
      </c>
      <c r="D78" s="5">
        <v>546.4</v>
      </c>
      <c r="E78" s="5">
        <v>532.65</v>
      </c>
      <c r="F78" s="7">
        <f>HYPERLINK("https://www.tradingview.com/chart/tioZvgwv/?symbol=NSE%3AGNFC&amp;interval=", "&amp;#128200;")</f>
      </c>
      <c r="G78" s="7">
        <f>HYPERLINK("https://www.tradingview.com/symbols/NSE-GNFC/news/", "&amp;#128240;")</f>
      </c>
      <c r="H78" s="7">
        <f>HYPERLINK("https://www.tradingview.com/symbols/NSE-GNFC/technicals/", "&amp;#128202;")</f>
      </c>
      <c r="I78" s="7">
        <f>HYPERLINK("https://www.tradingview.com/symbols/NSE-GNFC/financials-overview/", "&amp;#128194;")</f>
      </c>
      <c r="J78" s="4" t="s">
        <v>11</v>
      </c>
    </row>
    <row x14ac:dyDescent="0.25" r="79" customHeight="1" ht="18.75">
      <c r="A79" s="4" t="s">
        <v>88</v>
      </c>
      <c r="B79" s="6">
        <v>1180</v>
      </c>
      <c r="C79" s="5">
        <v>1162.05</v>
      </c>
      <c r="D79" s="5">
        <v>1174.3</v>
      </c>
      <c r="E79" s="5">
        <v>1167.25</v>
      </c>
      <c r="F79" s="7">
        <f>HYPERLINK("https://www.tradingview.com/chart/tioZvgwv/?symbol=NSE%3AGODREJCP&amp;interval=", "&amp;#128200;")</f>
      </c>
      <c r="G79" s="7">
        <f>HYPERLINK("https://www.tradingview.com/symbols/NSE-GODREJCP/news/", "&amp;#128240;")</f>
      </c>
      <c r="H79" s="7">
        <f>HYPERLINK("https://www.tradingview.com/symbols/NSE-GODREJCP/technicals/", "&amp;#128202;")</f>
      </c>
      <c r="I79" s="7">
        <f>HYPERLINK("https://www.tradingview.com/symbols/NSE-GODREJCP/financials-overview/", "&amp;#128194;")</f>
      </c>
      <c r="J79" s="4" t="s">
        <v>11</v>
      </c>
    </row>
    <row x14ac:dyDescent="0.25" r="80" customHeight="1" ht="18.75">
      <c r="A80" s="4" t="s">
        <v>89</v>
      </c>
      <c r="B80" s="5">
        <v>2373.5</v>
      </c>
      <c r="C80" s="5">
        <v>2305.45</v>
      </c>
      <c r="D80" s="5">
        <v>2386.5</v>
      </c>
      <c r="E80" s="5">
        <v>2307.7</v>
      </c>
      <c r="F80" s="7">
        <f>HYPERLINK("https://www.tradingview.com/chart/tioZvgwv/?symbol=NSE%3AGODREJPROP&amp;interval=", "&amp;#128200;")</f>
      </c>
      <c r="G80" s="7">
        <f>HYPERLINK("https://www.tradingview.com/symbols/NSE-GODREJPROP/news/", "&amp;#128240;")</f>
      </c>
      <c r="H80" s="7">
        <f>HYPERLINK("https://www.tradingview.com/symbols/NSE-GODREJPROP/technicals/", "&amp;#128202;")</f>
      </c>
      <c r="I80" s="7">
        <f>HYPERLINK("https://www.tradingview.com/symbols/NSE-GODREJPROP/financials-overview/", "&amp;#128194;")</f>
      </c>
      <c r="J80" s="4" t="s">
        <v>11</v>
      </c>
    </row>
    <row x14ac:dyDescent="0.25" r="81" customHeight="1" ht="18.75">
      <c r="A81" s="4" t="s">
        <v>90</v>
      </c>
      <c r="B81" s="5">
        <v>596.35</v>
      </c>
      <c r="C81" s="6">
        <v>581</v>
      </c>
      <c r="D81" s="5">
        <v>593.6</v>
      </c>
      <c r="E81" s="5">
        <v>581.7</v>
      </c>
      <c r="F81" s="7">
        <f>HYPERLINK("https://www.tradingview.com/chart/tioZvgwv/?symbol=NSE%3AGRANULES&amp;interval=", "&amp;#128200;")</f>
      </c>
      <c r="G81" s="7">
        <f>HYPERLINK("https://www.tradingview.com/symbols/NSE-GRANULES/news/", "&amp;#128240;")</f>
      </c>
      <c r="H81" s="7">
        <f>HYPERLINK("https://www.tradingview.com/symbols/NSE-GRANULES/technicals/", "&amp;#128202;")</f>
      </c>
      <c r="I81" s="7">
        <f>HYPERLINK("https://www.tradingview.com/symbols/NSE-GRANULES/financials-overview/", "&amp;#128194;")</f>
      </c>
      <c r="J81" s="4" t="s">
        <v>11</v>
      </c>
    </row>
    <row x14ac:dyDescent="0.25" r="82" customHeight="1" ht="18.75">
      <c r="A82" s="4" t="s">
        <v>91</v>
      </c>
      <c r="B82" s="5">
        <v>2348.2</v>
      </c>
      <c r="C82" s="6">
        <v>2305</v>
      </c>
      <c r="D82" s="5">
        <v>2364.1</v>
      </c>
      <c r="E82" s="5">
        <v>2306.55</v>
      </c>
      <c r="F82" s="7">
        <f>HYPERLINK("https://www.tradingview.com/chart/tioZvgwv/?symbol=NSE%3AGRASIM&amp;interval=", "&amp;#128200;")</f>
      </c>
      <c r="G82" s="7">
        <f>HYPERLINK("https://www.tradingview.com/symbols/NSE-GRASIM/news/", "&amp;#128240;")</f>
      </c>
      <c r="H82" s="7">
        <f>HYPERLINK("https://www.tradingview.com/symbols/NSE-GRASIM/technicals/", "&amp;#128202;")</f>
      </c>
      <c r="I82" s="7">
        <f>HYPERLINK("https://www.tradingview.com/symbols/NSE-GRASIM/financials-overview/", "&amp;#128194;")</f>
      </c>
      <c r="J82" s="4" t="s">
        <v>11</v>
      </c>
    </row>
    <row x14ac:dyDescent="0.25" r="83" customHeight="1" ht="18.75">
      <c r="A83" s="4" t="s">
        <v>92</v>
      </c>
      <c r="B83" s="5">
        <v>487.35</v>
      </c>
      <c r="C83" s="5">
        <v>477.95</v>
      </c>
      <c r="D83" s="5">
        <v>486.05</v>
      </c>
      <c r="E83" s="6">
        <v>478</v>
      </c>
      <c r="F83" s="7">
        <f>HYPERLINK("https://www.tradingview.com/chart/tioZvgwv/?symbol=NSE%3AGUJGASLTD&amp;interval=", "&amp;#128200;")</f>
      </c>
      <c r="G83" s="7">
        <f>HYPERLINK("https://www.tradingview.com/symbols/NSE-GUJGASLTD/news/", "&amp;#128240;")</f>
      </c>
      <c r="H83" s="7">
        <f>HYPERLINK("https://www.tradingview.com/symbols/NSE-GUJGASLTD/technicals/", "&amp;#128202;")</f>
      </c>
      <c r="I83" s="7">
        <f>HYPERLINK("https://www.tradingview.com/symbols/NSE-GUJGASLTD/financials-overview/", "&amp;#128194;")</f>
      </c>
      <c r="J83" s="4" t="s">
        <v>11</v>
      </c>
    </row>
    <row x14ac:dyDescent="0.25" r="84" customHeight="1" ht="18.75">
      <c r="A84" s="4" t="s">
        <v>93</v>
      </c>
      <c r="B84" s="5">
        <v>3985.25</v>
      </c>
      <c r="C84" s="6">
        <v>3900</v>
      </c>
      <c r="D84" s="5">
        <v>4000.5</v>
      </c>
      <c r="E84" s="6">
        <v>3911</v>
      </c>
      <c r="F84" s="7">
        <f>HYPERLINK("https://www.tradingview.com/chart/tioZvgwv/?symbol=NSE%3AHAL&amp;interval=", "&amp;#128200;")</f>
      </c>
      <c r="G84" s="7">
        <f>HYPERLINK("https://www.tradingview.com/symbols/NSE-HAL/news/", "&amp;#128240;")</f>
      </c>
      <c r="H84" s="7">
        <f>HYPERLINK("https://www.tradingview.com/symbols/NSE-HAL/technicals/", "&amp;#128202;")</f>
      </c>
      <c r="I84" s="7">
        <f>HYPERLINK("https://www.tradingview.com/symbols/NSE-HAL/financials-overview/", "&amp;#128194;")</f>
      </c>
      <c r="J84" s="4" t="s">
        <v>11</v>
      </c>
    </row>
    <row x14ac:dyDescent="0.25" r="85" customHeight="1" ht="18.75">
      <c r="A85" s="4" t="s">
        <v>94</v>
      </c>
      <c r="B85" s="5">
        <v>1588.95</v>
      </c>
      <c r="C85" s="5">
        <v>1551.4</v>
      </c>
      <c r="D85" s="5">
        <v>1600.25</v>
      </c>
      <c r="E85" s="5">
        <v>1555.3</v>
      </c>
      <c r="F85" s="7">
        <f>HYPERLINK("https://www.tradingview.com/chart/tioZvgwv/?symbol=NSE%3AHAVELLS&amp;interval=", "&amp;#128200;")</f>
      </c>
      <c r="G85" s="7">
        <f>HYPERLINK("https://www.tradingview.com/symbols/NSE-HAVELLS/news/", "&amp;#128240;")</f>
      </c>
      <c r="H85" s="7">
        <f>HYPERLINK("https://www.tradingview.com/symbols/NSE-HAVELLS/technicals/", "&amp;#128202;")</f>
      </c>
      <c r="I85" s="7">
        <f>HYPERLINK("https://www.tradingview.com/symbols/NSE-HAVELLS/financials-overview/", "&amp;#128194;")</f>
      </c>
      <c r="J85" s="4" t="s">
        <v>11</v>
      </c>
    </row>
    <row x14ac:dyDescent="0.25" r="86" customHeight="1" ht="18.75">
      <c r="A86" s="4" t="s">
        <v>95</v>
      </c>
      <c r="B86" s="5">
        <v>2000.4</v>
      </c>
      <c r="C86" s="6">
        <v>1980</v>
      </c>
      <c r="D86" s="5">
        <v>1995.1</v>
      </c>
      <c r="E86" s="5">
        <v>1990.25</v>
      </c>
      <c r="F86" s="7">
        <f>HYPERLINK("https://www.tradingview.com/chart/tioZvgwv/?symbol=NSE%3AHCLTECH&amp;interval=", "&amp;#128200;")</f>
      </c>
      <c r="G86" s="7">
        <f>HYPERLINK("https://www.tradingview.com/symbols/NSE-HCLTECH/news/", "&amp;#128240;")</f>
      </c>
      <c r="H86" s="7">
        <f>HYPERLINK("https://www.tradingview.com/symbols/NSE-HCLTECH/technicals/", "&amp;#128202;")</f>
      </c>
      <c r="I86" s="7">
        <f>HYPERLINK("https://www.tradingview.com/symbols/NSE-HCLTECH/financials-overview/", "&amp;#128194;")</f>
      </c>
      <c r="J86" s="4" t="s">
        <v>11</v>
      </c>
    </row>
    <row x14ac:dyDescent="0.25" r="87" customHeight="1" ht="18.75">
      <c r="A87" s="4" t="s">
        <v>96</v>
      </c>
      <c r="B87" s="5">
        <v>3904.95</v>
      </c>
      <c r="C87" s="5">
        <v>3792.2</v>
      </c>
      <c r="D87" s="5">
        <v>3844.8</v>
      </c>
      <c r="E87" s="5">
        <v>3849.55</v>
      </c>
      <c r="F87" s="7">
        <f>HYPERLINK("https://www.tradingview.com/chart/tioZvgwv/?symbol=NSE%3AHDFCAMC&amp;interval=", "&amp;#128200;")</f>
      </c>
      <c r="G87" s="7">
        <f>HYPERLINK("https://www.tradingview.com/symbols/NSE-HDFCAMC/news/", "&amp;#128240;")</f>
      </c>
      <c r="H87" s="7">
        <f>HYPERLINK("https://www.tradingview.com/symbols/NSE-HDFCAMC/technicals/", "&amp;#128202;")</f>
      </c>
      <c r="I87" s="7">
        <f>HYPERLINK("https://www.tradingview.com/symbols/NSE-HDFCAMC/financials-overview/", "&amp;#128194;")</f>
      </c>
      <c r="J87" s="4" t="s">
        <v>11</v>
      </c>
    </row>
    <row x14ac:dyDescent="0.25" r="88" customHeight="1" ht="18.75">
      <c r="A88" s="4" t="s">
        <v>97</v>
      </c>
      <c r="B88" s="5">
        <v>1646.75</v>
      </c>
      <c r="C88" s="5">
        <v>1624.3</v>
      </c>
      <c r="D88" s="5">
        <v>1656.75</v>
      </c>
      <c r="E88" s="5">
        <v>1638.35</v>
      </c>
      <c r="F88" s="7">
        <f>HYPERLINK("https://www.tradingview.com/chart/tioZvgwv/?symbol=NSE%3AHDFCBANK&amp;interval=", "&amp;#128200;")</f>
      </c>
      <c r="G88" s="7">
        <f>HYPERLINK("https://www.tradingview.com/symbols/NSE-HDFCBANK/news/", "&amp;#128240;")</f>
      </c>
      <c r="H88" s="7">
        <f>HYPERLINK("https://www.tradingview.com/symbols/NSE-HDFCBANK/technicals/", "&amp;#128202;")</f>
      </c>
      <c r="I88" s="7">
        <f>HYPERLINK("https://www.tradingview.com/symbols/NSE-HDFCBANK/financials-overview/", "&amp;#128194;")</f>
      </c>
      <c r="J88" s="4" t="s">
        <v>11</v>
      </c>
    </row>
    <row x14ac:dyDescent="0.25" r="89" customHeight="1" ht="18.75">
      <c r="A89" s="4" t="s">
        <v>98</v>
      </c>
      <c r="B89" s="5">
        <v>608.45</v>
      </c>
      <c r="C89" s="5">
        <v>599.6</v>
      </c>
      <c r="D89" s="5">
        <v>608.65</v>
      </c>
      <c r="E89" s="6">
        <v>602</v>
      </c>
      <c r="F89" s="7">
        <f>HYPERLINK("https://www.tradingview.com/chart/tioZvgwv/?symbol=NSE%3AHDFCLIFE&amp;interval=", "&amp;#128200;")</f>
      </c>
      <c r="G89" s="7">
        <f>HYPERLINK("https://www.tradingview.com/symbols/NSE-HDFCLIFE/news/", "&amp;#128240;")</f>
      </c>
      <c r="H89" s="7">
        <f>HYPERLINK("https://www.tradingview.com/symbols/NSE-HDFCLIFE/technicals/", "&amp;#128202;")</f>
      </c>
      <c r="I89" s="7">
        <f>HYPERLINK("https://www.tradingview.com/symbols/NSE-HDFCLIFE/financials-overview/", "&amp;#128194;")</f>
      </c>
      <c r="J89" s="4" t="s">
        <v>11</v>
      </c>
    </row>
    <row x14ac:dyDescent="0.25" r="90" customHeight="1" ht="18.75">
      <c r="A90" s="4" t="s">
        <v>99</v>
      </c>
      <c r="B90" s="5">
        <v>4121.95</v>
      </c>
      <c r="C90" s="6">
        <v>4041</v>
      </c>
      <c r="D90" s="5">
        <v>4122.2</v>
      </c>
      <c r="E90" s="5">
        <v>4043.8</v>
      </c>
      <c r="F90" s="7">
        <f>HYPERLINK("https://www.tradingview.com/chart/tioZvgwv/?symbol=NSE%3AHEROMOTOCO&amp;interval=", "&amp;#128200;")</f>
      </c>
      <c r="G90" s="7">
        <f>HYPERLINK("https://www.tradingview.com/symbols/NSE-HEROMOTOCO/news/", "&amp;#128240;")</f>
      </c>
      <c r="H90" s="7">
        <f>HYPERLINK("https://www.tradingview.com/symbols/NSE-HEROMOTOCO/technicals/", "&amp;#128202;")</f>
      </c>
      <c r="I90" s="7">
        <f>HYPERLINK("https://www.tradingview.com/symbols/NSE-HEROMOTOCO/financials-overview/", "&amp;#128194;")</f>
      </c>
      <c r="J90" s="4" t="s">
        <v>11</v>
      </c>
    </row>
    <row x14ac:dyDescent="0.25" r="91" customHeight="1" ht="18.75">
      <c r="A91" s="4" t="s">
        <v>100</v>
      </c>
      <c r="B91" s="5">
        <v>101.09</v>
      </c>
      <c r="C91" s="5">
        <v>97.4</v>
      </c>
      <c r="D91" s="5">
        <v>100.47</v>
      </c>
      <c r="E91" s="5">
        <v>97.63</v>
      </c>
      <c r="F91" s="7">
        <f>HYPERLINK("https://www.tradingview.com/chart/tioZvgwv/?symbol=NSE%3AHFCL&amp;interval=", "&amp;#128200;")</f>
      </c>
      <c r="G91" s="7">
        <f>HYPERLINK("https://www.tradingview.com/symbols/NSE-HFCL/news/", "&amp;#128240;")</f>
      </c>
      <c r="H91" s="7">
        <f>HYPERLINK("https://www.tradingview.com/symbols/NSE-HFCL/technicals/", "&amp;#128202;")</f>
      </c>
      <c r="I91" s="7">
        <f>HYPERLINK("https://www.tradingview.com/symbols/NSE-HFCL/financials-overview/", "&amp;#128194;")</f>
      </c>
      <c r="J91" s="4" t="s">
        <v>11</v>
      </c>
    </row>
    <row x14ac:dyDescent="0.25" r="92" customHeight="1" ht="18.75">
      <c r="A92" s="4" t="s">
        <v>101</v>
      </c>
      <c r="B92" s="5">
        <v>573.95</v>
      </c>
      <c r="C92" s="5">
        <v>566.05</v>
      </c>
      <c r="D92" s="5">
        <v>574.45</v>
      </c>
      <c r="E92" s="5">
        <v>570.3</v>
      </c>
      <c r="F92" s="7">
        <f>HYPERLINK("https://www.tradingview.com/chart/tioZvgwv/?symbol=NSE%3AHINDALCO&amp;interval=", "&amp;#128200;")</f>
      </c>
      <c r="G92" s="7">
        <f>HYPERLINK("https://www.tradingview.com/symbols/NSE-HINDALCO/news/", "&amp;#128240;")</f>
      </c>
      <c r="H92" s="7">
        <f>HYPERLINK("https://www.tradingview.com/symbols/NSE-HINDALCO/technicals/", "&amp;#128202;")</f>
      </c>
      <c r="I92" s="7">
        <f>HYPERLINK("https://www.tradingview.com/symbols/NSE-HINDALCO/financials-overview/", "&amp;#128194;")</f>
      </c>
      <c r="J92" s="4" t="s">
        <v>11</v>
      </c>
    </row>
    <row x14ac:dyDescent="0.25" r="93" customHeight="1" ht="18.75">
      <c r="A93" s="4" t="s">
        <v>102</v>
      </c>
      <c r="B93" s="5">
        <v>235.85</v>
      </c>
      <c r="C93" s="5">
        <v>228.75</v>
      </c>
      <c r="D93" s="5">
        <v>233.31</v>
      </c>
      <c r="E93" s="5">
        <v>233.03</v>
      </c>
      <c r="F93" s="7">
        <f>HYPERLINK("https://www.tradingview.com/chart/tioZvgwv/?symbol=NSE%3AHINDCOPPER&amp;interval=", "&amp;#128200;")</f>
      </c>
      <c r="G93" s="7">
        <f>HYPERLINK("https://www.tradingview.com/symbols/NSE-HINDCOPPER/news/", "&amp;#128240;")</f>
      </c>
      <c r="H93" s="7">
        <f>HYPERLINK("https://www.tradingview.com/symbols/NSE-HINDCOPPER/technicals/", "&amp;#128202;")</f>
      </c>
      <c r="I93" s="7">
        <f>HYPERLINK("https://www.tradingview.com/symbols/NSE-HINDCOPPER/financials-overview/", "&amp;#128194;")</f>
      </c>
      <c r="J93" s="4" t="s">
        <v>11</v>
      </c>
    </row>
    <row x14ac:dyDescent="0.25" r="94" customHeight="1" ht="18.75">
      <c r="A94" s="4" t="s">
        <v>103</v>
      </c>
      <c r="B94" s="5">
        <v>376.55</v>
      </c>
      <c r="C94" s="5">
        <v>360.15</v>
      </c>
      <c r="D94" s="5">
        <v>388.45</v>
      </c>
      <c r="E94" s="5">
        <v>364.5</v>
      </c>
      <c r="F94" s="7">
        <f>HYPERLINK("https://www.tradingview.com/chart/tioZvgwv/?symbol=NSE%3AHINDPETRO&amp;interval=", "&amp;#128200;")</f>
      </c>
      <c r="G94" s="7">
        <f>HYPERLINK("https://www.tradingview.com/symbols/NSE-HINDPETRO/news/", "&amp;#128240;")</f>
      </c>
      <c r="H94" s="7">
        <f>HYPERLINK("https://www.tradingview.com/symbols/NSE-HINDPETRO/technicals/", "&amp;#128202;")</f>
      </c>
      <c r="I94" s="7">
        <f>HYPERLINK("https://www.tradingview.com/symbols/NSE-HINDPETRO/financials-overview/", "&amp;#128194;")</f>
      </c>
      <c r="J94" s="4" t="s">
        <v>11</v>
      </c>
    </row>
    <row x14ac:dyDescent="0.25" r="95" customHeight="1" ht="18.75">
      <c r="A95" s="4" t="s">
        <v>104</v>
      </c>
      <c r="B95" s="5">
        <v>2454.35</v>
      </c>
      <c r="C95" s="5">
        <v>2409.05</v>
      </c>
      <c r="D95" s="5">
        <v>2442.05</v>
      </c>
      <c r="E95" s="5">
        <v>2436.4</v>
      </c>
      <c r="F95" s="7">
        <f>HYPERLINK("https://www.tradingview.com/chart/tioZvgwv/?symbol=NSE%3AHINDUNILVR&amp;interval=", "&amp;#128200;")</f>
      </c>
      <c r="G95" s="7">
        <f>HYPERLINK("https://www.tradingview.com/symbols/NSE-HINDUNILVR/news/", "&amp;#128240;")</f>
      </c>
      <c r="H95" s="7">
        <f>HYPERLINK("https://www.tradingview.com/symbols/NSE-HINDUNILVR/technicals/", "&amp;#128202;")</f>
      </c>
      <c r="I95" s="7">
        <f>HYPERLINK("https://www.tradingview.com/symbols/NSE-HINDUNILVR/financials-overview/", "&amp;#128194;")</f>
      </c>
      <c r="J95" s="4" t="s">
        <v>11</v>
      </c>
    </row>
    <row x14ac:dyDescent="0.25" r="96" customHeight="1" ht="18.75">
      <c r="A96" s="4" t="s">
        <v>105</v>
      </c>
      <c r="B96" s="5">
        <v>214.8</v>
      </c>
      <c r="C96" s="5">
        <v>208.5</v>
      </c>
      <c r="D96" s="5">
        <v>214.19</v>
      </c>
      <c r="E96" s="5">
        <v>209.61</v>
      </c>
      <c r="F96" s="7">
        <f>HYPERLINK("https://www.tradingview.com/chart/tioZvgwv/?symbol=NSE%3AHUDCO&amp;interval=", "&amp;#128200;")</f>
      </c>
      <c r="G96" s="7">
        <f>HYPERLINK("https://www.tradingview.com/symbols/NSE-HUDCO/news/", "&amp;#128240;")</f>
      </c>
      <c r="H96" s="7">
        <f>HYPERLINK("https://www.tradingview.com/symbols/NSE-HUDCO/technicals/", "&amp;#128202;")</f>
      </c>
      <c r="I96" s="7">
        <f>HYPERLINK("https://www.tradingview.com/symbols/NSE-HUDCO/financials-overview/", "&amp;#128194;")</f>
      </c>
      <c r="J96" s="4" t="s">
        <v>11</v>
      </c>
    </row>
    <row x14ac:dyDescent="0.25" r="97" customHeight="1" ht="18.75">
      <c r="A97" s="4" t="s">
        <v>106</v>
      </c>
      <c r="B97" s="5">
        <v>1243.95</v>
      </c>
      <c r="C97" s="5">
        <v>1232.6</v>
      </c>
      <c r="D97" s="5">
        <v>1249.85</v>
      </c>
      <c r="E97" s="5">
        <v>1234.25</v>
      </c>
      <c r="F97" s="7">
        <f>HYPERLINK("https://www.tradingview.com/chart/tioZvgwv/?symbol=NSE%3AICICIBANK&amp;interval=", "&amp;#128200;")</f>
      </c>
      <c r="G97" s="7">
        <f>HYPERLINK("https://www.tradingview.com/symbols/NSE-ICICIBANK/news/", "&amp;#128240;")</f>
      </c>
      <c r="H97" s="7">
        <f>HYPERLINK("https://www.tradingview.com/symbols/NSE-ICICIBANK/technicals/", "&amp;#128202;")</f>
      </c>
      <c r="I97" s="7">
        <f>HYPERLINK("https://www.tradingview.com/symbols/NSE-ICICIBANK/financials-overview/", "&amp;#128194;")</f>
      </c>
      <c r="J97" s="4" t="s">
        <v>11</v>
      </c>
    </row>
    <row x14ac:dyDescent="0.25" r="98" customHeight="1" ht="18.75">
      <c r="A98" s="4" t="s">
        <v>107</v>
      </c>
      <c r="B98" s="5">
        <v>1887.95</v>
      </c>
      <c r="C98" s="5">
        <v>1848.1</v>
      </c>
      <c r="D98" s="5">
        <v>1877.6</v>
      </c>
      <c r="E98" s="5">
        <v>1848.75</v>
      </c>
      <c r="F98" s="7">
        <f>HYPERLINK("https://www.tradingview.com/chart/tioZvgwv/?symbol=NSE%3AICICIGI&amp;interval=", "&amp;#128200;")</f>
      </c>
      <c r="G98" s="7">
        <f>HYPERLINK("https://www.tradingview.com/symbols/NSE-ICICIGI/news/", "&amp;#128240;")</f>
      </c>
      <c r="H98" s="7">
        <f>HYPERLINK("https://www.tradingview.com/symbols/NSE-ICICIGI/technicals/", "&amp;#128202;")</f>
      </c>
      <c r="I98" s="7">
        <f>HYPERLINK("https://www.tradingview.com/symbols/NSE-ICICIGI/financials-overview/", "&amp;#128194;")</f>
      </c>
      <c r="J98" s="4" t="s">
        <v>11</v>
      </c>
    </row>
    <row x14ac:dyDescent="0.25" r="99" customHeight="1" ht="18.75">
      <c r="A99" s="4" t="s">
        <v>108</v>
      </c>
      <c r="B99" s="6">
        <v>653</v>
      </c>
      <c r="C99" s="5">
        <v>635.55</v>
      </c>
      <c r="D99" s="5">
        <v>644.55</v>
      </c>
      <c r="E99" s="5">
        <v>643.95</v>
      </c>
      <c r="F99" s="7">
        <f>HYPERLINK("https://www.tradingview.com/chart/tioZvgwv/?symbol=NSE%3AICICIPRULI&amp;interval=", "&amp;#128200;")</f>
      </c>
      <c r="G99" s="7">
        <f>HYPERLINK("https://www.tradingview.com/symbols/NSE-ICICIPRULI/news/", "&amp;#128240;")</f>
      </c>
      <c r="H99" s="7">
        <f>HYPERLINK("https://www.tradingview.com/symbols/NSE-ICICIPRULI/technicals/", "&amp;#128202;")</f>
      </c>
      <c r="I99" s="7">
        <f>HYPERLINK("https://www.tradingview.com/symbols/NSE-ICICIPRULI/financials-overview/", "&amp;#128194;")</f>
      </c>
      <c r="J99" s="4" t="s">
        <v>11</v>
      </c>
    </row>
    <row x14ac:dyDescent="0.25" r="100" customHeight="1" ht="18.75">
      <c r="A100" s="4" t="s">
        <v>109</v>
      </c>
      <c r="B100" s="5">
        <v>8.08</v>
      </c>
      <c r="C100" s="5">
        <v>7.61</v>
      </c>
      <c r="D100" s="5">
        <v>7.75</v>
      </c>
      <c r="E100" s="5">
        <v>7.88</v>
      </c>
      <c r="F100" s="7">
        <f>HYPERLINK("https://www.tradingview.com/chart/tioZvgwv/?symbol=NSE%3AIDEA&amp;interval=", "&amp;#128200;")</f>
      </c>
      <c r="G100" s="7">
        <f>HYPERLINK("https://www.tradingview.com/symbols/NSE-IDEA/news/", "&amp;#128240;")</f>
      </c>
      <c r="H100" s="7">
        <f>HYPERLINK("https://www.tradingview.com/symbols/NSE-IDEA/technicals/", "&amp;#128202;")</f>
      </c>
      <c r="I100" s="7">
        <f>HYPERLINK("https://www.tradingview.com/symbols/NSE-IDEA/financials-overview/", "&amp;#128194;")</f>
      </c>
      <c r="J100" s="4" t="s">
        <v>11</v>
      </c>
    </row>
    <row x14ac:dyDescent="0.25" r="101" customHeight="1" ht="18.75">
      <c r="A101" s="4" t="s">
        <v>110</v>
      </c>
      <c r="B101" s="5">
        <v>60.66</v>
      </c>
      <c r="C101" s="5">
        <v>59.58</v>
      </c>
      <c r="D101" s="5">
        <v>60.39</v>
      </c>
      <c r="E101" s="5">
        <v>59.9</v>
      </c>
      <c r="F101" s="7">
        <f>HYPERLINK("https://www.tradingview.com/chart/tioZvgwv/?symbol=NSE%3AIDFCFIRSTB&amp;interval=", "&amp;#128200;")</f>
      </c>
      <c r="G101" s="7">
        <f>HYPERLINK("https://www.tradingview.com/symbols/NSE-IDFCFIRSTB/news/", "&amp;#128240;")</f>
      </c>
      <c r="H101" s="7">
        <f>HYPERLINK("https://www.tradingview.com/symbols/NSE-IDFCFIRSTB/technicals/", "&amp;#128202;")</f>
      </c>
      <c r="I101" s="7">
        <f>HYPERLINK("https://www.tradingview.com/symbols/NSE-IDFCFIRSTB/financials-overview/", "&amp;#128194;")</f>
      </c>
      <c r="J101" s="4" t="s">
        <v>11</v>
      </c>
    </row>
    <row x14ac:dyDescent="0.25" r="102" customHeight="1" ht="18.75">
      <c r="A102" s="4" t="s">
        <v>111</v>
      </c>
      <c r="B102" s="5">
        <v>167.6</v>
      </c>
      <c r="C102" s="5">
        <v>164.09</v>
      </c>
      <c r="D102" s="5">
        <v>168.19</v>
      </c>
      <c r="E102" s="5">
        <v>164.23</v>
      </c>
      <c r="F102" s="7">
        <f>HYPERLINK("https://www.tradingview.com/chart/tioZvgwv/?symbol=NSE%3AIEX&amp;interval=", "&amp;#128200;")</f>
      </c>
      <c r="G102" s="7">
        <f>HYPERLINK("https://www.tradingview.com/symbols/NSE-IEX/news/", "&amp;#128240;")</f>
      </c>
      <c r="H102" s="7">
        <f>HYPERLINK("https://www.tradingview.com/symbols/NSE-IEX/technicals/", "&amp;#128202;")</f>
      </c>
      <c r="I102" s="7">
        <f>HYPERLINK("https://www.tradingview.com/symbols/NSE-IEX/financials-overview/", "&amp;#128194;")</f>
      </c>
      <c r="J102" s="4" t="s">
        <v>11</v>
      </c>
    </row>
    <row x14ac:dyDescent="0.25" r="103" customHeight="1" ht="18.75">
      <c r="A103" s="4" t="s">
        <v>112</v>
      </c>
      <c r="B103" s="5">
        <v>412.95</v>
      </c>
      <c r="C103" s="6">
        <v>403</v>
      </c>
      <c r="D103" s="5">
        <v>412.8</v>
      </c>
      <c r="E103" s="5">
        <v>403.65</v>
      </c>
      <c r="F103" s="7">
        <f>HYPERLINK("https://www.tradingview.com/chart/tioZvgwv/?symbol=NSE%3AIGL&amp;interval=", "&amp;#128200;")</f>
      </c>
      <c r="G103" s="7">
        <f>HYPERLINK("https://www.tradingview.com/symbols/NSE-IGL/news/", "&amp;#128240;")</f>
      </c>
      <c r="H103" s="7">
        <f>HYPERLINK("https://www.tradingview.com/symbols/NSE-IGL/technicals/", "&amp;#128202;")</f>
      </c>
      <c r="I103" s="7">
        <f>HYPERLINK("https://www.tradingview.com/symbols/NSE-IGL/financials-overview/", "&amp;#128194;")</f>
      </c>
      <c r="J103" s="4" t="s">
        <v>11</v>
      </c>
    </row>
    <row x14ac:dyDescent="0.25" r="104" customHeight="1" ht="18.75">
      <c r="A104" s="4" t="s">
        <v>113</v>
      </c>
      <c r="B104" s="5">
        <v>801.85</v>
      </c>
      <c r="C104" s="5">
        <v>774.25</v>
      </c>
      <c r="D104" s="5">
        <v>805.9</v>
      </c>
      <c r="E104" s="5">
        <v>774.95</v>
      </c>
      <c r="F104" s="7">
        <f>HYPERLINK("https://www.tradingview.com/chart/tioZvgwv/?symbol=NSE%3AINDHOTEL&amp;interval=", "&amp;#128200;")</f>
      </c>
      <c r="G104" s="7">
        <f>HYPERLINK("https://www.tradingview.com/symbols/NSE-INDHOTEL/news/", "&amp;#128240;")</f>
      </c>
      <c r="H104" s="7">
        <f>HYPERLINK("https://www.tradingview.com/symbols/NSE-INDHOTEL/technicals/", "&amp;#128202;")</f>
      </c>
      <c r="I104" s="7">
        <f>HYPERLINK("https://www.tradingview.com/symbols/NSE-INDHOTEL/financials-overview/", "&amp;#128194;")</f>
      </c>
      <c r="J104" s="4" t="s">
        <v>11</v>
      </c>
    </row>
    <row x14ac:dyDescent="0.25" r="105" customHeight="1" ht="18.75">
      <c r="A105" s="4" t="s">
        <v>114</v>
      </c>
      <c r="B105" s="5">
        <v>2314.95</v>
      </c>
      <c r="C105" s="5">
        <v>2265.4</v>
      </c>
      <c r="D105" s="5">
        <v>2325.15</v>
      </c>
      <c r="E105" s="5">
        <v>2269.45</v>
      </c>
      <c r="F105" s="7">
        <f>HYPERLINK("https://www.tradingview.com/chart/tioZvgwv/?symbol=NSE%3AINDIAMART&amp;interval=", "&amp;#128200;")</f>
      </c>
      <c r="G105" s="7">
        <f>HYPERLINK("https://www.tradingview.com/symbols/NSE-INDIAMART/news/", "&amp;#128240;")</f>
      </c>
      <c r="H105" s="7">
        <f>HYPERLINK("https://www.tradingview.com/symbols/NSE-INDIAMART/technicals/", "&amp;#128202;")</f>
      </c>
      <c r="I105" s="7">
        <f>HYPERLINK("https://www.tradingview.com/symbols/NSE-INDIAMART/financials-overview/", "&amp;#128194;")</f>
      </c>
      <c r="J105" s="4" t="s">
        <v>11</v>
      </c>
    </row>
    <row x14ac:dyDescent="0.25" r="106" customHeight="1" ht="18.75">
      <c r="A106" s="4" t="s">
        <v>115</v>
      </c>
      <c r="B106" s="6">
        <v>492</v>
      </c>
      <c r="C106" s="5">
        <v>480.55</v>
      </c>
      <c r="D106" s="5">
        <v>492.4</v>
      </c>
      <c r="E106" s="5">
        <v>482.3</v>
      </c>
      <c r="F106" s="7">
        <f>HYPERLINK("https://www.tradingview.com/chart/tioZvgwv/?symbol=NSE%3AINDIANB&amp;interval=", "&amp;#128200;")</f>
      </c>
      <c r="G106" s="7">
        <f>HYPERLINK("https://www.tradingview.com/symbols/NSE-INDIANB/news/", "&amp;#128240;")</f>
      </c>
      <c r="H106" s="7">
        <f>HYPERLINK("https://www.tradingview.com/symbols/NSE-INDIANB/technicals/", "&amp;#128202;")</f>
      </c>
      <c r="I106" s="7">
        <f>HYPERLINK("https://www.tradingview.com/symbols/NSE-INDIANB/financials-overview/", "&amp;#128194;")</f>
      </c>
      <c r="J106" s="4" t="s">
        <v>11</v>
      </c>
    </row>
    <row x14ac:dyDescent="0.25" r="107" customHeight="1" ht="18.75">
      <c r="A107" s="4" t="s">
        <v>116</v>
      </c>
      <c r="B107" s="5">
        <v>4129.95</v>
      </c>
      <c r="C107" s="6">
        <v>3952</v>
      </c>
      <c r="D107" s="5">
        <v>4228.8</v>
      </c>
      <c r="E107" s="5">
        <v>4041.45</v>
      </c>
      <c r="F107" s="7">
        <f>HYPERLINK("https://www.tradingview.com/chart/tioZvgwv/?symbol=NSE%3AINDIGO&amp;interval=", "&amp;#128200;")</f>
      </c>
      <c r="G107" s="7">
        <f>HYPERLINK("https://www.tradingview.com/symbols/NSE-INDIGO/news/", "&amp;#128240;")</f>
      </c>
      <c r="H107" s="7">
        <f>HYPERLINK("https://www.tradingview.com/symbols/NSE-INDIGO/technicals/", "&amp;#128202;")</f>
      </c>
      <c r="I107" s="7">
        <f>HYPERLINK("https://www.tradingview.com/symbols/NSE-INDIGO/financials-overview/", "&amp;#128194;")</f>
      </c>
      <c r="J107" s="4" t="s">
        <v>11</v>
      </c>
    </row>
    <row x14ac:dyDescent="0.25" r="108" customHeight="1" ht="18.75">
      <c r="A108" s="4" t="s">
        <v>117</v>
      </c>
      <c r="B108" s="5">
        <v>973.5</v>
      </c>
      <c r="C108" s="5">
        <v>934.5</v>
      </c>
      <c r="D108" s="5">
        <v>937.6</v>
      </c>
      <c r="E108" s="5">
        <v>950.7</v>
      </c>
      <c r="F108" s="7">
        <f>HYPERLINK("https://www.tradingview.com/chart/tioZvgwv/?symbol=NSE%3AINDUSINDBK&amp;interval=", "&amp;#128200;")</f>
      </c>
      <c r="G108" s="7">
        <f>HYPERLINK("https://www.tradingview.com/symbols/NSE-INDUSINDBK/news/", "&amp;#128240;")</f>
      </c>
      <c r="H108" s="7">
        <f>HYPERLINK("https://www.tradingview.com/symbols/NSE-INDUSINDBK/technicals/", "&amp;#128202;")</f>
      </c>
      <c r="I108" s="7">
        <f>HYPERLINK("https://www.tradingview.com/symbols/NSE-INDUSINDBK/financials-overview/", "&amp;#128194;")</f>
      </c>
      <c r="J108" s="4" t="s">
        <v>11</v>
      </c>
    </row>
    <row x14ac:dyDescent="0.25" r="109" customHeight="1" ht="18.75">
      <c r="A109" s="4" t="s">
        <v>118</v>
      </c>
      <c r="B109" s="5">
        <v>333.25</v>
      </c>
      <c r="C109" s="5">
        <v>315.55</v>
      </c>
      <c r="D109" s="5">
        <v>320.4</v>
      </c>
      <c r="E109" s="5">
        <v>327.05</v>
      </c>
      <c r="F109" s="7">
        <f>HYPERLINK("https://www.tradingview.com/chart/tioZvgwv/?symbol=NSE%3AINDUSTOWER&amp;interval=", "&amp;#128200;")</f>
      </c>
      <c r="G109" s="7">
        <f>HYPERLINK("https://www.tradingview.com/symbols/NSE-INDUSTOWER/news/", "&amp;#128240;")</f>
      </c>
      <c r="H109" s="7">
        <f>HYPERLINK("https://www.tradingview.com/symbols/NSE-INDUSTOWER/technicals/", "&amp;#128202;")</f>
      </c>
      <c r="I109" s="7">
        <f>HYPERLINK("https://www.tradingview.com/symbols/NSE-INDUSTOWER/financials-overview/", "&amp;#128194;")</f>
      </c>
      <c r="J109" s="4" t="s">
        <v>11</v>
      </c>
    </row>
    <row x14ac:dyDescent="0.25" r="110" customHeight="1" ht="18.75">
      <c r="A110" s="4" t="s">
        <v>119</v>
      </c>
      <c r="B110" s="5">
        <v>1982.8</v>
      </c>
      <c r="C110" s="6">
        <v>1949</v>
      </c>
      <c r="D110" s="5">
        <v>1966.95</v>
      </c>
      <c r="E110" s="5">
        <v>1970.5</v>
      </c>
      <c r="F110" s="7">
        <f>HYPERLINK("https://www.tradingview.com/chart/tioZvgwv/?symbol=NSE%3AINFY&amp;interval=", "&amp;#128200;")</f>
      </c>
      <c r="G110" s="7">
        <f>HYPERLINK("https://www.tradingview.com/symbols/NSE-INFY/news/", "&amp;#128240;")</f>
      </c>
      <c r="H110" s="7">
        <f>HYPERLINK("https://www.tradingview.com/symbols/NSE-INFY/technicals/", "&amp;#128202;")</f>
      </c>
      <c r="I110" s="7">
        <f>HYPERLINK("https://www.tradingview.com/symbols/NSE-INFY/financials-overview/", "&amp;#128194;")</f>
      </c>
      <c r="J110" s="4" t="s">
        <v>11</v>
      </c>
    </row>
    <row x14ac:dyDescent="0.25" r="111" customHeight="1" ht="18.75">
      <c r="A111" s="4" t="s">
        <v>120</v>
      </c>
      <c r="B111" s="5">
        <v>128.39</v>
      </c>
      <c r="C111" s="5">
        <v>123.6</v>
      </c>
      <c r="D111" s="5">
        <v>130.28</v>
      </c>
      <c r="E111" s="5">
        <v>123.69</v>
      </c>
      <c r="F111" s="7">
        <f>HYPERLINK("https://www.tradingview.com/chart/tioZvgwv/?symbol=NSE%3AIOC&amp;interval=", "&amp;#128200;")</f>
      </c>
      <c r="G111" s="7">
        <f>HYPERLINK("https://www.tradingview.com/symbols/NSE-IOC/news/", "&amp;#128240;")</f>
      </c>
      <c r="H111" s="7">
        <f>HYPERLINK("https://www.tradingview.com/symbols/NSE-IOC/technicals/", "&amp;#128202;")</f>
      </c>
      <c r="I111" s="7">
        <f>HYPERLINK("https://www.tradingview.com/symbols/NSE-IOC/financials-overview/", "&amp;#128194;")</f>
      </c>
      <c r="J111" s="4" t="s">
        <v>11</v>
      </c>
    </row>
    <row x14ac:dyDescent="0.25" r="112" customHeight="1" ht="18.75">
      <c r="A112" s="4" t="s">
        <v>121</v>
      </c>
      <c r="B112" s="5">
        <v>1634.75</v>
      </c>
      <c r="C112" s="5">
        <v>1575.05</v>
      </c>
      <c r="D112" s="5">
        <v>1632.35</v>
      </c>
      <c r="E112" s="5">
        <v>1606.9</v>
      </c>
      <c r="F112" s="7">
        <f>HYPERLINK("https://www.tradingview.com/chart/tioZvgwv/?symbol=NSE%3AIPCALAB&amp;interval=", "&amp;#128200;")</f>
      </c>
      <c r="G112" s="7">
        <f>HYPERLINK("https://www.tradingview.com/symbols/NSE-IPCALAB/news/", "&amp;#128240;")</f>
      </c>
      <c r="H112" s="7">
        <f>HYPERLINK("https://www.tradingview.com/symbols/NSE-IPCALAB/technicals/", "&amp;#128202;")</f>
      </c>
      <c r="I112" s="7">
        <f>HYPERLINK("https://www.tradingview.com/symbols/NSE-IPCALAB/financials-overview/", "&amp;#128194;")</f>
      </c>
      <c r="J112" s="4" t="s">
        <v>11</v>
      </c>
    </row>
    <row x14ac:dyDescent="0.25" r="113" customHeight="1" ht="18.75">
      <c r="A113" s="4" t="s">
        <v>122</v>
      </c>
      <c r="B113" s="5">
        <v>52.73</v>
      </c>
      <c r="C113" s="6">
        <v>51</v>
      </c>
      <c r="D113" s="5">
        <v>52.91</v>
      </c>
      <c r="E113" s="5">
        <v>51.17</v>
      </c>
      <c r="F113" s="7">
        <f>HYPERLINK("https://www.tradingview.com/chart/tioZvgwv/?symbol=NSE%3AIRB&amp;interval=", "&amp;#128200;")</f>
      </c>
      <c r="G113" s="7">
        <f>HYPERLINK("https://www.tradingview.com/symbols/NSE-IRB/news/", "&amp;#128240;")</f>
      </c>
      <c r="H113" s="7">
        <f>HYPERLINK("https://www.tradingview.com/symbols/NSE-IRB/technicals/", "&amp;#128202;")</f>
      </c>
      <c r="I113" s="7">
        <f>HYPERLINK("https://www.tradingview.com/symbols/NSE-IRB/financials-overview/", "&amp;#128194;")</f>
      </c>
      <c r="J113" s="4" t="s">
        <v>11</v>
      </c>
    </row>
    <row x14ac:dyDescent="0.25" r="114" customHeight="1" ht="18.75">
      <c r="A114" s="4" t="s">
        <v>123</v>
      </c>
      <c r="B114" s="5">
        <v>779.15</v>
      </c>
      <c r="C114" s="5">
        <v>759.5</v>
      </c>
      <c r="D114" s="5">
        <v>779.15</v>
      </c>
      <c r="E114" s="5">
        <v>760.75</v>
      </c>
      <c r="F114" s="7">
        <f>HYPERLINK("https://www.tradingview.com/chart/tioZvgwv/?symbol=NSE%3AIRCTC&amp;interval=", "&amp;#128200;")</f>
      </c>
      <c r="G114" s="7">
        <f>HYPERLINK("https://www.tradingview.com/symbols/NSE-IRCTC/news/", "&amp;#128240;")</f>
      </c>
      <c r="H114" s="7">
        <f>HYPERLINK("https://www.tradingview.com/symbols/NSE-IRCTC/technicals/", "&amp;#128202;")</f>
      </c>
      <c r="I114" s="7">
        <f>HYPERLINK("https://www.tradingview.com/symbols/NSE-IRCTC/financials-overview/", "&amp;#128194;")</f>
      </c>
      <c r="J114" s="4" t="s">
        <v>11</v>
      </c>
    </row>
    <row x14ac:dyDescent="0.25" r="115" customHeight="1" ht="18.75">
      <c r="A115" s="4" t="s">
        <v>124</v>
      </c>
      <c r="B115" s="5">
        <v>135.77</v>
      </c>
      <c r="C115" s="5">
        <v>132.2</v>
      </c>
      <c r="D115" s="5">
        <v>135.71</v>
      </c>
      <c r="E115" s="5">
        <v>132.26</v>
      </c>
      <c r="F115" s="7">
        <f>HYPERLINK("https://www.tradingview.com/chart/tioZvgwv/?symbol=NSE%3AIRFC&amp;interval=", "&amp;#128200;")</f>
      </c>
      <c r="G115" s="7">
        <f>HYPERLINK("https://www.tradingview.com/symbols/NSE-IRFC/news/", "&amp;#128240;")</f>
      </c>
      <c r="H115" s="7">
        <f>HYPERLINK("https://www.tradingview.com/symbols/NSE-IRFC/technicals/", "&amp;#128202;")</f>
      </c>
      <c r="I115" s="7">
        <f>HYPERLINK("https://www.tradingview.com/symbols/NSE-IRFC/financials-overview/", "&amp;#128194;")</f>
      </c>
      <c r="J115" s="4" t="s">
        <v>11</v>
      </c>
    </row>
    <row x14ac:dyDescent="0.25" r="116" customHeight="1" ht="18.75">
      <c r="A116" s="4" t="s">
        <v>125</v>
      </c>
      <c r="B116" s="5">
        <v>442.6</v>
      </c>
      <c r="C116" s="6">
        <v>435</v>
      </c>
      <c r="D116" s="5">
        <v>444.9</v>
      </c>
      <c r="E116" s="5">
        <v>441.3</v>
      </c>
      <c r="F116" s="7">
        <f>HYPERLINK("https://www.tradingview.com/chart/tioZvgwv/?symbol=NSE%3AITC&amp;interval=", "&amp;#128200;")</f>
      </c>
      <c r="G116" s="7">
        <f>HYPERLINK("https://www.tradingview.com/symbols/NSE-ITC/news/", "&amp;#128240;")</f>
      </c>
      <c r="H116" s="7">
        <f>HYPERLINK("https://www.tradingview.com/symbols/NSE-ITC/technicals/", "&amp;#128202;")</f>
      </c>
      <c r="I116" s="7">
        <f>HYPERLINK("https://www.tradingview.com/symbols/NSE-ITC/financials-overview/", "&amp;#128194;")</f>
      </c>
      <c r="J116" s="4" t="s">
        <v>11</v>
      </c>
    </row>
    <row x14ac:dyDescent="0.25" r="117" customHeight="1" ht="18.75">
      <c r="A117" s="4" t="s">
        <v>126</v>
      </c>
      <c r="B117" s="5">
        <v>918.55</v>
      </c>
      <c r="C117" s="5">
        <v>901.2</v>
      </c>
      <c r="D117" s="5">
        <v>917.7</v>
      </c>
      <c r="E117" s="5">
        <v>903.9</v>
      </c>
      <c r="F117" s="7">
        <f>HYPERLINK("https://www.tradingview.com/chart/tioZvgwv/?symbol=NSE%3AJINDALSTEL&amp;interval=", "&amp;#128200;")</f>
      </c>
      <c r="G117" s="7">
        <f>HYPERLINK("https://www.tradingview.com/symbols/NSE-JINDALSTEL/news/", "&amp;#128240;")</f>
      </c>
      <c r="H117" s="7">
        <f>HYPERLINK("https://www.tradingview.com/symbols/NSE-JINDALSTEL/technicals/", "&amp;#128202;")</f>
      </c>
      <c r="I117" s="7">
        <f>HYPERLINK("https://www.tradingview.com/symbols/NSE-JINDALSTEL/financials-overview/", "&amp;#128194;")</f>
      </c>
      <c r="J117" s="4" t="s">
        <v>11</v>
      </c>
    </row>
    <row x14ac:dyDescent="0.25" r="118" customHeight="1" ht="18.75">
      <c r="A118" s="4" t="s">
        <v>127</v>
      </c>
      <c r="B118" s="6">
        <v>278</v>
      </c>
      <c r="C118" s="5">
        <v>269.15</v>
      </c>
      <c r="D118" s="5">
        <v>280.55</v>
      </c>
      <c r="E118" s="5">
        <v>269.4</v>
      </c>
      <c r="F118" s="7">
        <f>HYPERLINK("https://www.tradingview.com/chart/tioZvgwv/?symbol=NSE%3AJIOFIN&amp;interval=", "&amp;#128200;")</f>
      </c>
      <c r="G118" s="7">
        <f>HYPERLINK("https://www.tradingview.com/symbols/NSE-JIOFIN/news/", "&amp;#128240;")</f>
      </c>
      <c r="H118" s="7">
        <f>HYPERLINK("https://www.tradingview.com/symbols/NSE-JIOFIN/technicals/", "&amp;#128202;")</f>
      </c>
      <c r="I118" s="7">
        <f>HYPERLINK("https://www.tradingview.com/symbols/NSE-JIOFIN/financials-overview/", "&amp;#128194;")</f>
      </c>
      <c r="J118" s="4" t="s">
        <v>11</v>
      </c>
    </row>
    <row x14ac:dyDescent="0.25" r="119" customHeight="1" ht="18.75">
      <c r="A119" s="4" t="s">
        <v>128</v>
      </c>
      <c r="B119" s="6">
        <v>4570</v>
      </c>
      <c r="C119" s="5">
        <v>4441.3</v>
      </c>
      <c r="D119" s="5">
        <v>4543.55</v>
      </c>
      <c r="E119" s="5">
        <v>4445.9</v>
      </c>
      <c r="F119" s="7">
        <f>HYPERLINK("https://www.tradingview.com/chart/tioZvgwv/?symbol=NSE%3AJKCEMENT&amp;interval=", "&amp;#128200;")</f>
      </c>
      <c r="G119" s="7">
        <f>HYPERLINK("https://www.tradingview.com/symbols/NSE-JKCEMENT/news/", "&amp;#128240;")</f>
      </c>
      <c r="H119" s="7">
        <f>HYPERLINK("https://www.tradingview.com/symbols/NSE-JKCEMENT/technicals/", "&amp;#128202;")</f>
      </c>
      <c r="I119" s="7">
        <f>HYPERLINK("https://www.tradingview.com/symbols/NSE-JKCEMENT/financials-overview/", "&amp;#128194;")</f>
      </c>
      <c r="J119" s="4" t="s">
        <v>11</v>
      </c>
    </row>
    <row x14ac:dyDescent="0.25" r="120" customHeight="1" ht="18.75">
      <c r="A120" s="4" t="s">
        <v>129</v>
      </c>
      <c r="B120" s="5">
        <v>628.6</v>
      </c>
      <c r="C120" s="5">
        <v>612.75</v>
      </c>
      <c r="D120" s="5">
        <v>625.55</v>
      </c>
      <c r="E120" s="5">
        <v>613.85</v>
      </c>
      <c r="F120" s="7">
        <f>HYPERLINK("https://www.tradingview.com/chart/tioZvgwv/?symbol=NSE%3AJSL&amp;interval=", "&amp;#128200;")</f>
      </c>
      <c r="G120" s="7">
        <f>HYPERLINK("https://www.tradingview.com/symbols/NSE-JSL/news/", "&amp;#128240;")</f>
      </c>
      <c r="H120" s="7">
        <f>HYPERLINK("https://www.tradingview.com/symbols/NSE-JSL/technicals/", "&amp;#128202;")</f>
      </c>
      <c r="I120" s="7">
        <f>HYPERLINK("https://www.tradingview.com/symbols/NSE-JSL/financials-overview/", "&amp;#128194;")</f>
      </c>
      <c r="J120" s="4" t="s">
        <v>11</v>
      </c>
    </row>
    <row x14ac:dyDescent="0.25" r="121" customHeight="1" ht="18.75">
      <c r="A121" s="4" t="s">
        <v>130</v>
      </c>
      <c r="B121" s="5">
        <v>539.6</v>
      </c>
      <c r="C121" s="5">
        <v>527.7</v>
      </c>
      <c r="D121" s="5">
        <v>539.6</v>
      </c>
      <c r="E121" s="5">
        <v>530.4</v>
      </c>
      <c r="F121" s="7">
        <f>HYPERLINK("https://www.tradingview.com/chart/tioZvgwv/?symbol=NSE%3AJSWENERGY&amp;interval=", "&amp;#128200;")</f>
      </c>
      <c r="G121" s="7">
        <f>HYPERLINK("https://www.tradingview.com/symbols/NSE-JSWENERGY/news/", "&amp;#128240;")</f>
      </c>
      <c r="H121" s="7">
        <f>HYPERLINK("https://www.tradingview.com/symbols/NSE-JSWENERGY/technicals/", "&amp;#128202;")</f>
      </c>
      <c r="I121" s="7">
        <f>HYPERLINK("https://www.tradingview.com/symbols/NSE-JSWENERGY/financials-overview/", "&amp;#128194;")</f>
      </c>
      <c r="J121" s="4" t="s">
        <v>11</v>
      </c>
    </row>
    <row x14ac:dyDescent="0.25" r="122" customHeight="1" ht="18.75">
      <c r="A122" s="4" t="s">
        <v>131</v>
      </c>
      <c r="B122" s="5">
        <v>898.7</v>
      </c>
      <c r="C122" s="5">
        <v>887.65</v>
      </c>
      <c r="D122" s="5">
        <v>900.1</v>
      </c>
      <c r="E122" s="5">
        <v>890.15</v>
      </c>
      <c r="F122" s="7">
        <f>HYPERLINK("https://www.tradingview.com/chart/tioZvgwv/?symbol=NSE%3AJSWSTEEL&amp;interval=", "&amp;#128200;")</f>
      </c>
      <c r="G122" s="7">
        <f>HYPERLINK("https://www.tradingview.com/symbols/NSE-JSWSTEEL/news/", "&amp;#128240;")</f>
      </c>
      <c r="H122" s="7">
        <f>HYPERLINK("https://www.tradingview.com/symbols/NSE-JSWSTEEL/technicals/", "&amp;#128202;")</f>
      </c>
      <c r="I122" s="7">
        <f>HYPERLINK("https://www.tradingview.com/symbols/NSE-JSWSTEEL/financials-overview/", "&amp;#128194;")</f>
      </c>
      <c r="J122" s="4" t="s">
        <v>11</v>
      </c>
    </row>
    <row x14ac:dyDescent="0.25" r="123" customHeight="1" ht="18.75">
      <c r="A123" s="4" t="s">
        <v>132</v>
      </c>
      <c r="B123" s="5">
        <v>733.55</v>
      </c>
      <c r="C123" s="6">
        <v>717</v>
      </c>
      <c r="D123" s="6">
        <v>737</v>
      </c>
      <c r="E123" s="5">
        <v>717.95</v>
      </c>
      <c r="F123" s="7">
        <f>HYPERLINK("https://www.tradingview.com/chart/tioZvgwv/?symbol=NSE%3AJUBLFOOD&amp;interval=", "&amp;#128200;")</f>
      </c>
      <c r="G123" s="7">
        <f>HYPERLINK("https://www.tradingview.com/symbols/NSE-JUBLFOOD/news/", "&amp;#128240;")</f>
      </c>
      <c r="H123" s="7">
        <f>HYPERLINK("https://www.tradingview.com/symbols/NSE-JUBLFOOD/technicals/", "&amp;#128202;")</f>
      </c>
      <c r="I123" s="7">
        <f>HYPERLINK("https://www.tradingview.com/symbols/NSE-JUBLFOOD/financials-overview/", "&amp;#128194;")</f>
      </c>
      <c r="J123" s="4" t="s">
        <v>11</v>
      </c>
    </row>
    <row x14ac:dyDescent="0.25" r="124" customHeight="1" ht="18.75">
      <c r="A124" s="4" t="s">
        <v>133</v>
      </c>
      <c r="B124" s="5">
        <v>609.7</v>
      </c>
      <c r="C124" s="6">
        <v>584</v>
      </c>
      <c r="D124" s="5">
        <v>626.75</v>
      </c>
      <c r="E124" s="5">
        <v>584.85</v>
      </c>
      <c r="F124" s="7">
        <f>HYPERLINK("https://www.tradingview.com/chart/tioZvgwv/?symbol=NSE%3AKALYANKJIL&amp;interval=", "&amp;#128200;")</f>
      </c>
      <c r="G124" s="7">
        <f>HYPERLINK("https://www.tradingview.com/symbols/NSE-KALYANKJIL/news/", "&amp;#128240;")</f>
      </c>
      <c r="H124" s="7">
        <f>HYPERLINK("https://www.tradingview.com/symbols/NSE-KALYANKJIL/technicals/", "&amp;#128202;")</f>
      </c>
      <c r="I124" s="7">
        <f>HYPERLINK("https://www.tradingview.com/symbols/NSE-KALYANKJIL/financials-overview/", "&amp;#128194;")</f>
      </c>
      <c r="J124" s="4" t="s">
        <v>11</v>
      </c>
    </row>
    <row x14ac:dyDescent="0.25" r="125" customHeight="1" ht="18.75">
      <c r="A125" s="4" t="s">
        <v>134</v>
      </c>
      <c r="B125" s="5">
        <v>4139.45</v>
      </c>
      <c r="C125" s="6">
        <v>4004</v>
      </c>
      <c r="D125" s="5">
        <v>4177.05</v>
      </c>
      <c r="E125" s="6">
        <v>4020</v>
      </c>
      <c r="F125" s="7">
        <f>HYPERLINK("https://www.tradingview.com/chart/tioZvgwv/?symbol=NSE%3AKEI&amp;interval=", "&amp;#128200;")</f>
      </c>
      <c r="G125" s="7">
        <f>HYPERLINK("https://www.tradingview.com/symbols/NSE-KEI/news/", "&amp;#128240;")</f>
      </c>
      <c r="H125" s="7">
        <f>HYPERLINK("https://www.tradingview.com/symbols/NSE-KEI/technicals/", "&amp;#128202;")</f>
      </c>
      <c r="I125" s="7">
        <f>HYPERLINK("https://www.tradingview.com/symbols/NSE-KEI/financials-overview/", "&amp;#128194;")</f>
      </c>
      <c r="J125" s="4" t="s">
        <v>11</v>
      </c>
    </row>
    <row x14ac:dyDescent="0.25" r="126" customHeight="1" ht="18.75">
      <c r="A126" s="4" t="s">
        <v>135</v>
      </c>
      <c r="B126" s="5">
        <v>1744.55</v>
      </c>
      <c r="C126" s="5">
        <v>1723.75</v>
      </c>
      <c r="D126" s="5">
        <v>1756.2</v>
      </c>
      <c r="E126" s="5">
        <v>1735.15</v>
      </c>
      <c r="F126" s="7">
        <f>HYPERLINK("https://www.tradingview.com/chart/tioZvgwv/?symbol=NSE%3AKOTAKBANK&amp;interval=", "&amp;#128200;")</f>
      </c>
      <c r="G126" s="7">
        <f>HYPERLINK("https://www.tradingview.com/symbols/NSE-KOTAKBANK/news/", "&amp;#128240;")</f>
      </c>
      <c r="H126" s="7">
        <f>HYPERLINK("https://www.tradingview.com/symbols/NSE-KOTAKBANK/technicals/", "&amp;#128202;")</f>
      </c>
      <c r="I126" s="7">
        <f>HYPERLINK("https://www.tradingview.com/symbols/NSE-KOTAKBANK/financials-overview/", "&amp;#128194;")</f>
      </c>
      <c r="J126" s="4" t="s">
        <v>11</v>
      </c>
    </row>
    <row x14ac:dyDescent="0.25" r="127" customHeight="1" ht="18.75">
      <c r="A127" s="4" t="s">
        <v>136</v>
      </c>
      <c r="B127" s="5">
        <v>1381.85</v>
      </c>
      <c r="C127" s="5">
        <v>1337.1</v>
      </c>
      <c r="D127" s="5">
        <v>1369.65</v>
      </c>
      <c r="E127" s="5">
        <v>1339.7</v>
      </c>
      <c r="F127" s="7">
        <f>HYPERLINK("https://www.tradingview.com/chart/tioZvgwv/?symbol=NSE%3AKPITTECH&amp;interval=", "&amp;#128200;")</f>
      </c>
      <c r="G127" s="7">
        <f>HYPERLINK("https://www.tradingview.com/symbols/NSE-KPITTECH/news/", "&amp;#128240;")</f>
      </c>
      <c r="H127" s="7">
        <f>HYPERLINK("https://www.tradingview.com/symbols/NSE-KPITTECH/technicals/", "&amp;#128202;")</f>
      </c>
      <c r="I127" s="7">
        <f>HYPERLINK("https://www.tradingview.com/symbols/NSE-KPITTECH/financials-overview/", "&amp;#128194;")</f>
      </c>
      <c r="J127" s="4" t="s">
        <v>11</v>
      </c>
    </row>
    <row x14ac:dyDescent="0.25" r="128" customHeight="1" ht="18.75">
      <c r="A128" s="4" t="s">
        <v>137</v>
      </c>
      <c r="B128" s="6">
        <v>2912</v>
      </c>
      <c r="C128" s="5">
        <v>2865.25</v>
      </c>
      <c r="D128" s="5">
        <v>2928.15</v>
      </c>
      <c r="E128" s="5">
        <v>2868.35</v>
      </c>
      <c r="F128" s="7">
        <f>HYPERLINK("https://www.tradingview.com/chart/tioZvgwv/?symbol=NSE%3ALALPATHLAB&amp;interval=", "&amp;#128200;")</f>
      </c>
      <c r="G128" s="7">
        <f>HYPERLINK("https://www.tradingview.com/symbols/NSE-LALPATHLAB/news/", "&amp;#128240;")</f>
      </c>
      <c r="H128" s="7">
        <f>HYPERLINK("https://www.tradingview.com/symbols/NSE-LALPATHLAB/technicals/", "&amp;#128202;")</f>
      </c>
      <c r="I128" s="7">
        <f>HYPERLINK("https://www.tradingview.com/symbols/NSE-LALPATHLAB/financials-overview/", "&amp;#128194;")</f>
      </c>
      <c r="J128" s="4" t="s">
        <v>11</v>
      </c>
    </row>
    <row x14ac:dyDescent="0.25" r="129" customHeight="1" ht="18.75">
      <c r="A129" s="4" t="s">
        <v>138</v>
      </c>
      <c r="B129" s="6">
        <v>586</v>
      </c>
      <c r="C129" s="6">
        <v>571</v>
      </c>
      <c r="D129" s="5">
        <v>583.7</v>
      </c>
      <c r="E129" s="5">
        <v>572.7</v>
      </c>
      <c r="F129" s="7">
        <f>HYPERLINK("https://www.tradingview.com/chart/tioZvgwv/?symbol=NSE%3ALAURUSLABS&amp;interval=", "&amp;#128200;")</f>
      </c>
      <c r="G129" s="7">
        <f>HYPERLINK("https://www.tradingview.com/symbols/NSE-LAURUSLABS/news/", "&amp;#128240;")</f>
      </c>
      <c r="H129" s="7">
        <f>HYPERLINK("https://www.tradingview.com/symbols/NSE-LAURUSLABS/technicals/", "&amp;#128202;")</f>
      </c>
      <c r="I129" s="7">
        <f>HYPERLINK("https://www.tradingview.com/symbols/NSE-LAURUSLABS/financials-overview/", "&amp;#128194;")</f>
      </c>
      <c r="J129" s="4" t="s">
        <v>11</v>
      </c>
    </row>
    <row x14ac:dyDescent="0.25" r="130" customHeight="1" ht="18.75">
      <c r="A130" s="4" t="s">
        <v>139</v>
      </c>
      <c r="B130" s="6">
        <v>555</v>
      </c>
      <c r="C130" s="5">
        <v>541.65</v>
      </c>
      <c r="D130" s="5">
        <v>554.9</v>
      </c>
      <c r="E130" s="5">
        <v>541.9</v>
      </c>
      <c r="F130" s="7">
        <f>HYPERLINK("https://www.tradingview.com/chart/tioZvgwv/?symbol=NSE%3ALICHSGFIN&amp;interval=", "&amp;#128200;")</f>
      </c>
      <c r="G130" s="7">
        <f>HYPERLINK("https://www.tradingview.com/symbols/NSE-LICHSGFIN/news/", "&amp;#128240;")</f>
      </c>
      <c r="H130" s="7">
        <f>HYPERLINK("https://www.tradingview.com/symbols/NSE-LICHSGFIN/technicals/", "&amp;#128202;")</f>
      </c>
      <c r="I130" s="7">
        <f>HYPERLINK("https://www.tradingview.com/symbols/NSE-LICHSGFIN/financials-overview/", "&amp;#128194;")</f>
      </c>
      <c r="J130" s="4" t="s">
        <v>11</v>
      </c>
    </row>
    <row x14ac:dyDescent="0.25" r="131" customHeight="1" ht="18.75">
      <c r="A131" s="4" t="s">
        <v>140</v>
      </c>
      <c r="B131" s="5">
        <v>836.85</v>
      </c>
      <c r="C131" s="6">
        <v>825</v>
      </c>
      <c r="D131" s="5">
        <v>839.5</v>
      </c>
      <c r="E131" s="5">
        <v>825.15</v>
      </c>
      <c r="F131" s="7">
        <f>HYPERLINK("https://www.tradingview.com/chart/tioZvgwv/?symbol=NSE%3ALICI&amp;interval=", "&amp;#128200;")</f>
      </c>
      <c r="G131" s="7">
        <f>HYPERLINK("https://www.tradingview.com/symbols/NSE-LICI/news/", "&amp;#128240;")</f>
      </c>
      <c r="H131" s="7">
        <f>HYPERLINK("https://www.tradingview.com/symbols/NSE-LICI/technicals/", "&amp;#128202;")</f>
      </c>
      <c r="I131" s="7">
        <f>HYPERLINK("https://www.tradingview.com/symbols/NSE-LICI/financials-overview/", "&amp;#128194;")</f>
      </c>
      <c r="J131" s="4" t="s">
        <v>11</v>
      </c>
    </row>
    <row x14ac:dyDescent="0.25" r="132" customHeight="1" ht="18.75">
      <c r="A132" s="4" t="s">
        <v>141</v>
      </c>
      <c r="B132" s="5">
        <v>1259.9</v>
      </c>
      <c r="C132" s="5">
        <v>1198.55</v>
      </c>
      <c r="D132" s="5">
        <v>1283.7</v>
      </c>
      <c r="E132" s="5">
        <v>1199.8</v>
      </c>
      <c r="F132" s="7">
        <f>HYPERLINK("https://www.tradingview.com/chart/tioZvgwv/?symbol=NSE%3ALODHA&amp;interval=", "&amp;#128200;")</f>
      </c>
      <c r="G132" s="7">
        <f>HYPERLINK("https://www.tradingview.com/symbols/NSE-LODHA/news/", "&amp;#128240;")</f>
      </c>
      <c r="H132" s="7">
        <f>HYPERLINK("https://www.tradingview.com/symbols/NSE-LODHA/technicals/", "&amp;#128202;")</f>
      </c>
      <c r="I132" s="7">
        <f>HYPERLINK("https://www.tradingview.com/symbols/NSE-LODHA/financials-overview/", "&amp;#128194;")</f>
      </c>
      <c r="J132" s="4" t="s">
        <v>11</v>
      </c>
    </row>
    <row x14ac:dyDescent="0.25" r="133" customHeight="1" ht="18.75">
      <c r="A133" s="4" t="s">
        <v>142</v>
      </c>
      <c r="B133" s="5">
        <v>3534.5</v>
      </c>
      <c r="C133" s="5">
        <v>3496.05</v>
      </c>
      <c r="D133" s="5">
        <v>3536.15</v>
      </c>
      <c r="E133" s="5">
        <v>3520.8</v>
      </c>
      <c r="F133" s="7">
        <f>HYPERLINK("https://www.tradingview.com/chart/tioZvgwv/?symbol=NSE%3ALT&amp;interval=", "&amp;#128200;")</f>
      </c>
      <c r="G133" s="7">
        <f>HYPERLINK("https://www.tradingview.com/symbols/NSE-LT/news/", "&amp;#128240;")</f>
      </c>
      <c r="H133" s="7">
        <f>HYPERLINK("https://www.tradingview.com/symbols/NSE-LT/technicals/", "&amp;#128202;")</f>
      </c>
      <c r="I133" s="7">
        <f>HYPERLINK("https://www.tradingview.com/symbols/NSE-LT/financials-overview/", "&amp;#128194;")</f>
      </c>
      <c r="J133" s="4" t="s">
        <v>11</v>
      </c>
    </row>
    <row x14ac:dyDescent="0.25" r="134" customHeight="1" ht="18.75">
      <c r="A134" s="4" t="s">
        <v>143</v>
      </c>
      <c r="B134" s="5">
        <v>6157.95</v>
      </c>
      <c r="C134" s="5">
        <v>6051.1</v>
      </c>
      <c r="D134" s="5">
        <v>6124.4</v>
      </c>
      <c r="E134" s="5">
        <v>6108.95</v>
      </c>
      <c r="F134" s="7">
        <f>HYPERLINK("https://www.tradingview.com/chart/tioZvgwv/?symbol=NSE%3ALTIM&amp;interval=", "&amp;#128200;")</f>
      </c>
      <c r="G134" s="7">
        <f>HYPERLINK("https://www.tradingview.com/symbols/NSE-LTIM/news/", "&amp;#128240;")</f>
      </c>
      <c r="H134" s="7">
        <f>HYPERLINK("https://www.tradingview.com/symbols/NSE-LTIM/technicals/", "&amp;#128202;")</f>
      </c>
      <c r="I134" s="7">
        <f>HYPERLINK("https://www.tradingview.com/symbols/NSE-LTIM/financials-overview/", "&amp;#128194;")</f>
      </c>
      <c r="J134" s="4" t="s">
        <v>11</v>
      </c>
    </row>
    <row x14ac:dyDescent="0.25" r="135" customHeight="1" ht="18.75">
      <c r="A135" s="4" t="s">
        <v>144</v>
      </c>
      <c r="B135" s="5">
        <v>4969.8</v>
      </c>
      <c r="C135" s="5">
        <v>4879.1</v>
      </c>
      <c r="D135" s="5">
        <v>4935.65</v>
      </c>
      <c r="E135" s="6">
        <v>4928</v>
      </c>
      <c r="F135" s="7">
        <f>HYPERLINK("https://www.tradingview.com/chart/tioZvgwv/?symbol=NSE%3ALTTS&amp;interval=", "&amp;#128200;")</f>
      </c>
      <c r="G135" s="7">
        <f>HYPERLINK("https://www.tradingview.com/symbols/NSE-LTTS/news/", "&amp;#128240;")</f>
      </c>
      <c r="H135" s="7">
        <f>HYPERLINK("https://www.tradingview.com/symbols/NSE-LTTS/technicals/", "&amp;#128202;")</f>
      </c>
      <c r="I135" s="7">
        <f>HYPERLINK("https://www.tradingview.com/symbols/NSE-LTTS/financials-overview/", "&amp;#128194;")</f>
      </c>
      <c r="J135" s="4" t="s">
        <v>11</v>
      </c>
    </row>
    <row x14ac:dyDescent="0.25" r="136" customHeight="1" ht="18.75">
      <c r="A136" s="4" t="s">
        <v>145</v>
      </c>
      <c r="B136" s="5">
        <v>2192.95</v>
      </c>
      <c r="C136" s="5">
        <v>2144.9</v>
      </c>
      <c r="D136" s="5">
        <v>2191.1</v>
      </c>
      <c r="E136" s="5">
        <v>2145.75</v>
      </c>
      <c r="F136" s="7">
        <f>HYPERLINK("https://www.tradingview.com/chart/tioZvgwv/?symbol=NSE%3ALUPIN&amp;interval=", "&amp;#128200;")</f>
      </c>
      <c r="G136" s="7">
        <f>HYPERLINK("https://www.tradingview.com/symbols/NSE-LUPIN/news/", "&amp;#128240;")</f>
      </c>
      <c r="H136" s="7">
        <f>HYPERLINK("https://www.tradingview.com/symbols/NSE-LUPIN/technicals/", "&amp;#128202;")</f>
      </c>
      <c r="I136" s="7">
        <f>HYPERLINK("https://www.tradingview.com/symbols/NSE-LUPIN/financials-overview/", "&amp;#128194;")</f>
      </c>
      <c r="J136" s="4" t="s">
        <v>11</v>
      </c>
    </row>
    <row x14ac:dyDescent="0.25" r="137" customHeight="1" ht="18.75">
      <c r="A137" s="4" t="s">
        <v>146</v>
      </c>
      <c r="B137" s="5">
        <v>3066.85</v>
      </c>
      <c r="C137" s="5">
        <v>3005.65</v>
      </c>
      <c r="D137" s="5">
        <v>3092.85</v>
      </c>
      <c r="E137" s="5">
        <v>3029.85</v>
      </c>
      <c r="F137" s="7">
        <f>HYPERLINK("https://www.tradingview.com/chart/tioZvgwv/?symbol=NSE%3AM&amp;M&amp;interval=", "&amp;#128200;")</f>
      </c>
      <c r="G137" s="7">
        <f>HYPERLINK("https://www.tradingview.com/symbols/NSE-M&amp;M/news/", "&amp;#128240;")</f>
      </c>
      <c r="H137" s="7">
        <f>HYPERLINK("https://www.tradingview.com/symbols/NSE-M&amp;M/technicals/", "&amp;#128202;")</f>
      </c>
      <c r="I137" s="7">
        <f>HYPERLINK("https://www.tradingview.com/symbols/NSE-M&amp;M/financials-overview/", "&amp;#128194;")</f>
      </c>
      <c r="J137" s="4" t="s">
        <v>11</v>
      </c>
    </row>
    <row x14ac:dyDescent="0.25" r="138" customHeight="1" ht="18.75">
      <c r="A138" s="4" t="s">
        <v>147</v>
      </c>
      <c r="B138" s="5">
        <v>273.3</v>
      </c>
      <c r="C138" s="5">
        <v>267.85</v>
      </c>
      <c r="D138" s="5">
        <v>275.55</v>
      </c>
      <c r="E138" s="5">
        <v>268.35</v>
      </c>
      <c r="F138" s="7">
        <f>HYPERLINK("https://www.tradingview.com/chart/tioZvgwv/?symbol=NSE%3AM&amp;MFIN&amp;interval=", "&amp;#128200;")</f>
      </c>
      <c r="G138" s="7">
        <f>HYPERLINK("https://www.tradingview.com/symbols/NSE-M&amp;MFIN/news/", "&amp;#128240;")</f>
      </c>
      <c r="H138" s="7">
        <f>HYPERLINK("https://www.tradingview.com/symbols/NSE-M&amp;MFIN/technicals/", "&amp;#128202;")</f>
      </c>
      <c r="I138" s="7">
        <f>HYPERLINK("https://www.tradingview.com/symbols/NSE-M&amp;MFIN/financials-overview/", "&amp;#128194;")</f>
      </c>
      <c r="J138" s="4" t="s">
        <v>11</v>
      </c>
    </row>
    <row x14ac:dyDescent="0.25" r="139" customHeight="1" ht="18.75">
      <c r="A139" s="4" t="s">
        <v>148</v>
      </c>
      <c r="B139" s="5">
        <v>180.99</v>
      </c>
      <c r="C139" s="5">
        <v>176.45</v>
      </c>
      <c r="D139" s="5">
        <v>180.32</v>
      </c>
      <c r="E139" s="5">
        <v>176.55</v>
      </c>
      <c r="F139" s="7">
        <f>HYPERLINK("https://www.tradingview.com/chart/tioZvgwv/?symbol=NSE%3AMANAPPURAM&amp;interval=", "&amp;#128200;")</f>
      </c>
      <c r="G139" s="7">
        <f>HYPERLINK("https://www.tradingview.com/symbols/NSE-MANAPPURAM/news/", "&amp;#128240;")</f>
      </c>
      <c r="H139" s="7">
        <f>HYPERLINK("https://www.tradingview.com/symbols/NSE-MANAPPURAM/technicals/", "&amp;#128202;")</f>
      </c>
      <c r="I139" s="7">
        <f>HYPERLINK("https://www.tradingview.com/symbols/NSE-MANAPPURAM/financials-overview/", "&amp;#128194;")</f>
      </c>
      <c r="J139" s="4" t="s">
        <v>11</v>
      </c>
    </row>
    <row x14ac:dyDescent="0.25" r="140" customHeight="1" ht="18.75">
      <c r="A140" s="4" t="s">
        <v>149</v>
      </c>
      <c r="B140" s="5">
        <v>674.9</v>
      </c>
      <c r="C140" s="5">
        <v>666.65</v>
      </c>
      <c r="D140" s="5">
        <v>673.9</v>
      </c>
      <c r="E140" s="5">
        <v>669.4</v>
      </c>
      <c r="F140" s="7">
        <f>HYPERLINK("https://www.tradingview.com/chart/tioZvgwv/?symbol=NSE%3AMARICO&amp;interval=", "&amp;#128200;")</f>
      </c>
      <c r="G140" s="7">
        <f>HYPERLINK("https://www.tradingview.com/symbols/NSE-MARICO/news/", "&amp;#128240;")</f>
      </c>
      <c r="H140" s="7">
        <f>HYPERLINK("https://www.tradingview.com/symbols/NSE-MARICO/technicals/", "&amp;#128202;")</f>
      </c>
      <c r="I140" s="7">
        <f>HYPERLINK("https://www.tradingview.com/symbols/NSE-MARICO/financials-overview/", "&amp;#128194;")</f>
      </c>
      <c r="J140" s="4" t="s">
        <v>11</v>
      </c>
    </row>
    <row x14ac:dyDescent="0.25" r="141" customHeight="1" ht="18.75">
      <c r="A141" s="4" t="s">
        <v>150</v>
      </c>
      <c r="B141" s="5">
        <v>11654.45</v>
      </c>
      <c r="C141" s="6">
        <v>11468</v>
      </c>
      <c r="D141" s="5">
        <v>11631.1</v>
      </c>
      <c r="E141" s="5">
        <v>11588.9</v>
      </c>
      <c r="F141" s="7">
        <f>HYPERLINK("https://www.tradingview.com/chart/tioZvgwv/?symbol=NSE%3AMARUTI&amp;interval=", "&amp;#128200;")</f>
      </c>
      <c r="G141" s="7">
        <f>HYPERLINK("https://www.tradingview.com/symbols/NSE-MARUTI/news/", "&amp;#128240;")</f>
      </c>
      <c r="H141" s="7">
        <f>HYPERLINK("https://www.tradingview.com/symbols/NSE-MARUTI/technicals/", "&amp;#128202;")</f>
      </c>
      <c r="I141" s="7">
        <f>HYPERLINK("https://www.tradingview.com/symbols/NSE-MARUTI/financials-overview/", "&amp;#128194;")</f>
      </c>
      <c r="J141" s="4" t="s">
        <v>11</v>
      </c>
    </row>
    <row x14ac:dyDescent="0.25" r="142" customHeight="1" ht="18.75">
      <c r="A142" s="4" t="s">
        <v>151</v>
      </c>
      <c r="B142" s="5">
        <v>1127.45</v>
      </c>
      <c r="C142" s="5">
        <v>1092.9</v>
      </c>
      <c r="D142" s="5">
        <v>1149.9</v>
      </c>
      <c r="E142" s="5">
        <v>1094.2</v>
      </c>
      <c r="F142" s="7">
        <f>HYPERLINK("https://www.tradingview.com/chart/tioZvgwv/?symbol=NSE%3AMAXHEALTH&amp;interval=", "&amp;#128200;")</f>
      </c>
      <c r="G142" s="7">
        <f>HYPERLINK("https://www.tradingview.com/symbols/NSE-MAXHEALTH/news/", "&amp;#128240;")</f>
      </c>
      <c r="H142" s="7">
        <f>HYPERLINK("https://www.tradingview.com/symbols/NSE-MAXHEALTH/technicals/", "&amp;#128202;")</f>
      </c>
      <c r="I142" s="7">
        <f>HYPERLINK("https://www.tradingview.com/symbols/NSE-MAXHEALTH/financials-overview/", "&amp;#128194;")</f>
      </c>
      <c r="J142" s="4" t="s">
        <v>11</v>
      </c>
    </row>
    <row x14ac:dyDescent="0.25" r="143" customHeight="1" ht="18.75">
      <c r="A143" s="4" t="s">
        <v>152</v>
      </c>
      <c r="B143" s="6">
        <v>5689</v>
      </c>
      <c r="C143" s="5">
        <v>5496.8</v>
      </c>
      <c r="D143" s="5">
        <v>5635.85</v>
      </c>
      <c r="E143" s="5">
        <v>5620.95</v>
      </c>
      <c r="F143" s="7">
        <f>HYPERLINK("https://www.tradingview.com/chart/tioZvgwv/?symbol=NSE%3AMCX&amp;interval=", "&amp;#128200;")</f>
      </c>
      <c r="G143" s="7">
        <f>HYPERLINK("https://www.tradingview.com/symbols/NSE-MCX/news/", "&amp;#128240;")</f>
      </c>
      <c r="H143" s="7">
        <f>HYPERLINK("https://www.tradingview.com/symbols/NSE-MCX/technicals/", "&amp;#128202;")</f>
      </c>
      <c r="I143" s="7">
        <f>HYPERLINK("https://www.tradingview.com/symbols/NSE-MCX/financials-overview/", "&amp;#128194;")</f>
      </c>
      <c r="J143" s="4" t="s">
        <v>11</v>
      </c>
    </row>
    <row x14ac:dyDescent="0.25" r="144" customHeight="1" ht="18.75">
      <c r="A144" s="4" t="s">
        <v>153</v>
      </c>
      <c r="B144" s="5">
        <v>1949.95</v>
      </c>
      <c r="C144" s="6">
        <v>1906</v>
      </c>
      <c r="D144" s="5">
        <v>1953.6</v>
      </c>
      <c r="E144" s="5">
        <v>1907.35</v>
      </c>
      <c r="F144" s="7">
        <f>HYPERLINK("https://www.tradingview.com/chart/tioZvgwv/?symbol=NSE%3AMETROPOLIS&amp;interval=", "&amp;#128200;")</f>
      </c>
      <c r="G144" s="7">
        <f>HYPERLINK("https://www.tradingview.com/symbols/NSE-METROPOLIS/news/", "&amp;#128240;")</f>
      </c>
      <c r="H144" s="7">
        <f>HYPERLINK("https://www.tradingview.com/symbols/NSE-METROPOLIS/technicals/", "&amp;#128202;")</f>
      </c>
      <c r="I144" s="7">
        <f>HYPERLINK("https://www.tradingview.com/symbols/NSE-METROPOLIS/financials-overview/", "&amp;#128194;")</f>
      </c>
      <c r="J144" s="4" t="s">
        <v>11</v>
      </c>
    </row>
    <row x14ac:dyDescent="0.25" r="145" customHeight="1" ht="18.75">
      <c r="A145" s="4" t="s">
        <v>154</v>
      </c>
      <c r="B145" s="6">
        <v>1070</v>
      </c>
      <c r="C145" s="5">
        <v>1051.1</v>
      </c>
      <c r="D145" s="5">
        <v>1077.65</v>
      </c>
      <c r="E145" s="5">
        <v>1063.15</v>
      </c>
      <c r="F145" s="7">
        <f>HYPERLINK("https://www.tradingview.com/chart/tioZvgwv/?symbol=NSE%3AMFSL&amp;interval=", "&amp;#128200;")</f>
      </c>
      <c r="G145" s="7">
        <f>HYPERLINK("https://www.tradingview.com/symbols/NSE-MFSL/news/", "&amp;#128240;")</f>
      </c>
      <c r="H145" s="7">
        <f>HYPERLINK("https://www.tradingview.com/symbols/NSE-MFSL/technicals/", "&amp;#128202;")</f>
      </c>
      <c r="I145" s="7">
        <f>HYPERLINK("https://www.tradingview.com/symbols/NSE-MFSL/financials-overview/", "&amp;#128194;")</f>
      </c>
      <c r="J145" s="4" t="s">
        <v>11</v>
      </c>
    </row>
    <row x14ac:dyDescent="0.25" r="146" customHeight="1" ht="18.75">
      <c r="A146" s="4" t="s">
        <v>155</v>
      </c>
      <c r="B146" s="5">
        <v>1282.8</v>
      </c>
      <c r="C146" s="5">
        <v>1241.5</v>
      </c>
      <c r="D146" s="5">
        <v>1286.1</v>
      </c>
      <c r="E146" s="5">
        <v>1241.95</v>
      </c>
      <c r="F146" s="7">
        <f>HYPERLINK("https://www.tradingview.com/chart/tioZvgwv/?symbol=NSE%3AMGL&amp;interval=", "&amp;#128200;")</f>
      </c>
      <c r="G146" s="7">
        <f>HYPERLINK("https://www.tradingview.com/symbols/NSE-MGL/news/", "&amp;#128240;")</f>
      </c>
      <c r="H146" s="7">
        <f>HYPERLINK("https://www.tradingview.com/symbols/NSE-MGL/technicals/", "&amp;#128202;")</f>
      </c>
      <c r="I146" s="7">
        <f>HYPERLINK("https://www.tradingview.com/symbols/NSE-MGL/financials-overview/", "&amp;#128194;")</f>
      </c>
      <c r="J146" s="4" t="s">
        <v>11</v>
      </c>
    </row>
    <row x14ac:dyDescent="0.25" r="147" customHeight="1" ht="18.75">
      <c r="A147" s="4" t="s">
        <v>156</v>
      </c>
      <c r="B147" s="5">
        <v>144.07</v>
      </c>
      <c r="C147" s="5">
        <v>141.75</v>
      </c>
      <c r="D147" s="5">
        <v>144.88</v>
      </c>
      <c r="E147" s="5">
        <v>142.02</v>
      </c>
      <c r="F147" s="7">
        <f>HYPERLINK("https://www.tradingview.com/chart/tioZvgwv/?symbol=NSE%3AMOTHERSON&amp;interval=", "&amp;#128200;")</f>
      </c>
      <c r="G147" s="7">
        <f>HYPERLINK("https://www.tradingview.com/symbols/NSE-MOTHERSON/news/", "&amp;#128240;")</f>
      </c>
      <c r="H147" s="7">
        <f>HYPERLINK("https://www.tradingview.com/symbols/NSE-MOTHERSON/technicals/", "&amp;#128202;")</f>
      </c>
      <c r="I147" s="7">
        <f>HYPERLINK("https://www.tradingview.com/symbols/NSE-MOTHERSON/financials-overview/", "&amp;#128194;")</f>
      </c>
      <c r="J147" s="4" t="s">
        <v>11</v>
      </c>
    </row>
    <row x14ac:dyDescent="0.25" r="148" customHeight="1" ht="18.75">
      <c r="A148" s="4" t="s">
        <v>157</v>
      </c>
      <c r="B148" s="5">
        <v>2897.9</v>
      </c>
      <c r="C148" s="6">
        <v>2798</v>
      </c>
      <c r="D148" s="6">
        <v>2915</v>
      </c>
      <c r="E148" s="5">
        <v>2832.45</v>
      </c>
      <c r="F148" s="7">
        <f>HYPERLINK("https://www.tradingview.com/chart/tioZvgwv/?symbol=NSE%3AMPHASIS&amp;interval=", "&amp;#128200;")</f>
      </c>
      <c r="G148" s="7">
        <f>HYPERLINK("https://www.tradingview.com/symbols/NSE-MPHASIS/news/", "&amp;#128240;")</f>
      </c>
      <c r="H148" s="7">
        <f>HYPERLINK("https://www.tradingview.com/symbols/NSE-MPHASIS/technicals/", "&amp;#128202;")</f>
      </c>
      <c r="I148" s="7">
        <f>HYPERLINK("https://www.tradingview.com/symbols/NSE-MPHASIS/financials-overview/", "&amp;#128194;")</f>
      </c>
      <c r="J148" s="4" t="s">
        <v>11</v>
      </c>
    </row>
    <row x14ac:dyDescent="0.25" r="149" customHeight="1" ht="18.75">
      <c r="A149" s="4" t="s">
        <v>158</v>
      </c>
      <c r="B149" s="6">
        <v>117000</v>
      </c>
      <c r="C149" s="5">
        <v>114009.55</v>
      </c>
      <c r="D149" s="5">
        <v>117104.55</v>
      </c>
      <c r="E149" s="5">
        <v>114009.55</v>
      </c>
      <c r="F149" s="7">
        <f>HYPERLINK("https://www.tradingview.com/chart/tioZvgwv/?symbol=NSE%3AMRF&amp;interval=", "&amp;#128200;")</f>
      </c>
      <c r="G149" s="7">
        <f>HYPERLINK("https://www.tradingview.com/symbols/NSE-MRF/news/", "&amp;#128240;")</f>
      </c>
      <c r="H149" s="7">
        <f>HYPERLINK("https://www.tradingview.com/symbols/NSE-MRF/technicals/", "&amp;#128202;")</f>
      </c>
      <c r="I149" s="7">
        <f>HYPERLINK("https://www.tradingview.com/symbols/NSE-MRF/financials-overview/", "&amp;#128194;")</f>
      </c>
      <c r="J149" s="4" t="s">
        <v>11</v>
      </c>
    </row>
    <row x14ac:dyDescent="0.25" r="150" customHeight="1" ht="18.75">
      <c r="A150" s="4" t="s">
        <v>159</v>
      </c>
      <c r="B150" s="5">
        <v>2136.55</v>
      </c>
      <c r="C150" s="5">
        <v>2104.95</v>
      </c>
      <c r="D150" s="5">
        <v>2136.55</v>
      </c>
      <c r="E150" s="5">
        <v>2115.35</v>
      </c>
      <c r="F150" s="7">
        <f>HYPERLINK("https://www.tradingview.com/chart/tioZvgwv/?symbol=NSE%3AMUTHOOTFIN&amp;interval=", "&amp;#128200;")</f>
      </c>
      <c r="G150" s="7">
        <f>HYPERLINK("https://www.tradingview.com/symbols/NSE-MUTHOOTFIN/news/", "&amp;#128240;")</f>
      </c>
      <c r="H150" s="7">
        <f>HYPERLINK("https://www.tradingview.com/symbols/NSE-MUTHOOTFIN/technicals/", "&amp;#128202;")</f>
      </c>
      <c r="I150" s="7">
        <f>HYPERLINK("https://www.tradingview.com/symbols/NSE-MUTHOOTFIN/financials-overview/", "&amp;#128194;")</f>
      </c>
      <c r="J150" s="4" t="s">
        <v>11</v>
      </c>
    </row>
    <row x14ac:dyDescent="0.25" r="151" customHeight="1" ht="18.75">
      <c r="A151" s="4" t="s">
        <v>160</v>
      </c>
      <c r="B151" s="5">
        <v>200.87</v>
      </c>
      <c r="C151" s="5">
        <v>197.5</v>
      </c>
      <c r="D151" s="5">
        <v>202.26</v>
      </c>
      <c r="E151" s="5">
        <v>197.77</v>
      </c>
      <c r="F151" s="7">
        <f>HYPERLINK("https://www.tradingview.com/chart/tioZvgwv/?symbol=NSE%3ANATIONALUM&amp;interval=", "&amp;#128200;")</f>
      </c>
      <c r="G151" s="7">
        <f>HYPERLINK("https://www.tradingview.com/symbols/NSE-NATIONALUM/news/", "&amp;#128240;")</f>
      </c>
      <c r="H151" s="7">
        <f>HYPERLINK("https://www.tradingview.com/symbols/NSE-NATIONALUM/technicals/", "&amp;#128202;")</f>
      </c>
      <c r="I151" s="7">
        <f>HYPERLINK("https://www.tradingview.com/symbols/NSE-NATIONALUM/financials-overview/", "&amp;#128194;")</f>
      </c>
      <c r="J151" s="4" t="s">
        <v>11</v>
      </c>
    </row>
    <row x14ac:dyDescent="0.25" r="152" customHeight="1" ht="18.75">
      <c r="A152" s="4" t="s">
        <v>161</v>
      </c>
      <c r="B152" s="5">
        <v>7754.6</v>
      </c>
      <c r="C152" s="5">
        <v>7427.3</v>
      </c>
      <c r="D152" s="5">
        <v>7835.7</v>
      </c>
      <c r="E152" s="5">
        <v>7430.5</v>
      </c>
      <c r="F152" s="7">
        <f>HYPERLINK("https://www.tradingview.com/chart/tioZvgwv/?symbol=NSE%3ANAUKRI&amp;interval=", "&amp;#128200;")</f>
      </c>
      <c r="G152" s="7">
        <f>HYPERLINK("https://www.tradingview.com/symbols/NSE-NAUKRI/news/", "&amp;#128240;")</f>
      </c>
      <c r="H152" s="7">
        <f>HYPERLINK("https://www.tradingview.com/symbols/NSE-NAUKRI/technicals/", "&amp;#128202;")</f>
      </c>
      <c r="I152" s="7">
        <f>HYPERLINK("https://www.tradingview.com/symbols/NSE-NAUKRI/financials-overview/", "&amp;#128194;")</f>
      </c>
      <c r="J152" s="4" t="s">
        <v>11</v>
      </c>
    </row>
    <row x14ac:dyDescent="0.25" r="153" customHeight="1" ht="18.75">
      <c r="A153" s="4" t="s">
        <v>162</v>
      </c>
      <c r="B153" s="5">
        <v>3673.9</v>
      </c>
      <c r="C153" s="5">
        <v>3580.65</v>
      </c>
      <c r="D153" s="5">
        <v>3630.95</v>
      </c>
      <c r="E153" s="5">
        <v>3656.3</v>
      </c>
      <c r="F153" s="7">
        <f>HYPERLINK("https://www.tradingview.com/chart/tioZvgwv/?symbol=NSE%3ANAVINFLUOR&amp;interval=", "&amp;#128200;")</f>
      </c>
      <c r="G153" s="7">
        <f>HYPERLINK("https://www.tradingview.com/symbols/NSE-NAVINFLUOR/news/", "&amp;#128240;")</f>
      </c>
      <c r="H153" s="7">
        <f>HYPERLINK("https://www.tradingview.com/symbols/NSE-NAVINFLUOR/technicals/", "&amp;#128202;")</f>
      </c>
      <c r="I153" s="7">
        <f>HYPERLINK("https://www.tradingview.com/symbols/NSE-NAVINFLUOR/financials-overview/", "&amp;#128194;")</f>
      </c>
      <c r="J153" s="4" t="s">
        <v>11</v>
      </c>
    </row>
    <row x14ac:dyDescent="0.25" r="154" customHeight="1" ht="18.75">
      <c r="A154" s="4" t="s">
        <v>163</v>
      </c>
      <c r="B154" s="5">
        <v>250.3</v>
      </c>
      <c r="C154" s="5">
        <v>244.1</v>
      </c>
      <c r="D154" s="5">
        <v>251.05</v>
      </c>
      <c r="E154" s="5">
        <v>244.4</v>
      </c>
      <c r="F154" s="7">
        <f>HYPERLINK("https://www.tradingview.com/chart/tioZvgwv/?symbol=NSE%3ANCC&amp;interval=", "&amp;#128200;")</f>
      </c>
      <c r="G154" s="7">
        <f>HYPERLINK("https://www.tradingview.com/symbols/NSE-NCC/news/", "&amp;#128240;")</f>
      </c>
      <c r="H154" s="7">
        <f>HYPERLINK("https://www.tradingview.com/symbols/NSE-NCC/technicals/", "&amp;#128202;")</f>
      </c>
      <c r="I154" s="7">
        <f>HYPERLINK("https://www.tradingview.com/symbols/NSE-NCC/financials-overview/", "&amp;#128194;")</f>
      </c>
      <c r="J154" s="4" t="s">
        <v>11</v>
      </c>
    </row>
    <row x14ac:dyDescent="0.25" r="155" customHeight="1" ht="18.75">
      <c r="A155" s="4" t="s">
        <v>164</v>
      </c>
      <c r="B155" s="5">
        <v>2261.15</v>
      </c>
      <c r="C155" s="5">
        <v>2221.55</v>
      </c>
      <c r="D155" s="5">
        <v>2247.9</v>
      </c>
      <c r="E155" s="5">
        <v>2235.45</v>
      </c>
      <c r="F155" s="7">
        <f>HYPERLINK("https://www.tradingview.com/chart/tioZvgwv/?symbol=NSE%3ANESTLEIND&amp;interval=", "&amp;#128200;")</f>
      </c>
      <c r="G155" s="7">
        <f>HYPERLINK("https://www.tradingview.com/symbols/NSE-NESTLEIND/news/", "&amp;#128240;")</f>
      </c>
      <c r="H155" s="7">
        <f>HYPERLINK("https://www.tradingview.com/symbols/NSE-NESTLEIND/technicals/", "&amp;#128202;")</f>
      </c>
      <c r="I155" s="7">
        <f>HYPERLINK("https://www.tradingview.com/symbols/NSE-NESTLEIND/financials-overview/", "&amp;#128194;")</f>
      </c>
      <c r="J155" s="4" t="s">
        <v>11</v>
      </c>
    </row>
    <row x14ac:dyDescent="0.25" r="156" customHeight="1" ht="18.75">
      <c r="A156" s="4" t="s">
        <v>165</v>
      </c>
      <c r="B156" s="5">
        <v>75.3</v>
      </c>
      <c r="C156" s="5">
        <v>73.86</v>
      </c>
      <c r="D156" s="5">
        <v>76.6</v>
      </c>
      <c r="E156" s="5">
        <v>74.14</v>
      </c>
      <c r="F156" s="7">
        <f>HYPERLINK("https://www.tradingview.com/chart/tioZvgwv/?symbol=NSE%3ANHPC&amp;interval=", "&amp;#128200;")</f>
      </c>
      <c r="G156" s="7">
        <f>HYPERLINK("https://www.tradingview.com/symbols/NSE-NHPC/news/", "&amp;#128240;")</f>
      </c>
      <c r="H156" s="7">
        <f>HYPERLINK("https://www.tradingview.com/symbols/NSE-NHPC/technicals/", "&amp;#128202;")</f>
      </c>
      <c r="I156" s="7">
        <f>HYPERLINK("https://www.tradingview.com/symbols/NSE-NHPC/financials-overview/", "&amp;#128194;")</f>
      </c>
      <c r="J156" s="4" t="s">
        <v>11</v>
      </c>
    </row>
    <row x14ac:dyDescent="0.25" r="157" customHeight="1" ht="18.75">
      <c r="A157" s="4" t="s">
        <v>166</v>
      </c>
      <c r="B157" s="5">
        <v>62.57</v>
      </c>
      <c r="C157" s="5">
        <v>60.93</v>
      </c>
      <c r="D157" s="5">
        <v>63.04</v>
      </c>
      <c r="E157" s="5">
        <v>61.03</v>
      </c>
      <c r="F157" s="7">
        <f>HYPERLINK("https://www.tradingview.com/chart/tioZvgwv/?symbol=NSE%3ANMDC&amp;interval=", "&amp;#128200;")</f>
      </c>
      <c r="G157" s="7">
        <f>HYPERLINK("https://www.tradingview.com/symbols/NSE-NMDC/news/", "&amp;#128240;")</f>
      </c>
      <c r="H157" s="7">
        <f>HYPERLINK("https://www.tradingview.com/symbols/NSE-NMDC/technicals/", "&amp;#128202;")</f>
      </c>
      <c r="I157" s="7">
        <f>HYPERLINK("https://www.tradingview.com/symbols/NSE-NMDC/financials-overview/", "&amp;#128194;")</f>
      </c>
      <c r="J157" s="4" t="s">
        <v>11</v>
      </c>
    </row>
    <row x14ac:dyDescent="0.25" r="158" customHeight="1" ht="18.75">
      <c r="A158" s="4" t="s">
        <v>167</v>
      </c>
      <c r="B158" s="5">
        <v>309.95</v>
      </c>
      <c r="C158" s="5">
        <v>301.1</v>
      </c>
      <c r="D158" s="5">
        <v>308.25</v>
      </c>
      <c r="E158" s="5">
        <v>307.1</v>
      </c>
      <c r="F158" s="7">
        <f>HYPERLINK("https://www.tradingview.com/chart/tioZvgwv/?symbol=NSE%3ANTPC&amp;interval=", "&amp;#128200;")</f>
      </c>
      <c r="G158" s="7">
        <f>HYPERLINK("https://www.tradingview.com/symbols/NSE-NTPC/news/", "&amp;#128240;")</f>
      </c>
      <c r="H158" s="7">
        <f>HYPERLINK("https://www.tradingview.com/symbols/NSE-NTPC/technicals/", "&amp;#128202;")</f>
      </c>
      <c r="I158" s="7">
        <f>HYPERLINK("https://www.tradingview.com/symbols/NSE-NTPC/financials-overview/", "&amp;#128194;")</f>
      </c>
      <c r="J158" s="4" t="s">
        <v>11</v>
      </c>
    </row>
    <row x14ac:dyDescent="0.25" r="159" customHeight="1" ht="18.75">
      <c r="A159" s="4" t="s">
        <v>168</v>
      </c>
      <c r="B159" s="6">
        <v>168</v>
      </c>
      <c r="C159" s="5">
        <v>162.19</v>
      </c>
      <c r="D159" s="5">
        <v>169.7</v>
      </c>
      <c r="E159" s="5">
        <v>163.27</v>
      </c>
      <c r="F159" s="7">
        <f>HYPERLINK("https://www.tradingview.com/chart/tioZvgwv/?symbol=NSE%3ANYKAA&amp;interval=", "&amp;#128200;")</f>
      </c>
      <c r="G159" s="7">
        <f>HYPERLINK("https://www.tradingview.com/symbols/NSE-NYKAA/news/", "&amp;#128240;")</f>
      </c>
      <c r="H159" s="7">
        <f>HYPERLINK("https://www.tradingview.com/symbols/NSE-NYKAA/technicals/", "&amp;#128202;")</f>
      </c>
      <c r="I159" s="7">
        <f>HYPERLINK("https://www.tradingview.com/symbols/NSE-NYKAA/financials-overview/", "&amp;#128194;")</f>
      </c>
      <c r="J159" s="4" t="s">
        <v>11</v>
      </c>
    </row>
    <row x14ac:dyDescent="0.25" r="160" customHeight="1" ht="18.75">
      <c r="A160" s="4" t="s">
        <v>169</v>
      </c>
      <c r="B160" s="6">
        <v>2124</v>
      </c>
      <c r="C160" s="5">
        <v>2053.05</v>
      </c>
      <c r="D160" s="5">
        <v>2128.3</v>
      </c>
      <c r="E160" s="5">
        <v>2056.15</v>
      </c>
      <c r="F160" s="7">
        <f>HYPERLINK("https://www.tradingview.com/chart/tioZvgwv/?symbol=NSE%3AOBEROIRLTY&amp;interval=", "&amp;#128200;")</f>
      </c>
      <c r="G160" s="7">
        <f>HYPERLINK("https://www.tradingview.com/symbols/NSE-OBEROIRLTY/news/", "&amp;#128240;")</f>
      </c>
      <c r="H160" s="7">
        <f>HYPERLINK("https://www.tradingview.com/symbols/NSE-OBEROIRLTY/technicals/", "&amp;#128202;")</f>
      </c>
      <c r="I160" s="7">
        <f>HYPERLINK("https://www.tradingview.com/symbols/NSE-OBEROIRLTY/financials-overview/", "&amp;#128194;")</f>
      </c>
      <c r="J160" s="4" t="s">
        <v>11</v>
      </c>
    </row>
    <row x14ac:dyDescent="0.25" r="161" customHeight="1" ht="18.75">
      <c r="A161" s="4" t="s">
        <v>170</v>
      </c>
      <c r="B161" s="5">
        <v>11399.95</v>
      </c>
      <c r="C161" s="5">
        <v>11045.45</v>
      </c>
      <c r="D161" s="5">
        <v>11451.35</v>
      </c>
      <c r="E161" s="5">
        <v>11069.45</v>
      </c>
      <c r="F161" s="7">
        <f>HYPERLINK("https://www.tradingview.com/chart/tioZvgwv/?symbol=NSE%3AOFSS&amp;interval=", "&amp;#128200;")</f>
      </c>
      <c r="G161" s="7">
        <f>HYPERLINK("https://www.tradingview.com/symbols/NSE-OFSS/news/", "&amp;#128240;")</f>
      </c>
      <c r="H161" s="7">
        <f>HYPERLINK("https://www.tradingview.com/symbols/NSE-OFSS/technicals/", "&amp;#128202;")</f>
      </c>
      <c r="I161" s="7">
        <f>HYPERLINK("https://www.tradingview.com/symbols/NSE-OFSS/financials-overview/", "&amp;#128194;")</f>
      </c>
      <c r="J161" s="4" t="s">
        <v>11</v>
      </c>
    </row>
    <row x14ac:dyDescent="0.25" r="162" customHeight="1" ht="18.75">
      <c r="A162" s="4" t="s">
        <v>171</v>
      </c>
      <c r="B162" s="5">
        <v>478.65</v>
      </c>
      <c r="C162" s="5">
        <v>454.5</v>
      </c>
      <c r="D162" s="5">
        <v>455.85</v>
      </c>
      <c r="E162" s="5">
        <v>459.85</v>
      </c>
      <c r="F162" s="7">
        <f>HYPERLINK("https://www.tradingview.com/chart/tioZvgwv/?symbol=NSE%3AOIL&amp;interval=", "&amp;#128200;")</f>
      </c>
      <c r="G162" s="7">
        <f>HYPERLINK("https://www.tradingview.com/symbols/NSE-OIL/news/", "&amp;#128240;")</f>
      </c>
      <c r="H162" s="7">
        <f>HYPERLINK("https://www.tradingview.com/symbols/NSE-OIL/technicals/", "&amp;#128202;")</f>
      </c>
      <c r="I162" s="7">
        <f>HYPERLINK("https://www.tradingview.com/symbols/NSE-OIL/financials-overview/", "&amp;#128194;")</f>
      </c>
      <c r="J162" s="4" t="s">
        <v>11</v>
      </c>
    </row>
    <row x14ac:dyDescent="0.25" r="163" customHeight="1" ht="18.75">
      <c r="A163" s="4" t="s">
        <v>172</v>
      </c>
      <c r="B163" s="5">
        <v>268.6</v>
      </c>
      <c r="C163" s="5">
        <v>257.1</v>
      </c>
      <c r="D163" s="5">
        <v>263.02</v>
      </c>
      <c r="E163" s="5">
        <v>257.95</v>
      </c>
      <c r="F163" s="7">
        <f>HYPERLINK("https://www.tradingview.com/chart/tioZvgwv/?symbol=NSE%3AONGC&amp;interval=", "&amp;#128200;")</f>
      </c>
      <c r="G163" s="7">
        <f>HYPERLINK("https://www.tradingview.com/symbols/NSE-ONGC/news/", "&amp;#128240;")</f>
      </c>
      <c r="H163" s="7">
        <f>HYPERLINK("https://www.tradingview.com/symbols/NSE-ONGC/technicals/", "&amp;#128202;")</f>
      </c>
      <c r="I163" s="7">
        <f>HYPERLINK("https://www.tradingview.com/symbols/NSE-ONGC/financials-overview/", "&amp;#128194;")</f>
      </c>
      <c r="J163" s="4" t="s">
        <v>11</v>
      </c>
    </row>
    <row x14ac:dyDescent="0.25" r="164" customHeight="1" ht="18.75">
      <c r="A164" s="4" t="s">
        <v>173</v>
      </c>
      <c r="B164" s="5">
        <v>46729.35</v>
      </c>
      <c r="C164" s="6">
        <v>45702</v>
      </c>
      <c r="D164" s="5">
        <v>46745.55</v>
      </c>
      <c r="E164" s="5">
        <v>45752.05</v>
      </c>
      <c r="F164" s="7">
        <f>HYPERLINK("https://www.tradingview.com/chart/tioZvgwv/?symbol=NSE%3APAGEIND&amp;interval=", "&amp;#128200;")</f>
      </c>
      <c r="G164" s="7">
        <f>HYPERLINK("https://www.tradingview.com/symbols/NSE-PAGEIND/news/", "&amp;#128240;")</f>
      </c>
      <c r="H164" s="7">
        <f>HYPERLINK("https://www.tradingview.com/symbols/NSE-PAGEIND/technicals/", "&amp;#128202;")</f>
      </c>
      <c r="I164" s="7">
        <f>HYPERLINK("https://www.tradingview.com/symbols/NSE-PAGEIND/financials-overview/", "&amp;#128194;")</f>
      </c>
      <c r="J164" s="4" t="s">
        <v>11</v>
      </c>
    </row>
    <row x14ac:dyDescent="0.25" r="165" customHeight="1" ht="18.75">
      <c r="A165" s="4" t="s">
        <v>174</v>
      </c>
      <c r="B165" s="5">
        <v>831.7</v>
      </c>
      <c r="C165" s="6">
        <v>799</v>
      </c>
      <c r="D165" s="5">
        <v>847.7</v>
      </c>
      <c r="E165" s="6">
        <v>803</v>
      </c>
      <c r="F165" s="7">
        <f>HYPERLINK("https://www.tradingview.com/chart/tioZvgwv/?symbol=NSE%3APAYTM&amp;interval=", "&amp;#128200;")</f>
      </c>
      <c r="G165" s="7">
        <f>HYPERLINK("https://www.tradingview.com/symbols/NSE-PAYTM/news/", "&amp;#128240;")</f>
      </c>
      <c r="H165" s="7">
        <f>HYPERLINK("https://www.tradingview.com/symbols/NSE-PAYTM/technicals/", "&amp;#128202;")</f>
      </c>
      <c r="I165" s="7">
        <f>HYPERLINK("https://www.tradingview.com/symbols/NSE-PAYTM/financials-overview/", "&amp;#128194;")</f>
      </c>
      <c r="J165" s="4" t="s">
        <v>11</v>
      </c>
    </row>
    <row x14ac:dyDescent="0.25" r="166" customHeight="1" ht="18.75">
      <c r="A166" s="4" t="s">
        <v>175</v>
      </c>
      <c r="B166" s="5">
        <v>987.85</v>
      </c>
      <c r="C166" s="6">
        <v>966</v>
      </c>
      <c r="D166" s="5">
        <v>987.85</v>
      </c>
      <c r="E166" s="5">
        <v>968.15</v>
      </c>
      <c r="F166" s="7">
        <f>HYPERLINK("https://www.tradingview.com/chart/tioZvgwv/?symbol=NSE%3APEL&amp;interval=", "&amp;#128200;")</f>
      </c>
      <c r="G166" s="7">
        <f>HYPERLINK("https://www.tradingview.com/symbols/NSE-PEL/news/", "&amp;#128240;")</f>
      </c>
      <c r="H166" s="7">
        <f>HYPERLINK("https://www.tradingview.com/symbols/NSE-PEL/technicals/", "&amp;#128202;")</f>
      </c>
      <c r="I166" s="7">
        <f>HYPERLINK("https://www.tradingview.com/symbols/NSE-PEL/financials-overview/", "&amp;#128194;")</f>
      </c>
      <c r="J166" s="4" t="s">
        <v>11</v>
      </c>
    </row>
    <row x14ac:dyDescent="0.25" r="167" customHeight="1" ht="18.75">
      <c r="A167" s="4" t="s">
        <v>176</v>
      </c>
      <c r="B167" s="5">
        <v>6306.65</v>
      </c>
      <c r="C167" s="5">
        <v>6156.5</v>
      </c>
      <c r="D167" s="5">
        <v>6319.65</v>
      </c>
      <c r="E167" s="5">
        <v>6161.85</v>
      </c>
      <c r="F167" s="7">
        <f>HYPERLINK("https://www.tradingview.com/chart/tioZvgwv/?symbol=NSE%3APERSISTENT&amp;interval=", "&amp;#128200;")</f>
      </c>
      <c r="G167" s="7">
        <f>HYPERLINK("https://www.tradingview.com/symbols/NSE-PERSISTENT/news/", "&amp;#128240;")</f>
      </c>
      <c r="H167" s="7">
        <f>HYPERLINK("https://www.tradingview.com/symbols/NSE-PERSISTENT/technicals/", "&amp;#128202;")</f>
      </c>
      <c r="I167" s="7">
        <f>HYPERLINK("https://www.tradingview.com/symbols/NSE-PERSISTENT/financials-overview/", "&amp;#128194;")</f>
      </c>
      <c r="J167" s="4" t="s">
        <v>11</v>
      </c>
    </row>
    <row x14ac:dyDescent="0.25" r="168" customHeight="1" ht="18.75">
      <c r="A168" s="4" t="s">
        <v>177</v>
      </c>
      <c r="B168" s="5">
        <v>319.05</v>
      </c>
      <c r="C168" s="5">
        <v>315.5</v>
      </c>
      <c r="D168" s="5">
        <v>320.35</v>
      </c>
      <c r="E168" s="5">
        <v>317.25</v>
      </c>
      <c r="F168" s="7">
        <f>HYPERLINK("https://www.tradingview.com/chart/tioZvgwv/?symbol=NSE%3APETRONET&amp;interval=", "&amp;#128200;")</f>
      </c>
      <c r="G168" s="7">
        <f>HYPERLINK("https://www.tradingview.com/symbols/NSE-PETRONET/news/", "&amp;#128240;")</f>
      </c>
      <c r="H168" s="7">
        <f>HYPERLINK("https://www.tradingview.com/symbols/NSE-PETRONET/technicals/", "&amp;#128202;")</f>
      </c>
      <c r="I168" s="7">
        <f>HYPERLINK("https://www.tradingview.com/symbols/NSE-PETRONET/financials-overview/", "&amp;#128194;")</f>
      </c>
      <c r="J168" s="4" t="s">
        <v>11</v>
      </c>
    </row>
    <row x14ac:dyDescent="0.25" r="169" customHeight="1" ht="18.75">
      <c r="A169" s="4" t="s">
        <v>178</v>
      </c>
      <c r="B169" s="5">
        <v>408.35</v>
      </c>
      <c r="C169" s="5">
        <v>394.3</v>
      </c>
      <c r="D169" s="5">
        <v>404.2</v>
      </c>
      <c r="E169" s="6">
        <v>401</v>
      </c>
      <c r="F169" s="7">
        <f>HYPERLINK("https://www.tradingview.com/chart/tioZvgwv/?symbol=NSE%3APFC&amp;interval=", "&amp;#128200;")</f>
      </c>
      <c r="G169" s="7">
        <f>HYPERLINK("https://www.tradingview.com/symbols/NSE-PFC/news/", "&amp;#128240;")</f>
      </c>
      <c r="H169" s="7">
        <f>HYPERLINK("https://www.tradingview.com/symbols/NSE-PFC/technicals/", "&amp;#128202;")</f>
      </c>
      <c r="I169" s="7">
        <f>HYPERLINK("https://www.tradingview.com/symbols/NSE-PFC/financials-overview/", "&amp;#128194;")</f>
      </c>
      <c r="J169" s="4" t="s">
        <v>11</v>
      </c>
    </row>
    <row x14ac:dyDescent="0.25" r="170" customHeight="1" ht="18.75">
      <c r="A170" s="4" t="s">
        <v>179</v>
      </c>
      <c r="B170" s="6">
        <v>2879</v>
      </c>
      <c r="C170" s="5">
        <v>2822.35</v>
      </c>
      <c r="D170" s="5">
        <v>2901.35</v>
      </c>
      <c r="E170" s="5">
        <v>2824.05</v>
      </c>
      <c r="F170" s="7">
        <f>HYPERLINK("https://www.tradingview.com/chart/tioZvgwv/?symbol=NSE%3APIDILITIND&amp;interval=", "&amp;#128200;")</f>
      </c>
      <c r="G170" s="7">
        <f>HYPERLINK("https://www.tradingview.com/symbols/NSE-PIDILITIND/news/", "&amp;#128240;")</f>
      </c>
      <c r="H170" s="7">
        <f>HYPERLINK("https://www.tradingview.com/symbols/NSE-PIDILITIND/technicals/", "&amp;#128202;")</f>
      </c>
      <c r="I170" s="7">
        <f>HYPERLINK("https://www.tradingview.com/symbols/NSE-PIDILITIND/financials-overview/", "&amp;#128194;")</f>
      </c>
      <c r="J170" s="4" t="s">
        <v>11</v>
      </c>
    </row>
    <row x14ac:dyDescent="0.25" r="171" customHeight="1" ht="18.75">
      <c r="A171" s="4" t="s">
        <v>180</v>
      </c>
      <c r="B171" s="6">
        <v>3610</v>
      </c>
      <c r="C171" s="5">
        <v>3465.05</v>
      </c>
      <c r="D171" s="5">
        <v>3614.5</v>
      </c>
      <c r="E171" s="5">
        <v>3466.05</v>
      </c>
      <c r="F171" s="7">
        <f>HYPERLINK("https://www.tradingview.com/chart/tioZvgwv/?symbol=NSE%3APIIND&amp;interval=", "&amp;#128200;")</f>
      </c>
      <c r="G171" s="7">
        <f>HYPERLINK("https://www.tradingview.com/symbols/NSE-PIIND/news/", "&amp;#128240;")</f>
      </c>
      <c r="H171" s="7">
        <f>HYPERLINK("https://www.tradingview.com/symbols/NSE-PIIND/technicals/", "&amp;#128202;")</f>
      </c>
      <c r="I171" s="7">
        <f>HYPERLINK("https://www.tradingview.com/symbols/NSE-PIIND/financials-overview/", "&amp;#128194;")</f>
      </c>
      <c r="J171" s="4" t="s">
        <v>11</v>
      </c>
    </row>
    <row x14ac:dyDescent="0.25" r="172" customHeight="1" ht="18.75">
      <c r="A172" s="4" t="s">
        <v>181</v>
      </c>
      <c r="B172" s="5">
        <v>98.5</v>
      </c>
      <c r="C172" s="5">
        <v>96.64</v>
      </c>
      <c r="D172" s="5">
        <v>98.64</v>
      </c>
      <c r="E172" s="5">
        <v>97.64</v>
      </c>
      <c r="F172" s="7">
        <f>HYPERLINK("https://www.tradingview.com/chart/tioZvgwv/?symbol=NSE%3APNB&amp;interval=", "&amp;#128200;")</f>
      </c>
      <c r="G172" s="7">
        <f>HYPERLINK("https://www.tradingview.com/symbols/NSE-PNB/news/", "&amp;#128240;")</f>
      </c>
      <c r="H172" s="7">
        <f>HYPERLINK("https://www.tradingview.com/symbols/NSE-PNB/technicals/", "&amp;#128202;")</f>
      </c>
      <c r="I172" s="7">
        <f>HYPERLINK("https://www.tradingview.com/symbols/NSE-PNB/financials-overview/", "&amp;#128194;")</f>
      </c>
      <c r="J172" s="4" t="s">
        <v>11</v>
      </c>
    </row>
    <row x14ac:dyDescent="0.25" r="173" customHeight="1" ht="18.75">
      <c r="A173" s="4" t="s">
        <v>182</v>
      </c>
      <c r="B173" s="5">
        <v>1802.95</v>
      </c>
      <c r="C173" s="6">
        <v>1730</v>
      </c>
      <c r="D173" s="5">
        <v>1862.95</v>
      </c>
      <c r="E173" s="5">
        <v>1750.2</v>
      </c>
      <c r="F173" s="7">
        <f>HYPERLINK("https://www.tradingview.com/chart/tioZvgwv/?symbol=NSE%3APOLICYBZR&amp;interval=", "&amp;#128200;")</f>
      </c>
      <c r="G173" s="7">
        <f>HYPERLINK("https://www.tradingview.com/symbols/NSE-POLICYBZR/news/", "&amp;#128240;")</f>
      </c>
      <c r="H173" s="7">
        <f>HYPERLINK("https://www.tradingview.com/symbols/NSE-POLICYBZR/technicals/", "&amp;#128202;")</f>
      </c>
      <c r="I173" s="7">
        <f>HYPERLINK("https://www.tradingview.com/symbols/NSE-POLICYBZR/financials-overview/", "&amp;#128194;")</f>
      </c>
      <c r="J173" s="4" t="s">
        <v>11</v>
      </c>
    </row>
    <row x14ac:dyDescent="0.25" r="174" customHeight="1" ht="18.75">
      <c r="A174" s="4" t="s">
        <v>183</v>
      </c>
      <c r="B174" s="5">
        <v>6537.3</v>
      </c>
      <c r="C174" s="5">
        <v>6411.5</v>
      </c>
      <c r="D174" s="5">
        <v>6538.95</v>
      </c>
      <c r="E174" s="5">
        <v>6427.25</v>
      </c>
      <c r="F174" s="7">
        <f>HYPERLINK("https://www.tradingview.com/chart/tioZvgwv/?symbol=NSE%3APOLYCAB&amp;interval=", "&amp;#128200;")</f>
      </c>
      <c r="G174" s="7">
        <f>HYPERLINK("https://www.tradingview.com/symbols/NSE-POLYCAB/news/", "&amp;#128240;")</f>
      </c>
      <c r="H174" s="7">
        <f>HYPERLINK("https://www.tradingview.com/symbols/NSE-POLYCAB/technicals/", "&amp;#128202;")</f>
      </c>
      <c r="I174" s="7">
        <f>HYPERLINK("https://www.tradingview.com/symbols/NSE-POLYCAB/financials-overview/", "&amp;#128194;")</f>
      </c>
      <c r="J174" s="4" t="s">
        <v>11</v>
      </c>
    </row>
    <row x14ac:dyDescent="0.25" r="175" customHeight="1" ht="18.75">
      <c r="A175" s="4" t="s">
        <v>184</v>
      </c>
      <c r="B175" s="5">
        <v>308.95</v>
      </c>
      <c r="C175" s="6">
        <v>301</v>
      </c>
      <c r="D175" s="5">
        <v>308.25</v>
      </c>
      <c r="E175" s="5">
        <v>305.85</v>
      </c>
      <c r="F175" s="7">
        <f>HYPERLINK("https://www.tradingview.com/chart/tioZvgwv/?symbol=NSE%3APOONAWALLA&amp;interval=", "&amp;#128200;")</f>
      </c>
      <c r="G175" s="7">
        <f>HYPERLINK("https://www.tradingview.com/symbols/NSE-POONAWALLA/news/", "&amp;#128240;")</f>
      </c>
      <c r="H175" s="7">
        <f>HYPERLINK("https://www.tradingview.com/symbols/NSE-POONAWALLA/technicals/", "&amp;#128202;")</f>
      </c>
      <c r="I175" s="7">
        <f>HYPERLINK("https://www.tradingview.com/symbols/NSE-POONAWALLA/financials-overview/", "&amp;#128194;")</f>
      </c>
      <c r="J175" s="4" t="s">
        <v>11</v>
      </c>
    </row>
    <row x14ac:dyDescent="0.25" r="176" customHeight="1" ht="18.75">
      <c r="A176" s="4" t="s">
        <v>185</v>
      </c>
      <c r="B176" s="5">
        <v>298.55</v>
      </c>
      <c r="C176" s="5">
        <v>291.5</v>
      </c>
      <c r="D176" s="5">
        <v>299.7</v>
      </c>
      <c r="E176" s="5">
        <v>294.9</v>
      </c>
      <c r="F176" s="7">
        <f>HYPERLINK("https://www.tradingview.com/chart/tioZvgwv/?symbol=NSE%3APOWERGRID&amp;interval=", "&amp;#128200;")</f>
      </c>
      <c r="G176" s="7">
        <f>HYPERLINK("https://www.tradingview.com/symbols/NSE-POWERGRID/news/", "&amp;#128240;")</f>
      </c>
      <c r="H176" s="7">
        <f>HYPERLINK("https://www.tradingview.com/symbols/NSE-POWERGRID/technicals/", "&amp;#128202;")</f>
      </c>
      <c r="I176" s="7">
        <f>HYPERLINK("https://www.tradingview.com/symbols/NSE-POWERGRID/financials-overview/", "&amp;#128194;")</f>
      </c>
      <c r="J176" s="4" t="s">
        <v>11</v>
      </c>
    </row>
    <row x14ac:dyDescent="0.25" r="177" customHeight="1" ht="18.75">
      <c r="A177" s="4" t="s">
        <v>186</v>
      </c>
      <c r="B177" s="6">
        <v>1470</v>
      </c>
      <c r="C177" s="6">
        <v>1440</v>
      </c>
      <c r="D177" s="5">
        <v>1492.4</v>
      </c>
      <c r="E177" s="5">
        <v>1450.35</v>
      </c>
      <c r="F177" s="7">
        <f>HYPERLINK("https://www.tradingview.com/chart/tioZvgwv/?symbol=NSE%3APRESTIGE&amp;interval=", "&amp;#128200;")</f>
      </c>
      <c r="G177" s="7">
        <f>HYPERLINK("https://www.tradingview.com/symbols/NSE-PRESTIGE/news/", "&amp;#128240;")</f>
      </c>
      <c r="H177" s="7">
        <f>HYPERLINK("https://www.tradingview.com/symbols/NSE-PRESTIGE/technicals/", "&amp;#128202;")</f>
      </c>
      <c r="I177" s="7">
        <f>HYPERLINK("https://www.tradingview.com/symbols/NSE-PRESTIGE/financials-overview/", "&amp;#128194;")</f>
      </c>
      <c r="J177" s="4" t="s">
        <v>11</v>
      </c>
    </row>
    <row x14ac:dyDescent="0.25" r="178" customHeight="1" ht="18.75">
      <c r="A178" s="4" t="s">
        <v>187</v>
      </c>
      <c r="B178" s="5">
        <v>1135.9</v>
      </c>
      <c r="C178" s="5">
        <v>1102.55</v>
      </c>
      <c r="D178" s="5">
        <v>1135.5</v>
      </c>
      <c r="E178" s="5">
        <v>1102.75</v>
      </c>
      <c r="F178" s="7">
        <f>HYPERLINK("https://www.tradingview.com/chart/tioZvgwv/?symbol=NSE%3APVRINOX&amp;interval=", "&amp;#128200;")</f>
      </c>
      <c r="G178" s="7">
        <f>HYPERLINK("https://www.tradingview.com/symbols/NSE-PVRINOX/news/", "&amp;#128240;")</f>
      </c>
      <c r="H178" s="7">
        <f>HYPERLINK("https://www.tradingview.com/symbols/NSE-PVRINOX/technicals/", "&amp;#128202;")</f>
      </c>
      <c r="I178" s="7">
        <f>HYPERLINK("https://www.tradingview.com/symbols/NSE-PVRINOX/financials-overview/", "&amp;#128194;")</f>
      </c>
      <c r="J178" s="4" t="s">
        <v>11</v>
      </c>
    </row>
    <row x14ac:dyDescent="0.25" r="179" customHeight="1" ht="18.75">
      <c r="A179" s="4" t="s">
        <v>188</v>
      </c>
      <c r="B179" s="5">
        <v>911.6</v>
      </c>
      <c r="C179" s="5">
        <v>890.15</v>
      </c>
      <c r="D179" s="5">
        <v>916.25</v>
      </c>
      <c r="E179" s="5">
        <v>893.85</v>
      </c>
      <c r="F179" s="7">
        <f>HYPERLINK("https://www.tradingview.com/chart/tioZvgwv/?symbol=NSE%3ARAMCOCEM&amp;interval=", "&amp;#128200;")</f>
      </c>
      <c r="G179" s="7">
        <f>HYPERLINK("https://www.tradingview.com/symbols/NSE-RAMCOCEM/news/", "&amp;#128240;")</f>
      </c>
      <c r="H179" s="7">
        <f>HYPERLINK("https://www.tradingview.com/symbols/NSE-RAMCOCEM/technicals/", "&amp;#128202;")</f>
      </c>
      <c r="I179" s="7">
        <f>HYPERLINK("https://www.tradingview.com/symbols/NSE-RAMCOCEM/financials-overview/", "&amp;#128194;")</f>
      </c>
      <c r="J179" s="4" t="s">
        <v>11</v>
      </c>
    </row>
    <row x14ac:dyDescent="0.25" r="180" customHeight="1" ht="18.75">
      <c r="A180" s="4" t="s">
        <v>189</v>
      </c>
      <c r="B180" s="5">
        <v>153.54</v>
      </c>
      <c r="C180" s="6">
        <v>151</v>
      </c>
      <c r="D180" s="5">
        <v>154.21</v>
      </c>
      <c r="E180" s="5">
        <v>151.28</v>
      </c>
      <c r="F180" s="7">
        <f>HYPERLINK("https://www.tradingview.com/chart/tioZvgwv/?symbol=NSE%3ARBLBANK&amp;interval=", "&amp;#128200;")</f>
      </c>
      <c r="G180" s="7">
        <f>HYPERLINK("https://www.tradingview.com/symbols/NSE-RBLBANK/news/", "&amp;#128240;")</f>
      </c>
      <c r="H180" s="7">
        <f>HYPERLINK("https://www.tradingview.com/symbols/NSE-RBLBANK/technicals/", "&amp;#128202;")</f>
      </c>
      <c r="I180" s="7">
        <f>HYPERLINK("https://www.tradingview.com/symbols/NSE-RBLBANK/financials-overview/", "&amp;#128194;")</f>
      </c>
      <c r="J180" s="4" t="s">
        <v>11</v>
      </c>
    </row>
    <row x14ac:dyDescent="0.25" r="181" customHeight="1" ht="18.75">
      <c r="A181" s="4" t="s">
        <v>190</v>
      </c>
      <c r="B181" s="5">
        <v>468.4</v>
      </c>
      <c r="C181" s="5">
        <v>447.2</v>
      </c>
      <c r="D181" s="5">
        <v>459.35</v>
      </c>
      <c r="E181" s="5">
        <v>462.75</v>
      </c>
      <c r="F181" s="7">
        <f>HYPERLINK("https://www.tradingview.com/chart/tioZvgwv/?symbol=NSE%3ARECLTD&amp;interval=", "&amp;#128200;")</f>
      </c>
      <c r="G181" s="7">
        <f>HYPERLINK("https://www.tradingview.com/symbols/NSE-RECLTD/news/", "&amp;#128240;")</f>
      </c>
      <c r="H181" s="7">
        <f>HYPERLINK("https://www.tradingview.com/symbols/NSE-RECLTD/technicals/", "&amp;#128202;")</f>
      </c>
      <c r="I181" s="7">
        <f>HYPERLINK("https://www.tradingview.com/symbols/NSE-RECLTD/financials-overview/", "&amp;#128194;")</f>
      </c>
      <c r="J181" s="4" t="s">
        <v>11</v>
      </c>
    </row>
    <row x14ac:dyDescent="0.25" r="182" customHeight="1" ht="18.75">
      <c r="A182" s="4" t="s">
        <v>191</v>
      </c>
      <c r="B182" s="5">
        <v>1241.4</v>
      </c>
      <c r="C182" s="5">
        <v>1226.4</v>
      </c>
      <c r="D182" s="5">
        <v>1241.9</v>
      </c>
      <c r="E182" s="5">
        <v>1236.7</v>
      </c>
      <c r="F182" s="7">
        <f>HYPERLINK("https://www.tradingview.com/chart/tioZvgwv/?symbol=NSE%3ARELIANCE&amp;interval=", "&amp;#128200;")</f>
      </c>
      <c r="G182" s="7">
        <f>HYPERLINK("https://www.tradingview.com/symbols/NSE-RELIANCE/news/", "&amp;#128240;")</f>
      </c>
      <c r="H182" s="7">
        <f>HYPERLINK("https://www.tradingview.com/symbols/NSE-RELIANCE/technicals/", "&amp;#128202;")</f>
      </c>
      <c r="I182" s="7">
        <f>HYPERLINK("https://www.tradingview.com/symbols/NSE-RELIANCE/financials-overview/", "&amp;#128194;")</f>
      </c>
      <c r="J182" s="4" t="s">
        <v>11</v>
      </c>
    </row>
    <row x14ac:dyDescent="0.25" r="183" customHeight="1" ht="18.75">
      <c r="A183" s="4" t="s">
        <v>192</v>
      </c>
      <c r="B183" s="5">
        <v>105.5</v>
      </c>
      <c r="C183" s="5">
        <v>102.7</v>
      </c>
      <c r="D183" s="5">
        <v>106.03</v>
      </c>
      <c r="E183" s="5">
        <v>102.87</v>
      </c>
      <c r="F183" s="7">
        <f>HYPERLINK("https://www.tradingview.com/chart/tioZvgwv/?symbol=NSE%3ASAIL&amp;interval=", "&amp;#128200;")</f>
      </c>
      <c r="G183" s="7">
        <f>HYPERLINK("https://www.tradingview.com/symbols/NSE-SAIL/news/", "&amp;#128240;")</f>
      </c>
      <c r="H183" s="7">
        <f>HYPERLINK("https://www.tradingview.com/symbols/NSE-SAIL/technicals/", "&amp;#128202;")</f>
      </c>
      <c r="I183" s="7">
        <f>HYPERLINK("https://www.tradingview.com/symbols/NSE-SAIL/financials-overview/", "&amp;#128194;")</f>
      </c>
      <c r="J183" s="4" t="s">
        <v>11</v>
      </c>
    </row>
    <row x14ac:dyDescent="0.25" r="184" customHeight="1" ht="18.75">
      <c r="A184" s="4" t="s">
        <v>193</v>
      </c>
      <c r="B184" s="5">
        <v>716.2</v>
      </c>
      <c r="C184" s="5">
        <v>705.55</v>
      </c>
      <c r="D184" s="5">
        <v>722.55</v>
      </c>
      <c r="E184" s="5">
        <v>706.9</v>
      </c>
      <c r="F184" s="7">
        <f>HYPERLINK("https://www.tradingview.com/chart/tioZvgwv/?symbol=NSE%3ASBICARD&amp;interval=", "&amp;#128200;")</f>
      </c>
      <c r="G184" s="7">
        <f>HYPERLINK("https://www.tradingview.com/symbols/NSE-SBICARD/news/", "&amp;#128240;")</f>
      </c>
      <c r="H184" s="7">
        <f>HYPERLINK("https://www.tradingview.com/symbols/NSE-SBICARD/technicals/", "&amp;#128202;")</f>
      </c>
      <c r="I184" s="7">
        <f>HYPERLINK("https://www.tradingview.com/symbols/NSE-SBICARD/financials-overview/", "&amp;#128194;")</f>
      </c>
      <c r="J184" s="4" t="s">
        <v>11</v>
      </c>
    </row>
    <row x14ac:dyDescent="0.25" r="185" customHeight="1" ht="18.75">
      <c r="A185" s="4" t="s">
        <v>194</v>
      </c>
      <c r="B185" s="5">
        <v>1478.3</v>
      </c>
      <c r="C185" s="5">
        <v>1445.65</v>
      </c>
      <c r="D185" s="5">
        <v>1478.3</v>
      </c>
      <c r="E185" s="5">
        <v>1465.75</v>
      </c>
      <c r="F185" s="7">
        <f>HYPERLINK("https://www.tradingview.com/chart/tioZvgwv/?symbol=NSE%3ASBILIFE&amp;interval=", "&amp;#128200;")</f>
      </c>
      <c r="G185" s="7">
        <f>HYPERLINK("https://www.tradingview.com/symbols/NSE-SBILIFE/news/", "&amp;#128240;")</f>
      </c>
      <c r="H185" s="7">
        <f>HYPERLINK("https://www.tradingview.com/symbols/NSE-SBILIFE/technicals/", "&amp;#128202;")</f>
      </c>
      <c r="I185" s="7">
        <f>HYPERLINK("https://www.tradingview.com/symbols/NSE-SBILIFE/financials-overview/", "&amp;#128194;")</f>
      </c>
      <c r="J185" s="4" t="s">
        <v>11</v>
      </c>
    </row>
    <row x14ac:dyDescent="0.25" r="186" customHeight="1" ht="18.75">
      <c r="A186" s="4" t="s">
        <v>195</v>
      </c>
      <c r="B186" s="5">
        <v>743.95</v>
      </c>
      <c r="C186" s="6">
        <v>731</v>
      </c>
      <c r="D186" s="5">
        <v>743.25</v>
      </c>
      <c r="E186" s="5">
        <v>738.85</v>
      </c>
      <c r="F186" s="7">
        <f>HYPERLINK("https://www.tradingview.com/chart/tioZvgwv/?symbol=NSE%3ASBIN&amp;interval=", "&amp;#128200;")</f>
      </c>
      <c r="G186" s="7">
        <f>HYPERLINK("https://www.tradingview.com/symbols/NSE-SBIN/news/", "&amp;#128240;")</f>
      </c>
      <c r="H186" s="7">
        <f>HYPERLINK("https://www.tradingview.com/symbols/NSE-SBIN/technicals/", "&amp;#128202;")</f>
      </c>
      <c r="I186" s="7">
        <f>HYPERLINK("https://www.tradingview.com/symbols/NSE-SBIN/financials-overview/", "&amp;#128194;")</f>
      </c>
      <c r="J186" s="4" t="s">
        <v>11</v>
      </c>
    </row>
    <row x14ac:dyDescent="0.25" r="187" customHeight="1" ht="18.75">
      <c r="A187" s="4" t="s">
        <v>196</v>
      </c>
      <c r="B187" s="5">
        <v>25499.9</v>
      </c>
      <c r="C187" s="6">
        <v>25001</v>
      </c>
      <c r="D187" s="5">
        <v>25738.3</v>
      </c>
      <c r="E187" s="5">
        <v>25019.8</v>
      </c>
      <c r="F187" s="7">
        <f>HYPERLINK("https://www.tradingview.com/chart/tioZvgwv/?symbol=NSE%3ASHREECEM&amp;interval=", "&amp;#128200;")</f>
      </c>
      <c r="G187" s="7">
        <f>HYPERLINK("https://www.tradingview.com/symbols/NSE-SHREECEM/news/", "&amp;#128240;")</f>
      </c>
      <c r="H187" s="7">
        <f>HYPERLINK("https://www.tradingview.com/symbols/NSE-SHREECEM/technicals/", "&amp;#128202;")</f>
      </c>
      <c r="I187" s="7">
        <f>HYPERLINK("https://www.tradingview.com/symbols/NSE-SHREECEM/financials-overview/", "&amp;#128194;")</f>
      </c>
      <c r="J187" s="4" t="s">
        <v>11</v>
      </c>
    </row>
    <row x14ac:dyDescent="0.25" r="188" customHeight="1" ht="18.75">
      <c r="A188" s="4" t="s">
        <v>197</v>
      </c>
      <c r="B188" s="5">
        <v>540.7</v>
      </c>
      <c r="C188" s="5">
        <v>524.05</v>
      </c>
      <c r="D188" s="6">
        <v>532</v>
      </c>
      <c r="E188" s="5">
        <v>532.95</v>
      </c>
      <c r="F188" s="7">
        <f>HYPERLINK("https://www.tradingview.com/chart/tioZvgwv/?symbol=NSE%3ASHRIRAMFIN&amp;interval=", "&amp;#128200;")</f>
      </c>
      <c r="G188" s="7">
        <f>HYPERLINK("https://www.tradingview.com/symbols/NSE-SHRIRAMFIN/news/", "&amp;#128240;")</f>
      </c>
      <c r="H188" s="7">
        <f>HYPERLINK("https://www.tradingview.com/symbols/NSE-SHRIRAMFIN/technicals/", "&amp;#128202;")</f>
      </c>
      <c r="I188" s="7">
        <f>HYPERLINK("https://www.tradingview.com/symbols/NSE-SHRIRAMFIN/financials-overview/", "&amp;#128194;")</f>
      </c>
      <c r="J188" s="4" t="s">
        <v>11</v>
      </c>
    </row>
    <row x14ac:dyDescent="0.25" r="189" customHeight="1" ht="18.75">
      <c r="A189" s="4" t="s">
        <v>198</v>
      </c>
      <c r="B189" s="5">
        <v>6079.45</v>
      </c>
      <c r="C189" s="6">
        <v>5945</v>
      </c>
      <c r="D189" s="5">
        <v>6104.8</v>
      </c>
      <c r="E189" s="5">
        <v>5953.2</v>
      </c>
      <c r="F189" s="7">
        <f>HYPERLINK("https://www.tradingview.com/chart/tioZvgwv/?symbol=NSE%3ASIEMENS&amp;interval=", "&amp;#128200;")</f>
      </c>
      <c r="G189" s="7">
        <f>HYPERLINK("https://www.tradingview.com/symbols/NSE-SIEMENS/news/", "&amp;#128240;")</f>
      </c>
      <c r="H189" s="7">
        <f>HYPERLINK("https://www.tradingview.com/symbols/NSE-SIEMENS/technicals/", "&amp;#128202;")</f>
      </c>
      <c r="I189" s="7">
        <f>HYPERLINK("https://www.tradingview.com/symbols/NSE-SIEMENS/financials-overview/", "&amp;#128194;")</f>
      </c>
      <c r="J189" s="4" t="s">
        <v>11</v>
      </c>
    </row>
    <row x14ac:dyDescent="0.25" r="190" customHeight="1" ht="18.75">
      <c r="A190" s="4" t="s">
        <v>199</v>
      </c>
      <c r="B190" s="5">
        <v>96.96</v>
      </c>
      <c r="C190" s="6">
        <v>94</v>
      </c>
      <c r="D190" s="5">
        <v>96.92</v>
      </c>
      <c r="E190" s="5">
        <v>94.15</v>
      </c>
      <c r="F190" s="7">
        <f>HYPERLINK("https://www.tradingview.com/chart/tioZvgwv/?symbol=NSE%3ASJVN&amp;interval=", "&amp;#128200;")</f>
      </c>
      <c r="G190" s="7">
        <f>HYPERLINK("https://www.tradingview.com/symbols/NSE-SJVN/news/", "&amp;#128240;")</f>
      </c>
      <c r="H190" s="7">
        <f>HYPERLINK("https://www.tradingview.com/symbols/NSE-SJVN/technicals/", "&amp;#128202;")</f>
      </c>
      <c r="I190" s="7">
        <f>HYPERLINK("https://www.tradingview.com/symbols/NSE-SJVN/financials-overview/", "&amp;#128194;")</f>
      </c>
      <c r="J190" s="4" t="s">
        <v>11</v>
      </c>
    </row>
    <row x14ac:dyDescent="0.25" r="191" customHeight="1" ht="18.75">
      <c r="A191" s="4" t="s">
        <v>200</v>
      </c>
      <c r="B191" s="5">
        <v>571.7</v>
      </c>
      <c r="C191" s="5">
        <v>556.25</v>
      </c>
      <c r="D191" s="5">
        <v>569.55</v>
      </c>
      <c r="E191" s="5">
        <v>568.4</v>
      </c>
      <c r="F191" s="7">
        <f>HYPERLINK("https://www.tradingview.com/chart/tioZvgwv/?symbol=NSE%3ASONACOMS&amp;interval=", "&amp;#128200;")</f>
      </c>
      <c r="G191" s="7">
        <f>HYPERLINK("https://www.tradingview.com/symbols/NSE-SONACOMS/news/", "&amp;#128240;")</f>
      </c>
      <c r="H191" s="7">
        <f>HYPERLINK("https://www.tradingview.com/symbols/NSE-SONACOMS/technicals/", "&amp;#128202;")</f>
      </c>
      <c r="I191" s="7">
        <f>HYPERLINK("https://www.tradingview.com/symbols/NSE-SONACOMS/financials-overview/", "&amp;#128194;")</f>
      </c>
      <c r="J191" s="4" t="s">
        <v>11</v>
      </c>
    </row>
    <row x14ac:dyDescent="0.25" r="192" customHeight="1" ht="18.75">
      <c r="A192" s="4" t="s">
        <v>201</v>
      </c>
      <c r="B192" s="5">
        <v>2597.5</v>
      </c>
      <c r="C192" s="5">
        <v>2526.1</v>
      </c>
      <c r="D192" s="5">
        <v>2601.1</v>
      </c>
      <c r="E192" s="5">
        <v>2541.55</v>
      </c>
      <c r="F192" s="7">
        <f>HYPERLINK("https://www.tradingview.com/chart/tioZvgwv/?symbol=NSE%3ASRF&amp;interval=", "&amp;#128200;")</f>
      </c>
      <c r="G192" s="7">
        <f>HYPERLINK("https://www.tradingview.com/symbols/NSE-SRF/news/", "&amp;#128240;")</f>
      </c>
      <c r="H192" s="7">
        <f>HYPERLINK("https://www.tradingview.com/symbols/NSE-SRF/technicals/", "&amp;#128202;")</f>
      </c>
      <c r="I192" s="7">
        <f>HYPERLINK("https://www.tradingview.com/symbols/NSE-SRF/financials-overview/", "&amp;#128194;")</f>
      </c>
      <c r="J192" s="4" t="s">
        <v>11</v>
      </c>
    </row>
    <row x14ac:dyDescent="0.25" r="193" customHeight="1" ht="18.75">
      <c r="A193" s="4" t="s">
        <v>202</v>
      </c>
      <c r="B193" s="5">
        <v>1785.55</v>
      </c>
      <c r="C193" s="5">
        <v>1755.1</v>
      </c>
      <c r="D193" s="5">
        <v>1784.8</v>
      </c>
      <c r="E193" s="5">
        <v>1757.3</v>
      </c>
      <c r="F193" s="7">
        <f>HYPERLINK("https://www.tradingview.com/chart/tioZvgwv/?symbol=NSE%3ASUNPHARMA&amp;interval=", "&amp;#128200;")</f>
      </c>
      <c r="G193" s="7">
        <f>HYPERLINK("https://www.tradingview.com/symbols/NSE-SUNPHARMA/news/", "&amp;#128240;")</f>
      </c>
      <c r="H193" s="7">
        <f>HYPERLINK("https://www.tradingview.com/symbols/NSE-SUNPHARMA/technicals/", "&amp;#128202;")</f>
      </c>
      <c r="I193" s="7">
        <f>HYPERLINK("https://www.tradingview.com/symbols/NSE-SUNPHARMA/financials-overview/", "&amp;#128194;")</f>
      </c>
      <c r="J193" s="4" t="s">
        <v>11</v>
      </c>
    </row>
    <row x14ac:dyDescent="0.25" r="194" customHeight="1" ht="18.75">
      <c r="A194" s="4" t="s">
        <v>203</v>
      </c>
      <c r="B194" s="5">
        <v>667.55</v>
      </c>
      <c r="C194" s="5">
        <v>650.35</v>
      </c>
      <c r="D194" s="5">
        <v>670.2</v>
      </c>
      <c r="E194" s="5">
        <v>651.6</v>
      </c>
      <c r="F194" s="7">
        <f>HYPERLINK("https://www.tradingview.com/chart/tioZvgwv/?symbol=NSE%3ASUNTV&amp;interval=", "&amp;#128200;")</f>
      </c>
      <c r="G194" s="7">
        <f>HYPERLINK("https://www.tradingview.com/symbols/NSE-SUNTV/news/", "&amp;#128240;")</f>
      </c>
      <c r="H194" s="7">
        <f>HYPERLINK("https://www.tradingview.com/symbols/NSE-SUNTV/technicals/", "&amp;#128202;")</f>
      </c>
      <c r="I194" s="7">
        <f>HYPERLINK("https://www.tradingview.com/symbols/NSE-SUNTV/financials-overview/", "&amp;#128194;")</f>
      </c>
      <c r="J194" s="4" t="s">
        <v>11</v>
      </c>
    </row>
    <row x14ac:dyDescent="0.25" r="195" customHeight="1" ht="18.75">
      <c r="A195" s="4" t="s">
        <v>204</v>
      </c>
      <c r="B195" s="5">
        <v>4503.9</v>
      </c>
      <c r="C195" s="5">
        <v>4361.3</v>
      </c>
      <c r="D195" s="5">
        <v>4544.85</v>
      </c>
      <c r="E195" s="5">
        <v>4364.35</v>
      </c>
      <c r="F195" s="7">
        <f>HYPERLINK("https://www.tradingview.com/chart/tioZvgwv/?symbol=NSE%3ASUPREMEIND&amp;interval=", "&amp;#128200;")</f>
      </c>
      <c r="G195" s="7">
        <f>HYPERLINK("https://www.tradingview.com/symbols/NSE-SUPREMEIND/news/", "&amp;#128240;")</f>
      </c>
      <c r="H195" s="7">
        <f>HYPERLINK("https://www.tradingview.com/symbols/NSE-SUPREMEIND/technicals/", "&amp;#128202;")</f>
      </c>
      <c r="I195" s="7">
        <f>HYPERLINK("https://www.tradingview.com/symbols/NSE-SUPREMEIND/financials-overview/", "&amp;#128194;")</f>
      </c>
      <c r="J195" s="4" t="s">
        <v>11</v>
      </c>
    </row>
    <row x14ac:dyDescent="0.25" r="196" customHeight="1" ht="18.75">
      <c r="A196" s="4" t="s">
        <v>205</v>
      </c>
      <c r="B196" s="5">
        <v>856.15</v>
      </c>
      <c r="C196" s="5">
        <v>813.4</v>
      </c>
      <c r="D196" s="5">
        <v>859.8</v>
      </c>
      <c r="E196" s="5">
        <v>815.15</v>
      </c>
      <c r="F196" s="7">
        <f>HYPERLINK("https://www.tradingview.com/chart/tioZvgwv/?symbol=NSE%3ASYNGENE&amp;interval=", "&amp;#128200;")</f>
      </c>
      <c r="G196" s="7">
        <f>HYPERLINK("https://www.tradingview.com/symbols/NSE-SYNGENE/news/", "&amp;#128240;")</f>
      </c>
      <c r="H196" s="7">
        <f>HYPERLINK("https://www.tradingview.com/symbols/NSE-SYNGENE/technicals/", "&amp;#128202;")</f>
      </c>
      <c r="I196" s="7">
        <f>HYPERLINK("https://www.tradingview.com/symbols/NSE-SYNGENE/financials-overview/", "&amp;#128194;")</f>
      </c>
      <c r="J196" s="4" t="s">
        <v>11</v>
      </c>
    </row>
    <row x14ac:dyDescent="0.25" r="197" customHeight="1" ht="18.75">
      <c r="A197" s="4" t="s">
        <v>206</v>
      </c>
      <c r="B197" s="5">
        <v>972.3</v>
      </c>
      <c r="C197" s="6">
        <v>963</v>
      </c>
      <c r="D197" s="5">
        <v>977.75</v>
      </c>
      <c r="E197" s="5">
        <v>967.4</v>
      </c>
      <c r="F197" s="7">
        <f>HYPERLINK("https://www.tradingview.com/chart/tioZvgwv/?symbol=NSE%3ATATACHEM&amp;interval=", "&amp;#128200;")</f>
      </c>
      <c r="G197" s="7">
        <f>HYPERLINK("https://www.tradingview.com/symbols/NSE-TATACHEM/news/", "&amp;#128240;")</f>
      </c>
      <c r="H197" s="7">
        <f>HYPERLINK("https://www.tradingview.com/symbols/NSE-TATACHEM/technicals/", "&amp;#128202;")</f>
      </c>
      <c r="I197" s="7">
        <f>HYPERLINK("https://www.tradingview.com/symbols/NSE-TATACHEM/financials-overview/", "&amp;#128194;")</f>
      </c>
      <c r="J197" s="4" t="s">
        <v>11</v>
      </c>
    </row>
    <row x14ac:dyDescent="0.25" r="198" customHeight="1" ht="18.75">
      <c r="A198" s="4" t="s">
        <v>207</v>
      </c>
      <c r="B198" s="5">
        <v>1706.9</v>
      </c>
      <c r="C198" s="5">
        <v>1661.05</v>
      </c>
      <c r="D198" s="5">
        <v>1718.9</v>
      </c>
      <c r="E198" s="5">
        <v>1663.45</v>
      </c>
      <c r="F198" s="7">
        <f>HYPERLINK("https://www.tradingview.com/chart/tioZvgwv/?symbol=NSE%3ATATACOMM&amp;interval=", "&amp;#128200;")</f>
      </c>
      <c r="G198" s="7">
        <f>HYPERLINK("https://www.tradingview.com/symbols/NSE-TATACOMM/news/", "&amp;#128240;")</f>
      </c>
      <c r="H198" s="7">
        <f>HYPERLINK("https://www.tradingview.com/symbols/NSE-TATACOMM/technicals/", "&amp;#128202;")</f>
      </c>
      <c r="I198" s="7">
        <f>HYPERLINK("https://www.tradingview.com/symbols/NSE-TATACOMM/financials-overview/", "&amp;#128194;")</f>
      </c>
      <c r="J198" s="4" t="s">
        <v>11</v>
      </c>
    </row>
    <row x14ac:dyDescent="0.25" r="199" customHeight="1" ht="18.75">
      <c r="A199" s="4" t="s">
        <v>208</v>
      </c>
      <c r="B199" s="5">
        <v>968.9</v>
      </c>
      <c r="C199" s="6">
        <v>945</v>
      </c>
      <c r="D199" s="5">
        <v>972.8</v>
      </c>
      <c r="E199" s="5">
        <v>965.5</v>
      </c>
      <c r="F199" s="7">
        <f>HYPERLINK("https://www.tradingview.com/chart/tioZvgwv/?symbol=NSE%3ATATACONSUM&amp;interval=", "&amp;#128200;")</f>
      </c>
      <c r="G199" s="7">
        <f>HYPERLINK("https://www.tradingview.com/symbols/NSE-TATACONSUM/news/", "&amp;#128240;")</f>
      </c>
      <c r="H199" s="7">
        <f>HYPERLINK("https://www.tradingview.com/symbols/NSE-TATACONSUM/technicals/", "&amp;#128202;")</f>
      </c>
      <c r="I199" s="7">
        <f>HYPERLINK("https://www.tradingview.com/symbols/NSE-TATACONSUM/financials-overview/", "&amp;#128194;")</f>
      </c>
      <c r="J199" s="4" t="s">
        <v>11</v>
      </c>
    </row>
    <row x14ac:dyDescent="0.25" r="200" customHeight="1" ht="18.75">
      <c r="A200" s="4" t="s">
        <v>209</v>
      </c>
      <c r="B200" s="5">
        <v>6088.95</v>
      </c>
      <c r="C200" s="5">
        <v>5955.6</v>
      </c>
      <c r="D200" s="5">
        <v>6000.6</v>
      </c>
      <c r="E200" s="6">
        <v>6014</v>
      </c>
      <c r="F200" s="7">
        <f>HYPERLINK("https://www.tradingview.com/chart/tioZvgwv/?symbol=NSE%3ATATAELXSI&amp;interval=", "&amp;#128200;")</f>
      </c>
      <c r="G200" s="7">
        <f>HYPERLINK("https://www.tradingview.com/symbols/NSE-TATAELXSI/news/", "&amp;#128240;")</f>
      </c>
      <c r="H200" s="7">
        <f>HYPERLINK("https://www.tradingview.com/symbols/NSE-TATAELXSI/technicals/", "&amp;#128202;")</f>
      </c>
      <c r="I200" s="7">
        <f>HYPERLINK("https://www.tradingview.com/symbols/NSE-TATAELXSI/financials-overview/", "&amp;#128194;")</f>
      </c>
      <c r="J200" s="4" t="s">
        <v>11</v>
      </c>
    </row>
    <row x14ac:dyDescent="0.25" r="201" customHeight="1" ht="18.75">
      <c r="A201" s="4" t="s">
        <v>210</v>
      </c>
      <c r="B201" s="5">
        <v>773.55</v>
      </c>
      <c r="C201" s="5">
        <v>758.65</v>
      </c>
      <c r="D201" s="5">
        <v>774.65</v>
      </c>
      <c r="E201" s="6">
        <v>764</v>
      </c>
      <c r="F201" s="7">
        <f>HYPERLINK("https://www.tradingview.com/chart/tioZvgwv/?symbol=NSE%3ATATAMOTORS&amp;interval=", "&amp;#128200;")</f>
      </c>
      <c r="G201" s="7">
        <f>HYPERLINK("https://www.tradingview.com/symbols/NSE-TATAMOTORS/news/", "&amp;#128240;")</f>
      </c>
      <c r="H201" s="7">
        <f>HYPERLINK("https://www.tradingview.com/symbols/NSE-TATAMOTORS/technicals/", "&amp;#128202;")</f>
      </c>
      <c r="I201" s="7">
        <f>HYPERLINK("https://www.tradingview.com/symbols/NSE-TATAMOTORS/financials-overview/", "&amp;#128194;")</f>
      </c>
      <c r="J201" s="4" t="s">
        <v>11</v>
      </c>
    </row>
    <row x14ac:dyDescent="0.25" r="202" customHeight="1" ht="18.75">
      <c r="A202" s="4" t="s">
        <v>211</v>
      </c>
      <c r="B202" s="5">
        <v>354.85</v>
      </c>
      <c r="C202" s="5">
        <v>348.35</v>
      </c>
      <c r="D202" s="5">
        <v>356.35</v>
      </c>
      <c r="E202" s="5">
        <v>349.2</v>
      </c>
      <c r="F202" s="7">
        <f>HYPERLINK("https://www.tradingview.com/chart/tioZvgwv/?symbol=NSE%3ATATAPOWER&amp;interval=", "&amp;#128200;")</f>
      </c>
      <c r="G202" s="7">
        <f>HYPERLINK("https://www.tradingview.com/symbols/NSE-TATAPOWER/news/", "&amp;#128240;")</f>
      </c>
      <c r="H202" s="7">
        <f>HYPERLINK("https://www.tradingview.com/symbols/NSE-TATAPOWER/technicals/", "&amp;#128202;")</f>
      </c>
      <c r="I202" s="7">
        <f>HYPERLINK("https://www.tradingview.com/symbols/NSE-TATAPOWER/financials-overview/", "&amp;#128194;")</f>
      </c>
      <c r="J202" s="4" t="s">
        <v>11</v>
      </c>
    </row>
    <row x14ac:dyDescent="0.25" r="203" customHeight="1" ht="18.75">
      <c r="A203" s="4" t="s">
        <v>212</v>
      </c>
      <c r="B203" s="5">
        <v>126.5</v>
      </c>
      <c r="C203" s="5">
        <v>124.18</v>
      </c>
      <c r="D203" s="5">
        <v>127.43</v>
      </c>
      <c r="E203" s="5">
        <v>124.24</v>
      </c>
      <c r="F203" s="7">
        <f>HYPERLINK("https://www.tradingview.com/chart/tioZvgwv/?symbol=NSE%3ATATASTEEL&amp;interval=", "&amp;#128200;")</f>
      </c>
      <c r="G203" s="7">
        <f>HYPERLINK("https://www.tradingview.com/symbols/NSE-TATASTEEL/news/", "&amp;#128240;")</f>
      </c>
      <c r="H203" s="7">
        <f>HYPERLINK("https://www.tradingview.com/symbols/NSE-TATASTEEL/technicals/", "&amp;#128202;")</f>
      </c>
      <c r="I203" s="7">
        <f>HYPERLINK("https://www.tradingview.com/symbols/NSE-TATASTEEL/financials-overview/", "&amp;#128194;")</f>
      </c>
      <c r="J203" s="4" t="s">
        <v>11</v>
      </c>
    </row>
    <row x14ac:dyDescent="0.25" r="204" customHeight="1" ht="18.75">
      <c r="A204" s="4" t="s">
        <v>213</v>
      </c>
      <c r="B204" s="5">
        <v>4316.8</v>
      </c>
      <c r="C204" s="5">
        <v>4227.4</v>
      </c>
      <c r="D204" s="5">
        <v>4265.65</v>
      </c>
      <c r="E204" s="6">
        <v>4294</v>
      </c>
      <c r="F204" s="7">
        <f>HYPERLINK("https://www.tradingview.com/chart/tioZvgwv/?symbol=NSE%3ATCS&amp;interval=", "&amp;#128200;")</f>
      </c>
      <c r="G204" s="7">
        <f>HYPERLINK("https://www.tradingview.com/symbols/NSE-TCS/news/", "&amp;#128240;")</f>
      </c>
      <c r="H204" s="7">
        <f>HYPERLINK("https://www.tradingview.com/symbols/NSE-TCS/technicals/", "&amp;#128202;")</f>
      </c>
      <c r="I204" s="7">
        <f>HYPERLINK("https://www.tradingview.com/symbols/NSE-TCS/financials-overview/", "&amp;#128194;")</f>
      </c>
      <c r="J204" s="4" t="s">
        <v>11</v>
      </c>
    </row>
    <row x14ac:dyDescent="0.25" r="205" customHeight="1" ht="18.75">
      <c r="A205" s="4" t="s">
        <v>214</v>
      </c>
      <c r="B205" s="6">
        <v>1701</v>
      </c>
      <c r="C205" s="5">
        <v>1670.05</v>
      </c>
      <c r="D205" s="5">
        <v>1705.6</v>
      </c>
      <c r="E205" s="5">
        <v>1671.45</v>
      </c>
      <c r="F205" s="7">
        <f>HYPERLINK("https://www.tradingview.com/chart/tioZvgwv/?symbol=NSE%3ATECHM&amp;interval=", "&amp;#128200;")</f>
      </c>
      <c r="G205" s="7">
        <f>HYPERLINK("https://www.tradingview.com/symbols/NSE-TECHM/news/", "&amp;#128240;")</f>
      </c>
      <c r="H205" s="7">
        <f>HYPERLINK("https://www.tradingview.com/symbols/NSE-TECHM/technicals/", "&amp;#128202;")</f>
      </c>
      <c r="I205" s="7">
        <f>HYPERLINK("https://www.tradingview.com/symbols/NSE-TECHM/financials-overview/", "&amp;#128194;")</f>
      </c>
      <c r="J205" s="4" t="s">
        <v>11</v>
      </c>
    </row>
    <row x14ac:dyDescent="0.25" r="206" customHeight="1" ht="18.75">
      <c r="A206" s="4" t="s">
        <v>215</v>
      </c>
      <c r="B206" s="5">
        <v>3448.3</v>
      </c>
      <c r="C206" s="6">
        <v>3315</v>
      </c>
      <c r="D206" s="5">
        <v>3454.5</v>
      </c>
      <c r="E206" s="5">
        <v>3320.15</v>
      </c>
      <c r="F206" s="7">
        <f>HYPERLINK("https://www.tradingview.com/chart/tioZvgwv/?symbol=NSE%3ATIINDIA&amp;interval=", "&amp;#128200;")</f>
      </c>
      <c r="G206" s="7">
        <f>HYPERLINK("https://www.tradingview.com/symbols/NSE-TIINDIA/news/", "&amp;#128240;")</f>
      </c>
      <c r="H206" s="7">
        <f>HYPERLINK("https://www.tradingview.com/symbols/NSE-TIINDIA/technicals/", "&amp;#128202;")</f>
      </c>
      <c r="I206" s="7">
        <f>HYPERLINK("https://www.tradingview.com/symbols/NSE-TIINDIA/financials-overview/", "&amp;#128194;")</f>
      </c>
      <c r="J206" s="4" t="s">
        <v>11</v>
      </c>
    </row>
    <row x14ac:dyDescent="0.25" r="207" customHeight="1" ht="18.75">
      <c r="A207" s="4" t="s">
        <v>216</v>
      </c>
      <c r="B207" s="6">
        <v>3467</v>
      </c>
      <c r="C207" s="5">
        <v>3352.5</v>
      </c>
      <c r="D207" s="5">
        <v>3440.25</v>
      </c>
      <c r="E207" s="6">
        <v>3422</v>
      </c>
      <c r="F207" s="7">
        <f>HYPERLINK("https://www.tradingview.com/chart/tioZvgwv/?symbol=NSE%3ATITAN&amp;interval=", "&amp;#128200;")</f>
      </c>
      <c r="G207" s="7">
        <f>HYPERLINK("https://www.tradingview.com/symbols/NSE-TITAN/news/", "&amp;#128240;")</f>
      </c>
      <c r="H207" s="7">
        <f>HYPERLINK("https://www.tradingview.com/symbols/NSE-TITAN/technicals/", "&amp;#128202;")</f>
      </c>
      <c r="I207" s="7">
        <f>HYPERLINK("https://www.tradingview.com/symbols/NSE-TITAN/financials-overview/", "&amp;#128194;")</f>
      </c>
      <c r="J207" s="4" t="s">
        <v>11</v>
      </c>
    </row>
    <row x14ac:dyDescent="0.25" r="208" customHeight="1" ht="18.75">
      <c r="A208" s="4" t="s">
        <v>217</v>
      </c>
      <c r="B208" s="5">
        <v>3294.15</v>
      </c>
      <c r="C208" s="5">
        <v>3234.25</v>
      </c>
      <c r="D208" s="5">
        <v>3274.45</v>
      </c>
      <c r="E208" s="5">
        <v>3240.1</v>
      </c>
      <c r="F208" s="7">
        <f>HYPERLINK("https://www.tradingview.com/chart/tioZvgwv/?symbol=NSE%3ATORNTPHARM&amp;interval=", "&amp;#128200;")</f>
      </c>
      <c r="G208" s="7">
        <f>HYPERLINK("https://www.tradingview.com/symbols/NSE-TORNTPHARM/news/", "&amp;#128240;")</f>
      </c>
      <c r="H208" s="7">
        <f>HYPERLINK("https://www.tradingview.com/symbols/NSE-TORNTPHARM/technicals/", "&amp;#128202;")</f>
      </c>
      <c r="I208" s="7">
        <f>HYPERLINK("https://www.tradingview.com/symbols/NSE-TORNTPHARM/financials-overview/", "&amp;#128194;")</f>
      </c>
      <c r="J208" s="4" t="s">
        <v>11</v>
      </c>
    </row>
    <row x14ac:dyDescent="0.25" r="209" customHeight="1" ht="18.75">
      <c r="A209" s="4" t="s">
        <v>218</v>
      </c>
      <c r="B209" s="5">
        <v>6523.85</v>
      </c>
      <c r="C209" s="5">
        <v>6263.1</v>
      </c>
      <c r="D209" s="5">
        <v>6584.1</v>
      </c>
      <c r="E209" s="5">
        <v>6270.8</v>
      </c>
      <c r="F209" s="7">
        <f>HYPERLINK("https://www.tradingview.com/chart/tioZvgwv/?symbol=NSE%3ATRENT&amp;interval=", "&amp;#128200;")</f>
      </c>
      <c r="G209" s="7">
        <f>HYPERLINK("https://www.tradingview.com/symbols/NSE-TRENT/news/", "&amp;#128240;")</f>
      </c>
      <c r="H209" s="7">
        <f>HYPERLINK("https://www.tradingview.com/symbols/NSE-TRENT/technicals/", "&amp;#128202;")</f>
      </c>
      <c r="I209" s="7">
        <f>HYPERLINK("https://www.tradingview.com/symbols/NSE-TRENT/financials-overview/", "&amp;#128194;")</f>
      </c>
      <c r="J209" s="4" t="s">
        <v>11</v>
      </c>
    </row>
    <row x14ac:dyDescent="0.25" r="210" customHeight="1" ht="18.75">
      <c r="A210" s="4" t="s">
        <v>219</v>
      </c>
      <c r="B210" s="5">
        <v>2278.25</v>
      </c>
      <c r="C210" s="5">
        <v>2210.65</v>
      </c>
      <c r="D210" s="5">
        <v>2283.25</v>
      </c>
      <c r="E210" s="5">
        <v>2218.6</v>
      </c>
      <c r="F210" s="7">
        <f>HYPERLINK("https://www.tradingview.com/chart/tioZvgwv/?symbol=NSE%3ATVSMOTOR&amp;interval=", "&amp;#128200;")</f>
      </c>
      <c r="G210" s="7">
        <f>HYPERLINK("https://www.tradingview.com/symbols/NSE-TVSMOTOR/news/", "&amp;#128240;")</f>
      </c>
      <c r="H210" s="7">
        <f>HYPERLINK("https://www.tradingview.com/symbols/NSE-TVSMOTOR/technicals/", "&amp;#128202;")</f>
      </c>
      <c r="I210" s="7">
        <f>HYPERLINK("https://www.tradingview.com/symbols/NSE-TVSMOTOR/financials-overview/", "&amp;#128194;")</f>
      </c>
      <c r="J210" s="4" t="s">
        <v>11</v>
      </c>
    </row>
    <row x14ac:dyDescent="0.25" r="211" customHeight="1" ht="18.75">
      <c r="A211" s="4" t="s">
        <v>220</v>
      </c>
      <c r="B211" s="5">
        <v>2018.45</v>
      </c>
      <c r="C211" s="5">
        <v>1972.1</v>
      </c>
      <c r="D211" s="5">
        <v>2029.5</v>
      </c>
      <c r="E211" s="5">
        <v>1974.5</v>
      </c>
      <c r="F211" s="7">
        <f>HYPERLINK("https://www.tradingview.com/chart/tioZvgwv/?symbol=NSE%3AUBL&amp;interval=", "&amp;#128200;")</f>
      </c>
      <c r="G211" s="7">
        <f>HYPERLINK("https://www.tradingview.com/symbols/NSE-UBL/news/", "&amp;#128240;")</f>
      </c>
      <c r="H211" s="7">
        <f>HYPERLINK("https://www.tradingview.com/symbols/NSE-UBL/technicals/", "&amp;#128202;")</f>
      </c>
      <c r="I211" s="7">
        <f>HYPERLINK("https://www.tradingview.com/symbols/NSE-UBL/financials-overview/", "&amp;#128194;")</f>
      </c>
      <c r="J211" s="4" t="s">
        <v>11</v>
      </c>
    </row>
    <row x14ac:dyDescent="0.25" r="212" customHeight="1" ht="18.75">
      <c r="A212" s="4" t="s">
        <v>221</v>
      </c>
      <c r="B212" s="6">
        <v>10830</v>
      </c>
      <c r="C212" s="6">
        <v>10700</v>
      </c>
      <c r="D212" s="5">
        <v>10865.2</v>
      </c>
      <c r="E212" s="5">
        <v>10751.95</v>
      </c>
      <c r="F212" s="7">
        <f>HYPERLINK("https://www.tradingview.com/chart/tioZvgwv/?symbol=NSE%3AULTRACEMCO&amp;interval=", "&amp;#128200;")</f>
      </c>
      <c r="G212" s="7">
        <f>HYPERLINK("https://www.tradingview.com/symbols/NSE-ULTRACEMCO/news/", "&amp;#128240;")</f>
      </c>
      <c r="H212" s="7">
        <f>HYPERLINK("https://www.tradingview.com/symbols/NSE-ULTRACEMCO/technicals/", "&amp;#128202;")</f>
      </c>
      <c r="I212" s="7">
        <f>HYPERLINK("https://www.tradingview.com/symbols/NSE-ULTRACEMCO/financials-overview/", "&amp;#128194;")</f>
      </c>
      <c r="J212" s="4" t="s">
        <v>11</v>
      </c>
    </row>
    <row x14ac:dyDescent="0.25" r="213" customHeight="1" ht="18.75">
      <c r="A213" s="4" t="s">
        <v>222</v>
      </c>
      <c r="B213" s="5">
        <v>104.59</v>
      </c>
      <c r="C213" s="5">
        <v>101.63</v>
      </c>
      <c r="D213" s="5">
        <v>103.62</v>
      </c>
      <c r="E213" s="5">
        <v>103.2</v>
      </c>
      <c r="F213" s="7">
        <f>HYPERLINK("https://www.tradingview.com/chart/tioZvgwv/?symbol=NSE%3AUNIONBANK&amp;interval=", "&amp;#128200;")</f>
      </c>
      <c r="G213" s="7">
        <f>HYPERLINK("https://www.tradingview.com/symbols/NSE-UNIONBANK/news/", "&amp;#128240;")</f>
      </c>
      <c r="H213" s="7">
        <f>HYPERLINK("https://www.tradingview.com/symbols/NSE-UNIONBANK/technicals/", "&amp;#128202;")</f>
      </c>
      <c r="I213" s="7">
        <f>HYPERLINK("https://www.tradingview.com/symbols/NSE-UNIONBANK/financials-overview/", "&amp;#128194;")</f>
      </c>
      <c r="J213" s="4" t="s">
        <v>11</v>
      </c>
    </row>
    <row x14ac:dyDescent="0.25" r="214" customHeight="1" ht="18.75">
      <c r="A214" s="4" t="s">
        <v>223</v>
      </c>
      <c r="B214" s="6">
        <v>549</v>
      </c>
      <c r="C214" s="6">
        <v>537</v>
      </c>
      <c r="D214" s="5">
        <v>548.85</v>
      </c>
      <c r="E214" s="5">
        <v>537.8</v>
      </c>
      <c r="F214" s="7">
        <f>HYPERLINK("https://www.tradingview.com/chart/tioZvgwv/?symbol=NSE%3AUPL&amp;interval=", "&amp;#128200;")</f>
      </c>
      <c r="G214" s="7">
        <f>HYPERLINK("https://www.tradingview.com/symbols/NSE-UPL/news/", "&amp;#128240;")</f>
      </c>
      <c r="H214" s="7">
        <f>HYPERLINK("https://www.tradingview.com/symbols/NSE-UPL/technicals/", "&amp;#128202;")</f>
      </c>
      <c r="I214" s="7">
        <f>HYPERLINK("https://www.tradingview.com/symbols/NSE-UPL/financials-overview/", "&amp;#128194;")</f>
      </c>
      <c r="J214" s="4" t="s">
        <v>11</v>
      </c>
    </row>
    <row x14ac:dyDescent="0.25" r="215" customHeight="1" ht="18.75">
      <c r="A215" s="4" t="s">
        <v>224</v>
      </c>
      <c r="B215" s="5">
        <v>591.35</v>
      </c>
      <c r="C215" s="5">
        <v>576.05</v>
      </c>
      <c r="D215" s="5">
        <v>596.55</v>
      </c>
      <c r="E215" s="5">
        <v>577.15</v>
      </c>
      <c r="F215" s="7">
        <f>HYPERLINK("https://www.tradingview.com/chart/tioZvgwv/?symbol=NSE%3AVBL&amp;interval=", "&amp;#128200;")</f>
      </c>
      <c r="G215" s="7">
        <f>HYPERLINK("https://www.tradingview.com/symbols/NSE-VBL/news/", "&amp;#128240;")</f>
      </c>
      <c r="H215" s="7">
        <f>HYPERLINK("https://www.tradingview.com/symbols/NSE-VBL/technicals/", "&amp;#128202;")</f>
      </c>
      <c r="I215" s="7">
        <f>HYPERLINK("https://www.tradingview.com/symbols/NSE-VBL/financials-overview/", "&amp;#128194;")</f>
      </c>
      <c r="J215" s="4" t="s">
        <v>11</v>
      </c>
    </row>
    <row x14ac:dyDescent="0.25" r="216" customHeight="1" ht="18.75">
      <c r="A216" s="4" t="s">
        <v>225</v>
      </c>
      <c r="B216" s="5">
        <v>428.8</v>
      </c>
      <c r="C216" s="5">
        <v>420.05</v>
      </c>
      <c r="D216" s="5">
        <v>432.15</v>
      </c>
      <c r="E216" s="5">
        <v>420.8</v>
      </c>
      <c r="F216" s="7">
        <f>HYPERLINK("https://www.tradingview.com/chart/tioZvgwv/?symbol=NSE%3AVEDL&amp;interval=", "&amp;#128200;")</f>
      </c>
      <c r="G216" s="7">
        <f>HYPERLINK("https://www.tradingview.com/symbols/NSE-VEDL/news/", "&amp;#128240;")</f>
      </c>
      <c r="H216" s="7">
        <f>HYPERLINK("https://www.tradingview.com/symbols/NSE-VEDL/technicals/", "&amp;#128202;")</f>
      </c>
      <c r="I216" s="7">
        <f>HYPERLINK("https://www.tradingview.com/symbols/NSE-VEDL/financials-overview/", "&amp;#128194;")</f>
      </c>
      <c r="J216" s="4" t="s">
        <v>11</v>
      </c>
    </row>
    <row x14ac:dyDescent="0.25" r="217" customHeight="1" ht="18.75">
      <c r="A217" s="4" t="s">
        <v>226</v>
      </c>
      <c r="B217" s="6">
        <v>1654</v>
      </c>
      <c r="C217" s="6">
        <v>1618</v>
      </c>
      <c r="D217" s="5">
        <v>1663.5</v>
      </c>
      <c r="E217" s="5">
        <v>1619.45</v>
      </c>
      <c r="F217" s="7">
        <f>HYPERLINK("https://www.tradingview.com/chart/tioZvgwv/?symbol=NSE%3AVOLTAS&amp;interval=", "&amp;#128200;")</f>
      </c>
      <c r="G217" s="7">
        <f>HYPERLINK("https://www.tradingview.com/symbols/NSE-VOLTAS/news/", "&amp;#128240;")</f>
      </c>
      <c r="H217" s="7">
        <f>HYPERLINK("https://www.tradingview.com/symbols/NSE-VOLTAS/technicals/", "&amp;#128202;")</f>
      </c>
      <c r="I217" s="7">
        <f>HYPERLINK("https://www.tradingview.com/symbols/NSE-VOLTAS/financials-overview/", "&amp;#128194;")</f>
      </c>
      <c r="J217" s="4" t="s">
        <v>11</v>
      </c>
    </row>
    <row x14ac:dyDescent="0.25" r="218" customHeight="1" ht="18.75">
      <c r="A218" s="4" t="s">
        <v>227</v>
      </c>
      <c r="B218" s="5">
        <v>299.25</v>
      </c>
      <c r="C218" s="5">
        <v>292.4</v>
      </c>
      <c r="D218" s="5">
        <v>300.55</v>
      </c>
      <c r="E218" s="5">
        <v>293.5</v>
      </c>
      <c r="F218" s="7">
        <f>HYPERLINK("https://www.tradingview.com/chart/tioZvgwv/?symbol=NSE%3AWIPRO&amp;interval=", "&amp;#128200;")</f>
      </c>
      <c r="G218" s="7">
        <f>HYPERLINK("https://www.tradingview.com/symbols/NSE-WIPRO/news/", "&amp;#128240;")</f>
      </c>
      <c r="H218" s="7">
        <f>HYPERLINK("https://www.tradingview.com/symbols/NSE-WIPRO/technicals/", "&amp;#128202;")</f>
      </c>
      <c r="I218" s="7">
        <f>HYPERLINK("https://www.tradingview.com/symbols/NSE-WIPRO/financials-overview/", "&amp;#128194;")</f>
      </c>
      <c r="J218" s="4" t="s">
        <v>11</v>
      </c>
    </row>
    <row x14ac:dyDescent="0.25" r="219" customHeight="1" ht="18.75">
      <c r="A219" s="4" t="s">
        <v>228</v>
      </c>
      <c r="B219" s="5">
        <v>17.93</v>
      </c>
      <c r="C219" s="5">
        <v>17.57</v>
      </c>
      <c r="D219" s="5">
        <v>17.96</v>
      </c>
      <c r="E219" s="5">
        <v>17.59</v>
      </c>
      <c r="F219" s="7">
        <f>HYPERLINK("https://www.tradingview.com/chart/tioZvgwv/?symbol=NSE%3AYESBANK&amp;interval=", "&amp;#128200;")</f>
      </c>
      <c r="G219" s="7">
        <f>HYPERLINK("https://www.tradingview.com/symbols/NSE-YESBANK/news/", "&amp;#128240;")</f>
      </c>
      <c r="H219" s="7">
        <f>HYPERLINK("https://www.tradingview.com/symbols/NSE-YESBANK/technicals/", "&amp;#128202;")</f>
      </c>
      <c r="I219" s="7">
        <f>HYPERLINK("https://www.tradingview.com/symbols/NSE-YESBANK/financials-overview/", "&amp;#128194;")</f>
      </c>
      <c r="J219" s="4" t="s">
        <v>11</v>
      </c>
    </row>
    <row x14ac:dyDescent="0.25" r="220" customHeight="1" ht="18.75">
      <c r="A220" s="4" t="s">
        <v>229</v>
      </c>
      <c r="B220" s="5">
        <v>240.4</v>
      </c>
      <c r="C220" s="5">
        <v>232.6</v>
      </c>
      <c r="D220" s="5">
        <v>242.95</v>
      </c>
      <c r="E220" s="5">
        <v>233.15</v>
      </c>
      <c r="F220" s="7">
        <f>HYPERLINK("https://www.tradingview.com/chart/tioZvgwv/?symbol=NSE%3AZOMATO&amp;interval=", "&amp;#128200;")</f>
      </c>
      <c r="G220" s="7">
        <f>HYPERLINK("https://www.tradingview.com/symbols/NSE-ZOMATO/news/", "&amp;#128240;")</f>
      </c>
      <c r="H220" s="7">
        <f>HYPERLINK("https://www.tradingview.com/symbols/NSE-ZOMATO/technicals/", "&amp;#128202;")</f>
      </c>
      <c r="I220" s="7">
        <f>HYPERLINK("https://www.tradingview.com/symbols/NSE-ZOMATO/financials-overview/", "&amp;#128194;")</f>
      </c>
      <c r="J220" s="4" t="s">
        <v>11</v>
      </c>
    </row>
    <row x14ac:dyDescent="0.25" r="221" customHeight="1" ht="18.75">
      <c r="A221" s="4" t="s">
        <v>230</v>
      </c>
      <c r="B221" s="5">
        <v>997.9</v>
      </c>
      <c r="C221" s="6">
        <v>973</v>
      </c>
      <c r="D221" s="5">
        <v>1004.4</v>
      </c>
      <c r="E221" s="5">
        <v>973.5</v>
      </c>
      <c r="F221" s="7">
        <f>HYPERLINK("https://www.tradingview.com/chart/tioZvgwv/?symbol=NSE%3AZYDUSLIFE&amp;interval=", "&amp;#128200;")</f>
      </c>
      <c r="G221" s="7">
        <f>HYPERLINK("https://www.tradingview.com/symbols/NSE-ZYDUSLIFE/news/", "&amp;#128240;")</f>
      </c>
      <c r="H221" s="7">
        <f>HYPERLINK("https://www.tradingview.com/symbols/NSE-ZYDUSLIFE/technicals/", "&amp;#128202;")</f>
      </c>
      <c r="I221" s="7">
        <f>HYPERLINK("https://www.tradingview.com/symbols/NSE-ZYDUSLIFE/financials-overview/", "&amp;#128194;")</f>
      </c>
      <c r="J221" s="4" t="s">
        <v>11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High-Low-Current Market Price</vt:lpstr>
      <vt:lpstr>Gainers</vt:lpstr>
      <vt:lpstr>Losers</vt:lpstr>
      <vt:lpstr>Neutral</vt:lpstr>
      <vt:lpstr>Insider Bar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2025-01-13T11:00:28.330Z</dcterms:created>
  <dcterms:modified xsi:type="dcterms:W3CDTF">2025-01-13T11:00:28.330Z</dcterms:modified>
</cp:coreProperties>
</file>