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Career\Finance\Modelling\Company Reports\TAMO\"/>
    </mc:Choice>
  </mc:AlternateContent>
  <xr:revisionPtr revIDLastSave="0" documentId="13_ncr:1_{43627BF0-D4E0-44A7-B2B3-DC741A0C574A}" xr6:coauthVersionLast="47" xr6:coauthVersionMax="47" xr10:uidLastSave="{00000000-0000-0000-0000-000000000000}"/>
  <bookViews>
    <workbookView xWindow="-120" yWindow="-120" windowWidth="29040" windowHeight="15720" tabRatio="891" firstSheet="2" activeTab="8" xr2:uid="{00000000-000D-0000-FFFF-FFFF00000000}"/>
  </bookViews>
  <sheets>
    <sheet name="Financials&gt;&gt;" sheetId="7" r:id="rId1"/>
    <sheet name="HistoricalFS" sheetId="8" r:id="rId2"/>
    <sheet name="Ratio Analysis" sheetId="10" r:id="rId3"/>
    <sheet name="Forecasting" sheetId="13" r:id="rId4"/>
    <sheet name="Common Size Statement" sheetId="14" r:id="rId5"/>
    <sheet name="DCF&gt;&gt;" sheetId="15" r:id="rId6"/>
    <sheet name="WACC" sheetId="16" r:id="rId7"/>
    <sheet name="Intrinsic Growth" sheetId="23" r:id="rId8"/>
    <sheet name="DCF" sheetId="24" r:id="rId9"/>
    <sheet name="Data&gt;&gt;" sheetId="9" r:id="rId10"/>
    <sheet name="Raw FS" sheetId="22" r:id="rId11"/>
    <sheet name="Profit &amp; Loss" sheetId="1" r:id="rId12"/>
    <sheet name="Quarters" sheetId="3" r:id="rId13"/>
    <sheet name="Balance Sheet" sheetId="2" r:id="rId14"/>
    <sheet name="Cash Flow" sheetId="4" r:id="rId15"/>
    <sheet name="Customization" sheetId="5" r:id="rId16"/>
    <sheet name="Data Sheet" sheetId="6" r:id="rId17"/>
    <sheet name="Beta" sheetId="18" r:id="rId18"/>
    <sheet name="Beta - Comps" sheetId="19" r:id="rId19"/>
    <sheet name="Rm" sheetId="20" r:id="rId20"/>
  </sheets>
  <definedNames>
    <definedName name="_xlnm._FilterDatabase" localSheetId="17" hidden="1">Beta!$B$6:$D$111</definedName>
    <definedName name="_xlnm.Print_Area" localSheetId="6">WACC!$B$2:$J$41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24" l="1"/>
  <c r="D37" i="24"/>
  <c r="D35" i="24"/>
  <c r="D33" i="24"/>
  <c r="D32" i="24"/>
  <c r="G9" i="24"/>
  <c r="H9" i="24" s="1"/>
  <c r="I9" i="24" s="1"/>
  <c r="J9" i="24" s="1"/>
  <c r="D16" i="24"/>
  <c r="G10" i="24" s="1"/>
  <c r="D15" i="24"/>
  <c r="D22" i="24" s="1"/>
  <c r="D14" i="24"/>
  <c r="E7" i="24"/>
  <c r="F7" i="24" s="1"/>
  <c r="G7" i="24" s="1"/>
  <c r="H7" i="24" s="1"/>
  <c r="I7" i="24" s="1"/>
  <c r="H47" i="23"/>
  <c r="I47" i="23"/>
  <c r="J47" i="23"/>
  <c r="K47" i="23"/>
  <c r="G47" i="23"/>
  <c r="F5" i="24"/>
  <c r="G5" i="24" s="1"/>
  <c r="H5" i="24" s="1"/>
  <c r="I5" i="24" s="1"/>
  <c r="J5" i="24" s="1"/>
  <c r="E4" i="24"/>
  <c r="D21" i="24" l="1"/>
  <c r="I10" i="24"/>
  <c r="F4" i="24"/>
  <c r="G4" i="24" s="1"/>
  <c r="F10" i="24"/>
  <c r="J10" i="24"/>
  <c r="H10" i="24"/>
  <c r="E6" i="24"/>
  <c r="E8" i="24" s="1"/>
  <c r="H44" i="23"/>
  <c r="K56" i="23"/>
  <c r="J56" i="23"/>
  <c r="I56" i="23"/>
  <c r="H56" i="23"/>
  <c r="G56" i="23"/>
  <c r="I44" i="23"/>
  <c r="J44" i="23"/>
  <c r="K44" i="23"/>
  <c r="G44" i="23"/>
  <c r="B45" i="22"/>
  <c r="B2" i="22"/>
  <c r="K42" i="23"/>
  <c r="J42" i="23"/>
  <c r="I42" i="23"/>
  <c r="H42" i="23"/>
  <c r="G42" i="23"/>
  <c r="H2" i="23"/>
  <c r="I2" i="23"/>
  <c r="J2" i="23"/>
  <c r="K2" i="23"/>
  <c r="E2" i="24" s="1"/>
  <c r="F2" i="24" s="1"/>
  <c r="G2" i="24" s="1"/>
  <c r="H2" i="24" s="1"/>
  <c r="G2" i="23"/>
  <c r="H31" i="23"/>
  <c r="I31" i="23"/>
  <c r="J31" i="23"/>
  <c r="K31" i="23"/>
  <c r="G31" i="23"/>
  <c r="B31" i="23"/>
  <c r="K28" i="23"/>
  <c r="J28" i="23"/>
  <c r="I28" i="23"/>
  <c r="H28" i="23"/>
  <c r="G28" i="23"/>
  <c r="K27" i="23"/>
  <c r="J27" i="23"/>
  <c r="I27" i="23"/>
  <c r="H27" i="23"/>
  <c r="G27" i="23"/>
  <c r="K26" i="23"/>
  <c r="J26" i="23"/>
  <c r="I26" i="23"/>
  <c r="H26" i="23"/>
  <c r="G26" i="23"/>
  <c r="K25" i="23"/>
  <c r="J25" i="23"/>
  <c r="I25" i="23"/>
  <c r="H25" i="23"/>
  <c r="G25" i="23"/>
  <c r="K24" i="23"/>
  <c r="J24" i="23"/>
  <c r="I24" i="23"/>
  <c r="H24" i="23"/>
  <c r="G24" i="23"/>
  <c r="K23" i="23"/>
  <c r="J23" i="23"/>
  <c r="I23" i="23"/>
  <c r="H23" i="23"/>
  <c r="G23" i="23"/>
  <c r="K22" i="23"/>
  <c r="J22" i="23"/>
  <c r="I22" i="23"/>
  <c r="H22" i="23"/>
  <c r="G22" i="23"/>
  <c r="K21" i="23"/>
  <c r="J21" i="23"/>
  <c r="I21" i="23"/>
  <c r="H21" i="23"/>
  <c r="G21" i="23"/>
  <c r="K20" i="23"/>
  <c r="J20" i="23"/>
  <c r="I20" i="23"/>
  <c r="H20" i="23"/>
  <c r="G20" i="23"/>
  <c r="B21" i="23"/>
  <c r="B22" i="23"/>
  <c r="B23" i="23"/>
  <c r="B24" i="23"/>
  <c r="B25" i="23"/>
  <c r="B26" i="23"/>
  <c r="B27" i="23"/>
  <c r="B28" i="23"/>
  <c r="B20" i="23"/>
  <c r="K14" i="23"/>
  <c r="J14" i="23"/>
  <c r="I14" i="23"/>
  <c r="H14" i="23"/>
  <c r="G14" i="23"/>
  <c r="K13" i="23"/>
  <c r="J13" i="23"/>
  <c r="I13" i="23"/>
  <c r="H13" i="23"/>
  <c r="G13" i="23"/>
  <c r="K12" i="23"/>
  <c r="J12" i="23"/>
  <c r="I12" i="23"/>
  <c r="H12" i="23"/>
  <c r="G12" i="23"/>
  <c r="B13" i="23"/>
  <c r="B14" i="23"/>
  <c r="B12" i="23"/>
  <c r="K8" i="23"/>
  <c r="J8" i="23"/>
  <c r="I8" i="23"/>
  <c r="H8" i="23"/>
  <c r="G8" i="23"/>
  <c r="K7" i="23"/>
  <c r="J7" i="23"/>
  <c r="I7" i="23"/>
  <c r="H7" i="23"/>
  <c r="G7" i="23"/>
  <c r="K6" i="23"/>
  <c r="J6" i="23"/>
  <c r="I6" i="23"/>
  <c r="H6" i="23"/>
  <c r="G6" i="23"/>
  <c r="K5" i="23"/>
  <c r="J5" i="23"/>
  <c r="I5" i="23"/>
  <c r="H5" i="23"/>
  <c r="G5" i="23"/>
  <c r="B8" i="23"/>
  <c r="B7" i="23"/>
  <c r="B6" i="23"/>
  <c r="B5" i="23"/>
  <c r="D31" i="22"/>
  <c r="E31" i="22"/>
  <c r="F31" i="22"/>
  <c r="G31" i="22"/>
  <c r="H31" i="22"/>
  <c r="I31" i="22"/>
  <c r="J31" i="22"/>
  <c r="K31" i="22"/>
  <c r="L31" i="22"/>
  <c r="M31" i="22"/>
  <c r="N31" i="22"/>
  <c r="C31" i="22"/>
  <c r="E22" i="16"/>
  <c r="D10" i="16"/>
  <c r="D11" i="16"/>
  <c r="E10" i="16"/>
  <c r="E11" i="16"/>
  <c r="G6" i="20"/>
  <c r="G8" i="20" s="1"/>
  <c r="J23" i="16" s="1"/>
  <c r="BS111" i="18"/>
  <c r="BC111" i="18"/>
  <c r="AM111" i="18"/>
  <c r="W111" i="18"/>
  <c r="G111" i="18"/>
  <c r="D111" i="18"/>
  <c r="BS110" i="18"/>
  <c r="BC110" i="18"/>
  <c r="AM110" i="18"/>
  <c r="W110" i="18"/>
  <c r="G110" i="18"/>
  <c r="D110" i="18"/>
  <c r="BS109" i="18"/>
  <c r="BC109" i="18"/>
  <c r="AM109" i="18"/>
  <c r="W109" i="18"/>
  <c r="G109" i="18"/>
  <c r="D109" i="18"/>
  <c r="BS108" i="18"/>
  <c r="BC108" i="18"/>
  <c r="AM108" i="18"/>
  <c r="W108" i="18"/>
  <c r="G108" i="18"/>
  <c r="D108" i="18"/>
  <c r="BS107" i="18"/>
  <c r="BC107" i="18"/>
  <c r="AM107" i="18"/>
  <c r="W107" i="18"/>
  <c r="G107" i="18"/>
  <c r="D107" i="18"/>
  <c r="BS106" i="18"/>
  <c r="BC106" i="18"/>
  <c r="AM106" i="18"/>
  <c r="W106" i="18"/>
  <c r="G106" i="18"/>
  <c r="D106" i="18"/>
  <c r="BS105" i="18"/>
  <c r="BC105" i="18"/>
  <c r="AM105" i="18"/>
  <c r="W105" i="18"/>
  <c r="G105" i="18"/>
  <c r="D105" i="18"/>
  <c r="BS104" i="18"/>
  <c r="BC104" i="18"/>
  <c r="AM104" i="18"/>
  <c r="W104" i="18"/>
  <c r="G104" i="18"/>
  <c r="D104" i="18"/>
  <c r="BS103" i="18"/>
  <c r="BC103" i="18"/>
  <c r="AM103" i="18"/>
  <c r="W103" i="18"/>
  <c r="G103" i="18"/>
  <c r="D103" i="18"/>
  <c r="BS102" i="18"/>
  <c r="BC102" i="18"/>
  <c r="AM102" i="18"/>
  <c r="W102" i="18"/>
  <c r="G102" i="18"/>
  <c r="D102" i="18"/>
  <c r="BS101" i="18"/>
  <c r="BC101" i="18"/>
  <c r="AM101" i="18"/>
  <c r="W101" i="18"/>
  <c r="G101" i="18"/>
  <c r="D101" i="18"/>
  <c r="BS100" i="18"/>
  <c r="BC100" i="18"/>
  <c r="AM100" i="18"/>
  <c r="W100" i="18"/>
  <c r="G100" i="18"/>
  <c r="D100" i="18"/>
  <c r="BS99" i="18"/>
  <c r="BC99" i="18"/>
  <c r="AM99" i="18"/>
  <c r="W99" i="18"/>
  <c r="G99" i="18"/>
  <c r="D99" i="18"/>
  <c r="BS98" i="18"/>
  <c r="BC98" i="18"/>
  <c r="AM98" i="18"/>
  <c r="W98" i="18"/>
  <c r="G98" i="18"/>
  <c r="D98" i="18"/>
  <c r="BS97" i="18"/>
  <c r="BC97" i="18"/>
  <c r="AM97" i="18"/>
  <c r="W97" i="18"/>
  <c r="G97" i="18"/>
  <c r="D97" i="18"/>
  <c r="BS96" i="18"/>
  <c r="BC96" i="18"/>
  <c r="AM96" i="18"/>
  <c r="W96" i="18"/>
  <c r="G96" i="18"/>
  <c r="D96" i="18"/>
  <c r="BS95" i="18"/>
  <c r="BC95" i="18"/>
  <c r="AM95" i="18"/>
  <c r="W95" i="18"/>
  <c r="G95" i="18"/>
  <c r="D95" i="18"/>
  <c r="BS94" i="18"/>
  <c r="BC94" i="18"/>
  <c r="AM94" i="18"/>
  <c r="W94" i="18"/>
  <c r="G94" i="18"/>
  <c r="D94" i="18"/>
  <c r="BS93" i="18"/>
  <c r="BC93" i="18"/>
  <c r="AM93" i="18"/>
  <c r="W93" i="18"/>
  <c r="G93" i="18"/>
  <c r="D93" i="18"/>
  <c r="BS92" i="18"/>
  <c r="BC92" i="18"/>
  <c r="AM92" i="18"/>
  <c r="W92" i="18"/>
  <c r="G92" i="18"/>
  <c r="D92" i="18"/>
  <c r="BS91" i="18"/>
  <c r="BC91" i="18"/>
  <c r="AM91" i="18"/>
  <c r="W91" i="18"/>
  <c r="G91" i="18"/>
  <c r="D91" i="18"/>
  <c r="BS90" i="18"/>
  <c r="BC90" i="18"/>
  <c r="AM90" i="18"/>
  <c r="W90" i="18"/>
  <c r="G90" i="18"/>
  <c r="D90" i="18"/>
  <c r="BS89" i="18"/>
  <c r="BC89" i="18"/>
  <c r="AM89" i="18"/>
  <c r="W89" i="18"/>
  <c r="G89" i="18"/>
  <c r="D89" i="18"/>
  <c r="BS88" i="18"/>
  <c r="BC88" i="18"/>
  <c r="AM88" i="18"/>
  <c r="W88" i="18"/>
  <c r="G88" i="18"/>
  <c r="D88" i="18"/>
  <c r="BS87" i="18"/>
  <c r="BC87" i="18"/>
  <c r="AM87" i="18"/>
  <c r="W87" i="18"/>
  <c r="G87" i="18"/>
  <c r="D87" i="18"/>
  <c r="BS86" i="18"/>
  <c r="BC86" i="18"/>
  <c r="AM86" i="18"/>
  <c r="W86" i="18"/>
  <c r="G86" i="18"/>
  <c r="D86" i="18"/>
  <c r="BS85" i="18"/>
  <c r="BC85" i="18"/>
  <c r="AM85" i="18"/>
  <c r="W85" i="18"/>
  <c r="G85" i="18"/>
  <c r="D85" i="18"/>
  <c r="BS84" i="18"/>
  <c r="BC84" i="18"/>
  <c r="AM84" i="18"/>
  <c r="W84" i="18"/>
  <c r="G84" i="18"/>
  <c r="D84" i="18"/>
  <c r="BS83" i="18"/>
  <c r="BC83" i="18"/>
  <c r="AM83" i="18"/>
  <c r="W83" i="18"/>
  <c r="G83" i="18"/>
  <c r="D83" i="18"/>
  <c r="BS82" i="18"/>
  <c r="BC82" i="18"/>
  <c r="AM82" i="18"/>
  <c r="W82" i="18"/>
  <c r="G82" i="18"/>
  <c r="D82" i="18"/>
  <c r="BS81" i="18"/>
  <c r="BC81" i="18"/>
  <c r="AM81" i="18"/>
  <c r="W81" i="18"/>
  <c r="G81" i="18"/>
  <c r="D81" i="18"/>
  <c r="BS80" i="18"/>
  <c r="BC80" i="18"/>
  <c r="AM80" i="18"/>
  <c r="W80" i="18"/>
  <c r="G80" i="18"/>
  <c r="D80" i="18"/>
  <c r="BS79" i="18"/>
  <c r="BC79" i="18"/>
  <c r="AM79" i="18"/>
  <c r="W79" i="18"/>
  <c r="G79" i="18"/>
  <c r="D79" i="18"/>
  <c r="BS78" i="18"/>
  <c r="BC78" i="18"/>
  <c r="AM78" i="18"/>
  <c r="W78" i="18"/>
  <c r="G78" i="18"/>
  <c r="D78" i="18"/>
  <c r="BS77" i="18"/>
  <c r="BC77" i="18"/>
  <c r="AM77" i="18"/>
  <c r="W77" i="18"/>
  <c r="G77" i="18"/>
  <c r="D77" i="18"/>
  <c r="BS76" i="18"/>
  <c r="BC76" i="18"/>
  <c r="AM76" i="18"/>
  <c r="W76" i="18"/>
  <c r="G76" i="18"/>
  <c r="D76" i="18"/>
  <c r="BS75" i="18"/>
  <c r="BC75" i="18"/>
  <c r="AM75" i="18"/>
  <c r="W75" i="18"/>
  <c r="G75" i="18"/>
  <c r="D75" i="18"/>
  <c r="BS74" i="18"/>
  <c r="BC74" i="18"/>
  <c r="AM74" i="18"/>
  <c r="W74" i="18"/>
  <c r="G74" i="18"/>
  <c r="D74" i="18"/>
  <c r="BS73" i="18"/>
  <c r="BC73" i="18"/>
  <c r="AM73" i="18"/>
  <c r="W73" i="18"/>
  <c r="G73" i="18"/>
  <c r="D73" i="18"/>
  <c r="BS72" i="18"/>
  <c r="BC72" i="18"/>
  <c r="AM72" i="18"/>
  <c r="W72" i="18"/>
  <c r="G72" i="18"/>
  <c r="D72" i="18"/>
  <c r="BS71" i="18"/>
  <c r="BC71" i="18"/>
  <c r="AM71" i="18"/>
  <c r="W71" i="18"/>
  <c r="G71" i="18"/>
  <c r="D71" i="18"/>
  <c r="BS70" i="18"/>
  <c r="BC70" i="18"/>
  <c r="AM70" i="18"/>
  <c r="W70" i="18"/>
  <c r="G70" i="18"/>
  <c r="D70" i="18"/>
  <c r="BS69" i="18"/>
  <c r="BC69" i="18"/>
  <c r="AM69" i="18"/>
  <c r="W69" i="18"/>
  <c r="G69" i="18"/>
  <c r="D69" i="18"/>
  <c r="BS68" i="18"/>
  <c r="BC68" i="18"/>
  <c r="AM68" i="18"/>
  <c r="W68" i="18"/>
  <c r="G68" i="18"/>
  <c r="D68" i="18"/>
  <c r="BS67" i="18"/>
  <c r="BC67" i="18"/>
  <c r="AM67" i="18"/>
  <c r="W67" i="18"/>
  <c r="G67" i="18"/>
  <c r="D67" i="18"/>
  <c r="BS66" i="18"/>
  <c r="BC66" i="18"/>
  <c r="AM66" i="18"/>
  <c r="W66" i="18"/>
  <c r="G66" i="18"/>
  <c r="D66" i="18"/>
  <c r="BS65" i="18"/>
  <c r="BC65" i="18"/>
  <c r="AM65" i="18"/>
  <c r="W65" i="18"/>
  <c r="G65" i="18"/>
  <c r="D65" i="18"/>
  <c r="BS64" i="18"/>
  <c r="BC64" i="18"/>
  <c r="AM64" i="18"/>
  <c r="W64" i="18"/>
  <c r="G64" i="18"/>
  <c r="D64" i="18"/>
  <c r="BS63" i="18"/>
  <c r="BC63" i="18"/>
  <c r="AM63" i="18"/>
  <c r="W63" i="18"/>
  <c r="G63" i="18"/>
  <c r="D63" i="18"/>
  <c r="BS62" i="18"/>
  <c r="BC62" i="18"/>
  <c r="AM62" i="18"/>
  <c r="W62" i="18"/>
  <c r="G62" i="18"/>
  <c r="D62" i="18"/>
  <c r="BS61" i="18"/>
  <c r="BC61" i="18"/>
  <c r="AM61" i="18"/>
  <c r="W61" i="18"/>
  <c r="G61" i="18"/>
  <c r="D61" i="18"/>
  <c r="BS60" i="18"/>
  <c r="BC60" i="18"/>
  <c r="AM60" i="18"/>
  <c r="W60" i="18"/>
  <c r="G60" i="18"/>
  <c r="D60" i="18"/>
  <c r="BS59" i="18"/>
  <c r="BC59" i="18"/>
  <c r="AM59" i="18"/>
  <c r="W59" i="18"/>
  <c r="G59" i="18"/>
  <c r="D59" i="18"/>
  <c r="BS58" i="18"/>
  <c r="BC58" i="18"/>
  <c r="AM58" i="18"/>
  <c r="W58" i="18"/>
  <c r="G58" i="18"/>
  <c r="D58" i="18"/>
  <c r="BS57" i="18"/>
  <c r="BC57" i="18"/>
  <c r="AM57" i="18"/>
  <c r="W57" i="18"/>
  <c r="G57" i="18"/>
  <c r="D57" i="18"/>
  <c r="BS56" i="18"/>
  <c r="BC56" i="18"/>
  <c r="AM56" i="18"/>
  <c r="W56" i="18"/>
  <c r="G56" i="18"/>
  <c r="D56" i="18"/>
  <c r="BS55" i="18"/>
  <c r="BC55" i="18"/>
  <c r="AM55" i="18"/>
  <c r="W55" i="18"/>
  <c r="G55" i="18"/>
  <c r="D55" i="18"/>
  <c r="BS54" i="18"/>
  <c r="BC54" i="18"/>
  <c r="AM54" i="18"/>
  <c r="W54" i="18"/>
  <c r="G54" i="18"/>
  <c r="D54" i="18"/>
  <c r="BS53" i="18"/>
  <c r="BC53" i="18"/>
  <c r="AM53" i="18"/>
  <c r="W53" i="18"/>
  <c r="G53" i="18"/>
  <c r="D53" i="18"/>
  <c r="BS52" i="18"/>
  <c r="BC52" i="18"/>
  <c r="AM52" i="18"/>
  <c r="W52" i="18"/>
  <c r="G52" i="18"/>
  <c r="D52" i="18"/>
  <c r="BS51" i="18"/>
  <c r="BC51" i="18"/>
  <c r="AM51" i="18"/>
  <c r="W51" i="18"/>
  <c r="G51" i="18"/>
  <c r="D51" i="18"/>
  <c r="BS50" i="18"/>
  <c r="BC50" i="18"/>
  <c r="AM50" i="18"/>
  <c r="W50" i="18"/>
  <c r="G50" i="18"/>
  <c r="D50" i="18"/>
  <c r="BS49" i="18"/>
  <c r="BC49" i="18"/>
  <c r="AM49" i="18"/>
  <c r="W49" i="18"/>
  <c r="G49" i="18"/>
  <c r="D49" i="18"/>
  <c r="BS48" i="18"/>
  <c r="BC48" i="18"/>
  <c r="AM48" i="18"/>
  <c r="W48" i="18"/>
  <c r="G48" i="18"/>
  <c r="D48" i="18"/>
  <c r="BS47" i="18"/>
  <c r="BC47" i="18"/>
  <c r="AM47" i="18"/>
  <c r="W47" i="18"/>
  <c r="G47" i="18"/>
  <c r="D47" i="18"/>
  <c r="BS46" i="18"/>
  <c r="BC46" i="18"/>
  <c r="AM46" i="18"/>
  <c r="W46" i="18"/>
  <c r="G46" i="18"/>
  <c r="D46" i="18"/>
  <c r="BS45" i="18"/>
  <c r="BC45" i="18"/>
  <c r="AM45" i="18"/>
  <c r="W45" i="18"/>
  <c r="G45" i="18"/>
  <c r="D45" i="18"/>
  <c r="BS44" i="18"/>
  <c r="BC44" i="18"/>
  <c r="AM44" i="18"/>
  <c r="W44" i="18"/>
  <c r="G44" i="18"/>
  <c r="D44" i="18"/>
  <c r="BS43" i="18"/>
  <c r="BC43" i="18"/>
  <c r="AM43" i="18"/>
  <c r="W43" i="18"/>
  <c r="G43" i="18"/>
  <c r="D43" i="18"/>
  <c r="BS42" i="18"/>
  <c r="BC42" i="18"/>
  <c r="AM42" i="18"/>
  <c r="W42" i="18"/>
  <c r="G42" i="18"/>
  <c r="D42" i="18"/>
  <c r="BS41" i="18"/>
  <c r="BC41" i="18"/>
  <c r="AM41" i="18"/>
  <c r="W41" i="18"/>
  <c r="G41" i="18"/>
  <c r="D41" i="18"/>
  <c r="BS40" i="18"/>
  <c r="BC40" i="18"/>
  <c r="AM40" i="18"/>
  <c r="W40" i="18"/>
  <c r="G40" i="18"/>
  <c r="D40" i="18"/>
  <c r="BS39" i="18"/>
  <c r="BC39" i="18"/>
  <c r="AM39" i="18"/>
  <c r="W39" i="18"/>
  <c r="G39" i="18"/>
  <c r="D39" i="18"/>
  <c r="BS38" i="18"/>
  <c r="BC38" i="18"/>
  <c r="AM38" i="18"/>
  <c r="W38" i="18"/>
  <c r="G38" i="18"/>
  <c r="D38" i="18"/>
  <c r="BS37" i="18"/>
  <c r="BC37" i="18"/>
  <c r="AM37" i="18"/>
  <c r="W37" i="18"/>
  <c r="G37" i="18"/>
  <c r="D37" i="18"/>
  <c r="BS36" i="18"/>
  <c r="BC36" i="18"/>
  <c r="AM36" i="18"/>
  <c r="W36" i="18"/>
  <c r="G36" i="18"/>
  <c r="D36" i="18"/>
  <c r="BS35" i="18"/>
  <c r="BC35" i="18"/>
  <c r="AM35" i="18"/>
  <c r="W35" i="18"/>
  <c r="G35" i="18"/>
  <c r="D35" i="18"/>
  <c r="BS34" i="18"/>
  <c r="BC34" i="18"/>
  <c r="AM34" i="18"/>
  <c r="W34" i="18"/>
  <c r="G34" i="18"/>
  <c r="D34" i="18"/>
  <c r="BS33" i="18"/>
  <c r="BC33" i="18"/>
  <c r="AM33" i="18"/>
  <c r="W33" i="18"/>
  <c r="G33" i="18"/>
  <c r="D33" i="18"/>
  <c r="BS32" i="18"/>
  <c r="BC32" i="18"/>
  <c r="AM32" i="18"/>
  <c r="W32" i="18"/>
  <c r="G32" i="18"/>
  <c r="D32" i="18"/>
  <c r="BS31" i="18"/>
  <c r="BC31" i="18"/>
  <c r="AM31" i="18"/>
  <c r="W31" i="18"/>
  <c r="G31" i="18"/>
  <c r="D31" i="18"/>
  <c r="BS30" i="18"/>
  <c r="BC30" i="18"/>
  <c r="AM30" i="18"/>
  <c r="W30" i="18"/>
  <c r="G30" i="18"/>
  <c r="D30" i="18"/>
  <c r="BS29" i="18"/>
  <c r="BC29" i="18"/>
  <c r="AM29" i="18"/>
  <c r="W29" i="18"/>
  <c r="G29" i="18"/>
  <c r="D29" i="18"/>
  <c r="BS28" i="18"/>
  <c r="BC28" i="18"/>
  <c r="AM28" i="18"/>
  <c r="W28" i="18"/>
  <c r="G28" i="18"/>
  <c r="D28" i="18"/>
  <c r="BS27" i="18"/>
  <c r="BC27" i="18"/>
  <c r="AM27" i="18"/>
  <c r="W27" i="18"/>
  <c r="G27" i="18"/>
  <c r="D27" i="18"/>
  <c r="BS26" i="18"/>
  <c r="BC26" i="18"/>
  <c r="AM26" i="18"/>
  <c r="W26" i="18"/>
  <c r="G26" i="18"/>
  <c r="D26" i="18"/>
  <c r="BS25" i="18"/>
  <c r="BC25" i="18"/>
  <c r="AM25" i="18"/>
  <c r="W25" i="18"/>
  <c r="G25" i="18"/>
  <c r="D25" i="18"/>
  <c r="BS24" i="18"/>
  <c r="BC24" i="18"/>
  <c r="AM24" i="18"/>
  <c r="W24" i="18"/>
  <c r="G24" i="18"/>
  <c r="D24" i="18"/>
  <c r="BS23" i="18"/>
  <c r="BC23" i="18"/>
  <c r="AM23" i="18"/>
  <c r="W23" i="18"/>
  <c r="G23" i="18"/>
  <c r="D23" i="18"/>
  <c r="BS22" i="18"/>
  <c r="BC22" i="18"/>
  <c r="AM22" i="18"/>
  <c r="W22" i="18"/>
  <c r="G22" i="18"/>
  <c r="D22" i="18"/>
  <c r="BS21" i="18"/>
  <c r="BC21" i="18"/>
  <c r="AM21" i="18"/>
  <c r="W21" i="18"/>
  <c r="G21" i="18"/>
  <c r="D21" i="18"/>
  <c r="BS20" i="18"/>
  <c r="BC20" i="18"/>
  <c r="AM20" i="18"/>
  <c r="W20" i="18"/>
  <c r="G20" i="18"/>
  <c r="D20" i="18"/>
  <c r="BS19" i="18"/>
  <c r="BC19" i="18"/>
  <c r="AM19" i="18"/>
  <c r="W19" i="18"/>
  <c r="G19" i="18"/>
  <c r="D19" i="18"/>
  <c r="BS18" i="18"/>
  <c r="BC18" i="18"/>
  <c r="AM18" i="18"/>
  <c r="W18" i="18"/>
  <c r="G18" i="18"/>
  <c r="D18" i="18"/>
  <c r="BS17" i="18"/>
  <c r="BC17" i="18"/>
  <c r="AM17" i="18"/>
  <c r="W17" i="18"/>
  <c r="G17" i="18"/>
  <c r="D17" i="18"/>
  <c r="BS16" i="18"/>
  <c r="BC16" i="18"/>
  <c r="AM16" i="18"/>
  <c r="W16" i="18"/>
  <c r="G16" i="18"/>
  <c r="D16" i="18"/>
  <c r="BS15" i="18"/>
  <c r="BC15" i="18"/>
  <c r="AM15" i="18"/>
  <c r="W15" i="18"/>
  <c r="G15" i="18"/>
  <c r="D15" i="18"/>
  <c r="BS14" i="18"/>
  <c r="BC14" i="18"/>
  <c r="AM14" i="18"/>
  <c r="W14" i="18"/>
  <c r="G14" i="18"/>
  <c r="D14" i="18"/>
  <c r="BS13" i="18"/>
  <c r="BC13" i="18"/>
  <c r="AM13" i="18"/>
  <c r="W13" i="18"/>
  <c r="G13" i="18"/>
  <c r="D13" i="18"/>
  <c r="BS12" i="18"/>
  <c r="BC12" i="18"/>
  <c r="AM12" i="18"/>
  <c r="W12" i="18"/>
  <c r="G12" i="18"/>
  <c r="D12" i="18"/>
  <c r="BS11" i="18"/>
  <c r="BC11" i="18"/>
  <c r="AM11" i="18"/>
  <c r="W11" i="18"/>
  <c r="G11" i="18"/>
  <c r="D11" i="18"/>
  <c r="BS10" i="18"/>
  <c r="BC10" i="18"/>
  <c r="AM10" i="18"/>
  <c r="W10" i="18"/>
  <c r="G10" i="18"/>
  <c r="D10" i="18"/>
  <c r="BS9" i="18"/>
  <c r="BC9" i="18"/>
  <c r="AM9" i="18"/>
  <c r="AS5" i="18" s="1"/>
  <c r="W9" i="18"/>
  <c r="G9" i="18"/>
  <c r="D9" i="18"/>
  <c r="BS8" i="18"/>
  <c r="BC8" i="18"/>
  <c r="AM8" i="18"/>
  <c r="W8" i="18"/>
  <c r="AC4" i="18" s="1"/>
  <c r="G8" i="18"/>
  <c r="D8" i="18"/>
  <c r="BY7" i="18"/>
  <c r="I13" i="16" s="1"/>
  <c r="BI7" i="18"/>
  <c r="BF6" i="18" s="1"/>
  <c r="BF12" i="18" s="1"/>
  <c r="AS7" i="18"/>
  <c r="AC7" i="18"/>
  <c r="M7" i="18"/>
  <c r="I10" i="16" s="1"/>
  <c r="AP6" i="18"/>
  <c r="AP12" i="18" s="1"/>
  <c r="Z6" i="18"/>
  <c r="Z12" i="18" s="1"/>
  <c r="J6" i="18"/>
  <c r="J12" i="18" s="1"/>
  <c r="AC5" i="18"/>
  <c r="E23" i="16"/>
  <c r="J32" i="16" s="1"/>
  <c r="E24" i="16"/>
  <c r="I39" i="16" s="1"/>
  <c r="F17" i="16"/>
  <c r="F16" i="16"/>
  <c r="E14" i="16"/>
  <c r="D14" i="16"/>
  <c r="H14" i="16" s="1"/>
  <c r="E13" i="16"/>
  <c r="D13" i="16"/>
  <c r="I12" i="16"/>
  <c r="E12" i="16"/>
  <c r="D12" i="16"/>
  <c r="H12" i="16" s="1"/>
  <c r="I11" i="16"/>
  <c r="C32" i="16"/>
  <c r="H41" i="14"/>
  <c r="C75" i="6"/>
  <c r="D75" i="6"/>
  <c r="E75" i="6"/>
  <c r="F75" i="6"/>
  <c r="G75" i="6"/>
  <c r="H75" i="6"/>
  <c r="I75" i="6"/>
  <c r="J75" i="6"/>
  <c r="K75" i="6"/>
  <c r="B75" i="6"/>
  <c r="C77" i="6"/>
  <c r="D41" i="14" s="1"/>
  <c r="D77" i="6"/>
  <c r="E37" i="14" s="1"/>
  <c r="E77" i="6"/>
  <c r="F40" i="14" s="1"/>
  <c r="F77" i="6"/>
  <c r="G34" i="14" s="1"/>
  <c r="G77" i="6"/>
  <c r="H39" i="14" s="1"/>
  <c r="H77" i="6"/>
  <c r="I41" i="14" s="1"/>
  <c r="I77" i="6"/>
  <c r="J39" i="14" s="1"/>
  <c r="J77" i="6"/>
  <c r="K40" i="14" s="1"/>
  <c r="K77" i="6"/>
  <c r="L40" i="14" s="1"/>
  <c r="B77" i="6"/>
  <c r="C41" i="14" s="1"/>
  <c r="L32" i="14"/>
  <c r="K32" i="14"/>
  <c r="J32" i="14"/>
  <c r="I32" i="14"/>
  <c r="H32" i="14"/>
  <c r="G32" i="14"/>
  <c r="F32" i="14"/>
  <c r="E32" i="14"/>
  <c r="D32" i="14"/>
  <c r="C32" i="14"/>
  <c r="L31" i="14"/>
  <c r="K31" i="14"/>
  <c r="J31" i="14"/>
  <c r="I31" i="14"/>
  <c r="H31" i="14"/>
  <c r="G31" i="14"/>
  <c r="F31" i="14"/>
  <c r="E31" i="14"/>
  <c r="D31" i="14"/>
  <c r="C31" i="14"/>
  <c r="L30" i="14"/>
  <c r="K30" i="14"/>
  <c r="J30" i="14"/>
  <c r="I30" i="14"/>
  <c r="H30" i="14"/>
  <c r="G30" i="14"/>
  <c r="F30" i="14"/>
  <c r="E30" i="14"/>
  <c r="D30" i="14"/>
  <c r="C30" i="14"/>
  <c r="L29" i="14"/>
  <c r="K29" i="14"/>
  <c r="J29" i="14"/>
  <c r="I29" i="14"/>
  <c r="H29" i="14"/>
  <c r="G29" i="14"/>
  <c r="F29" i="14"/>
  <c r="E29" i="14"/>
  <c r="D29" i="14"/>
  <c r="C29" i="14"/>
  <c r="D28" i="14"/>
  <c r="E28" i="14"/>
  <c r="F28" i="14"/>
  <c r="G28" i="14"/>
  <c r="H28" i="14"/>
  <c r="I28" i="14"/>
  <c r="J28" i="14"/>
  <c r="K28" i="14"/>
  <c r="L28" i="14"/>
  <c r="C28" i="14"/>
  <c r="L26" i="14"/>
  <c r="K26" i="14"/>
  <c r="J26" i="14"/>
  <c r="I26" i="14"/>
  <c r="H26" i="14"/>
  <c r="G26" i="14"/>
  <c r="F26" i="14"/>
  <c r="E26" i="14"/>
  <c r="D26" i="14"/>
  <c r="C26" i="14"/>
  <c r="D4" i="14"/>
  <c r="E4" i="14"/>
  <c r="F4" i="14"/>
  <c r="G4" i="14"/>
  <c r="H4" i="14"/>
  <c r="I4" i="14"/>
  <c r="J4" i="14"/>
  <c r="K4" i="14"/>
  <c r="L4" i="14"/>
  <c r="C4" i="14"/>
  <c r="B24" i="14"/>
  <c r="C33" i="6"/>
  <c r="D21" i="14" s="1"/>
  <c r="D33" i="6"/>
  <c r="E21" i="14" s="1"/>
  <c r="E33" i="6"/>
  <c r="F21" i="14" s="1"/>
  <c r="F33" i="6"/>
  <c r="G21" i="14" s="1"/>
  <c r="G33" i="6"/>
  <c r="H21" i="14" s="1"/>
  <c r="H33" i="6"/>
  <c r="I21" i="14" s="1"/>
  <c r="I33" i="6"/>
  <c r="J21" i="14" s="1"/>
  <c r="J33" i="6"/>
  <c r="K21" i="14" s="1"/>
  <c r="K33" i="6"/>
  <c r="L21" i="14" s="1"/>
  <c r="B33" i="6"/>
  <c r="C21" i="14" s="1"/>
  <c r="C7" i="14"/>
  <c r="D7" i="14"/>
  <c r="E7" i="14"/>
  <c r="F7" i="14"/>
  <c r="G7" i="14"/>
  <c r="H7" i="14"/>
  <c r="I7" i="14"/>
  <c r="J7" i="14"/>
  <c r="K7" i="14"/>
  <c r="L7" i="14"/>
  <c r="C8" i="14"/>
  <c r="D8" i="14"/>
  <c r="E8" i="14"/>
  <c r="F8" i="14"/>
  <c r="G8" i="14"/>
  <c r="H8" i="14"/>
  <c r="I8" i="14"/>
  <c r="J8" i="14"/>
  <c r="K8" i="14"/>
  <c r="L8" i="14"/>
  <c r="C9" i="14"/>
  <c r="D9" i="14"/>
  <c r="E9" i="14"/>
  <c r="F9" i="14"/>
  <c r="G9" i="14"/>
  <c r="H9" i="14"/>
  <c r="I9" i="14"/>
  <c r="J9" i="14"/>
  <c r="K9" i="14"/>
  <c r="L9" i="14"/>
  <c r="C10" i="14"/>
  <c r="D10" i="14"/>
  <c r="E10" i="14"/>
  <c r="F10" i="14"/>
  <c r="G10" i="14"/>
  <c r="H10" i="14"/>
  <c r="I10" i="14"/>
  <c r="J10" i="14"/>
  <c r="K10" i="14"/>
  <c r="L10" i="14"/>
  <c r="C11" i="14"/>
  <c r="D11" i="14"/>
  <c r="E11" i="14"/>
  <c r="F11" i="14"/>
  <c r="G11" i="14"/>
  <c r="H11" i="14"/>
  <c r="I11" i="14"/>
  <c r="J11" i="14"/>
  <c r="K11" i="14"/>
  <c r="L11" i="14"/>
  <c r="C12" i="14"/>
  <c r="D12" i="14"/>
  <c r="E12" i="14"/>
  <c r="F12" i="14"/>
  <c r="G12" i="14"/>
  <c r="H12" i="14"/>
  <c r="I12" i="14"/>
  <c r="J12" i="14"/>
  <c r="K12" i="14"/>
  <c r="L12" i="14"/>
  <c r="C13" i="14"/>
  <c r="D13" i="14"/>
  <c r="E13" i="14"/>
  <c r="F13" i="14"/>
  <c r="G13" i="14"/>
  <c r="H13" i="14"/>
  <c r="I13" i="14"/>
  <c r="J13" i="14"/>
  <c r="K13" i="14"/>
  <c r="L13" i="14"/>
  <c r="C14" i="14"/>
  <c r="D14" i="14"/>
  <c r="E14" i="14"/>
  <c r="F14" i="14"/>
  <c r="G14" i="14"/>
  <c r="H14" i="14"/>
  <c r="I14" i="14"/>
  <c r="J14" i="14"/>
  <c r="K14" i="14"/>
  <c r="L14" i="14"/>
  <c r="C15" i="14"/>
  <c r="D15" i="14"/>
  <c r="E15" i="14"/>
  <c r="F15" i="14"/>
  <c r="G15" i="14"/>
  <c r="H15" i="14"/>
  <c r="I15" i="14"/>
  <c r="J15" i="14"/>
  <c r="K15" i="14"/>
  <c r="L15" i="14"/>
  <c r="C16" i="14"/>
  <c r="D16" i="14"/>
  <c r="E16" i="14"/>
  <c r="F16" i="14"/>
  <c r="G16" i="14"/>
  <c r="H16" i="14"/>
  <c r="I16" i="14"/>
  <c r="J16" i="14"/>
  <c r="K16" i="14"/>
  <c r="L16" i="14"/>
  <c r="C17" i="14"/>
  <c r="D17" i="14"/>
  <c r="E17" i="14"/>
  <c r="F17" i="14"/>
  <c r="G17" i="14"/>
  <c r="H17" i="14"/>
  <c r="I17" i="14"/>
  <c r="J17" i="14"/>
  <c r="K17" i="14"/>
  <c r="L17" i="14"/>
  <c r="C18" i="14"/>
  <c r="D18" i="14"/>
  <c r="E18" i="14"/>
  <c r="F18" i="14"/>
  <c r="G18" i="14"/>
  <c r="H18" i="14"/>
  <c r="I18" i="14"/>
  <c r="J18" i="14"/>
  <c r="K18" i="14"/>
  <c r="L18" i="14"/>
  <c r="C19" i="14"/>
  <c r="D19" i="14"/>
  <c r="E19" i="14"/>
  <c r="F19" i="14"/>
  <c r="G19" i="14"/>
  <c r="H19" i="14"/>
  <c r="I19" i="14"/>
  <c r="J19" i="14"/>
  <c r="K19" i="14"/>
  <c r="L19" i="14"/>
  <c r="C20" i="14"/>
  <c r="D20" i="14"/>
  <c r="E20" i="14"/>
  <c r="F20" i="14"/>
  <c r="G20" i="14"/>
  <c r="H20" i="14"/>
  <c r="I20" i="14"/>
  <c r="J20" i="14"/>
  <c r="K20" i="14"/>
  <c r="L20" i="14"/>
  <c r="D6" i="14"/>
  <c r="E6" i="14"/>
  <c r="F6" i="14"/>
  <c r="G6" i="14"/>
  <c r="H6" i="14"/>
  <c r="I6" i="14"/>
  <c r="J6" i="14"/>
  <c r="K6" i="14"/>
  <c r="L6" i="14"/>
  <c r="C6" i="14"/>
  <c r="B21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6" i="14"/>
  <c r="B2" i="14"/>
  <c r="L2" i="13"/>
  <c r="L5" i="13"/>
  <c r="L6" i="13" s="1"/>
  <c r="L7" i="13" s="1"/>
  <c r="L8" i="13" s="1"/>
  <c r="L9" i="13" s="1"/>
  <c r="L10" i="13" s="1"/>
  <c r="L11" i="13" s="1"/>
  <c r="L12" i="13" s="1"/>
  <c r="L13" i="13" s="1"/>
  <c r="L14" i="13" s="1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O3" i="13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C4" i="13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G2" i="13"/>
  <c r="B2" i="13"/>
  <c r="G5" i="13"/>
  <c r="G6" i="13" s="1"/>
  <c r="G7" i="13" s="1"/>
  <c r="G8" i="13" s="1"/>
  <c r="G9" i="13" s="1"/>
  <c r="G10" i="13" s="1"/>
  <c r="G11" i="13" s="1"/>
  <c r="G12" i="13" s="1"/>
  <c r="G13" i="13" s="1"/>
  <c r="G14" i="13" s="1"/>
  <c r="J3" i="13"/>
  <c r="E3" i="13"/>
  <c r="D4" i="13" a="1"/>
  <c r="D4" i="13" s="1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F6" i="24" l="1"/>
  <c r="F8" i="24" s="1"/>
  <c r="F12" i="24" s="1"/>
  <c r="H4" i="24"/>
  <c r="G6" i="24"/>
  <c r="G8" i="24" s="1"/>
  <c r="G12" i="24" s="1"/>
  <c r="I2" i="24"/>
  <c r="J2" i="24" s="1"/>
  <c r="F41" i="14"/>
  <c r="E38" i="14"/>
  <c r="D38" i="14"/>
  <c r="C34" i="14"/>
  <c r="C35" i="14"/>
  <c r="C38" i="14"/>
  <c r="C40" i="14"/>
  <c r="F34" i="14"/>
  <c r="H34" i="14"/>
  <c r="D35" i="14"/>
  <c r="I38" i="14"/>
  <c r="F37" i="14"/>
  <c r="H38" i="14"/>
  <c r="H37" i="14"/>
  <c r="G38" i="14"/>
  <c r="D39" i="14"/>
  <c r="F38" i="14"/>
  <c r="I40" i="14"/>
  <c r="I34" i="14"/>
  <c r="J34" i="14"/>
  <c r="I35" i="14"/>
  <c r="C37" i="14"/>
  <c r="K35" i="14"/>
  <c r="I39" i="14"/>
  <c r="J41" i="14"/>
  <c r="F35" i="14"/>
  <c r="F39" i="14"/>
  <c r="L38" i="14"/>
  <c r="C36" i="14"/>
  <c r="G36" i="14"/>
  <c r="K39" i="14"/>
  <c r="J37" i="14"/>
  <c r="C39" i="14"/>
  <c r="H36" i="14"/>
  <c r="G40" i="14"/>
  <c r="J38" i="14"/>
  <c r="I36" i="14"/>
  <c r="H40" i="14"/>
  <c r="E41" i="14"/>
  <c r="L35" i="14"/>
  <c r="L39" i="14"/>
  <c r="D36" i="14"/>
  <c r="G37" i="14"/>
  <c r="D40" i="14"/>
  <c r="G41" i="14"/>
  <c r="K34" i="14"/>
  <c r="E36" i="14"/>
  <c r="K38" i="14"/>
  <c r="E40" i="14"/>
  <c r="L34" i="14"/>
  <c r="F36" i="14"/>
  <c r="I37" i="14"/>
  <c r="L41" i="14"/>
  <c r="E35" i="14"/>
  <c r="K37" i="14"/>
  <c r="K41" i="14"/>
  <c r="L37" i="14"/>
  <c r="D34" i="14"/>
  <c r="G35" i="14"/>
  <c r="J36" i="14"/>
  <c r="G39" i="14"/>
  <c r="J40" i="14"/>
  <c r="E39" i="14"/>
  <c r="E34" i="14"/>
  <c r="H35" i="14"/>
  <c r="K36" i="14"/>
  <c r="L36" i="14"/>
  <c r="J35" i="14"/>
  <c r="D37" i="14"/>
  <c r="I30" i="23"/>
  <c r="I32" i="23" s="1"/>
  <c r="J30" i="23"/>
  <c r="J32" i="23" s="1"/>
  <c r="G30" i="23"/>
  <c r="G32" i="23" s="1"/>
  <c r="K30" i="23"/>
  <c r="K32" i="23" s="1"/>
  <c r="H30" i="23"/>
  <c r="H32" i="23" s="1"/>
  <c r="I15" i="23"/>
  <c r="J15" i="23"/>
  <c r="H15" i="23"/>
  <c r="I9" i="23"/>
  <c r="K9" i="23"/>
  <c r="J9" i="23"/>
  <c r="G9" i="23"/>
  <c r="H9" i="23"/>
  <c r="K15" i="23"/>
  <c r="G15" i="23"/>
  <c r="H10" i="16"/>
  <c r="H13" i="16"/>
  <c r="BY5" i="18"/>
  <c r="BY4" i="18"/>
  <c r="BI4" i="18"/>
  <c r="BI5" i="18"/>
  <c r="AS4" i="18"/>
  <c r="M5" i="18"/>
  <c r="C31" i="16"/>
  <c r="C33" i="16" s="1"/>
  <c r="H11" i="16"/>
  <c r="D32" i="16"/>
  <c r="I16" i="16"/>
  <c r="I17" i="16"/>
  <c r="G10" i="16"/>
  <c r="G12" i="16"/>
  <c r="J12" i="16" s="1"/>
  <c r="G14" i="16"/>
  <c r="I14" i="16"/>
  <c r="J14" i="16" s="1"/>
  <c r="M4" i="18"/>
  <c r="BV6" i="18"/>
  <c r="BV12" i="18" s="1"/>
  <c r="G11" i="16"/>
  <c r="J11" i="16" s="1"/>
  <c r="G13" i="16"/>
  <c r="J13" i="16" s="1"/>
  <c r="D18" i="13"/>
  <c r="L15" i="13"/>
  <c r="E5" i="13"/>
  <c r="E6" i="13"/>
  <c r="E7" i="13"/>
  <c r="D17" i="13"/>
  <c r="E8" i="13"/>
  <c r="D16" i="13"/>
  <c r="E9" i="13"/>
  <c r="D15" i="13"/>
  <c r="E10" i="13"/>
  <c r="D14" i="13"/>
  <c r="E14" i="13" s="1"/>
  <c r="E11" i="13"/>
  <c r="E12" i="13"/>
  <c r="E13" i="13"/>
  <c r="G15" i="13"/>
  <c r="I4" i="24" l="1"/>
  <c r="H6" i="24"/>
  <c r="H8" i="24" s="1"/>
  <c r="H12" i="24" s="1"/>
  <c r="J17" i="23"/>
  <c r="J34" i="23" s="1"/>
  <c r="I17" i="23"/>
  <c r="I34" i="23" s="1"/>
  <c r="H17" i="23"/>
  <c r="G17" i="23"/>
  <c r="G34" i="23" s="1"/>
  <c r="K17" i="23"/>
  <c r="H16" i="16"/>
  <c r="E31" i="16" s="1"/>
  <c r="E32" i="16" s="1"/>
  <c r="J40" i="16" s="1"/>
  <c r="D31" i="16"/>
  <c r="H17" i="16"/>
  <c r="G16" i="16"/>
  <c r="G17" i="16"/>
  <c r="D35" i="16"/>
  <c r="D33" i="16"/>
  <c r="J10" i="16"/>
  <c r="E17" i="13"/>
  <c r="L16" i="13"/>
  <c r="E15" i="13"/>
  <c r="E16" i="13"/>
  <c r="E18" i="13"/>
  <c r="G16" i="13"/>
  <c r="J4" i="24" l="1"/>
  <c r="J6" i="24" s="1"/>
  <c r="J8" i="24" s="1"/>
  <c r="J12" i="24" s="1"/>
  <c r="D20" i="24" s="1"/>
  <c r="D24" i="24" s="1"/>
  <c r="D29" i="24" s="1"/>
  <c r="I6" i="24"/>
  <c r="I8" i="24" s="1"/>
  <c r="I12" i="24" s="1"/>
  <c r="K34" i="23"/>
  <c r="K45" i="23"/>
  <c r="K49" i="23" s="1"/>
  <c r="H34" i="23"/>
  <c r="H45" i="23"/>
  <c r="H49" i="23" s="1"/>
  <c r="I45" i="23"/>
  <c r="I49" i="23" s="1"/>
  <c r="J45" i="23"/>
  <c r="J49" i="23" s="1"/>
  <c r="J39" i="16"/>
  <c r="E35" i="16"/>
  <c r="J31" i="16" s="1"/>
  <c r="J16" i="16"/>
  <c r="J17" i="16"/>
  <c r="J30" i="16" s="1"/>
  <c r="L17" i="13"/>
  <c r="G17" i="13"/>
  <c r="D28" i="24" l="1"/>
  <c r="J33" i="16"/>
  <c r="J24" i="16" s="1"/>
  <c r="J25" i="16" s="1"/>
  <c r="I40" i="16" s="1"/>
  <c r="J41" i="16" s="1"/>
  <c r="L18" i="13"/>
  <c r="G18" i="13"/>
  <c r="B2" i="10"/>
  <c r="L3" i="10"/>
  <c r="K3" i="10"/>
  <c r="J3" i="10"/>
  <c r="I3" i="10"/>
  <c r="H3" i="10"/>
  <c r="G3" i="10"/>
  <c r="F3" i="10"/>
  <c r="E3" i="10"/>
  <c r="D3" i="10"/>
  <c r="C3" i="10"/>
  <c r="L104" i="8"/>
  <c r="K104" i="8"/>
  <c r="J104" i="8"/>
  <c r="I104" i="8"/>
  <c r="H104" i="8"/>
  <c r="G104" i="8"/>
  <c r="F104" i="8"/>
  <c r="E104" i="8"/>
  <c r="D104" i="8"/>
  <c r="C104" i="8"/>
  <c r="L103" i="8"/>
  <c r="K103" i="8"/>
  <c r="J103" i="8"/>
  <c r="I103" i="8"/>
  <c r="H103" i="8"/>
  <c r="G103" i="8"/>
  <c r="F103" i="8"/>
  <c r="E103" i="8"/>
  <c r="D103" i="8"/>
  <c r="C103" i="8"/>
  <c r="L102" i="8"/>
  <c r="K102" i="8"/>
  <c r="J102" i="8"/>
  <c r="I102" i="8"/>
  <c r="H102" i="8"/>
  <c r="G102" i="8"/>
  <c r="F102" i="8"/>
  <c r="E102" i="8"/>
  <c r="D102" i="8"/>
  <c r="C102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G100" i="8"/>
  <c r="F100" i="8"/>
  <c r="E100" i="8"/>
  <c r="D100" i="8"/>
  <c r="C100" i="8"/>
  <c r="L99" i="8"/>
  <c r="K99" i="8"/>
  <c r="J99" i="8"/>
  <c r="I99" i="8"/>
  <c r="H99" i="8"/>
  <c r="G99" i="8"/>
  <c r="F99" i="8"/>
  <c r="E99" i="8"/>
  <c r="D99" i="8"/>
  <c r="C99" i="8"/>
  <c r="L98" i="8"/>
  <c r="K98" i="8"/>
  <c r="J98" i="8"/>
  <c r="I98" i="8"/>
  <c r="H98" i="8"/>
  <c r="G98" i="8"/>
  <c r="F98" i="8"/>
  <c r="E98" i="8"/>
  <c r="D98" i="8"/>
  <c r="C98" i="8"/>
  <c r="L97" i="8"/>
  <c r="K97" i="8"/>
  <c r="J97" i="8"/>
  <c r="I97" i="8"/>
  <c r="H97" i="8"/>
  <c r="G97" i="8"/>
  <c r="F97" i="8"/>
  <c r="E97" i="8"/>
  <c r="D97" i="8"/>
  <c r="C97" i="8"/>
  <c r="L93" i="8"/>
  <c r="K93" i="8"/>
  <c r="J93" i="8"/>
  <c r="I93" i="8"/>
  <c r="H93" i="8"/>
  <c r="G93" i="8"/>
  <c r="F93" i="8"/>
  <c r="E93" i="8"/>
  <c r="D93" i="8"/>
  <c r="C93" i="8"/>
  <c r="L92" i="8"/>
  <c r="K92" i="8"/>
  <c r="J92" i="8"/>
  <c r="I92" i="8"/>
  <c r="H92" i="8"/>
  <c r="G92" i="8"/>
  <c r="F92" i="8"/>
  <c r="E92" i="8"/>
  <c r="D92" i="8"/>
  <c r="C92" i="8"/>
  <c r="L91" i="8"/>
  <c r="K91" i="8"/>
  <c r="J91" i="8"/>
  <c r="I91" i="8"/>
  <c r="H91" i="8"/>
  <c r="G91" i="8"/>
  <c r="F91" i="8"/>
  <c r="E91" i="8"/>
  <c r="D91" i="8"/>
  <c r="C91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L84" i="8"/>
  <c r="K84" i="8"/>
  <c r="J84" i="8"/>
  <c r="I84" i="8"/>
  <c r="H84" i="8"/>
  <c r="G84" i="8"/>
  <c r="F84" i="8"/>
  <c r="E84" i="8"/>
  <c r="D84" i="8"/>
  <c r="C84" i="8"/>
  <c r="L83" i="8"/>
  <c r="K83" i="8"/>
  <c r="J83" i="8"/>
  <c r="I83" i="8"/>
  <c r="H83" i="8"/>
  <c r="G83" i="8"/>
  <c r="F83" i="8"/>
  <c r="E83" i="8"/>
  <c r="D83" i="8"/>
  <c r="C83" i="8"/>
  <c r="L79" i="8"/>
  <c r="K79" i="8"/>
  <c r="J79" i="8"/>
  <c r="I79" i="8"/>
  <c r="H79" i="8"/>
  <c r="G79" i="8"/>
  <c r="F79" i="8"/>
  <c r="E79" i="8"/>
  <c r="D79" i="8"/>
  <c r="C79" i="8"/>
  <c r="L78" i="8"/>
  <c r="K78" i="8"/>
  <c r="J78" i="8"/>
  <c r="I78" i="8"/>
  <c r="H78" i="8"/>
  <c r="G78" i="8"/>
  <c r="F78" i="8"/>
  <c r="E78" i="8"/>
  <c r="D78" i="8"/>
  <c r="C78" i="8"/>
  <c r="L77" i="8"/>
  <c r="K77" i="8"/>
  <c r="J77" i="8"/>
  <c r="I77" i="8"/>
  <c r="H77" i="8"/>
  <c r="G77" i="8"/>
  <c r="F77" i="8"/>
  <c r="E77" i="8"/>
  <c r="D77" i="8"/>
  <c r="C77" i="8"/>
  <c r="L76" i="8"/>
  <c r="K76" i="8"/>
  <c r="J76" i="8"/>
  <c r="I76" i="8"/>
  <c r="H76" i="8"/>
  <c r="G76" i="8"/>
  <c r="F76" i="8"/>
  <c r="E76" i="8"/>
  <c r="D76" i="8"/>
  <c r="C76" i="8"/>
  <c r="L75" i="8"/>
  <c r="K75" i="8"/>
  <c r="J75" i="8"/>
  <c r="I75" i="8"/>
  <c r="H75" i="8"/>
  <c r="G75" i="8"/>
  <c r="F75" i="8"/>
  <c r="E75" i="8"/>
  <c r="D75" i="8"/>
  <c r="C75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F72" i="8"/>
  <c r="E72" i="8"/>
  <c r="D72" i="8"/>
  <c r="C72" i="8"/>
  <c r="D30" i="24" l="1"/>
  <c r="D34" i="24" s="1"/>
  <c r="G80" i="8"/>
  <c r="L58" i="8"/>
  <c r="K58" i="8"/>
  <c r="J58" i="8"/>
  <c r="I58" i="8"/>
  <c r="H58" i="8"/>
  <c r="G58" i="8"/>
  <c r="F58" i="8"/>
  <c r="E58" i="8"/>
  <c r="D58" i="8"/>
  <c r="C58" i="8"/>
  <c r="L63" i="8"/>
  <c r="K63" i="8"/>
  <c r="J63" i="8"/>
  <c r="I63" i="8"/>
  <c r="H63" i="8"/>
  <c r="G63" i="8"/>
  <c r="F63" i="8"/>
  <c r="E63" i="8"/>
  <c r="D63" i="8"/>
  <c r="C63" i="8"/>
  <c r="L62" i="8"/>
  <c r="K62" i="8"/>
  <c r="J62" i="8"/>
  <c r="I62" i="8"/>
  <c r="H62" i="8"/>
  <c r="G62" i="8"/>
  <c r="F62" i="8"/>
  <c r="E62" i="8"/>
  <c r="D62" i="8"/>
  <c r="C62" i="8"/>
  <c r="L61" i="8"/>
  <c r="K61" i="8"/>
  <c r="J61" i="8"/>
  <c r="I61" i="8"/>
  <c r="H61" i="8"/>
  <c r="G61" i="8"/>
  <c r="F61" i="8"/>
  <c r="E61" i="8"/>
  <c r="D61" i="8"/>
  <c r="C61" i="8"/>
  <c r="L57" i="8"/>
  <c r="K57" i="8"/>
  <c r="J57" i="8"/>
  <c r="I57" i="8"/>
  <c r="H57" i="8"/>
  <c r="G57" i="8"/>
  <c r="F57" i="8"/>
  <c r="E57" i="8"/>
  <c r="D57" i="8"/>
  <c r="C57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G53" i="8" s="1"/>
  <c r="F49" i="8"/>
  <c r="F53" i="8" s="1"/>
  <c r="E49" i="8"/>
  <c r="D49" i="8"/>
  <c r="C49" i="8"/>
  <c r="J12" i="1"/>
  <c r="J13" i="1" s="1"/>
  <c r="M21" i="8"/>
  <c r="D21" i="8"/>
  <c r="E21" i="8"/>
  <c r="F21" i="8"/>
  <c r="G21" i="8"/>
  <c r="H21" i="8"/>
  <c r="I21" i="8"/>
  <c r="J21" i="8"/>
  <c r="K21" i="8"/>
  <c r="L21" i="8"/>
  <c r="C21" i="8"/>
  <c r="D38" i="8"/>
  <c r="D43" i="8" s="1"/>
  <c r="E38" i="8"/>
  <c r="E43" i="8" s="1"/>
  <c r="E9" i="10" s="1"/>
  <c r="F38" i="8"/>
  <c r="F43" i="8" s="1"/>
  <c r="G38" i="8"/>
  <c r="G43" i="8" s="1"/>
  <c r="G9" i="10" s="1"/>
  <c r="H38" i="8"/>
  <c r="H43" i="8" s="1"/>
  <c r="H9" i="10" s="1"/>
  <c r="I38" i="8"/>
  <c r="I43" i="8" s="1"/>
  <c r="I9" i="10" s="1"/>
  <c r="J38" i="8"/>
  <c r="J43" i="8" s="1"/>
  <c r="J9" i="10" s="1"/>
  <c r="K38" i="8"/>
  <c r="K43" i="8" s="1"/>
  <c r="L38" i="8"/>
  <c r="L43" i="8" s="1"/>
  <c r="M38" i="8"/>
  <c r="M43" i="8" s="1"/>
  <c r="C38" i="8"/>
  <c r="C43" i="8" s="1"/>
  <c r="M32" i="8"/>
  <c r="M26" i="8"/>
  <c r="M23" i="8"/>
  <c r="M18" i="8"/>
  <c r="L32" i="8"/>
  <c r="K32" i="8"/>
  <c r="J32" i="8"/>
  <c r="I32" i="8"/>
  <c r="H32" i="8"/>
  <c r="G32" i="8"/>
  <c r="F32" i="8"/>
  <c r="E32" i="8"/>
  <c r="D32" i="8"/>
  <c r="C32" i="8"/>
  <c r="L26" i="8"/>
  <c r="K26" i="8"/>
  <c r="J26" i="8"/>
  <c r="I26" i="8"/>
  <c r="H26" i="8"/>
  <c r="G26" i="8"/>
  <c r="F26" i="8"/>
  <c r="E26" i="8"/>
  <c r="D26" i="8"/>
  <c r="C26" i="8"/>
  <c r="L23" i="8"/>
  <c r="K23" i="8"/>
  <c r="J23" i="8"/>
  <c r="I23" i="8"/>
  <c r="H23" i="8"/>
  <c r="G23" i="8"/>
  <c r="F23" i="8"/>
  <c r="E23" i="8"/>
  <c r="D23" i="8"/>
  <c r="C23" i="8"/>
  <c r="D15" i="8"/>
  <c r="E15" i="8"/>
  <c r="F15" i="8"/>
  <c r="G15" i="8"/>
  <c r="H15" i="8"/>
  <c r="I15" i="8"/>
  <c r="J15" i="8"/>
  <c r="K15" i="8"/>
  <c r="L15" i="8"/>
  <c r="C15" i="8"/>
  <c r="D9" i="8"/>
  <c r="E9" i="8"/>
  <c r="F9" i="8"/>
  <c r="G9" i="8"/>
  <c r="H9" i="8"/>
  <c r="I9" i="8"/>
  <c r="J9" i="8"/>
  <c r="K9" i="8"/>
  <c r="L9" i="8"/>
  <c r="C9" i="8"/>
  <c r="M6" i="8"/>
  <c r="B2" i="8"/>
  <c r="L6" i="8"/>
  <c r="K6" i="8"/>
  <c r="J6" i="8"/>
  <c r="I6" i="8"/>
  <c r="H6" i="8"/>
  <c r="G6" i="8"/>
  <c r="F6" i="8"/>
  <c r="E6" i="8"/>
  <c r="D6" i="8"/>
  <c r="C6" i="8"/>
  <c r="D3" i="8"/>
  <c r="E3" i="8"/>
  <c r="F3" i="8"/>
  <c r="G3" i="8"/>
  <c r="H3" i="8"/>
  <c r="I3" i="8"/>
  <c r="J3" i="8"/>
  <c r="K3" i="8"/>
  <c r="L3" i="8"/>
  <c r="C3" i="8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3"/>
  <c r="D4" i="3"/>
  <c r="E4" i="3"/>
  <c r="F4" i="3"/>
  <c r="G4" i="3"/>
  <c r="G14" i="3" s="1"/>
  <c r="H4" i="3"/>
  <c r="I4" i="3"/>
  <c r="I14" i="3" s="1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G20" i="2" s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13" i="1" s="1"/>
  <c r="I12" i="1"/>
  <c r="I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E1" i="6"/>
  <c r="H1" i="1" s="1"/>
  <c r="E1" i="2"/>
  <c r="E1" i="3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G14" i="1" l="1"/>
  <c r="D9" i="10"/>
  <c r="E23" i="2"/>
  <c r="J14" i="3"/>
  <c r="B21" i="2"/>
  <c r="F16" i="2"/>
  <c r="G21" i="2"/>
  <c r="I59" i="8"/>
  <c r="H16" i="2"/>
  <c r="J59" i="8"/>
  <c r="H64" i="8"/>
  <c r="H23" i="1"/>
  <c r="D16" i="2"/>
  <c r="E21" i="2"/>
  <c r="K59" i="8"/>
  <c r="D21" i="2"/>
  <c r="D53" i="8"/>
  <c r="L59" i="8"/>
  <c r="J6" i="1"/>
  <c r="J19" i="1" s="1"/>
  <c r="K6" i="1"/>
  <c r="K19" i="1" s="1"/>
  <c r="H14" i="3"/>
  <c r="L6" i="1"/>
  <c r="E53" i="8"/>
  <c r="G40" i="10"/>
  <c r="L12" i="1"/>
  <c r="L13" i="1" s="1"/>
  <c r="L14" i="1" s="1"/>
  <c r="L25" i="1" s="1"/>
  <c r="C53" i="8"/>
  <c r="G64" i="8"/>
  <c r="J64" i="8"/>
  <c r="B6" i="1"/>
  <c r="B19" i="1" s="1"/>
  <c r="L11" i="1"/>
  <c r="G6" i="1"/>
  <c r="G19" i="1" s="1"/>
  <c r="J53" i="8"/>
  <c r="L64" i="8"/>
  <c r="L66" i="8" s="1"/>
  <c r="D64" i="8"/>
  <c r="G16" i="2"/>
  <c r="H21" i="2"/>
  <c r="F9" i="10"/>
  <c r="L53" i="8"/>
  <c r="F64" i="8"/>
  <c r="C59" i="8"/>
  <c r="I64" i="8"/>
  <c r="F14" i="3"/>
  <c r="H53" i="8"/>
  <c r="J23" i="2"/>
  <c r="I53" i="8"/>
  <c r="K64" i="8"/>
  <c r="C64" i="8"/>
  <c r="I21" i="2"/>
  <c r="K53" i="8"/>
  <c r="E64" i="8"/>
  <c r="C27" i="10"/>
  <c r="C30" i="10"/>
  <c r="C31" i="10"/>
  <c r="C29" i="10"/>
  <c r="C28" i="10"/>
  <c r="F23" i="2"/>
  <c r="D29" i="10"/>
  <c r="D35" i="10" s="1"/>
  <c r="D30" i="10"/>
  <c r="D28" i="10"/>
  <c r="D34" i="10" s="1"/>
  <c r="D5" i="10"/>
  <c r="D31" i="10"/>
  <c r="D27" i="10"/>
  <c r="D33" i="10" s="1"/>
  <c r="F59" i="8"/>
  <c r="G12" i="8"/>
  <c r="G13" i="8" s="1"/>
  <c r="G11" i="10" s="1"/>
  <c r="G31" i="10"/>
  <c r="G27" i="10"/>
  <c r="G33" i="10" s="1"/>
  <c r="G5" i="10"/>
  <c r="G38" i="10"/>
  <c r="G30" i="10"/>
  <c r="G29" i="10"/>
  <c r="G35" i="10" s="1"/>
  <c r="G28" i="10"/>
  <c r="G34" i="10" s="1"/>
  <c r="G23" i="2"/>
  <c r="E28" i="10"/>
  <c r="E34" i="10" s="1"/>
  <c r="E30" i="10"/>
  <c r="E31" i="10"/>
  <c r="E27" i="10"/>
  <c r="E33" i="10" s="1"/>
  <c r="E5" i="10"/>
  <c r="E29" i="10"/>
  <c r="E35" i="10" s="1"/>
  <c r="C16" i="2"/>
  <c r="E24" i="2"/>
  <c r="K20" i="2"/>
  <c r="H31" i="10"/>
  <c r="H27" i="10"/>
  <c r="H33" i="10" s="1"/>
  <c r="H5" i="10"/>
  <c r="H30" i="10"/>
  <c r="H28" i="10"/>
  <c r="H34" i="10" s="1"/>
  <c r="H29" i="10"/>
  <c r="H35" i="10" s="1"/>
  <c r="E59" i="8"/>
  <c r="G59" i="8"/>
  <c r="E16" i="2"/>
  <c r="C14" i="1"/>
  <c r="F20" i="2"/>
  <c r="L10" i="1"/>
  <c r="L5" i="1"/>
  <c r="E14" i="3"/>
  <c r="K23" i="2"/>
  <c r="C23" i="2"/>
  <c r="D13" i="1"/>
  <c r="E13" i="1" s="1"/>
  <c r="E14" i="1" s="1"/>
  <c r="I31" i="10"/>
  <c r="I27" i="10"/>
  <c r="I33" i="10" s="1"/>
  <c r="I5" i="10"/>
  <c r="I30" i="10"/>
  <c r="I28" i="10"/>
  <c r="I34" i="10" s="1"/>
  <c r="I29" i="10"/>
  <c r="I35" i="10" s="1"/>
  <c r="D59" i="8"/>
  <c r="F30" i="10"/>
  <c r="F31" i="10"/>
  <c r="F27" i="10"/>
  <c r="F33" i="10" s="1"/>
  <c r="F5" i="10"/>
  <c r="F29" i="10"/>
  <c r="F35" i="10" s="1"/>
  <c r="F28" i="10"/>
  <c r="F34" i="10" s="1"/>
  <c r="E20" i="2"/>
  <c r="D14" i="3"/>
  <c r="J31" i="10"/>
  <c r="J28" i="10"/>
  <c r="J34" i="10" s="1"/>
  <c r="J29" i="10"/>
  <c r="J35" i="10" s="1"/>
  <c r="J30" i="10"/>
  <c r="J27" i="10"/>
  <c r="J33" i="10" s="1"/>
  <c r="J5" i="10"/>
  <c r="H23" i="2"/>
  <c r="H59" i="8"/>
  <c r="H66" i="8" s="1"/>
  <c r="J14" i="1"/>
  <c r="D20" i="2"/>
  <c r="C14" i="3"/>
  <c r="I16" i="2"/>
  <c r="K21" i="2"/>
  <c r="K27" i="10"/>
  <c r="K33" i="10" s="1"/>
  <c r="K28" i="10"/>
  <c r="K34" i="10" s="1"/>
  <c r="K30" i="10"/>
  <c r="K29" i="10"/>
  <c r="K35" i="10" s="1"/>
  <c r="K5" i="10"/>
  <c r="K31" i="10"/>
  <c r="L9" i="10"/>
  <c r="F14" i="1"/>
  <c r="C21" i="2"/>
  <c r="K16" i="2"/>
  <c r="J21" i="2"/>
  <c r="L28" i="10"/>
  <c r="L34" i="10" s="1"/>
  <c r="L31" i="10"/>
  <c r="L5" i="10"/>
  <c r="L30" i="10"/>
  <c r="L27" i="10"/>
  <c r="L33" i="10" s="1"/>
  <c r="L29" i="10"/>
  <c r="L35" i="10" s="1"/>
  <c r="L36" i="10" s="1"/>
  <c r="K9" i="10"/>
  <c r="L105" i="8"/>
  <c r="J94" i="8"/>
  <c r="H80" i="8"/>
  <c r="H38" i="10" s="1"/>
  <c r="I80" i="8"/>
  <c r="I40" i="10" s="1"/>
  <c r="C80" i="8"/>
  <c r="C40" i="10" s="1"/>
  <c r="E80" i="8"/>
  <c r="E38" i="10" s="1"/>
  <c r="E94" i="8"/>
  <c r="C94" i="8"/>
  <c r="C105" i="8"/>
  <c r="F80" i="8"/>
  <c r="F40" i="10" s="1"/>
  <c r="F94" i="8"/>
  <c r="D105" i="8"/>
  <c r="H105" i="8"/>
  <c r="G94" i="8"/>
  <c r="K94" i="8"/>
  <c r="E105" i="8"/>
  <c r="I105" i="8"/>
  <c r="I107" i="8" s="1"/>
  <c r="K105" i="8"/>
  <c r="H94" i="8"/>
  <c r="L94" i="8"/>
  <c r="F105" i="8"/>
  <c r="J105" i="8"/>
  <c r="J80" i="8"/>
  <c r="J40" i="10" s="1"/>
  <c r="D80" i="8"/>
  <c r="D40" i="10" s="1"/>
  <c r="K80" i="8"/>
  <c r="K40" i="10" s="1"/>
  <c r="L80" i="8"/>
  <c r="L40" i="10" s="1"/>
  <c r="D94" i="8"/>
  <c r="I94" i="8"/>
  <c r="G105" i="8"/>
  <c r="G107" i="8" s="1"/>
  <c r="G10" i="8"/>
  <c r="M29" i="8"/>
  <c r="M35" i="8" s="1"/>
  <c r="K10" i="8"/>
  <c r="M7" i="8"/>
  <c r="E7" i="8"/>
  <c r="F7" i="8"/>
  <c r="J10" i="8"/>
  <c r="M24" i="8"/>
  <c r="I12" i="8"/>
  <c r="I13" i="8" s="1"/>
  <c r="I11" i="10" s="1"/>
  <c r="L24" i="8"/>
  <c r="E16" i="8"/>
  <c r="E17" i="10" s="1"/>
  <c r="J27" i="8"/>
  <c r="J18" i="10" s="1"/>
  <c r="M19" i="8"/>
  <c r="D12" i="8"/>
  <c r="D13" i="8" s="1"/>
  <c r="D11" i="10" s="1"/>
  <c r="G7" i="8"/>
  <c r="M27" i="8"/>
  <c r="G24" i="8"/>
  <c r="H24" i="8"/>
  <c r="H12" i="8"/>
  <c r="H13" i="8" s="1"/>
  <c r="H11" i="10" s="1"/>
  <c r="G16" i="8"/>
  <c r="G17" i="10" s="1"/>
  <c r="K24" i="8"/>
  <c r="D7" i="8"/>
  <c r="F10" i="8"/>
  <c r="E12" i="8"/>
  <c r="E18" i="8" s="1"/>
  <c r="D16" i="8"/>
  <c r="D17" i="10" s="1"/>
  <c r="C24" i="8"/>
  <c r="C10" i="8"/>
  <c r="L10" i="8"/>
  <c r="C16" i="8"/>
  <c r="C17" i="10" s="1"/>
  <c r="K16" i="8"/>
  <c r="K17" i="10" s="1"/>
  <c r="L7" i="8"/>
  <c r="J24" i="8"/>
  <c r="K27" i="8"/>
  <c r="K18" i="10" s="1"/>
  <c r="C12" i="8"/>
  <c r="C18" i="8" s="1"/>
  <c r="L16" i="8"/>
  <c r="L17" i="10" s="1"/>
  <c r="F12" i="8"/>
  <c r="F18" i="8" s="1"/>
  <c r="J7" i="8"/>
  <c r="E10" i="8"/>
  <c r="J16" i="8"/>
  <c r="J17" i="10" s="1"/>
  <c r="K7" i="8"/>
  <c r="I16" i="8"/>
  <c r="I17" i="10" s="1"/>
  <c r="F27" i="8"/>
  <c r="F18" i="10" s="1"/>
  <c r="H27" i="8"/>
  <c r="H18" i="10" s="1"/>
  <c r="G27" i="8"/>
  <c r="G18" i="10" s="1"/>
  <c r="I27" i="8"/>
  <c r="I18" i="10" s="1"/>
  <c r="I10" i="8"/>
  <c r="K12" i="8"/>
  <c r="K18" i="8" s="1"/>
  <c r="J35" i="23" s="1"/>
  <c r="J37" i="23" s="1"/>
  <c r="J39" i="23" s="1"/>
  <c r="I24" i="8"/>
  <c r="J12" i="8"/>
  <c r="J13" i="8" s="1"/>
  <c r="J11" i="10" s="1"/>
  <c r="L27" i="8"/>
  <c r="L18" i="10" s="1"/>
  <c r="C27" i="8"/>
  <c r="C18" i="10" s="1"/>
  <c r="H10" i="8"/>
  <c r="D27" i="8"/>
  <c r="D18" i="10" s="1"/>
  <c r="G18" i="8"/>
  <c r="E27" i="8"/>
  <c r="E18" i="10" s="1"/>
  <c r="H7" i="8"/>
  <c r="L12" i="8"/>
  <c r="F16" i="8"/>
  <c r="F17" i="10" s="1"/>
  <c r="I7" i="8"/>
  <c r="D10" i="8"/>
  <c r="H16" i="8"/>
  <c r="H17" i="10" s="1"/>
  <c r="D24" i="8"/>
  <c r="E24" i="8"/>
  <c r="F24" i="8"/>
  <c r="N11" i="1"/>
  <c r="M11" i="1"/>
  <c r="K14" i="1"/>
  <c r="C6" i="1"/>
  <c r="C19" i="1" s="1"/>
  <c r="L8" i="1"/>
  <c r="N8" i="1" s="1"/>
  <c r="J24" i="2"/>
  <c r="J20" i="2"/>
  <c r="B20" i="2"/>
  <c r="K14" i="3"/>
  <c r="I24" i="2"/>
  <c r="H24" i="2"/>
  <c r="D24" i="2"/>
  <c r="L7" i="1"/>
  <c r="F21" i="2"/>
  <c r="C24" i="2"/>
  <c r="I23" i="2"/>
  <c r="J23" i="1"/>
  <c r="B23" i="2"/>
  <c r="C20" i="2"/>
  <c r="L9" i="1"/>
  <c r="N9" i="1" s="1"/>
  <c r="A1" i="3"/>
  <c r="B14" i="1"/>
  <c r="D23" i="2"/>
  <c r="K24" i="2"/>
  <c r="B14" i="3"/>
  <c r="D6" i="1"/>
  <c r="D19" i="1" s="1"/>
  <c r="E6" i="1"/>
  <c r="E19" i="1" s="1"/>
  <c r="I14" i="1"/>
  <c r="H14" i="1"/>
  <c r="J16" i="2"/>
  <c r="I23" i="1"/>
  <c r="B16" i="2"/>
  <c r="G24" i="2"/>
  <c r="L4" i="1"/>
  <c r="I6" i="1"/>
  <c r="I19" i="1" s="1"/>
  <c r="K24" i="1" s="1"/>
  <c r="F24" i="2"/>
  <c r="I20" i="2"/>
  <c r="H20" i="2"/>
  <c r="K23" i="1"/>
  <c r="H6" i="1"/>
  <c r="H19" i="1" s="1"/>
  <c r="F6" i="1"/>
  <c r="F19" i="1" s="1"/>
  <c r="E66" i="8" l="1"/>
  <c r="J66" i="8"/>
  <c r="I66" i="8"/>
  <c r="I68" i="8" s="1"/>
  <c r="L19" i="1"/>
  <c r="L24" i="1" s="1"/>
  <c r="M24" i="1" s="1"/>
  <c r="O5" i="10"/>
  <c r="C66" i="8"/>
  <c r="C39" i="10" s="1"/>
  <c r="D14" i="1"/>
  <c r="H25" i="1" s="1"/>
  <c r="K66" i="8"/>
  <c r="K68" i="8" s="1"/>
  <c r="D66" i="8"/>
  <c r="D39" i="10" s="1"/>
  <c r="N9" i="10"/>
  <c r="G66" i="8"/>
  <c r="G39" i="10" s="1"/>
  <c r="J51" i="23"/>
  <c r="J58" i="23" s="1"/>
  <c r="J59" i="23"/>
  <c r="H36" i="10"/>
  <c r="F38" i="10"/>
  <c r="K38" i="10"/>
  <c r="J38" i="10"/>
  <c r="H40" i="10"/>
  <c r="I38" i="10"/>
  <c r="E40" i="10"/>
  <c r="N40" i="10" s="1"/>
  <c r="D38" i="10"/>
  <c r="C107" i="8"/>
  <c r="L38" i="10"/>
  <c r="C38" i="10"/>
  <c r="L39" i="10"/>
  <c r="I25" i="1"/>
  <c r="F66" i="8"/>
  <c r="K25" i="1"/>
  <c r="M25" i="1" s="1"/>
  <c r="M14" i="1" s="1"/>
  <c r="L68" i="8"/>
  <c r="J25" i="1"/>
  <c r="F39" i="10"/>
  <c r="F68" i="8"/>
  <c r="H39" i="10"/>
  <c r="H68" i="8"/>
  <c r="G29" i="8"/>
  <c r="G35" i="8" s="1"/>
  <c r="G21" i="10"/>
  <c r="G6" i="10"/>
  <c r="G7" i="10"/>
  <c r="G13" i="10"/>
  <c r="G19" i="10" s="1"/>
  <c r="G25" i="10"/>
  <c r="N17" i="10"/>
  <c r="O17" i="10"/>
  <c r="F36" i="10"/>
  <c r="N5" i="10"/>
  <c r="G36" i="10"/>
  <c r="E36" i="10"/>
  <c r="H24" i="1"/>
  <c r="L23" i="1"/>
  <c r="M23" i="1" s="1"/>
  <c r="M4" i="1" s="1"/>
  <c r="N18" i="10"/>
  <c r="O18" i="10"/>
  <c r="K36" i="10"/>
  <c r="K29" i="8"/>
  <c r="K35" i="8" s="1"/>
  <c r="K25" i="10"/>
  <c r="K13" i="10"/>
  <c r="K19" i="10" s="1"/>
  <c r="K21" i="10"/>
  <c r="C34" i="10"/>
  <c r="O28" i="10"/>
  <c r="N28" i="10"/>
  <c r="F29" i="8"/>
  <c r="F35" i="8" s="1"/>
  <c r="F7" i="10"/>
  <c r="F6" i="10"/>
  <c r="F13" i="10"/>
  <c r="F19" i="10" s="1"/>
  <c r="F21" i="10"/>
  <c r="F25" i="10"/>
  <c r="J36" i="10"/>
  <c r="I24" i="1"/>
  <c r="C29" i="8"/>
  <c r="C35" i="8" s="1"/>
  <c r="C23" i="10" s="1"/>
  <c r="C21" i="10"/>
  <c r="C13" i="10"/>
  <c r="C25" i="10"/>
  <c r="I36" i="10"/>
  <c r="C35" i="10"/>
  <c r="O29" i="10"/>
  <c r="N29" i="10"/>
  <c r="J39" i="10"/>
  <c r="J68" i="8"/>
  <c r="E39" i="10"/>
  <c r="E68" i="8"/>
  <c r="J24" i="1"/>
  <c r="E29" i="8"/>
  <c r="E35" i="8" s="1"/>
  <c r="E21" i="10"/>
  <c r="E25" i="10"/>
  <c r="E13" i="10"/>
  <c r="E19" i="10" s="1"/>
  <c r="N31" i="10"/>
  <c r="O31" i="10"/>
  <c r="M9" i="1"/>
  <c r="O9" i="10"/>
  <c r="D36" i="10"/>
  <c r="N30" i="10"/>
  <c r="O30" i="10"/>
  <c r="N27" i="10"/>
  <c r="C33" i="10"/>
  <c r="O27" i="10"/>
  <c r="I39" i="10"/>
  <c r="L107" i="8"/>
  <c r="H107" i="8"/>
  <c r="E107" i="8"/>
  <c r="K107" i="8"/>
  <c r="J107" i="8"/>
  <c r="F107" i="8"/>
  <c r="D107" i="8"/>
  <c r="F13" i="8"/>
  <c r="F11" i="10" s="1"/>
  <c r="E13" i="8"/>
  <c r="E11" i="10" s="1"/>
  <c r="I18" i="8"/>
  <c r="D18" i="8"/>
  <c r="D19" i="8" s="1"/>
  <c r="D12" i="10" s="1"/>
  <c r="M30" i="8"/>
  <c r="M33" i="8"/>
  <c r="F19" i="8"/>
  <c r="F12" i="10" s="1"/>
  <c r="E19" i="8"/>
  <c r="E12" i="10" s="1"/>
  <c r="C19" i="8"/>
  <c r="C12" i="10" s="1"/>
  <c r="H18" i="8"/>
  <c r="G35" i="23" s="1"/>
  <c r="G37" i="23" s="1"/>
  <c r="G39" i="23" s="1"/>
  <c r="J18" i="8"/>
  <c r="K13" i="8"/>
  <c r="K11" i="10" s="1"/>
  <c r="G19" i="8"/>
  <c r="G12" i="10" s="1"/>
  <c r="K19" i="8"/>
  <c r="K12" i="10" s="1"/>
  <c r="M40" i="8"/>
  <c r="M46" i="8" s="1"/>
  <c r="M36" i="8"/>
  <c r="C13" i="8"/>
  <c r="C11" i="10" s="1"/>
  <c r="L18" i="8"/>
  <c r="K35" i="23" s="1"/>
  <c r="K37" i="23" s="1"/>
  <c r="K39" i="23" s="1"/>
  <c r="L13" i="8"/>
  <c r="L11" i="10" s="1"/>
  <c r="M8" i="1"/>
  <c r="G68" i="8" l="1"/>
  <c r="J61" i="23"/>
  <c r="K39" i="10"/>
  <c r="C68" i="8"/>
  <c r="M6" i="1"/>
  <c r="M10" i="1" s="1"/>
  <c r="M12" i="1" s="1"/>
  <c r="M13" i="1" s="1"/>
  <c r="M15" i="1" s="1"/>
  <c r="D68" i="8"/>
  <c r="N25" i="1"/>
  <c r="N14" i="1" s="1"/>
  <c r="K6" i="10"/>
  <c r="I35" i="23"/>
  <c r="I37" i="23" s="1"/>
  <c r="I39" i="23" s="1"/>
  <c r="K51" i="23"/>
  <c r="K58" i="23" s="1"/>
  <c r="K59" i="23"/>
  <c r="N24" i="1"/>
  <c r="O40" i="10"/>
  <c r="I19" i="8"/>
  <c r="I12" i="10" s="1"/>
  <c r="H35" i="23"/>
  <c r="H37" i="23" s="1"/>
  <c r="H39" i="23" s="1"/>
  <c r="O38" i="10"/>
  <c r="N38" i="10"/>
  <c r="K7" i="10"/>
  <c r="N11" i="10"/>
  <c r="D29" i="8"/>
  <c r="D35" i="8" s="1"/>
  <c r="E8" i="10" s="1"/>
  <c r="D21" i="10"/>
  <c r="D25" i="10"/>
  <c r="D6" i="10"/>
  <c r="D13" i="10"/>
  <c r="D19" i="10" s="1"/>
  <c r="D7" i="10"/>
  <c r="G8" i="10"/>
  <c r="G23" i="10"/>
  <c r="N39" i="10"/>
  <c r="O39" i="10"/>
  <c r="N23" i="1"/>
  <c r="N4" i="1" s="1"/>
  <c r="O33" i="10"/>
  <c r="N33" i="10"/>
  <c r="O35" i="10"/>
  <c r="N35" i="10"/>
  <c r="C36" i="10"/>
  <c r="E6" i="10"/>
  <c r="K23" i="10"/>
  <c r="J29" i="8"/>
  <c r="J35" i="8" s="1"/>
  <c r="K8" i="10" s="1"/>
  <c r="J25" i="10"/>
  <c r="J6" i="10"/>
  <c r="J21" i="10"/>
  <c r="J7" i="10"/>
  <c r="J13" i="10"/>
  <c r="J19" i="10" s="1"/>
  <c r="H29" i="8"/>
  <c r="H35" i="8" s="1"/>
  <c r="H21" i="10"/>
  <c r="H7" i="10"/>
  <c r="H13" i="10"/>
  <c r="H19" i="10" s="1"/>
  <c r="H25" i="10"/>
  <c r="H6" i="10"/>
  <c r="E7" i="10"/>
  <c r="C19" i="10"/>
  <c r="F8" i="10"/>
  <c r="F23" i="10"/>
  <c r="L29" i="8"/>
  <c r="L35" i="8" s="1"/>
  <c r="L25" i="10"/>
  <c r="L6" i="10"/>
  <c r="L13" i="10"/>
  <c r="L19" i="10" s="1"/>
  <c r="L21" i="10"/>
  <c r="L7" i="10"/>
  <c r="O34" i="10"/>
  <c r="N34" i="10"/>
  <c r="O11" i="10"/>
  <c r="I29" i="8"/>
  <c r="I35" i="8" s="1"/>
  <c r="I13" i="10"/>
  <c r="I19" i="10" s="1"/>
  <c r="I25" i="10"/>
  <c r="I6" i="10"/>
  <c r="I21" i="10"/>
  <c r="I7" i="10"/>
  <c r="E23" i="10"/>
  <c r="I4" i="13" a="1"/>
  <c r="M44" i="8"/>
  <c r="E30" i="8"/>
  <c r="E14" i="10" s="1"/>
  <c r="E33" i="8"/>
  <c r="H19" i="8"/>
  <c r="H12" i="10" s="1"/>
  <c r="F30" i="8"/>
  <c r="F14" i="10" s="1"/>
  <c r="F33" i="8"/>
  <c r="J19" i="8"/>
  <c r="J12" i="10" s="1"/>
  <c r="L19" i="8"/>
  <c r="L12" i="10" s="1"/>
  <c r="C30" i="8"/>
  <c r="C14" i="10" s="1"/>
  <c r="C33" i="8"/>
  <c r="D30" i="8"/>
  <c r="D14" i="10" s="1"/>
  <c r="K30" i="8"/>
  <c r="K14" i="10" s="1"/>
  <c r="K33" i="8"/>
  <c r="G30" i="8"/>
  <c r="G14" i="10" s="1"/>
  <c r="G33" i="8"/>
  <c r="M5" i="1"/>
  <c r="K61" i="23" l="1"/>
  <c r="D33" i="8"/>
  <c r="N12" i="10"/>
  <c r="I51" i="23"/>
  <c r="I58" i="23" s="1"/>
  <c r="I59" i="23"/>
  <c r="H51" i="23"/>
  <c r="H59" i="23"/>
  <c r="N25" i="10"/>
  <c r="I33" i="8"/>
  <c r="I30" i="8"/>
  <c r="I14" i="10" s="1"/>
  <c r="O12" i="10"/>
  <c r="O21" i="10"/>
  <c r="J23" i="10"/>
  <c r="J8" i="10"/>
  <c r="L8" i="10"/>
  <c r="L23" i="10"/>
  <c r="O6" i="10"/>
  <c r="O25" i="10"/>
  <c r="O7" i="10"/>
  <c r="O36" i="10"/>
  <c r="N36" i="10"/>
  <c r="I8" i="10"/>
  <c r="I23" i="10"/>
  <c r="D23" i="10"/>
  <c r="D8" i="10"/>
  <c r="I4" i="13"/>
  <c r="J5" i="13" s="1"/>
  <c r="J7" i="13"/>
  <c r="J11" i="13"/>
  <c r="J10" i="13"/>
  <c r="J8" i="13"/>
  <c r="J12" i="13"/>
  <c r="J9" i="13"/>
  <c r="J13" i="13"/>
  <c r="J6" i="13"/>
  <c r="N7" i="10"/>
  <c r="O13" i="10"/>
  <c r="H8" i="10"/>
  <c r="H23" i="10"/>
  <c r="N19" i="10"/>
  <c r="O19" i="10"/>
  <c r="N13" i="10"/>
  <c r="N21" i="10"/>
  <c r="N6" i="1"/>
  <c r="N10" i="1" s="1"/>
  <c r="N12" i="1" s="1"/>
  <c r="N13" i="1" s="1"/>
  <c r="N15" i="1" s="1"/>
  <c r="N6" i="10"/>
  <c r="F40" i="8"/>
  <c r="F36" i="8"/>
  <c r="F15" i="10" s="1"/>
  <c r="I36" i="8"/>
  <c r="I15" i="10" s="1"/>
  <c r="I40" i="8"/>
  <c r="I46" i="8" s="1"/>
  <c r="I22" i="10" s="1"/>
  <c r="H30" i="8"/>
  <c r="H14" i="10" s="1"/>
  <c r="H33" i="8"/>
  <c r="L33" i="8"/>
  <c r="L30" i="8"/>
  <c r="L14" i="10" s="1"/>
  <c r="K36" i="8"/>
  <c r="K15" i="10" s="1"/>
  <c r="K40" i="8"/>
  <c r="J30" i="8"/>
  <c r="J14" i="10" s="1"/>
  <c r="J33" i="8"/>
  <c r="G40" i="8"/>
  <c r="G46" i="8" s="1"/>
  <c r="G22" i="10" s="1"/>
  <c r="G24" i="10" s="1"/>
  <c r="G36" i="8"/>
  <c r="G15" i="10" s="1"/>
  <c r="E40" i="8"/>
  <c r="E36" i="8"/>
  <c r="E15" i="10" s="1"/>
  <c r="D40" i="8"/>
  <c r="D36" i="8"/>
  <c r="D15" i="10" s="1"/>
  <c r="C40" i="8"/>
  <c r="C36" i="8"/>
  <c r="C15" i="10" s="1"/>
  <c r="I61" i="23" l="1"/>
  <c r="H58" i="23"/>
  <c r="H61" i="23" s="1"/>
  <c r="K54" i="23"/>
  <c r="K53" i="23"/>
  <c r="N14" i="10"/>
  <c r="O14" i="10"/>
  <c r="N8" i="10"/>
  <c r="O8" i="10"/>
  <c r="N5" i="1"/>
  <c r="I24" i="10"/>
  <c r="I14" i="13"/>
  <c r="J14" i="13" s="1"/>
  <c r="I15" i="13"/>
  <c r="I16" i="13"/>
  <c r="I17" i="13"/>
  <c r="I18" i="13"/>
  <c r="O23" i="10"/>
  <c r="N23" i="10"/>
  <c r="C44" i="8"/>
  <c r="C46" i="8" s="1"/>
  <c r="C22" i="10" s="1"/>
  <c r="K44" i="8"/>
  <c r="K46" i="8" s="1"/>
  <c r="K22" i="10" s="1"/>
  <c r="K24" i="10" s="1"/>
  <c r="D41" i="8"/>
  <c r="D44" i="8"/>
  <c r="D46" i="8" s="1"/>
  <c r="D22" i="10" s="1"/>
  <c r="D24" i="10" s="1"/>
  <c r="E44" i="8"/>
  <c r="E46" i="8" s="1"/>
  <c r="E22" i="10" s="1"/>
  <c r="E24" i="10" s="1"/>
  <c r="E41" i="8"/>
  <c r="G44" i="8"/>
  <c r="G41" i="8"/>
  <c r="I44" i="8"/>
  <c r="F41" i="8"/>
  <c r="F44" i="8"/>
  <c r="F46" i="8" s="1"/>
  <c r="F22" i="10" s="1"/>
  <c r="F24" i="10" s="1"/>
  <c r="H36" i="8"/>
  <c r="H15" i="10" s="1"/>
  <c r="H40" i="8"/>
  <c r="L40" i="8"/>
  <c r="L36" i="8"/>
  <c r="L15" i="10" s="1"/>
  <c r="J36" i="8"/>
  <c r="J15" i="10" s="1"/>
  <c r="J40" i="8"/>
  <c r="J46" i="8" s="1"/>
  <c r="J22" i="10" s="1"/>
  <c r="J24" i="10" s="1"/>
  <c r="J15" i="13" l="1"/>
  <c r="K64" i="23"/>
  <c r="K63" i="23"/>
  <c r="J17" i="13"/>
  <c r="J18" i="13"/>
  <c r="N4" i="13" a="1"/>
  <c r="O6" i="13" s="1"/>
  <c r="N15" i="10"/>
  <c r="O15" i="10"/>
  <c r="C24" i="10"/>
  <c r="J16" i="13"/>
  <c r="I41" i="8"/>
  <c r="H46" i="8"/>
  <c r="H22" i="10" s="1"/>
  <c r="H24" i="10" s="1"/>
  <c r="L41" i="8"/>
  <c r="L44" i="8"/>
  <c r="L46" i="8" s="1"/>
  <c r="L22" i="10" s="1"/>
  <c r="L24" i="10" s="1"/>
  <c r="M41" i="8"/>
  <c r="J41" i="8"/>
  <c r="J44" i="8"/>
  <c r="H41" i="8"/>
  <c r="H44" i="8"/>
  <c r="K41" i="8"/>
  <c r="O8" i="13" l="1"/>
  <c r="O12" i="13"/>
  <c r="O11" i="13"/>
  <c r="O7" i="13"/>
  <c r="N24" i="10"/>
  <c r="N4" i="13"/>
  <c r="O5" i="13" s="1"/>
  <c r="O13" i="13"/>
  <c r="O9" i="13"/>
  <c r="O10" i="13"/>
  <c r="N22" i="10"/>
  <c r="O24" i="10"/>
  <c r="O22" i="10"/>
  <c r="N16" i="13" l="1"/>
  <c r="N17" i="13"/>
  <c r="N18" i="13"/>
  <c r="N15" i="13"/>
  <c r="N14" i="13"/>
  <c r="O14" i="13" s="1"/>
  <c r="O16" i="13" l="1"/>
  <c r="O17" i="13"/>
  <c r="O18" i="13"/>
  <c r="O1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<sst xmlns="http://schemas.openxmlformats.org/spreadsheetml/2006/main" count="727" uniqueCount="373">
  <si>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</si>
  <si>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</si>
  <si>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</si>
  <si>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</si>
  <si>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</si>
  <si>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</si>
  <si>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</si>
  <si>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</si>
  <si>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</si>
  <si>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</si>
  <si>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</si>
  <si>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</si>
  <si>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</si>
  <si>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</si>
  <si>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</si>
  <si>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</si>
  <si>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</si>
  <si>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</si>
  <si>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</si>
  <si>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</si>
  <si>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</si>
  <si>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</si>
  <si>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</si>
  <si>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</si>
  <si>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</si>
  <si>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</si>
  <si>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</si>
  <si>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</si>
  <si>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</si>
  <si>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</si>
  <si>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</si>
  <si>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</si>
  <si>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</si>
  <si>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</si>
  <si>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</si>
  <si>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</si>
  <si>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</si>
  <si>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</si>
  <si>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</si>
  <si>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</si>
  <si>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</si>
  <si>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</si>
  <si>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</si>
  <si>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</si>
  <si>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</si>
  <si>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</si>
  <si>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</si>
  <si>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</si>
  <si>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</si>
  <si>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</si>
  <si>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</si>
  <si>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</si>
  <si>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</si>
  <si>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</si>
  <si>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</si>
  <si>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</si>
  <si>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</si>
  <si>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</si>
  <si>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</si>
  <si>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</si>
  <si>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</si>
  <si>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</si>
  <si>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</si>
  <si>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</si>
  <si>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</si>
  <si>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</si>
  <si>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</si>
  <si>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</si>
  <si>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</si>
  <si>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</si>
  <si>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</si>
  <si>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</si>
  <si>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</si>
  <si>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</si>
  <si>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</si>
  <si>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</si>
  <si>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</si>
  <si>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</si>
  <si>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</si>
  <si>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</si>
  <si>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</si>
  <si>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</si>
  <si>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</si>
  <si>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</si>
  <si>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</si>
  <si>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</si>
  <si>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</si>
  <si>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</si>
  <si>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</si>
  <si>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</si>
  <si>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</si>
  <si>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</si>
  <si>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</si>
  <si>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</si>
  <si>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</si>
  <si>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#</t>
  </si>
  <si>
    <t>Income Statement</t>
  </si>
  <si>
    <t>-</t>
  </si>
  <si>
    <t>COGS</t>
  </si>
  <si>
    <t>COGS % Sales</t>
  </si>
  <si>
    <t>Gross Profit</t>
  </si>
  <si>
    <t>Gross Margin</t>
  </si>
  <si>
    <t>SG&amp;A</t>
  </si>
  <si>
    <t>SG&amp;A % Sales</t>
  </si>
  <si>
    <t>EBIDTA</t>
  </si>
  <si>
    <t>EBIDTA Margin</t>
  </si>
  <si>
    <t>Interest % Sales</t>
  </si>
  <si>
    <t>Depreciation % Sales</t>
  </si>
  <si>
    <t>EBT</t>
  </si>
  <si>
    <t>EBT Margin</t>
  </si>
  <si>
    <t>Effective Tax Rate</t>
  </si>
  <si>
    <t>Net Profit</t>
  </si>
  <si>
    <t>No of Equity Shares</t>
  </si>
  <si>
    <t>Earning Per Share</t>
  </si>
  <si>
    <t>Dividend Per Share</t>
  </si>
  <si>
    <t>EPS Growth %</t>
  </si>
  <si>
    <t>Divident Payout Ratio</t>
  </si>
  <si>
    <t>Retained Earnings</t>
  </si>
  <si>
    <t>Balance Sheet</t>
  </si>
  <si>
    <t>Total Liabilities</t>
  </si>
  <si>
    <t>Total Current Assets</t>
  </si>
  <si>
    <t>Fixed Assests Net Block</t>
  </si>
  <si>
    <t>Total Assests</t>
  </si>
  <si>
    <t>Total Non Current Assests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</si>
  <si>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</si>
  <si>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</si>
  <si>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</si>
  <si>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</si>
  <si>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</si>
  <si>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</si>
  <si>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</si>
  <si>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</si>
  <si>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</si>
  <si>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</si>
  <si>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</si>
  <si>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</si>
  <si>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</si>
  <si>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</si>
  <si>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</si>
  <si>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</si>
  <si>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</si>
  <si>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</si>
  <si>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</si>
  <si>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</si>
  <si>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</si>
  <si>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</si>
  <si>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</si>
  <si>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</si>
  <si>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</si>
  <si>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</si>
  <si>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</si>
  <si>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</si>
  <si>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</si>
  <si>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</si>
  <si>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Cash from Operating Activities</t>
  </si>
  <si>
    <t>Cash from Investing Activities</t>
  </si>
  <si>
    <t>Operating Activities</t>
  </si>
  <si>
    <t>Investing Activities</t>
  </si>
  <si>
    <t>Financing Activities</t>
  </si>
  <si>
    <t>Cash from Financing Activities</t>
  </si>
  <si>
    <t xml:space="preserve">Net Cash Flow </t>
  </si>
  <si>
    <t>SalesGrowth</t>
  </si>
  <si>
    <t>EBITDA Growth</t>
  </si>
  <si>
    <t>EBIT Growth</t>
  </si>
  <si>
    <t>Net Profit Growth</t>
  </si>
  <si>
    <t>Dividend Growth</t>
  </si>
  <si>
    <t>EBITDA Margin</t>
  </si>
  <si>
    <t>EBIT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</si>
  <si>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</si>
  <si>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</si>
  <si>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</si>
  <si>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</si>
  <si>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</si>
  <si>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</si>
  <si>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</si>
  <si>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</si>
  <si>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</si>
  <si>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</si>
  <si>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</si>
  <si>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</si>
  <si>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</si>
  <si>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</si>
  <si>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</si>
  <si>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</t>
  </si>
  <si>
    <t>CFO/Sales</t>
  </si>
  <si>
    <t>CFO/Total Assets</t>
  </si>
  <si>
    <t>CFO/Total Debt</t>
  </si>
  <si>
    <t>Mean</t>
  </si>
  <si>
    <t>Median</t>
  </si>
  <si>
    <t>Trend</t>
  </si>
  <si>
    <t>Year Weight</t>
  </si>
  <si>
    <t>Year</t>
  </si>
  <si>
    <t>Particulars</t>
  </si>
  <si>
    <t xml:space="preserve"> </t>
  </si>
  <si>
    <t>Fixed Asset Net Block</t>
  </si>
  <si>
    <t>Total Assets</t>
  </si>
  <si>
    <t>Other Asset</t>
  </si>
  <si>
    <t>Weighted Average Cost of Capital - Avenue Supermarket</t>
  </si>
  <si>
    <t>All figures are in INR unless stated otherwise</t>
  </si>
  <si>
    <t>Peer Comps</t>
  </si>
  <si>
    <t>Debt /</t>
  </si>
  <si>
    <t xml:space="preserve">Levered </t>
  </si>
  <si>
    <t>Unlevered</t>
  </si>
  <si>
    <t>Name of the Company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</si>
  <si>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</si>
  <si>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</si>
  <si>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</si>
  <si>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</si>
  <si>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</si>
  <si>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</si>
  <si>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</si>
  <si>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</si>
  <si>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</si>
  <si>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>Average</t>
  </si>
  <si>
    <t>Cost of Debt</t>
  </si>
  <si>
    <t>Cost of Equity</t>
  </si>
  <si>
    <t>Pre-Tax Cost of Debt</t>
  </si>
  <si>
    <t>Risk Free Rate</t>
  </si>
  <si>
    <t>Tax Rate</t>
  </si>
  <si>
    <t>Equity Risk Premium</t>
  </si>
  <si>
    <t>Post Tax Cost of Debt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</si>
  <si>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</si>
  <si>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Structure</t>
  </si>
  <si>
    <t>Levered Beta</t>
  </si>
  <si>
    <t>Current</t>
  </si>
  <si>
    <t>Target</t>
  </si>
  <si>
    <t>Comps Median Unlevered Beta</t>
  </si>
  <si>
    <t>Target Debt / Equity</t>
  </si>
  <si>
    <t>Tax rate</t>
  </si>
  <si>
    <t>Total Capital</t>
  </si>
  <si>
    <t>Debt / Equity</t>
  </si>
  <si>
    <t>Weighted Average Cost of Capital</t>
  </si>
  <si>
    <t>Notes</t>
  </si>
  <si>
    <t>1. Tax Rate considered as Marginal Tax Rate for the country</t>
  </si>
  <si>
    <t>Total Cost</t>
  </si>
  <si>
    <t>Total Weight</t>
  </si>
  <si>
    <t>2. Levered beta is based on 5 year monthly data</t>
  </si>
  <si>
    <t>Debt</t>
  </si>
  <si>
    <t>3. Unlevered beta = Levered Beta / (1 + (1 - Tax rate) * Debt / Equity)</t>
  </si>
  <si>
    <t>4. Levered beta = Unlevered Beta * (1 + (1 - Tax rate) * Debt / Equity)</t>
  </si>
  <si>
    <t>WACC</t>
  </si>
  <si>
    <t>Regression Beta - 2 Years Weekly</t>
  </si>
  <si>
    <t>Nifty Weekly Returns</t>
  </si>
  <si>
    <t>Beta Drifting</t>
  </si>
  <si>
    <t>Beta 1</t>
  </si>
  <si>
    <t>Beta 2</t>
  </si>
  <si>
    <t>Date</t>
  </si>
  <si>
    <t>Closing Price</t>
  </si>
  <si>
    <t>Returns</t>
  </si>
  <si>
    <t>Levered Raw Beta</t>
  </si>
  <si>
    <t>Raw Beta Weight</t>
  </si>
  <si>
    <t>Beta 3</t>
  </si>
  <si>
    <t xml:space="preserve">Market Beta </t>
  </si>
  <si>
    <t>SUMMARY OUTPUT</t>
  </si>
  <si>
    <t>Market Beta weight</t>
  </si>
  <si>
    <t>Regression Statistics</t>
  </si>
  <si>
    <t>Adjusted Beta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</si>
  <si>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</si>
  <si>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</si>
  <si>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</si>
  <si>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</si>
  <si>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</si>
  <si>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</si>
  <si>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</si>
  <si>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</si>
  <si>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</si>
  <si>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</si>
  <si>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</si>
  <si>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</si>
  <si>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</si>
  <si>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</si>
  <si>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</si>
  <si>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</si>
  <si>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</si>
  <si>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</si>
  <si>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</si>
  <si>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</si>
  <si>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</si>
  <si>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</si>
  <si>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S.No.</t>
  </si>
  <si>
    <t>Name</t>
  </si>
  <si>
    <t>CMP Rs.</t>
  </si>
  <si>
    <t xml:space="preserve">Mar Cap Rs.Cr. </t>
  </si>
  <si>
    <t>Debt Rs.Cr.</t>
  </si>
  <si>
    <t>Return in Markets</t>
  </si>
  <si>
    <t>Annual</t>
  </si>
  <si>
    <t>Average Return</t>
  </si>
  <si>
    <t>Dividend Yield</t>
  </si>
  <si>
    <t>Total Market Return</t>
  </si>
  <si>
    <t>Tata Motors Weekly Returns</t>
  </si>
  <si>
    <t>Maruti Suzuki</t>
  </si>
  <si>
    <t>Tata Motors</t>
  </si>
  <si>
    <t>M &amp; M</t>
  </si>
  <si>
    <t>Bajaj Auto</t>
  </si>
  <si>
    <t>Eicher Motors</t>
  </si>
  <si>
    <t>Maruti Suzuki Weekly Returns</t>
  </si>
  <si>
    <t>M &amp; M Weekly Returns</t>
  </si>
  <si>
    <t>Bajaj Auto Weekly Returns</t>
  </si>
  <si>
    <t>Eicher Motors Weekly Returns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</si>
  <si>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</si>
  <si>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</si>
  <si>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</si>
  <si>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</si>
  <si>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</si>
  <si>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</si>
  <si>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</si>
  <si>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</si>
  <si>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</si>
  <si>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</si>
  <si>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</si>
  <si>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</si>
  <si>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</si>
  <si>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</si>
  <si>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</si>
  <si>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</si>
  <si>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</si>
  <si>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</si>
  <si>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</si>
  <si>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</si>
  <si>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</si>
  <si>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</si>
  <si>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Cash Equivalents</t>
  </si>
  <si>
    <t>Short term loans</t>
  </si>
  <si>
    <t>Other asset items</t>
  </si>
  <si>
    <t>Borrowings -</t>
  </si>
  <si>
    <t>Other Liabilities -</t>
  </si>
  <si>
    <t>Fixed Assets -</t>
  </si>
  <si>
    <t>Other Assets -</t>
  </si>
  <si>
    <t>Calculation of ROIC</t>
  </si>
  <si>
    <t>Current Assets</t>
  </si>
  <si>
    <t>Trade receivables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</si>
  <si>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</si>
  <si>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</si>
  <si>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</si>
  <si>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</si>
  <si>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</si>
  <si>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</si>
  <si>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</si>
  <si>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</si>
  <si>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</si>
  <si>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</si>
  <si>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w</t>
  </si>
  <si>
    <t>Change in working capital</t>
  </si>
  <si>
    <t>Marginal Tax Rate</t>
  </si>
  <si>
    <t>EBIT(1-T)</t>
  </si>
  <si>
    <t xml:space="preserve">Reinvestment </t>
  </si>
  <si>
    <t>Reinvestment Rate</t>
  </si>
  <si>
    <t>4-Year Average</t>
  </si>
  <si>
    <t>4-Year Median</t>
  </si>
  <si>
    <t>Calculation of Growth Rate</t>
  </si>
  <si>
    <t>Intrensic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</si>
  <si>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</si>
  <si>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</si>
  <si>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</si>
  <si>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</si>
  <si>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</si>
  <si>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</si>
  <si>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</si>
  <si>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</si>
  <si>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</si>
  <si>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</si>
  <si>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</si>
  <si>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</si>
  <si>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</si>
  <si>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</si>
  <si>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</si>
  <si>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</si>
  <si>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</si>
  <si>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</si>
  <si>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</si>
  <si>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</si>
  <si>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</t>
  </si>
  <si>
    <t>Discount/Premium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</si>
</sst>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;\(&quot;₹&quot;\ #,##0.0\);\-"/>
    <numFmt numFmtId="168" formatCode="0.0"/>
    <numFmt numFmtId="169" formatCode="0.00&quot;x&quot;"/>
    <numFmt numFmtId="170" formatCode="0&quot; days&quot;"/>
    <numFmt numFmtId="171" formatCode="yyyy&quot;A&quot;"/>
    <numFmt numFmtId="172" formatCode="yyyy&quot;E&quot;"/>
    <numFmt numFmtId="173" formatCode="#,##0.0"/>
    <numFmt numFmtId="174" formatCode="#,##0.0;\(#,##0.0\);\-"/>
    <numFmt numFmtId="175" formatCode="mmm/yy&quot;A&quot;"/>
    <numFmt numFmtId="176" formatCode="mmm/yy&quot;F&quot;"/>
    <numFmt numFmtId="180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double">
        <color rgb="FF002060"/>
      </bottom>
      <diagonal/>
    </border>
    <border>
      <left/>
      <right/>
      <top style="hair">
        <color rgb="FF002060"/>
      </top>
      <bottom style="thin">
        <color rgb="FF002060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0" fontId="11" fillId="6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88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7" fontId="0" fillId="0" borderId="0" xfId="0" applyNumberFormat="1"/>
    <xf numFmtId="0" fontId="0" fillId="0" borderId="0" xfId="0" applyAlignment="1">
      <alignment horizontal="right"/>
    </xf>
    <xf numFmtId="0" fontId="10" fillId="6" borderId="0" xfId="7" applyFont="1"/>
    <xf numFmtId="17" fontId="10" fillId="6" borderId="0" xfId="7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0" fontId="0" fillId="0" borderId="0" xfId="6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10" fontId="12" fillId="0" borderId="0" xfId="6" applyNumberFormat="1" applyFont="1" applyAlignment="1">
      <alignment horizontal="right"/>
    </xf>
    <xf numFmtId="0" fontId="13" fillId="0" borderId="0" xfId="0" applyFont="1"/>
    <xf numFmtId="0" fontId="1" fillId="7" borderId="0" xfId="0" applyFont="1" applyFill="1"/>
    <xf numFmtId="0" fontId="0" fillId="7" borderId="0" xfId="0" applyFill="1" applyAlignment="1">
      <alignment horizontal="right"/>
    </xf>
    <xf numFmtId="168" fontId="0" fillId="0" borderId="0" xfId="0" applyNumberFormat="1" applyAlignment="1">
      <alignment horizontal="right"/>
    </xf>
    <xf numFmtId="167" fontId="1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" fontId="0" fillId="0" borderId="0" xfId="0" applyNumberFormat="1"/>
    <xf numFmtId="166" fontId="0" fillId="0" borderId="1" xfId="0" applyNumberFormat="1" applyBorder="1" applyAlignment="1">
      <alignment horizontal="right"/>
    </xf>
    <xf numFmtId="0" fontId="1" fillId="0" borderId="1" xfId="0" applyFont="1" applyBorder="1"/>
    <xf numFmtId="167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43" fontId="1" fillId="0" borderId="1" xfId="1" applyFont="1" applyBorder="1"/>
    <xf numFmtId="43" fontId="1" fillId="0" borderId="1" xfId="1" applyFont="1" applyFill="1" applyBorder="1"/>
    <xf numFmtId="10" fontId="0" fillId="0" borderId="0" xfId="6" applyNumberFormat="1" applyFont="1"/>
    <xf numFmtId="10" fontId="0" fillId="0" borderId="2" xfId="6" applyNumberFormat="1" applyFont="1" applyBorder="1" applyAlignment="1">
      <alignment horizontal="right"/>
    </xf>
    <xf numFmtId="10" fontId="0" fillId="0" borderId="0" xfId="6" applyNumberFormat="1" applyFont="1" applyBorder="1" applyAlignment="1">
      <alignment horizontal="right"/>
    </xf>
    <xf numFmtId="10" fontId="0" fillId="0" borderId="3" xfId="6" applyNumberFormat="1" applyFon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10" fontId="0" fillId="0" borderId="4" xfId="6" applyNumberFormat="1" applyFont="1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/>
    </xf>
    <xf numFmtId="10" fontId="0" fillId="0" borderId="5" xfId="6" applyNumberFormat="1" applyFont="1" applyBorder="1" applyAlignment="1">
      <alignment horizontal="right"/>
    </xf>
    <xf numFmtId="10" fontId="0" fillId="0" borderId="0" xfId="6" applyNumberFormat="1" applyFont="1" applyBorder="1"/>
    <xf numFmtId="10" fontId="0" fillId="0" borderId="4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5" xfId="0" applyNumberFormat="1" applyBorder="1" applyAlignment="1">
      <alignment horizontal="right"/>
    </xf>
    <xf numFmtId="169" fontId="0" fillId="0" borderId="5" xfId="0" applyNumberFormat="1" applyBorder="1" applyAlignment="1">
      <alignment horizontal="right"/>
    </xf>
    <xf numFmtId="169" fontId="0" fillId="0" borderId="4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4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5" xfId="0" applyNumberFormat="1" applyBorder="1" applyAlignment="1">
      <alignment horizontal="right"/>
    </xf>
    <xf numFmtId="0" fontId="0" fillId="0" borderId="2" xfId="0" applyBorder="1"/>
    <xf numFmtId="10" fontId="0" fillId="0" borderId="2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169" fontId="0" fillId="0" borderId="3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0" borderId="3" xfId="0" applyNumberFormat="1" applyBorder="1" applyAlignment="1">
      <alignment horizontal="right"/>
    </xf>
    <xf numFmtId="17" fontId="10" fillId="6" borderId="0" xfId="7" applyNumberFormat="1" applyFont="1" applyAlignment="1">
      <alignment horizontal="center"/>
    </xf>
    <xf numFmtId="0" fontId="10" fillId="8" borderId="0" xfId="0" applyFont="1" applyFill="1"/>
    <xf numFmtId="0" fontId="10" fillId="8" borderId="0" xfId="0" applyFont="1" applyFill="1" applyAlignment="1">
      <alignment horizontal="right"/>
    </xf>
    <xf numFmtId="171" fontId="0" fillId="0" borderId="0" xfId="0" applyNumberFormat="1"/>
    <xf numFmtId="0" fontId="0" fillId="9" borderId="0" xfId="0" applyFill="1" applyAlignment="1">
      <alignment horizontal="left"/>
    </xf>
    <xf numFmtId="172" fontId="0" fillId="9" borderId="0" xfId="0" applyNumberFormat="1" applyFill="1"/>
    <xf numFmtId="10" fontId="0" fillId="9" borderId="0" xfId="6" applyNumberFormat="1" applyFont="1" applyFill="1"/>
    <xf numFmtId="167" fontId="0" fillId="0" borderId="0" xfId="0" applyNumberFormat="1"/>
    <xf numFmtId="167" fontId="0" fillId="9" borderId="0" xfId="0" applyNumberFormat="1" applyFill="1"/>
    <xf numFmtId="0" fontId="1" fillId="0" borderId="6" xfId="0" applyFont="1" applyBorder="1"/>
    <xf numFmtId="17" fontId="1" fillId="0" borderId="6" xfId="0" applyNumberFormat="1" applyFont="1" applyBorder="1"/>
    <xf numFmtId="43" fontId="0" fillId="0" borderId="0" xfId="0" applyNumberFormat="1"/>
    <xf numFmtId="10" fontId="1" fillId="0" borderId="0" xfId="6" applyNumberFormat="1" applyFont="1"/>
    <xf numFmtId="0" fontId="14" fillId="10" borderId="0" xfId="0" applyFont="1" applyFill="1"/>
    <xf numFmtId="0" fontId="0" fillId="10" borderId="0" xfId="0" applyFill="1"/>
    <xf numFmtId="0" fontId="15" fillId="0" borderId="0" xfId="0" applyFont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right"/>
    </xf>
    <xf numFmtId="0" fontId="17" fillId="0" borderId="0" xfId="0" applyFont="1" applyAlignment="1">
      <alignment horizontal="right"/>
    </xf>
    <xf numFmtId="173" fontId="9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right"/>
    </xf>
    <xf numFmtId="10" fontId="9" fillId="11" borderId="0" xfId="6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2" fontId="0" fillId="11" borderId="0" xfId="0" applyNumberFormat="1" applyFill="1" applyAlignment="1">
      <alignment horizontal="right"/>
    </xf>
    <xf numFmtId="0" fontId="1" fillId="0" borderId="7" xfId="0" applyFont="1" applyBorder="1"/>
    <xf numFmtId="10" fontId="0" fillId="0" borderId="7" xfId="0" applyNumberFormat="1" applyBorder="1"/>
    <xf numFmtId="2" fontId="0" fillId="0" borderId="7" xfId="0" applyNumberFormat="1" applyBorder="1"/>
    <xf numFmtId="0" fontId="1" fillId="0" borderId="8" xfId="0" applyFont="1" applyBorder="1"/>
    <xf numFmtId="10" fontId="0" fillId="0" borderId="8" xfId="0" applyNumberFormat="1" applyBorder="1"/>
    <xf numFmtId="2" fontId="0" fillId="0" borderId="8" xfId="0" applyNumberFormat="1" applyBorder="1"/>
    <xf numFmtId="10" fontId="17" fillId="0" borderId="0" xfId="0" applyNumberFormat="1" applyFont="1"/>
    <xf numFmtId="10" fontId="17" fillId="0" borderId="0" xfId="6" applyNumberFormat="1" applyFont="1"/>
    <xf numFmtId="10" fontId="9" fillId="0" borderId="0" xfId="0" applyNumberFormat="1" applyFont="1"/>
    <xf numFmtId="10" fontId="9" fillId="0" borderId="0" xfId="6" applyNumberFormat="1" applyFont="1"/>
    <xf numFmtId="0" fontId="0" fillId="0" borderId="2" xfId="0" applyBorder="1" applyAlignment="1">
      <alignment horizontal="right"/>
    </xf>
    <xf numFmtId="10" fontId="0" fillId="11" borderId="2" xfId="0" applyNumberFormat="1" applyFill="1" applyBorder="1"/>
    <xf numFmtId="2" fontId="0" fillId="0" borderId="0" xfId="0" applyNumberFormat="1"/>
    <xf numFmtId="0" fontId="1" fillId="0" borderId="8" xfId="0" applyFont="1" applyBorder="1" applyAlignment="1">
      <alignment horizontal="right"/>
    </xf>
    <xf numFmtId="173" fontId="0" fillId="0" borderId="2" xfId="0" applyNumberFormat="1" applyBorder="1"/>
    <xf numFmtId="10" fontId="0" fillId="0" borderId="2" xfId="0" applyNumberFormat="1" applyBorder="1"/>
    <xf numFmtId="2" fontId="0" fillId="11" borderId="2" xfId="0" applyNumberFormat="1" applyFill="1" applyBorder="1"/>
    <xf numFmtId="10" fontId="0" fillId="11" borderId="0" xfId="0" applyNumberFormat="1" applyFill="1"/>
    <xf numFmtId="0" fontId="18" fillId="0" borderId="0" xfId="0" applyFont="1"/>
    <xf numFmtId="0" fontId="18" fillId="0" borderId="0" xfId="0" applyFont="1" applyAlignment="1">
      <alignment vertical="top"/>
    </xf>
    <xf numFmtId="0" fontId="1" fillId="11" borderId="2" xfId="0" applyFont="1" applyFill="1" applyBorder="1"/>
    <xf numFmtId="10" fontId="1" fillId="11" borderId="2" xfId="0" applyNumberFormat="1" applyFont="1" applyFill="1" applyBorder="1"/>
    <xf numFmtId="4" fontId="0" fillId="0" borderId="0" xfId="0" applyNumberFormat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0" fillId="9" borderId="0" xfId="0" applyFill="1"/>
    <xf numFmtId="4" fontId="0" fillId="9" borderId="0" xfId="0" applyNumberForma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11" borderId="0" xfId="0" applyFont="1" applyFill="1"/>
    <xf numFmtId="10" fontId="1" fillId="11" borderId="0" xfId="0" applyNumberFormat="1" applyFont="1" applyFill="1"/>
    <xf numFmtId="168" fontId="0" fillId="0" borderId="0" xfId="0" applyNumberFormat="1"/>
    <xf numFmtId="0" fontId="0" fillId="0" borderId="10" xfId="0" applyBorder="1"/>
    <xf numFmtId="0" fontId="13" fillId="0" borderId="9" xfId="0" applyFont="1" applyBorder="1" applyAlignment="1">
      <alignment horizontal="center"/>
    </xf>
    <xf numFmtId="0" fontId="13" fillId="0" borderId="9" xfId="0" applyFont="1" applyBorder="1" applyAlignment="1">
      <alignment horizontal="centerContinuous"/>
    </xf>
    <xf numFmtId="173" fontId="9" fillId="0" borderId="0" xfId="0" applyNumberFormat="1" applyFont="1"/>
    <xf numFmtId="17" fontId="10" fillId="6" borderId="0" xfId="7" applyNumberFormat="1" applyFont="1"/>
    <xf numFmtId="174" fontId="0" fillId="0" borderId="0" xfId="0" applyNumberFormat="1"/>
    <xf numFmtId="174" fontId="1" fillId="0" borderId="0" xfId="0" applyNumberFormat="1" applyFont="1"/>
    <xf numFmtId="0" fontId="1" fillId="0" borderId="12" xfId="0" applyFont="1" applyBorder="1"/>
    <xf numFmtId="174" fontId="1" fillId="0" borderId="12" xfId="0" applyNumberFormat="1" applyFont="1" applyBorder="1"/>
    <xf numFmtId="174" fontId="0" fillId="0" borderId="7" xfId="0" applyNumberFormat="1" applyBorder="1"/>
    <xf numFmtId="0" fontId="1" fillId="0" borderId="11" xfId="0" applyFont="1" applyBorder="1"/>
    <xf numFmtId="174" fontId="1" fillId="0" borderId="11" xfId="0" applyNumberFormat="1" applyFont="1" applyBorder="1"/>
    <xf numFmtId="0" fontId="1" fillId="0" borderId="13" xfId="0" applyFont="1" applyBorder="1"/>
    <xf numFmtId="0" fontId="1" fillId="0" borderId="14" xfId="0" applyFont="1" applyBorder="1"/>
    <xf numFmtId="10" fontId="1" fillId="0" borderId="14" xfId="6" applyNumberFormat="1" applyFont="1" applyBorder="1"/>
    <xf numFmtId="0" fontId="19" fillId="0" borderId="0" xfId="0" applyFont="1"/>
    <xf numFmtId="168" fontId="1" fillId="0" borderId="14" xfId="0" applyNumberFormat="1" applyFont="1" applyBorder="1"/>
    <xf numFmtId="174" fontId="1" fillId="0" borderId="13" xfId="0" applyNumberFormat="1" applyFont="1" applyBorder="1"/>
    <xf numFmtId="174" fontId="1" fillId="0" borderId="14" xfId="0" applyNumberFormat="1" applyFont="1" applyBorder="1"/>
    <xf numFmtId="0" fontId="0" fillId="0" borderId="1" xfId="0" applyBorder="1"/>
    <xf numFmtId="174" fontId="0" fillId="0" borderId="1" xfId="0" applyNumberFormat="1" applyBorder="1"/>
    <xf numFmtId="0" fontId="0" fillId="0" borderId="15" xfId="0" applyBorder="1"/>
    <xf numFmtId="174" fontId="0" fillId="0" borderId="15" xfId="0" applyNumberFormat="1" applyBorder="1"/>
    <xf numFmtId="174" fontId="1" fillId="0" borderId="1" xfId="0" applyNumberFormat="1" applyFont="1" applyBorder="1"/>
    <xf numFmtId="10" fontId="19" fillId="0" borderId="1" xfId="0" applyNumberFormat="1" applyFont="1" applyBorder="1"/>
    <xf numFmtId="0" fontId="1" fillId="9" borderId="0" xfId="0" applyFont="1" applyFill="1"/>
    <xf numFmtId="10" fontId="1" fillId="9" borderId="0" xfId="0" applyNumberFormat="1" applyFont="1" applyFill="1"/>
    <xf numFmtId="10" fontId="0" fillId="0" borderId="1" xfId="0" applyNumberFormat="1" applyBorder="1"/>
    <xf numFmtId="10" fontId="1" fillId="0" borderId="14" xfId="0" applyNumberFormat="1" applyFont="1" applyBorder="1"/>
    <xf numFmtId="175" fontId="10" fillId="6" borderId="0" xfId="7" applyNumberFormat="1" applyFont="1"/>
    <xf numFmtId="176" fontId="10" fillId="6" borderId="0" xfId="7" applyNumberFormat="1" applyFont="1"/>
    <xf numFmtId="0" fontId="10" fillId="6" borderId="0" xfId="7" applyFont="1" applyAlignment="1">
      <alignment horizontal="center"/>
    </xf>
    <xf numFmtId="0" fontId="1" fillId="0" borderId="0" xfId="0" applyFont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174" fontId="0" fillId="0" borderId="0" xfId="0" applyNumberFormat="1" applyBorder="1"/>
    <xf numFmtId="0" fontId="0" fillId="0" borderId="14" xfId="0" applyBorder="1"/>
    <xf numFmtId="10" fontId="0" fillId="9" borderId="0" xfId="0" applyNumberFormat="1" applyFill="1"/>
    <xf numFmtId="10" fontId="19" fillId="9" borderId="0" xfId="6" applyNumberFormat="1" applyFont="1" applyFill="1"/>
    <xf numFmtId="0" fontId="19" fillId="0" borderId="1" xfId="0" applyFont="1" applyBorder="1"/>
    <xf numFmtId="174" fontId="0" fillId="11" borderId="1" xfId="0" applyNumberFormat="1" applyFill="1" applyBorder="1"/>
    <xf numFmtId="10" fontId="19" fillId="11" borderId="1" xfId="0" applyNumberFormat="1" applyFont="1" applyFill="1" applyBorder="1"/>
    <xf numFmtId="10" fontId="0" fillId="11" borderId="1" xfId="0" applyNumberFormat="1" applyFill="1" applyBorder="1"/>
    <xf numFmtId="0" fontId="0" fillId="11" borderId="1" xfId="0" applyFill="1" applyBorder="1"/>
    <xf numFmtId="0" fontId="0" fillId="11" borderId="0" xfId="0" applyFill="1"/>
    <xf numFmtId="0" fontId="0" fillId="11" borderId="14" xfId="0" applyFill="1" applyBorder="1"/>
    <xf numFmtId="180" fontId="0" fillId="0" borderId="1" xfId="0" applyNumberFormat="1" applyBorder="1"/>
    <xf numFmtId="174" fontId="1" fillId="0" borderId="0" xfId="0" applyNumberFormat="1" applyFont="1" applyBorder="1"/>
    <xf numFmtId="0" fontId="0" fillId="0" borderId="0" xfId="0" applyFont="1"/>
    <xf numFmtId="174" fontId="0" fillId="0" borderId="0" xfId="0" applyNumberFormat="1" applyFont="1" applyBorder="1"/>
    <xf numFmtId="169" fontId="0" fillId="0" borderId="0" xfId="0" applyNumberFormat="1"/>
  </cellXfs>
  <cellStyles count="10">
    <cellStyle name="60% - Accent1" xfId="3" builtinId="32"/>
    <cellStyle name="60% - Accent3" xfId="4" builtinId="40"/>
    <cellStyle name="Accent4" xfId="7" builtinId="41"/>
    <cellStyle name="Accent6" xfId="5" builtinId="49"/>
    <cellStyle name="Comma" xfId="1" builtinId="3"/>
    <cellStyle name="Hyperlink" xfId="2" builtinId="8"/>
    <cellStyle name="Hyperlink 2" xfId="9" xr:uid="{05F31DD0-4975-499E-91C2-55C4B40D4EFD}"/>
    <cellStyle name="Normal" xfId="0" builtinId="0"/>
    <cellStyle name="Normal 2" xfId="8" xr:uid="{28DB1314-0357-4F31-834B-7ADE0FB5B9E4}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screener.in/exce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14B1-FC5A-4FD3-9A1D-46D41144DDDD}">
  <sheetPr>
    <tabColor rgb="FF00206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2A1-5C33-4BDA-8F4E-F882479FBD7D}">
  <dimension ref="A2:N107"/>
  <sheetViews>
    <sheetView showGridLines="0" zoomScale="120" zoomScaleNormal="120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C72" sqref="C72"/>
    </sheetView>
  </sheetViews>
  <sheetFormatPr defaultRowHeight="15" outlineLevelRow="1" x14ac:dyDescent="0.25"/>
  <cols>
    <col min="1" max="1" width="1.85546875" customWidth="1"/>
    <col min="2" max="2" width="21.42578125" customWidth="1"/>
    <col min="3" max="13" width="13.42578125" customWidth="1"/>
  </cols>
  <sheetData>
    <row r="2" spans="1:14" x14ac:dyDescent="0.25">
      <c r="B2" s="168" t="str">
        <f>"Historical Financial Statement - "&amp;'Data Sheet'!B1</f>
        <v>Historical Financial Statement - TATA MOTORS LTD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</row>
    <row r="3" spans="1:14" x14ac:dyDescent="0.25">
      <c r="B3" s="27" t="s">
        <v>93</v>
      </c>
      <c r="C3" s="28">
        <f>'Data Sheet'!B16</f>
        <v>42094</v>
      </c>
      <c r="D3" s="28">
        <f>'Data Sheet'!C16</f>
        <v>42460</v>
      </c>
      <c r="E3" s="28">
        <f>'Data Sheet'!D16</f>
        <v>42825</v>
      </c>
      <c r="F3" s="28">
        <f>'Data Sheet'!E16</f>
        <v>43190</v>
      </c>
      <c r="G3" s="28">
        <f>'Data Sheet'!F16</f>
        <v>43555</v>
      </c>
      <c r="H3" s="28">
        <f>'Data Sheet'!G16</f>
        <v>43921</v>
      </c>
      <c r="I3" s="28">
        <f>'Data Sheet'!H16</f>
        <v>44286</v>
      </c>
      <c r="J3" s="28">
        <f>'Data Sheet'!I16</f>
        <v>44651</v>
      </c>
      <c r="K3" s="28">
        <f>'Data Sheet'!J16</f>
        <v>45016</v>
      </c>
      <c r="L3" s="28">
        <f>'Data Sheet'!K16</f>
        <v>45382</v>
      </c>
      <c r="M3" s="28" t="s">
        <v>94</v>
      </c>
      <c r="N3" s="26"/>
    </row>
    <row r="5" spans="1:14" x14ac:dyDescent="0.25">
      <c r="A5" t="s">
        <v>95</v>
      </c>
      <c r="B5" s="36" t="s">
        <v>96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26"/>
    </row>
    <row r="6" spans="1:14" x14ac:dyDescent="0.25">
      <c r="B6" t="s">
        <v>6</v>
      </c>
      <c r="C6" s="30">
        <f>IFERROR('Data Sheet'!B17,0)</f>
        <v>263158.98</v>
      </c>
      <c r="D6" s="30">
        <f>IFERROR('Data Sheet'!C17,0)</f>
        <v>273045.59999999998</v>
      </c>
      <c r="E6" s="30">
        <f>IFERROR('Data Sheet'!D17,0)</f>
        <v>269692.51</v>
      </c>
      <c r="F6" s="30">
        <f>IFERROR('Data Sheet'!E17,0)</f>
        <v>291550.48</v>
      </c>
      <c r="G6" s="30">
        <f>IFERROR('Data Sheet'!F17,0)</f>
        <v>301938.40000000002</v>
      </c>
      <c r="H6" s="30">
        <f>IFERROR('Data Sheet'!G17,0)</f>
        <v>261067.97</v>
      </c>
      <c r="I6" s="30">
        <f>IFERROR('Data Sheet'!H17,0)</f>
        <v>249794.75</v>
      </c>
      <c r="J6" s="30">
        <f>IFERROR('Data Sheet'!I17,0)</f>
        <v>278453.62</v>
      </c>
      <c r="K6" s="30">
        <f>IFERROR('Data Sheet'!J17,0)</f>
        <v>345966.97</v>
      </c>
      <c r="L6" s="30">
        <f>IFERROR('Data Sheet'!K17,0)</f>
        <v>437927.77</v>
      </c>
      <c r="M6" s="30">
        <f>IFERROR(SUM('Data Sheet'!H42:K42),0)</f>
        <v>437927.77</v>
      </c>
      <c r="N6" s="26"/>
    </row>
    <row r="7" spans="1:14" x14ac:dyDescent="0.25">
      <c r="B7" s="32" t="s">
        <v>22</v>
      </c>
      <c r="C7" s="33" t="s">
        <v>97</v>
      </c>
      <c r="D7" s="34">
        <f>D6/C6-1</f>
        <v>3.75690010654397E-2</v>
      </c>
      <c r="E7" s="34">
        <f t="shared" ref="E7:M7" si="0">E6/D6-1</f>
        <v>-1.2280329732469508E-2</v>
      </c>
      <c r="F7" s="34">
        <f t="shared" si="0"/>
        <v>8.104774581985974E-2</v>
      </c>
      <c r="G7" s="34">
        <f t="shared" si="0"/>
        <v>3.5629919045237157E-2</v>
      </c>
      <c r="H7" s="34">
        <f t="shared" si="0"/>
        <v>-0.135360159555724</v>
      </c>
      <c r="I7" s="34">
        <f t="shared" si="0"/>
        <v>-4.3181168490336042E-2</v>
      </c>
      <c r="J7" s="34">
        <f t="shared" si="0"/>
        <v>0.11472967306158344</v>
      </c>
      <c r="K7" s="34">
        <f t="shared" si="0"/>
        <v>0.24245815155859707</v>
      </c>
      <c r="L7" s="34">
        <f t="shared" si="0"/>
        <v>0.26580803363974326</v>
      </c>
      <c r="M7" s="34">
        <f t="shared" si="0"/>
        <v>0</v>
      </c>
      <c r="N7" s="26"/>
    </row>
    <row r="8" spans="1:14" x14ac:dyDescent="0.25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25">
      <c r="B9" t="s">
        <v>98</v>
      </c>
      <c r="C9" s="30">
        <f>IFERROR( SUM('Data Sheet'!B18,'Data Sheet'!B20,'Data Sheet'!B21,'Data Sheet'!B22)-1*'Data Sheet'!B19,0)</f>
        <v>202856.88</v>
      </c>
      <c r="D9" s="30">
        <f>IFERROR( SUM('Data Sheet'!C18,'Data Sheet'!C20,'Data Sheet'!C21,'Data Sheet'!C22)-1*'Data Sheet'!C19,0)</f>
        <v>205509.07</v>
      </c>
      <c r="E9" s="30">
        <f>IFERROR( SUM('Data Sheet'!D18,'Data Sheet'!D20,'Data Sheet'!D21,'Data Sheet'!D22)-1*'Data Sheet'!D19,0)</f>
        <v>205454.23999999996</v>
      </c>
      <c r="F9" s="30">
        <f>IFERROR( SUM('Data Sheet'!E18,'Data Sheet'!E20,'Data Sheet'!E21,'Data Sheet'!E22)-1*'Data Sheet'!E19,0)</f>
        <v>228429.83</v>
      </c>
      <c r="G9" s="30">
        <f>IFERROR( SUM('Data Sheet'!F18,'Data Sheet'!F20,'Data Sheet'!F21,'Data Sheet'!F22)-1*'Data Sheet'!F19,0)</f>
        <v>242845.53</v>
      </c>
      <c r="H9" s="30">
        <f>IFERROR( SUM('Data Sheet'!G18,'Data Sheet'!G20,'Data Sheet'!G21,'Data Sheet'!G22)-1*'Data Sheet'!G19,0)</f>
        <v>210376.07000000004</v>
      </c>
      <c r="I9" s="30">
        <f>IFERROR( SUM('Data Sheet'!H18,'Data Sheet'!H20,'Data Sheet'!H21,'Data Sheet'!H22)-1*'Data Sheet'!H19,0)</f>
        <v>195326.04</v>
      </c>
      <c r="J9" s="30">
        <f>IFERROR( SUM('Data Sheet'!I18,'Data Sheet'!I20,'Data Sheet'!I21,'Data Sheet'!I22)-1*'Data Sheet'!I19,0)</f>
        <v>223300.00999999998</v>
      </c>
      <c r="K9" s="30">
        <f>IFERROR( SUM('Data Sheet'!J18,'Data Sheet'!J20,'Data Sheet'!J21,'Data Sheet'!J22)-1*'Data Sheet'!J19,0)</f>
        <v>274403.64</v>
      </c>
      <c r="L9" s="30">
        <f>IFERROR( SUM('Data Sheet'!K18,'Data Sheet'!K20,'Data Sheet'!K21,'Data Sheet'!K22)-1*'Data Sheet'!K19,0)</f>
        <v>334551.78999999998</v>
      </c>
      <c r="M9" s="30"/>
      <c r="N9" s="26"/>
    </row>
    <row r="10" spans="1:14" x14ac:dyDescent="0.25">
      <c r="B10" s="32" t="s">
        <v>99</v>
      </c>
      <c r="C10" s="34">
        <f>C9/C6</f>
        <v>0.77085296500237244</v>
      </c>
      <c r="D10" s="34">
        <f t="shared" ref="D10:L10" si="1">D9/D6</f>
        <v>0.75265475803309057</v>
      </c>
      <c r="E10" s="34">
        <f t="shared" si="1"/>
        <v>0.76180921746770036</v>
      </c>
      <c r="F10" s="34">
        <f t="shared" si="1"/>
        <v>0.78350009919380004</v>
      </c>
      <c r="G10" s="34">
        <f t="shared" si="1"/>
        <v>0.80428832503583503</v>
      </c>
      <c r="H10" s="34">
        <f t="shared" si="1"/>
        <v>0.80582872728508226</v>
      </c>
      <c r="I10" s="34">
        <f t="shared" si="1"/>
        <v>0.7819461377791167</v>
      </c>
      <c r="J10" s="34">
        <f t="shared" si="1"/>
        <v>0.80192891728252624</v>
      </c>
      <c r="K10" s="34">
        <f t="shared" si="1"/>
        <v>0.79314982005363122</v>
      </c>
      <c r="L10" s="34">
        <f t="shared" si="1"/>
        <v>0.76394285295038489</v>
      </c>
      <c r="M10" s="34"/>
      <c r="N10" s="26"/>
    </row>
    <row r="11" spans="1:14" x14ac:dyDescent="0.25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25">
      <c r="B12" s="43" t="s">
        <v>100</v>
      </c>
      <c r="C12" s="45">
        <f>C6-C9</f>
        <v>60302.099999999977</v>
      </c>
      <c r="D12" s="45">
        <f t="shared" ref="D12:L12" si="2">D6-D9</f>
        <v>67536.52999999997</v>
      </c>
      <c r="E12" s="45">
        <f t="shared" si="2"/>
        <v>64238.270000000048</v>
      </c>
      <c r="F12" s="45">
        <f t="shared" si="2"/>
        <v>63120.649999999994</v>
      </c>
      <c r="G12" s="45">
        <f t="shared" si="2"/>
        <v>59092.870000000024</v>
      </c>
      <c r="H12" s="45">
        <f t="shared" si="2"/>
        <v>50691.899999999965</v>
      </c>
      <c r="I12" s="45">
        <f t="shared" si="2"/>
        <v>54468.709999999992</v>
      </c>
      <c r="J12" s="45">
        <f t="shared" si="2"/>
        <v>55153.610000000015</v>
      </c>
      <c r="K12" s="45">
        <f t="shared" si="2"/>
        <v>71563.329999999958</v>
      </c>
      <c r="L12" s="45">
        <f t="shared" si="2"/>
        <v>103375.98000000004</v>
      </c>
      <c r="M12" s="42"/>
      <c r="N12" s="26"/>
    </row>
    <row r="13" spans="1:14" x14ac:dyDescent="0.25">
      <c r="B13" s="32" t="s">
        <v>101</v>
      </c>
      <c r="C13" s="34">
        <f>C12/C6</f>
        <v>0.22914703499762759</v>
      </c>
      <c r="D13" s="34">
        <f t="shared" ref="D13:L13" si="3">D12/D6</f>
        <v>0.24734524196690946</v>
      </c>
      <c r="E13" s="34">
        <f t="shared" si="3"/>
        <v>0.23819078253229964</v>
      </c>
      <c r="F13" s="34">
        <f t="shared" si="3"/>
        <v>0.21649990080619999</v>
      </c>
      <c r="G13" s="34">
        <f t="shared" si="3"/>
        <v>0.19571167496416494</v>
      </c>
      <c r="H13" s="34">
        <f t="shared" si="3"/>
        <v>0.19417127271491774</v>
      </c>
      <c r="I13" s="34">
        <f t="shared" si="3"/>
        <v>0.2180538622208833</v>
      </c>
      <c r="J13" s="34">
        <f t="shared" si="3"/>
        <v>0.19807108271747378</v>
      </c>
      <c r="K13" s="34">
        <f t="shared" si="3"/>
        <v>0.20685017994636876</v>
      </c>
      <c r="L13" s="34">
        <f t="shared" si="3"/>
        <v>0.23605714704961514</v>
      </c>
      <c r="M13" s="26"/>
      <c r="N13" s="26"/>
    </row>
    <row r="14" spans="1:14" x14ac:dyDescent="0.25"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25">
      <c r="B15" t="s">
        <v>102</v>
      </c>
      <c r="C15" s="30">
        <f>IFERROR(SUM('Data Sheet'!B23:B24),0)</f>
        <v>21063.449999999997</v>
      </c>
      <c r="D15" s="30">
        <f>IFERROR(SUM('Data Sheet'!C23:C24),0)</f>
        <v>29141.280000000002</v>
      </c>
      <c r="E15" s="30">
        <f>IFERROR(SUM('Data Sheet'!D23:D24),0)</f>
        <v>34649.58</v>
      </c>
      <c r="F15" s="30">
        <f>IFERROR(SUM('Data Sheet'!E23:E24),0)</f>
        <v>31662.97</v>
      </c>
      <c r="G15" s="30">
        <f>IFERROR(SUM('Data Sheet'!F23:F24),0)</f>
        <v>34428.54</v>
      </c>
      <c r="H15" s="30">
        <f>IFERROR(SUM('Data Sheet'!G23:G24),0)</f>
        <v>32704.83</v>
      </c>
      <c r="I15" s="30">
        <f>IFERROR(SUM('Data Sheet'!H23:H24),0)</f>
        <v>22181.280000000002</v>
      </c>
      <c r="J15" s="30">
        <f>IFERROR(SUM('Data Sheet'!I23:I24),0)</f>
        <v>30433.52</v>
      </c>
      <c r="K15" s="30">
        <f>IFERROR(SUM('Data Sheet'!J23:J24),0)</f>
        <v>39747.53</v>
      </c>
      <c r="L15" s="30">
        <f>IFERROR(SUM('Data Sheet'!K23:K24),0)</f>
        <v>43837.64</v>
      </c>
      <c r="M15" s="26"/>
      <c r="N15" s="26"/>
    </row>
    <row r="16" spans="1:14" x14ac:dyDescent="0.25">
      <c r="B16" s="32" t="s">
        <v>103</v>
      </c>
      <c r="C16" s="34">
        <f>C15/C6</f>
        <v>8.0040779911823637E-2</v>
      </c>
      <c r="D16" s="34">
        <f t="shared" ref="D16:L16" si="4">D15/D6</f>
        <v>0.10672678849247161</v>
      </c>
      <c r="E16" s="34">
        <f t="shared" si="4"/>
        <v>0.12847809529452636</v>
      </c>
      <c r="F16" s="34">
        <f t="shared" si="4"/>
        <v>0.10860201636437025</v>
      </c>
      <c r="G16" s="34">
        <f t="shared" si="4"/>
        <v>0.11402504616835751</v>
      </c>
      <c r="H16" s="34">
        <f t="shared" si="4"/>
        <v>0.12527323822987554</v>
      </c>
      <c r="I16" s="34">
        <f t="shared" si="4"/>
        <v>8.8798023177028354E-2</v>
      </c>
      <c r="J16" s="34">
        <f t="shared" si="4"/>
        <v>0.10929475436519734</v>
      </c>
      <c r="K16" s="34">
        <f t="shared" si="4"/>
        <v>0.11488822184383672</v>
      </c>
      <c r="L16" s="34">
        <f t="shared" si="4"/>
        <v>0.10010244383451636</v>
      </c>
      <c r="M16" s="26"/>
      <c r="N16" s="26"/>
    </row>
    <row r="17" spans="2:14" x14ac:dyDescent="0.25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2:14" x14ac:dyDescent="0.25">
      <c r="B18" s="43" t="s">
        <v>104</v>
      </c>
      <c r="C18" s="45">
        <f>C12-C15</f>
        <v>39238.64999999998</v>
      </c>
      <c r="D18" s="45">
        <f t="shared" ref="D18:L18" si="5">D12-D15</f>
        <v>38395.249999999971</v>
      </c>
      <c r="E18" s="45">
        <f t="shared" si="5"/>
        <v>29588.690000000046</v>
      </c>
      <c r="F18" s="45">
        <f t="shared" si="5"/>
        <v>31457.679999999993</v>
      </c>
      <c r="G18" s="45">
        <f t="shared" si="5"/>
        <v>24664.330000000024</v>
      </c>
      <c r="H18" s="45">
        <f t="shared" si="5"/>
        <v>17987.069999999963</v>
      </c>
      <c r="I18" s="45">
        <f t="shared" si="5"/>
        <v>32287.429999999989</v>
      </c>
      <c r="J18" s="45">
        <f t="shared" si="5"/>
        <v>24720.090000000015</v>
      </c>
      <c r="K18" s="45">
        <f t="shared" si="5"/>
        <v>31815.799999999959</v>
      </c>
      <c r="L18" s="45">
        <f t="shared" si="5"/>
        <v>59538.34000000004</v>
      </c>
      <c r="M18" s="45">
        <f>IFERROR(SUM('Data Sheet'!H42:K42)-SUM('Data Sheet'!H43:K43),0)</f>
        <v>59538.340000000026</v>
      </c>
      <c r="N18" s="26"/>
    </row>
    <row r="19" spans="2:14" x14ac:dyDescent="0.25">
      <c r="B19" s="32" t="s">
        <v>105</v>
      </c>
      <c r="C19" s="34">
        <f>C18/C6</f>
        <v>0.14910625508580397</v>
      </c>
      <c r="D19" s="34">
        <f t="shared" ref="D19:M19" si="6">D18/D6</f>
        <v>0.14061845347443788</v>
      </c>
      <c r="E19" s="34">
        <f t="shared" si="6"/>
        <v>0.10971268723777329</v>
      </c>
      <c r="F19" s="34">
        <f t="shared" si="6"/>
        <v>0.10789788444182975</v>
      </c>
      <c r="G19" s="34">
        <f t="shared" si="6"/>
        <v>8.1686628795807431E-2</v>
      </c>
      <c r="H19" s="34">
        <f t="shared" si="6"/>
        <v>6.8898034485042198E-2</v>
      </c>
      <c r="I19" s="34">
        <f t="shared" si="6"/>
        <v>0.12925583904385496</v>
      </c>
      <c r="J19" s="34">
        <f t="shared" si="6"/>
        <v>8.877632835227646E-2</v>
      </c>
      <c r="K19" s="34">
        <f t="shared" si="6"/>
        <v>9.1961958102532049E-2</v>
      </c>
      <c r="L19" s="34">
        <f t="shared" si="6"/>
        <v>0.13595470321509878</v>
      </c>
      <c r="M19" s="34">
        <f t="shared" si="6"/>
        <v>0.13595470321509875</v>
      </c>
      <c r="N19" s="26"/>
    </row>
    <row r="20" spans="2:14" x14ac:dyDescent="0.25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2:14" x14ac:dyDescent="0.25">
      <c r="B21" t="s">
        <v>9</v>
      </c>
      <c r="C21" s="29">
        <f>IFERROR('Data Sheet'!B25,0)</f>
        <v>714.03</v>
      </c>
      <c r="D21" s="29">
        <f>IFERROR('Data Sheet'!C25,0)</f>
        <v>-2669.62</v>
      </c>
      <c r="E21" s="29">
        <f>IFERROR('Data Sheet'!D25,0)</f>
        <v>1869.1</v>
      </c>
      <c r="F21" s="29">
        <f>IFERROR('Data Sheet'!E25,0)</f>
        <v>5932.73</v>
      </c>
      <c r="G21" s="29">
        <f>IFERROR('Data Sheet'!F25,0)</f>
        <v>-26686.25</v>
      </c>
      <c r="H21" s="29">
        <f>IFERROR('Data Sheet'!G25,0)</f>
        <v>101.71</v>
      </c>
      <c r="I21" s="29">
        <f>IFERROR('Data Sheet'!H25,0)</f>
        <v>-11117.83</v>
      </c>
      <c r="J21" s="29">
        <f>IFERROR('Data Sheet'!I25,0)</f>
        <v>2424.0500000000002</v>
      </c>
      <c r="K21" s="29">
        <f>IFERROR('Data Sheet'!J25,0)</f>
        <v>6663.97</v>
      </c>
      <c r="L21" s="29">
        <f>IFERROR('Data Sheet'!K25,0)</f>
        <v>5672.66</v>
      </c>
      <c r="M21" s="29">
        <f>IFERROR(SUM('Data Sheet'!H44:K44),0)</f>
        <v>5412.67</v>
      </c>
      <c r="N21" s="26"/>
    </row>
    <row r="22" spans="2:14" x14ac:dyDescent="0.25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 x14ac:dyDescent="0.25">
      <c r="B23" t="s">
        <v>11</v>
      </c>
      <c r="C23" s="29">
        <f>IFERROR('Data Sheet'!B27,0)</f>
        <v>4861.49</v>
      </c>
      <c r="D23" s="29">
        <f>IFERROR('Data Sheet'!C27,0)</f>
        <v>4889.08</v>
      </c>
      <c r="E23" s="29">
        <f>IFERROR('Data Sheet'!D27,0)</f>
        <v>4238.01</v>
      </c>
      <c r="F23" s="29">
        <f>IFERROR('Data Sheet'!E27,0)</f>
        <v>4681.79</v>
      </c>
      <c r="G23" s="29">
        <f>IFERROR('Data Sheet'!F27,0)</f>
        <v>5758.6</v>
      </c>
      <c r="H23" s="29">
        <f>IFERROR('Data Sheet'!G27,0)</f>
        <v>7243.33</v>
      </c>
      <c r="I23" s="29">
        <f>IFERROR('Data Sheet'!H27,0)</f>
        <v>8097.17</v>
      </c>
      <c r="J23" s="29">
        <f>IFERROR('Data Sheet'!I27,0)</f>
        <v>9311.86</v>
      </c>
      <c r="K23" s="29">
        <f>IFERROR('Data Sheet'!J27,0)</f>
        <v>10225.48</v>
      </c>
      <c r="L23" s="29">
        <f>IFERROR('Data Sheet'!K27,0)</f>
        <v>9985.76</v>
      </c>
      <c r="M23" s="29">
        <f>IFERROR(SUM('Data Sheet'!H46:K46),0)</f>
        <v>9985.76</v>
      </c>
      <c r="N23" s="26"/>
    </row>
    <row r="24" spans="2:14" x14ac:dyDescent="0.25">
      <c r="B24" s="32" t="s">
        <v>106</v>
      </c>
      <c r="C24" s="34">
        <f>C23/C6</f>
        <v>1.8473585814932098E-2</v>
      </c>
      <c r="D24" s="34">
        <f t="shared" ref="D24:M24" si="7">D23/D6</f>
        <v>1.7905727101993223E-2</v>
      </c>
      <c r="E24" s="34">
        <f t="shared" si="7"/>
        <v>1.5714229512714312E-2</v>
      </c>
      <c r="F24" s="34">
        <f t="shared" si="7"/>
        <v>1.605824830060304E-2</v>
      </c>
      <c r="G24" s="34">
        <f t="shared" si="7"/>
        <v>1.9072102124141878E-2</v>
      </c>
      <c r="H24" s="34">
        <f t="shared" si="7"/>
        <v>2.7744996829752802E-2</v>
      </c>
      <c r="I24" s="34">
        <f t="shared" si="7"/>
        <v>3.2415292955516477E-2</v>
      </c>
      <c r="J24" s="34">
        <f t="shared" si="7"/>
        <v>3.3441332168710897E-2</v>
      </c>
      <c r="K24" s="34">
        <f t="shared" si="7"/>
        <v>2.9556231914277829E-2</v>
      </c>
      <c r="L24" s="34">
        <f t="shared" si="7"/>
        <v>2.2802299109736749E-2</v>
      </c>
      <c r="M24" s="34">
        <f t="shared" si="7"/>
        <v>2.2802299109736749E-2</v>
      </c>
      <c r="N24" s="26"/>
    </row>
    <row r="25" spans="2:14" x14ac:dyDescent="0.25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2:14" x14ac:dyDescent="0.25">
      <c r="B26" t="s">
        <v>10</v>
      </c>
      <c r="C26" s="29">
        <f>IFERROR('Data Sheet'!B26,0)</f>
        <v>13388.63</v>
      </c>
      <c r="D26" s="29">
        <f>IFERROR('Data Sheet'!C26,0)</f>
        <v>16710.78</v>
      </c>
      <c r="E26" s="29">
        <f>IFERROR('Data Sheet'!D26,0)</f>
        <v>17904.990000000002</v>
      </c>
      <c r="F26" s="29">
        <f>IFERROR('Data Sheet'!E26,0)</f>
        <v>21553.59</v>
      </c>
      <c r="G26" s="29">
        <f>IFERROR('Data Sheet'!F26,0)</f>
        <v>23590.63</v>
      </c>
      <c r="H26" s="29">
        <f>IFERROR('Data Sheet'!G26,0)</f>
        <v>21425.43</v>
      </c>
      <c r="I26" s="29">
        <f>IFERROR('Data Sheet'!H26,0)</f>
        <v>23546.71</v>
      </c>
      <c r="J26" s="29">
        <f>IFERROR('Data Sheet'!I26,0)</f>
        <v>24835.69</v>
      </c>
      <c r="K26" s="29">
        <f>IFERROR('Data Sheet'!J26,0)</f>
        <v>24860.36</v>
      </c>
      <c r="L26" s="29">
        <f>IFERROR('Data Sheet'!K26,0)</f>
        <v>27270.13</v>
      </c>
      <c r="M26" s="29">
        <f>IFERROR(SUM('Data Sheet'!H45:K45),0)</f>
        <v>27270.129999999997</v>
      </c>
      <c r="N26" s="26"/>
    </row>
    <row r="27" spans="2:14" x14ac:dyDescent="0.25">
      <c r="B27" s="32" t="s">
        <v>107</v>
      </c>
      <c r="C27" s="34">
        <f>C26/C6</f>
        <v>5.0876584184966822E-2</v>
      </c>
      <c r="D27" s="34">
        <f t="shared" ref="D27:M27" si="8">D26/D6</f>
        <v>6.1201425695927715E-2</v>
      </c>
      <c r="E27" s="34">
        <f t="shared" si="8"/>
        <v>6.63903865924938E-2</v>
      </c>
      <c r="F27" s="34">
        <f t="shared" si="8"/>
        <v>7.3927472182518786E-2</v>
      </c>
      <c r="G27" s="34">
        <f t="shared" si="8"/>
        <v>7.8130605447998658E-2</v>
      </c>
      <c r="H27" s="34">
        <f t="shared" si="8"/>
        <v>8.206839774331566E-2</v>
      </c>
      <c r="I27" s="34">
        <f t="shared" si="8"/>
        <v>9.4264230933596482E-2</v>
      </c>
      <c r="J27" s="34">
        <f t="shared" si="8"/>
        <v>8.9191478279219347E-2</v>
      </c>
      <c r="K27" s="34">
        <f t="shared" si="8"/>
        <v>7.1857611147098821E-2</v>
      </c>
      <c r="L27" s="34">
        <f t="shared" si="8"/>
        <v>6.2270839777984394E-2</v>
      </c>
      <c r="M27" s="34">
        <f t="shared" si="8"/>
        <v>6.2270839777984387E-2</v>
      </c>
      <c r="N27" s="26"/>
    </row>
    <row r="28" spans="2:14" x14ac:dyDescent="0.25"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 x14ac:dyDescent="0.25">
      <c r="B29" s="43" t="s">
        <v>108</v>
      </c>
      <c r="C29" s="44">
        <f>IFERROR(SUM(C18,C21)-SUM(C23,C26),0)</f>
        <v>21702.559999999979</v>
      </c>
      <c r="D29" s="44">
        <f t="shared" ref="D29:M29" si="9">IFERROR(SUM(D18,D21)-SUM(D23,D26),0)</f>
        <v>14125.769999999968</v>
      </c>
      <c r="E29" s="44">
        <f t="shared" si="9"/>
        <v>9314.7900000000445</v>
      </c>
      <c r="F29" s="44">
        <f t="shared" si="9"/>
        <v>11155.029999999988</v>
      </c>
      <c r="G29" s="44">
        <f t="shared" si="9"/>
        <v>-31371.14999999998</v>
      </c>
      <c r="H29" s="44">
        <f t="shared" si="9"/>
        <v>-10579.98000000004</v>
      </c>
      <c r="I29" s="44">
        <f t="shared" si="9"/>
        <v>-10474.280000000006</v>
      </c>
      <c r="J29" s="44">
        <f t="shared" si="9"/>
        <v>-7003.4099999999889</v>
      </c>
      <c r="K29" s="44">
        <f t="shared" si="9"/>
        <v>3393.9299999999639</v>
      </c>
      <c r="L29" s="44">
        <f t="shared" si="9"/>
        <v>27955.110000000044</v>
      </c>
      <c r="M29" s="44">
        <f t="shared" si="9"/>
        <v>27695.120000000024</v>
      </c>
      <c r="N29" s="26"/>
    </row>
    <row r="30" spans="2:14" x14ac:dyDescent="0.25">
      <c r="B30" s="32" t="s">
        <v>109</v>
      </c>
      <c r="C30" s="34">
        <f>C29/C6</f>
        <v>8.2469387896244251E-2</v>
      </c>
      <c r="D30" s="34">
        <f t="shared" ref="D30:M30" si="10">D29/D6</f>
        <v>5.1734105951533257E-2</v>
      </c>
      <c r="E30" s="34">
        <f t="shared" si="10"/>
        <v>3.4538556521276929E-2</v>
      </c>
      <c r="F30" s="34">
        <f t="shared" si="10"/>
        <v>3.8261058599526193E-2</v>
      </c>
      <c r="G30" s="34">
        <f t="shared" si="10"/>
        <v>-0.10389917281140781</v>
      </c>
      <c r="H30" s="34">
        <f t="shared" si="10"/>
        <v>-4.0525768059559507E-2</v>
      </c>
      <c r="I30" s="34">
        <f t="shared" si="10"/>
        <v>-4.1931545799101085E-2</v>
      </c>
      <c r="J30" s="34">
        <f t="shared" si="10"/>
        <v>-2.5151082611172333E-2</v>
      </c>
      <c r="K30" s="34">
        <f t="shared" si="10"/>
        <v>9.8099827275417769E-3</v>
      </c>
      <c r="L30" s="34">
        <f t="shared" si="10"/>
        <v>6.3834978996650624E-2</v>
      </c>
      <c r="M30" s="34">
        <f t="shared" si="10"/>
        <v>6.3241296618389883E-2</v>
      </c>
      <c r="N30" s="26"/>
    </row>
    <row r="31" spans="2:14" x14ac:dyDescent="0.25"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2:14" x14ac:dyDescent="0.25">
      <c r="B32" t="s">
        <v>13</v>
      </c>
      <c r="C32" s="30">
        <f>IFERROR('Data Sheet'!B29,0)</f>
        <v>7642.91</v>
      </c>
      <c r="D32" s="30">
        <f>IFERROR('Data Sheet'!C29,0)</f>
        <v>3025.05</v>
      </c>
      <c r="E32" s="30">
        <f>IFERROR('Data Sheet'!D29,0)</f>
        <v>3251.23</v>
      </c>
      <c r="F32" s="30">
        <f>IFERROR('Data Sheet'!E29,0)</f>
        <v>4341.93</v>
      </c>
      <c r="G32" s="30">
        <f>IFERROR('Data Sheet'!F29,0)</f>
        <v>-2437.4499999999998</v>
      </c>
      <c r="H32" s="30">
        <f>IFERROR('Data Sheet'!G29,0)</f>
        <v>395.25</v>
      </c>
      <c r="I32" s="30">
        <f>IFERROR('Data Sheet'!H29,0)</f>
        <v>2541.86</v>
      </c>
      <c r="J32" s="30">
        <f>IFERROR('Data Sheet'!I29,0)</f>
        <v>4231.29</v>
      </c>
      <c r="K32" s="30">
        <f>IFERROR('Data Sheet'!J29,0)</f>
        <v>704.06</v>
      </c>
      <c r="L32" s="30">
        <f>IFERROR('Data Sheet'!K29,0)</f>
        <v>-3851.64</v>
      </c>
      <c r="M32" s="30">
        <f>IFERROR(SUM('Data Sheet'!H48:K48),0)</f>
        <v>-3851.6399999999994</v>
      </c>
      <c r="N32" s="26"/>
    </row>
    <row r="33" spans="1:14" x14ac:dyDescent="0.25">
      <c r="B33" s="32" t="s">
        <v>110</v>
      </c>
      <c r="C33" s="34">
        <f>C32/C29</f>
        <v>0.35216628821668999</v>
      </c>
      <c r="D33" s="34">
        <f t="shared" ref="D33:M33" si="11">D32/D29</f>
        <v>0.21415115777759422</v>
      </c>
      <c r="E33" s="34">
        <f t="shared" si="11"/>
        <v>0.34903953819678002</v>
      </c>
      <c r="F33" s="34">
        <f t="shared" si="11"/>
        <v>0.38923517014297632</v>
      </c>
      <c r="G33" s="34">
        <f t="shared" si="11"/>
        <v>7.7697183558779373E-2</v>
      </c>
      <c r="H33" s="34">
        <f t="shared" si="11"/>
        <v>-3.7358293682974685E-2</v>
      </c>
      <c r="I33" s="34">
        <f t="shared" si="11"/>
        <v>-0.24267634625005238</v>
      </c>
      <c r="J33" s="34">
        <f t="shared" si="11"/>
        <v>-0.60417568013296474</v>
      </c>
      <c r="K33" s="34">
        <f t="shared" si="11"/>
        <v>0.20744682418317628</v>
      </c>
      <c r="L33" s="34">
        <f t="shared" si="11"/>
        <v>-0.13777946142941286</v>
      </c>
      <c r="M33" s="34">
        <f t="shared" si="11"/>
        <v>-0.13907287637677671</v>
      </c>
      <c r="N33" s="26"/>
    </row>
    <row r="34" spans="1:14" x14ac:dyDescent="0.25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25">
      <c r="B35" s="43" t="s">
        <v>111</v>
      </c>
      <c r="C35" s="44">
        <f>IFERROR(C29-C32,0)</f>
        <v>14059.64999999998</v>
      </c>
      <c r="D35" s="44">
        <f t="shared" ref="D35:M35" si="12">IFERROR(D29-D32,0)</f>
        <v>11100.719999999968</v>
      </c>
      <c r="E35" s="44">
        <f t="shared" si="12"/>
        <v>6063.560000000045</v>
      </c>
      <c r="F35" s="44">
        <f t="shared" si="12"/>
        <v>6813.0999999999876</v>
      </c>
      <c r="G35" s="44">
        <f t="shared" si="12"/>
        <v>-28933.699999999979</v>
      </c>
      <c r="H35" s="44">
        <f t="shared" si="12"/>
        <v>-10975.23000000004</v>
      </c>
      <c r="I35" s="44">
        <f t="shared" si="12"/>
        <v>-13016.140000000007</v>
      </c>
      <c r="J35" s="44">
        <f t="shared" si="12"/>
        <v>-11234.69999999999</v>
      </c>
      <c r="K35" s="44">
        <f t="shared" si="12"/>
        <v>2689.869999999964</v>
      </c>
      <c r="L35" s="44">
        <f t="shared" si="12"/>
        <v>31806.750000000044</v>
      </c>
      <c r="M35" s="44">
        <f t="shared" si="12"/>
        <v>31546.760000000024</v>
      </c>
      <c r="N35" s="26"/>
    </row>
    <row r="36" spans="1:14" x14ac:dyDescent="0.25">
      <c r="B36" s="32" t="s">
        <v>168</v>
      </c>
      <c r="C36" s="34">
        <f>C35/C6</f>
        <v>5.3426449669321488E-2</v>
      </c>
      <c r="D36" s="34">
        <f t="shared" ref="D36:M36" si="13">D35/D6</f>
        <v>4.0655187265423685E-2</v>
      </c>
      <c r="E36" s="34">
        <f t="shared" si="13"/>
        <v>2.248323470310705E-2</v>
      </c>
      <c r="F36" s="34">
        <f t="shared" si="13"/>
        <v>2.3368508945689228E-2</v>
      </c>
      <c r="G36" s="34">
        <f t="shared" si="13"/>
        <v>-9.5826499709874516E-2</v>
      </c>
      <c r="H36" s="34">
        <f t="shared" si="13"/>
        <v>-4.2039741604456643E-2</v>
      </c>
      <c r="I36" s="34">
        <f t="shared" si="13"/>
        <v>-5.210734012624367E-2</v>
      </c>
      <c r="J36" s="34">
        <f t="shared" si="13"/>
        <v>-4.0346755053857764E-2</v>
      </c>
      <c r="K36" s="34">
        <f t="shared" si="13"/>
        <v>7.7749329654214225E-3</v>
      </c>
      <c r="L36" s="34">
        <f t="shared" si="13"/>
        <v>7.2630128023167026E-2</v>
      </c>
      <c r="M36" s="34">
        <f t="shared" si="13"/>
        <v>7.2036445644906286E-2</v>
      </c>
      <c r="N36" s="26"/>
    </row>
    <row r="37" spans="1:14" x14ac:dyDescent="0.25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B38" t="s">
        <v>112</v>
      </c>
      <c r="C38" s="38">
        <f>IFERROR('Data Sheet'!B93,0)</f>
        <v>288.74</v>
      </c>
      <c r="D38" s="38">
        <f>IFERROR('Data Sheet'!C93,0)</f>
        <v>288.72000000000003</v>
      </c>
      <c r="E38" s="38">
        <f>IFERROR('Data Sheet'!D93,0)</f>
        <v>288.73</v>
      </c>
      <c r="F38" s="38">
        <f>IFERROR('Data Sheet'!E93,0)</f>
        <v>288.73</v>
      </c>
      <c r="G38" s="38">
        <f>IFERROR('Data Sheet'!F93,0)</f>
        <v>288.73</v>
      </c>
      <c r="H38" s="38">
        <f>IFERROR('Data Sheet'!G93,0)</f>
        <v>308.89999999999998</v>
      </c>
      <c r="I38" s="38">
        <f>IFERROR('Data Sheet'!H93,0)</f>
        <v>332.03</v>
      </c>
      <c r="J38" s="38">
        <f>IFERROR('Data Sheet'!I93,0)</f>
        <v>332.07</v>
      </c>
      <c r="K38" s="38">
        <f>IFERROR('Data Sheet'!J93,0)</f>
        <v>332.13</v>
      </c>
      <c r="L38" s="38">
        <f>IFERROR('Data Sheet'!K93,0)</f>
        <v>332.37</v>
      </c>
      <c r="M38" s="38">
        <f>IFERROR('Data Sheet'!L93,0)</f>
        <v>0</v>
      </c>
      <c r="N38" s="26"/>
    </row>
    <row r="39" spans="1:14" x14ac:dyDescent="0.25"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26"/>
    </row>
    <row r="40" spans="1:14" x14ac:dyDescent="0.25">
      <c r="B40" t="s">
        <v>113</v>
      </c>
      <c r="C40" s="30">
        <f>IFERROR(C35/C38,0)</f>
        <v>48.693114913070509</v>
      </c>
      <c r="D40" s="30">
        <f t="shared" ref="D40:M40" si="14">IFERROR(D35/D38,0)</f>
        <v>38.448046550290826</v>
      </c>
      <c r="E40" s="30">
        <f t="shared" si="14"/>
        <v>21.000796591971891</v>
      </c>
      <c r="F40" s="30">
        <f t="shared" si="14"/>
        <v>23.596785924566159</v>
      </c>
      <c r="G40" s="30">
        <f t="shared" si="14"/>
        <v>-100.21023101167172</v>
      </c>
      <c r="H40" s="30">
        <f t="shared" si="14"/>
        <v>-35.530042084817225</v>
      </c>
      <c r="I40" s="30">
        <f t="shared" si="14"/>
        <v>-39.201698641689028</v>
      </c>
      <c r="J40" s="30">
        <f t="shared" si="14"/>
        <v>-33.832324509892466</v>
      </c>
      <c r="K40" s="30">
        <f t="shared" si="14"/>
        <v>8.0988468370817568</v>
      </c>
      <c r="L40" s="30">
        <f t="shared" si="14"/>
        <v>95.696813791858602</v>
      </c>
      <c r="M40" s="30">
        <f t="shared" si="14"/>
        <v>0</v>
      </c>
      <c r="N40" s="26"/>
    </row>
    <row r="41" spans="1:14" x14ac:dyDescent="0.25">
      <c r="B41" s="32" t="s">
        <v>115</v>
      </c>
      <c r="C41" s="34" t="s">
        <v>97</v>
      </c>
      <c r="D41" s="34">
        <f>IFERROR((D40-C40)/ABS(C40),0)</f>
        <v>-0.2104007595543993</v>
      </c>
      <c r="E41" s="34">
        <f t="shared" ref="E41:M41" si="15">IFERROR((E40-D40)/ABS(D40),0)</f>
        <v>-0.45378768295802951</v>
      </c>
      <c r="F41" s="34">
        <f t="shared" si="15"/>
        <v>0.12361385060920277</v>
      </c>
      <c r="G41" s="34">
        <f t="shared" si="15"/>
        <v>-5.2467745959988896</v>
      </c>
      <c r="H41" s="34">
        <f t="shared" si="15"/>
        <v>0.64544496379138216</v>
      </c>
      <c r="I41" s="34">
        <f t="shared" si="15"/>
        <v>-0.10333949360675772</v>
      </c>
      <c r="J41" s="34">
        <f t="shared" si="15"/>
        <v>0.13696789470460607</v>
      </c>
      <c r="K41" s="34">
        <f t="shared" si="15"/>
        <v>1.239381921118476</v>
      </c>
      <c r="L41" s="34">
        <f t="shared" si="15"/>
        <v>10.816103664746038</v>
      </c>
      <c r="M41" s="34">
        <f t="shared" si="15"/>
        <v>-1</v>
      </c>
      <c r="N41" s="26"/>
    </row>
    <row r="42" spans="1:14" x14ac:dyDescent="0.25"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25">
      <c r="B43" t="s">
        <v>114</v>
      </c>
      <c r="C43" s="30">
        <f>IFERROR('Data Sheet'!B31/HistoricalFS!C38,0)</f>
        <v>0</v>
      </c>
      <c r="D43" s="30">
        <f>IFERROR('Data Sheet'!C31/HistoricalFS!D38,0)</f>
        <v>0.23524522028262676</v>
      </c>
      <c r="E43" s="30">
        <f>IFERROR('Data Sheet'!D31/HistoricalFS!E38,0)</f>
        <v>0</v>
      </c>
      <c r="F43" s="30">
        <f>IFERROR('Data Sheet'!E31/HistoricalFS!F38,0)</f>
        <v>0</v>
      </c>
      <c r="G43" s="30">
        <f>IFERROR('Data Sheet'!F31/HistoricalFS!G38,0)</f>
        <v>0</v>
      </c>
      <c r="H43" s="30">
        <f>IFERROR('Data Sheet'!G31/HistoricalFS!H38,0)</f>
        <v>0</v>
      </c>
      <c r="I43" s="30">
        <f>IFERROR('Data Sheet'!H31/HistoricalFS!I38,0)</f>
        <v>0</v>
      </c>
      <c r="J43" s="30">
        <f>IFERROR('Data Sheet'!I31/HistoricalFS!J38,0)</f>
        <v>0</v>
      </c>
      <c r="K43" s="30">
        <f>IFERROR('Data Sheet'!J31/HistoricalFS!K38,0)</f>
        <v>2.3063860536536898</v>
      </c>
      <c r="L43" s="30">
        <f>IFERROR('Data Sheet'!K31/HistoricalFS!L38,0)</f>
        <v>14.067605379546888</v>
      </c>
      <c r="M43" s="30">
        <f>IFERROR('Data Sheet'!L31/HistoricalFS!M38,0)</f>
        <v>0</v>
      </c>
      <c r="N43" s="26"/>
    </row>
    <row r="44" spans="1:14" x14ac:dyDescent="0.25">
      <c r="B44" s="32" t="s">
        <v>116</v>
      </c>
      <c r="C44" s="34">
        <f>IFERROR(C43/C40,0)</f>
        <v>0</v>
      </c>
      <c r="D44" s="34">
        <f t="shared" ref="D44:M44" si="16">IFERROR(D43/D40,0)</f>
        <v>6.1185220418135218E-3</v>
      </c>
      <c r="E44" s="34">
        <f t="shared" si="16"/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0.28477956183756475</v>
      </c>
      <c r="L44" s="34">
        <f t="shared" si="16"/>
        <v>0.14700181565233772</v>
      </c>
      <c r="M44" s="34">
        <f t="shared" si="16"/>
        <v>0</v>
      </c>
      <c r="N44" s="26"/>
    </row>
    <row r="45" spans="1:14" x14ac:dyDescent="0.2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 x14ac:dyDescent="0.25">
      <c r="B46" t="s">
        <v>117</v>
      </c>
      <c r="C46" s="31">
        <f>IFERROR(IF(C40&gt;C43,1-C44,0),0)</f>
        <v>1</v>
      </c>
      <c r="D46" s="31">
        <f t="shared" ref="D46:M46" si="17">IFERROR(IF(D40&gt;D43,1-D44,0),0)</f>
        <v>0.99388147795818649</v>
      </c>
      <c r="E46" s="31">
        <f t="shared" si="17"/>
        <v>1</v>
      </c>
      <c r="F46" s="31">
        <f t="shared" si="17"/>
        <v>1</v>
      </c>
      <c r="G46" s="31">
        <f t="shared" si="17"/>
        <v>0</v>
      </c>
      <c r="H46" s="31">
        <f t="shared" si="17"/>
        <v>0</v>
      </c>
      <c r="I46" s="31">
        <f t="shared" si="17"/>
        <v>0</v>
      </c>
      <c r="J46" s="31">
        <f t="shared" si="17"/>
        <v>0</v>
      </c>
      <c r="K46" s="31">
        <f t="shared" si="17"/>
        <v>0.71522043816243519</v>
      </c>
      <c r="L46" s="31">
        <f t="shared" si="17"/>
        <v>0.85299818434766228</v>
      </c>
      <c r="M46" s="31">
        <f t="shared" si="17"/>
        <v>0</v>
      </c>
      <c r="N46" s="26"/>
    </row>
    <row r="47" spans="1:14" x14ac:dyDescent="0.25"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 x14ac:dyDescent="0.25">
      <c r="A48" t="s">
        <v>95</v>
      </c>
      <c r="B48" s="36" t="s">
        <v>118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26"/>
    </row>
    <row r="49" spans="2:14" x14ac:dyDescent="0.25">
      <c r="B49" s="6" t="s">
        <v>24</v>
      </c>
      <c r="C49" s="30">
        <f>IFERROR('Data Sheet'!B57,0)</f>
        <v>643.78</v>
      </c>
      <c r="D49" s="30">
        <f>IFERROR('Data Sheet'!C57,0)</f>
        <v>679.18</v>
      </c>
      <c r="E49" s="30">
        <f>IFERROR('Data Sheet'!D57,0)</f>
        <v>679.22</v>
      </c>
      <c r="F49" s="30">
        <f>IFERROR('Data Sheet'!E57,0)</f>
        <v>679.22</v>
      </c>
      <c r="G49" s="30">
        <f>IFERROR('Data Sheet'!F57,0)</f>
        <v>679.22</v>
      </c>
      <c r="H49" s="30">
        <f>IFERROR('Data Sheet'!G57,0)</f>
        <v>719.54</v>
      </c>
      <c r="I49" s="30">
        <f>IFERROR('Data Sheet'!H57,0)</f>
        <v>765.81</v>
      </c>
      <c r="J49" s="30">
        <f>IFERROR('Data Sheet'!I57,0)</f>
        <v>765.88</v>
      </c>
      <c r="K49" s="30">
        <f>IFERROR('Data Sheet'!J57,0)</f>
        <v>766.02</v>
      </c>
      <c r="L49" s="30">
        <f>IFERROR('Data Sheet'!K57,0)</f>
        <v>766.5</v>
      </c>
      <c r="M49" s="26"/>
      <c r="N49" s="26"/>
    </row>
    <row r="50" spans="2:14" x14ac:dyDescent="0.25">
      <c r="B50" s="6" t="s">
        <v>25</v>
      </c>
      <c r="C50" s="30">
        <f>IFERROR('Data Sheet'!B58,0)</f>
        <v>55618.14</v>
      </c>
      <c r="D50" s="30">
        <f>IFERROR('Data Sheet'!C58,0)</f>
        <v>78273.23</v>
      </c>
      <c r="E50" s="30">
        <f>IFERROR('Data Sheet'!D58,0)</f>
        <v>57382.67</v>
      </c>
      <c r="F50" s="30">
        <f>IFERROR('Data Sheet'!E58,0)</f>
        <v>94748.69</v>
      </c>
      <c r="G50" s="30">
        <f>IFERROR('Data Sheet'!F58,0)</f>
        <v>59500.34</v>
      </c>
      <c r="H50" s="30">
        <f>IFERROR('Data Sheet'!G58,0)</f>
        <v>61491.49</v>
      </c>
      <c r="I50" s="30">
        <f>IFERROR('Data Sheet'!H58,0)</f>
        <v>54480.91</v>
      </c>
      <c r="J50" s="30">
        <f>IFERROR('Data Sheet'!I58,0)</f>
        <v>43795.360000000001</v>
      </c>
      <c r="K50" s="30">
        <f>IFERROR('Data Sheet'!J58,0)</f>
        <v>44555.77</v>
      </c>
      <c r="L50" s="30">
        <f>IFERROR('Data Sheet'!K58,0)</f>
        <v>84151.52</v>
      </c>
      <c r="M50" s="26"/>
      <c r="N50" s="26"/>
    </row>
    <row r="51" spans="2:14" x14ac:dyDescent="0.25">
      <c r="B51" s="6" t="s">
        <v>71</v>
      </c>
      <c r="C51" s="30">
        <f>IFERROR('Data Sheet'!B59,0)</f>
        <v>73610.39</v>
      </c>
      <c r="D51" s="30">
        <f>IFERROR('Data Sheet'!C59,0)</f>
        <v>69359.960000000006</v>
      </c>
      <c r="E51" s="30">
        <f>IFERROR('Data Sheet'!D59,0)</f>
        <v>78603.98</v>
      </c>
      <c r="F51" s="30">
        <f>IFERROR('Data Sheet'!E59,0)</f>
        <v>88950.47</v>
      </c>
      <c r="G51" s="30">
        <f>IFERROR('Data Sheet'!F59,0)</f>
        <v>106175.34</v>
      </c>
      <c r="H51" s="30">
        <f>IFERROR('Data Sheet'!G59,0)</f>
        <v>124787.64</v>
      </c>
      <c r="I51" s="30">
        <f>IFERROR('Data Sheet'!H59,0)</f>
        <v>142130.57</v>
      </c>
      <c r="J51" s="30">
        <f>IFERROR('Data Sheet'!I59,0)</f>
        <v>146449.03</v>
      </c>
      <c r="K51" s="30">
        <f>IFERROR('Data Sheet'!J59,0)</f>
        <v>134113.44</v>
      </c>
      <c r="L51" s="30">
        <f>IFERROR('Data Sheet'!K59,0)</f>
        <v>107262.5</v>
      </c>
      <c r="M51" s="26"/>
      <c r="N51" s="26"/>
    </row>
    <row r="52" spans="2:14" x14ac:dyDescent="0.25">
      <c r="B52" s="6" t="s">
        <v>72</v>
      </c>
      <c r="C52" s="30">
        <f>IFERROR('Data Sheet'!B60,0)</f>
        <v>107442.48</v>
      </c>
      <c r="D52" s="30">
        <f>IFERROR('Data Sheet'!C60,0)</f>
        <v>114871.75</v>
      </c>
      <c r="E52" s="30">
        <f>IFERROR('Data Sheet'!D60,0)</f>
        <v>135914.49</v>
      </c>
      <c r="F52" s="30">
        <f>IFERROR('Data Sheet'!E60,0)</f>
        <v>142813.43</v>
      </c>
      <c r="G52" s="30">
        <f>IFERROR('Data Sheet'!F60,0)</f>
        <v>139348.59</v>
      </c>
      <c r="H52" s="30">
        <f>IFERROR('Data Sheet'!G60,0)</f>
        <v>133180.72</v>
      </c>
      <c r="I52" s="30">
        <f>IFERROR('Data Sheet'!H60,0)</f>
        <v>144192.62</v>
      </c>
      <c r="J52" s="30">
        <f>IFERROR('Data Sheet'!I60,0)</f>
        <v>138051.22</v>
      </c>
      <c r="K52" s="30">
        <f>IFERROR('Data Sheet'!J60,0)</f>
        <v>155239.20000000001</v>
      </c>
      <c r="L52" s="30">
        <f>IFERROR('Data Sheet'!K60,0)</f>
        <v>177340.09</v>
      </c>
      <c r="M52" s="26"/>
      <c r="N52" s="26"/>
    </row>
    <row r="53" spans="2:14" x14ac:dyDescent="0.25">
      <c r="B53" s="46" t="s">
        <v>119</v>
      </c>
      <c r="C53" s="44">
        <f>IFERROR(SUM(C49:C52),0)</f>
        <v>237314.78999999998</v>
      </c>
      <c r="D53" s="44">
        <f t="shared" ref="D53:L53" si="18">IFERROR(SUM(D49:D52),0)</f>
        <v>263184.12</v>
      </c>
      <c r="E53" s="44">
        <f t="shared" si="18"/>
        <v>272580.36</v>
      </c>
      <c r="F53" s="44">
        <f t="shared" si="18"/>
        <v>327191.81</v>
      </c>
      <c r="G53" s="44">
        <f t="shared" si="18"/>
        <v>305703.49</v>
      </c>
      <c r="H53" s="44">
        <f t="shared" si="18"/>
        <v>320179.39</v>
      </c>
      <c r="I53" s="44">
        <f t="shared" si="18"/>
        <v>341569.91000000003</v>
      </c>
      <c r="J53" s="44">
        <f t="shared" si="18"/>
        <v>329061.49</v>
      </c>
      <c r="K53" s="44">
        <f t="shared" si="18"/>
        <v>334674.43</v>
      </c>
      <c r="L53" s="44">
        <f t="shared" si="18"/>
        <v>369520.61</v>
      </c>
      <c r="M53" s="26"/>
      <c r="N53" s="26"/>
    </row>
    <row r="54" spans="2:14" x14ac:dyDescent="0.25">
      <c r="B54" s="1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x14ac:dyDescent="0.25">
      <c r="B55" s="4" t="s">
        <v>121</v>
      </c>
      <c r="C55" s="30">
        <f>IFERROR('Data Sheet'!B62,0)</f>
        <v>88479.49</v>
      </c>
      <c r="D55" s="30">
        <f>IFERROR('Data Sheet'!C62,0)</f>
        <v>107231.76</v>
      </c>
      <c r="E55" s="30">
        <f>IFERROR('Data Sheet'!D62,0)</f>
        <v>95944.08</v>
      </c>
      <c r="F55" s="30">
        <f>IFERROR('Data Sheet'!E62,0)</f>
        <v>121413.86</v>
      </c>
      <c r="G55" s="30">
        <f>IFERROR('Data Sheet'!F62,0)</f>
        <v>111234.47</v>
      </c>
      <c r="H55" s="30">
        <f>IFERROR('Data Sheet'!G62,0)</f>
        <v>127107.14</v>
      </c>
      <c r="I55" s="30">
        <f>IFERROR('Data Sheet'!H62,0)</f>
        <v>138707.60999999999</v>
      </c>
      <c r="J55" s="30">
        <f>IFERROR('Data Sheet'!I62,0)</f>
        <v>138855.45000000001</v>
      </c>
      <c r="K55" s="30">
        <f>IFERROR('Data Sheet'!J62,0)</f>
        <v>132079.76</v>
      </c>
      <c r="L55" s="30">
        <f>IFERROR('Data Sheet'!K62,0)</f>
        <v>121285.46</v>
      </c>
      <c r="M55" s="26"/>
      <c r="N55" s="26"/>
    </row>
    <row r="56" spans="2:14" x14ac:dyDescent="0.25">
      <c r="B56" s="6" t="s">
        <v>28</v>
      </c>
      <c r="C56" s="30">
        <f>IFERROR('Data Sheet'!B63,0)</f>
        <v>28640.09</v>
      </c>
      <c r="D56" s="30">
        <f>IFERROR('Data Sheet'!C63,0)</f>
        <v>25918.94</v>
      </c>
      <c r="E56" s="30">
        <f>IFERROR('Data Sheet'!D63,0)</f>
        <v>33698.839999999997</v>
      </c>
      <c r="F56" s="30">
        <f>IFERROR('Data Sheet'!E63,0)</f>
        <v>40033.5</v>
      </c>
      <c r="G56" s="30">
        <f>IFERROR('Data Sheet'!F63,0)</f>
        <v>31883.84</v>
      </c>
      <c r="H56" s="30">
        <f>IFERROR('Data Sheet'!G63,0)</f>
        <v>35622.29</v>
      </c>
      <c r="I56" s="30">
        <f>IFERROR('Data Sheet'!H63,0)</f>
        <v>20963.93</v>
      </c>
      <c r="J56" s="30">
        <f>IFERROR('Data Sheet'!I63,0)</f>
        <v>10251.09</v>
      </c>
      <c r="K56" s="30">
        <f>IFERROR('Data Sheet'!J63,0)</f>
        <v>14274.5</v>
      </c>
      <c r="L56" s="30">
        <f>IFERROR('Data Sheet'!K63,0)</f>
        <v>35698.43</v>
      </c>
      <c r="M56" s="26"/>
      <c r="N56" s="26"/>
    </row>
    <row r="57" spans="2:14" x14ac:dyDescent="0.25">
      <c r="B57" s="6" t="s">
        <v>29</v>
      </c>
      <c r="C57" s="30">
        <f>IFERROR('Data Sheet'!B64,0)</f>
        <v>15336.74</v>
      </c>
      <c r="D57" s="30">
        <f>IFERROR('Data Sheet'!C64,0)</f>
        <v>23767.02</v>
      </c>
      <c r="E57" s="30">
        <f>IFERROR('Data Sheet'!D64,0)</f>
        <v>20337.919999999998</v>
      </c>
      <c r="F57" s="30">
        <f>IFERROR('Data Sheet'!E64,0)</f>
        <v>20812.75</v>
      </c>
      <c r="G57" s="30">
        <f>IFERROR('Data Sheet'!F64,0)</f>
        <v>15770.72</v>
      </c>
      <c r="H57" s="30">
        <f>IFERROR('Data Sheet'!G64,0)</f>
        <v>16308.48</v>
      </c>
      <c r="I57" s="30">
        <f>IFERROR('Data Sheet'!H64,0)</f>
        <v>24620.28</v>
      </c>
      <c r="J57" s="30">
        <f>IFERROR('Data Sheet'!I64,0)</f>
        <v>29379.53</v>
      </c>
      <c r="K57" s="30">
        <f>IFERROR('Data Sheet'!J64,0)</f>
        <v>26379.16</v>
      </c>
      <c r="L57" s="30">
        <f>IFERROR('Data Sheet'!K64,0)</f>
        <v>22971.07</v>
      </c>
      <c r="M57" s="26"/>
      <c r="N57" s="26"/>
    </row>
    <row r="58" spans="2:14" x14ac:dyDescent="0.25">
      <c r="B58" s="6" t="s">
        <v>73</v>
      </c>
      <c r="C58" s="30">
        <f>IFERROR('Data Sheet'!B65-SUM('Data Sheet'!B67:B69),0)</f>
        <v>30891.17</v>
      </c>
      <c r="D58" s="30">
        <f>IFERROR('Data Sheet'!C65-SUM('Data Sheet'!C67:C69),0)</f>
        <v>29579.359999999986</v>
      </c>
      <c r="E58" s="30">
        <f>IFERROR('Data Sheet'!D65-SUM('Data Sheet'!D67:D69),0)</f>
        <v>37360.780000000013</v>
      </c>
      <c r="F58" s="30">
        <f>IFERROR('Data Sheet'!E65-SUM('Data Sheet'!E67:E69),0)</f>
        <v>48286.860000000015</v>
      </c>
      <c r="G58" s="30">
        <f>IFERROR('Data Sheet'!F65-SUM('Data Sheet'!F67:F69),0)</f>
        <v>56155.739999999991</v>
      </c>
      <c r="H58" s="30">
        <f>IFERROR('Data Sheet'!G65-SUM('Data Sheet'!G67:G69),0)</f>
        <v>58784.94</v>
      </c>
      <c r="I58" s="30">
        <f>IFERROR('Data Sheet'!H65-SUM('Data Sheet'!H67:H69),0)</f>
        <v>61717.959999999992</v>
      </c>
      <c r="J58" s="30">
        <f>IFERROR('Data Sheet'!I65-SUM('Data Sheet'!I67:I69),0)</f>
        <v>62223.770000000019</v>
      </c>
      <c r="K58" s="30">
        <f>IFERROR('Data Sheet'!J65-SUM('Data Sheet'!J67:J69),0)</f>
        <v>68432.090000000011</v>
      </c>
      <c r="L58" s="30">
        <f>IFERROR('Data Sheet'!K65-SUM('Data Sheet'!K67:K69),0)</f>
        <v>79018.859999999986</v>
      </c>
      <c r="M58" s="26"/>
      <c r="N58" s="26"/>
    </row>
    <row r="59" spans="2:14" x14ac:dyDescent="0.25">
      <c r="B59" s="46" t="s">
        <v>123</v>
      </c>
      <c r="C59" s="44">
        <f>IFERROR(SUM(C55:C58),0)</f>
        <v>163347.49</v>
      </c>
      <c r="D59" s="44">
        <f t="shared" ref="D59:L59" si="19">IFERROR(SUM(D55:D58),0)</f>
        <v>186497.07999999996</v>
      </c>
      <c r="E59" s="44">
        <f t="shared" si="19"/>
        <v>187341.62</v>
      </c>
      <c r="F59" s="44">
        <f t="shared" si="19"/>
        <v>230546.97</v>
      </c>
      <c r="G59" s="44">
        <f t="shared" si="19"/>
        <v>215044.77</v>
      </c>
      <c r="H59" s="44">
        <f t="shared" si="19"/>
        <v>237822.85</v>
      </c>
      <c r="I59" s="44">
        <f t="shared" si="19"/>
        <v>246009.77999999997</v>
      </c>
      <c r="J59" s="44">
        <f t="shared" si="19"/>
        <v>240709.84000000003</v>
      </c>
      <c r="K59" s="44">
        <f t="shared" si="19"/>
        <v>241165.51</v>
      </c>
      <c r="L59" s="44">
        <f t="shared" si="19"/>
        <v>258973.82</v>
      </c>
      <c r="M59" s="26"/>
      <c r="N59" s="26"/>
    </row>
    <row r="60" spans="2:14" x14ac:dyDescent="0.25">
      <c r="B60" s="1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x14ac:dyDescent="0.25">
      <c r="B61" s="6" t="s">
        <v>78</v>
      </c>
      <c r="C61" s="30">
        <f>IFERROR('Data Sheet'!B67,0)</f>
        <v>12579.2</v>
      </c>
      <c r="D61" s="30">
        <f>IFERROR('Data Sheet'!C67,0)</f>
        <v>13570.91</v>
      </c>
      <c r="E61" s="30">
        <f>IFERROR('Data Sheet'!D67,0)</f>
        <v>14075.55</v>
      </c>
      <c r="F61" s="30">
        <f>IFERROR('Data Sheet'!E67,0)</f>
        <v>19893.3</v>
      </c>
      <c r="G61" s="30">
        <f>IFERROR('Data Sheet'!F67,0)</f>
        <v>18996.169999999998</v>
      </c>
      <c r="H61" s="30">
        <f>IFERROR('Data Sheet'!G67,0)</f>
        <v>11172.69</v>
      </c>
      <c r="I61" s="30">
        <f>IFERROR('Data Sheet'!H67,0)</f>
        <v>12679.08</v>
      </c>
      <c r="J61" s="30">
        <f>IFERROR('Data Sheet'!I67,0)</f>
        <v>12442.12</v>
      </c>
      <c r="K61" s="30">
        <f>IFERROR('Data Sheet'!J67,0)</f>
        <v>15737.97</v>
      </c>
      <c r="L61" s="30">
        <f>IFERROR('Data Sheet'!K67,0)</f>
        <v>16951.810000000001</v>
      </c>
      <c r="M61" s="26"/>
      <c r="N61" s="26"/>
    </row>
    <row r="62" spans="2:14" x14ac:dyDescent="0.25">
      <c r="B62" s="6" t="s">
        <v>45</v>
      </c>
      <c r="C62" s="30">
        <f>IFERROR('Data Sheet'!B68,0)</f>
        <v>29272.34</v>
      </c>
      <c r="D62" s="30">
        <f>IFERROR('Data Sheet'!C68,0)</f>
        <v>32655.73</v>
      </c>
      <c r="E62" s="30">
        <f>IFERROR('Data Sheet'!D68,0)</f>
        <v>35085.31</v>
      </c>
      <c r="F62" s="30">
        <f>IFERROR('Data Sheet'!E68,0)</f>
        <v>42137.63</v>
      </c>
      <c r="G62" s="30">
        <f>IFERROR('Data Sheet'!F68,0)</f>
        <v>39013.730000000003</v>
      </c>
      <c r="H62" s="30">
        <f>IFERROR('Data Sheet'!G68,0)</f>
        <v>37456.879999999997</v>
      </c>
      <c r="I62" s="30">
        <f>IFERROR('Data Sheet'!H68,0)</f>
        <v>36088.589999999997</v>
      </c>
      <c r="J62" s="30">
        <f>IFERROR('Data Sheet'!I68,0)</f>
        <v>35240.339999999997</v>
      </c>
      <c r="K62" s="30">
        <f>IFERROR('Data Sheet'!J68,0)</f>
        <v>40755.39</v>
      </c>
      <c r="L62" s="30">
        <f>IFERROR('Data Sheet'!K68,0)</f>
        <v>47788.29</v>
      </c>
      <c r="M62" s="26"/>
      <c r="N62" s="26"/>
    </row>
    <row r="63" spans="2:14" x14ac:dyDescent="0.25">
      <c r="B63" s="4" t="s">
        <v>87</v>
      </c>
      <c r="C63" s="30">
        <f>IFERROR('Data Sheet'!B69,0)</f>
        <v>32115.759999999998</v>
      </c>
      <c r="D63" s="30">
        <f>IFERROR('Data Sheet'!C69,0)</f>
        <v>30460.400000000001</v>
      </c>
      <c r="E63" s="30">
        <f>IFERROR('Data Sheet'!D69,0)</f>
        <v>36077.879999999997</v>
      </c>
      <c r="F63" s="30">
        <f>IFERROR('Data Sheet'!E69,0)</f>
        <v>34613.910000000003</v>
      </c>
      <c r="G63" s="30">
        <f>IFERROR('Data Sheet'!F69,0)</f>
        <v>32648.82</v>
      </c>
      <c r="H63" s="30">
        <f>IFERROR('Data Sheet'!G69,0)</f>
        <v>33726.97</v>
      </c>
      <c r="I63" s="30">
        <f>IFERROR('Data Sheet'!H69,0)</f>
        <v>46792.46</v>
      </c>
      <c r="J63" s="30">
        <f>IFERROR('Data Sheet'!I69,0)</f>
        <v>40669.19</v>
      </c>
      <c r="K63" s="30">
        <f>IFERROR('Data Sheet'!J69,0)</f>
        <v>37015.56</v>
      </c>
      <c r="L63" s="30">
        <f>IFERROR('Data Sheet'!K69,0)</f>
        <v>45806.69</v>
      </c>
      <c r="M63" s="26"/>
      <c r="N63" s="26"/>
    </row>
    <row r="64" spans="2:14" x14ac:dyDescent="0.25">
      <c r="B64" s="47" t="s">
        <v>120</v>
      </c>
      <c r="C64" s="44">
        <f>IFERROR(SUM(C61:C63),0)</f>
        <v>73967.3</v>
      </c>
      <c r="D64" s="44">
        <f t="shared" ref="D64:L64" si="20">IFERROR(SUM(D61:D63),0)</f>
        <v>76687.040000000008</v>
      </c>
      <c r="E64" s="44">
        <f t="shared" si="20"/>
        <v>85238.739999999991</v>
      </c>
      <c r="F64" s="44">
        <f t="shared" si="20"/>
        <v>96644.84</v>
      </c>
      <c r="G64" s="44">
        <f t="shared" si="20"/>
        <v>90658.72</v>
      </c>
      <c r="H64" s="44">
        <f t="shared" si="20"/>
        <v>82356.540000000008</v>
      </c>
      <c r="I64" s="44">
        <f t="shared" si="20"/>
        <v>95560.13</v>
      </c>
      <c r="J64" s="44">
        <f t="shared" si="20"/>
        <v>88351.65</v>
      </c>
      <c r="K64" s="44">
        <f t="shared" si="20"/>
        <v>93508.92</v>
      </c>
      <c r="L64" s="44">
        <f t="shared" si="20"/>
        <v>110546.79000000001</v>
      </c>
      <c r="M64" s="26"/>
      <c r="N64" s="26"/>
    </row>
    <row r="65" spans="1:14" x14ac:dyDescent="0.25"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x14ac:dyDescent="0.25">
      <c r="B66" s="47" t="s">
        <v>122</v>
      </c>
      <c r="C66" s="45">
        <f>C64+C59</f>
        <v>237314.78999999998</v>
      </c>
      <c r="D66" s="45">
        <f t="shared" ref="D66:L66" si="21">D64+D59</f>
        <v>263184.12</v>
      </c>
      <c r="E66" s="45">
        <f t="shared" si="21"/>
        <v>272580.36</v>
      </c>
      <c r="F66" s="45">
        <f t="shared" si="21"/>
        <v>327191.81</v>
      </c>
      <c r="G66" s="45">
        <f t="shared" si="21"/>
        <v>305703.49</v>
      </c>
      <c r="H66" s="45">
        <f t="shared" si="21"/>
        <v>320179.39</v>
      </c>
      <c r="I66" s="45">
        <f t="shared" si="21"/>
        <v>341569.91</v>
      </c>
      <c r="J66" s="45">
        <f t="shared" si="21"/>
        <v>329061.49</v>
      </c>
      <c r="K66" s="45">
        <f t="shared" si="21"/>
        <v>334674.43</v>
      </c>
      <c r="L66" s="45">
        <f t="shared" si="21"/>
        <v>369520.61</v>
      </c>
      <c r="M66" s="26"/>
      <c r="N66" s="26"/>
    </row>
    <row r="67" spans="1:14" x14ac:dyDescent="0.25"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x14ac:dyDescent="0.25">
      <c r="B68" s="35" t="s">
        <v>124</v>
      </c>
      <c r="C68" s="40" t="b">
        <f>C66=C53</f>
        <v>1</v>
      </c>
      <c r="D68" s="40" t="b">
        <f t="shared" ref="D68:L68" si="22">D66=D53</f>
        <v>1</v>
      </c>
      <c r="E68" s="40" t="b">
        <f t="shared" si="22"/>
        <v>1</v>
      </c>
      <c r="F68" s="40" t="b">
        <f t="shared" si="22"/>
        <v>1</v>
      </c>
      <c r="G68" s="40" t="b">
        <f t="shared" si="22"/>
        <v>1</v>
      </c>
      <c r="H68" s="40" t="b">
        <f t="shared" si="22"/>
        <v>1</v>
      </c>
      <c r="I68" s="40" t="b">
        <f t="shared" si="22"/>
        <v>1</v>
      </c>
      <c r="J68" s="40" t="b">
        <f t="shared" si="22"/>
        <v>1</v>
      </c>
      <c r="K68" s="40" t="b">
        <f t="shared" si="22"/>
        <v>1</v>
      </c>
      <c r="L68" s="40" t="b">
        <f t="shared" si="22"/>
        <v>1</v>
      </c>
      <c r="M68" s="26"/>
      <c r="N68" s="26"/>
    </row>
    <row r="69" spans="1:14" x14ac:dyDescent="0.25"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x14ac:dyDescent="0.25">
      <c r="A70" t="s">
        <v>95</v>
      </c>
      <c r="B70" s="36" t="s">
        <v>153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26"/>
    </row>
    <row r="71" spans="1:14" x14ac:dyDescent="0.25">
      <c r="B71" s="2" t="s">
        <v>156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hidden="1" outlineLevel="1" x14ac:dyDescent="0.25">
      <c r="B72" t="s">
        <v>126</v>
      </c>
      <c r="C72" s="30">
        <f>IFERROR('Cash Flow'!E4,0)</f>
        <v>43397</v>
      </c>
      <c r="D72" s="30">
        <f>IFERROR('Cash Flow'!F4,0)</f>
        <v>38626</v>
      </c>
      <c r="E72" s="30">
        <f>IFERROR('Cash Flow'!G4,0)</f>
        <v>28840</v>
      </c>
      <c r="F72" s="30">
        <f>IFERROR('Cash Flow'!H4,0)</f>
        <v>33312</v>
      </c>
      <c r="G72" s="30">
        <f>IFERROR('Cash Flow'!I4,0)</f>
        <v>28771</v>
      </c>
      <c r="H72" s="30">
        <f>IFERROR('Cash Flow'!J4,0)</f>
        <v>23352</v>
      </c>
      <c r="I72" s="30">
        <f>IFERROR('Cash Flow'!K4,0)</f>
        <v>31198</v>
      </c>
      <c r="J72" s="30">
        <f>IFERROR('Cash Flow'!L4,0)</f>
        <v>26943</v>
      </c>
      <c r="K72" s="30">
        <f>IFERROR('Cash Flow'!M4,0)</f>
        <v>41694</v>
      </c>
      <c r="L72" s="30">
        <f>IFERROR('Cash Flow'!N4,0)</f>
        <v>65106</v>
      </c>
      <c r="M72" s="26"/>
      <c r="N72" s="26"/>
    </row>
    <row r="73" spans="1:14" hidden="1" outlineLevel="1" x14ac:dyDescent="0.25">
      <c r="B73" t="s">
        <v>78</v>
      </c>
      <c r="C73" s="30">
        <f>IFERROR('Cash Flow'!E5,0)</f>
        <v>-3179</v>
      </c>
      <c r="D73" s="30">
        <f>IFERROR('Cash Flow'!F5,0)</f>
        <v>-2223</v>
      </c>
      <c r="E73" s="30">
        <f>IFERROR('Cash Flow'!G5,0)</f>
        <v>-4152</v>
      </c>
      <c r="F73" s="30">
        <f>IFERROR('Cash Flow'!H5,0)</f>
        <v>-10688</v>
      </c>
      <c r="G73" s="30">
        <f>IFERROR('Cash Flow'!I5,0)</f>
        <v>-9109</v>
      </c>
      <c r="H73" s="30">
        <f>IFERROR('Cash Flow'!J5,0)</f>
        <v>9950</v>
      </c>
      <c r="I73" s="30">
        <f>IFERROR('Cash Flow'!K5,0)</f>
        <v>-5505</v>
      </c>
      <c r="J73" s="30">
        <f>IFERROR('Cash Flow'!L5,0)</f>
        <v>185</v>
      </c>
      <c r="K73" s="30">
        <f>IFERROR('Cash Flow'!M5,0)</f>
        <v>-2213</v>
      </c>
      <c r="L73" s="30">
        <f>IFERROR('Cash Flow'!N5,0)</f>
        <v>-1875</v>
      </c>
      <c r="M73" s="26"/>
      <c r="N73" s="26"/>
    </row>
    <row r="74" spans="1:14" hidden="1" outlineLevel="1" x14ac:dyDescent="0.25">
      <c r="B74" t="s">
        <v>45</v>
      </c>
      <c r="C74" s="30">
        <f>IFERROR('Cash Flow'!E6,0)</f>
        <v>-3692</v>
      </c>
      <c r="D74" s="30">
        <f>IFERROR('Cash Flow'!F6,0)</f>
        <v>-5743</v>
      </c>
      <c r="E74" s="30">
        <f>IFERROR('Cash Flow'!G6,0)</f>
        <v>-6621</v>
      </c>
      <c r="F74" s="30">
        <f>IFERROR('Cash Flow'!H6,0)</f>
        <v>-3560</v>
      </c>
      <c r="G74" s="30">
        <f>IFERROR('Cash Flow'!I6,0)</f>
        <v>2069</v>
      </c>
      <c r="H74" s="30">
        <f>IFERROR('Cash Flow'!J6,0)</f>
        <v>2326</v>
      </c>
      <c r="I74" s="30">
        <f>IFERROR('Cash Flow'!K6,0)</f>
        <v>3814</v>
      </c>
      <c r="J74" s="30">
        <f>IFERROR('Cash Flow'!L6,0)</f>
        <v>472</v>
      </c>
      <c r="K74" s="30">
        <f>IFERROR('Cash Flow'!M6,0)</f>
        <v>-5665</v>
      </c>
      <c r="L74" s="30">
        <f>IFERROR('Cash Flow'!N6,0)</f>
        <v>-7265</v>
      </c>
      <c r="M74" s="26"/>
      <c r="N74" s="26"/>
    </row>
    <row r="75" spans="1:14" hidden="1" outlineLevel="1" x14ac:dyDescent="0.25">
      <c r="B75" t="s">
        <v>127</v>
      </c>
      <c r="C75" s="30">
        <f>IFERROR('Cash Flow'!E7,0)</f>
        <v>3598</v>
      </c>
      <c r="D75" s="30">
        <f>IFERROR('Cash Flow'!F7,0)</f>
        <v>3947</v>
      </c>
      <c r="E75" s="30">
        <f>IFERROR('Cash Flow'!G7,0)</f>
        <v>9301</v>
      </c>
      <c r="F75" s="30">
        <f>IFERROR('Cash Flow'!H7,0)</f>
        <v>7320</v>
      </c>
      <c r="G75" s="30">
        <f>IFERROR('Cash Flow'!I7,0)</f>
        <v>-4692</v>
      </c>
      <c r="H75" s="30">
        <f>IFERROR('Cash Flow'!J7,0)</f>
        <v>-8085</v>
      </c>
      <c r="I75" s="30">
        <f>IFERROR('Cash Flow'!K7,0)</f>
        <v>5748</v>
      </c>
      <c r="J75" s="30">
        <f>IFERROR('Cash Flow'!L7,0)</f>
        <v>-7012</v>
      </c>
      <c r="K75" s="30">
        <f>IFERROR('Cash Flow'!M7,0)</f>
        <v>6945</v>
      </c>
      <c r="L75" s="30">
        <f>IFERROR('Cash Flow'!N7,0)</f>
        <v>13706</v>
      </c>
      <c r="M75" s="26"/>
      <c r="N75" s="26"/>
    </row>
    <row r="76" spans="1:14" hidden="1" outlineLevel="1" x14ac:dyDescent="0.25">
      <c r="B76" t="s">
        <v>128</v>
      </c>
      <c r="C76" s="30">
        <f>IFERROR('Cash Flow'!E8,0)</f>
        <v>0</v>
      </c>
      <c r="D76" s="30">
        <f>IFERROR('Cash Flow'!F8,0)</f>
        <v>-520</v>
      </c>
      <c r="E76" s="30">
        <f>IFERROR('Cash Flow'!G8,0)</f>
        <v>0</v>
      </c>
      <c r="F76" s="30">
        <f>IFERROR('Cash Flow'!H8,0)</f>
        <v>0</v>
      </c>
      <c r="G76" s="30">
        <f>IFERROR('Cash Flow'!I8,0)</f>
        <v>0</v>
      </c>
      <c r="H76" s="30">
        <f>IFERROR('Cash Flow'!J8,0)</f>
        <v>0</v>
      </c>
      <c r="I76" s="30">
        <f>IFERROR('Cash Flow'!K8,0)</f>
        <v>0</v>
      </c>
      <c r="J76" s="30">
        <f>IFERROR('Cash Flow'!L8,0)</f>
        <v>0</v>
      </c>
      <c r="K76" s="30">
        <f>IFERROR('Cash Flow'!M8,0)</f>
        <v>0</v>
      </c>
      <c r="L76" s="30">
        <f>IFERROR('Cash Flow'!N8,0)</f>
        <v>0</v>
      </c>
      <c r="M76" s="26"/>
      <c r="N76" s="26"/>
    </row>
    <row r="77" spans="1:14" hidden="1" outlineLevel="1" x14ac:dyDescent="0.25">
      <c r="B77" t="s">
        <v>129</v>
      </c>
      <c r="C77" s="30">
        <f>IFERROR('Cash Flow'!E9,0)</f>
        <v>-398</v>
      </c>
      <c r="D77" s="30">
        <f>IFERROR('Cash Flow'!F9,0)</f>
        <v>5852</v>
      </c>
      <c r="E77" s="30">
        <f>IFERROR('Cash Flow'!G9,0)</f>
        <v>4727</v>
      </c>
      <c r="F77" s="30">
        <f>IFERROR('Cash Flow'!H9,0)</f>
        <v>494</v>
      </c>
      <c r="G77" s="30">
        <f>IFERROR('Cash Flow'!I9,0)</f>
        <v>4512</v>
      </c>
      <c r="H77" s="30">
        <f>IFERROR('Cash Flow'!J9,0)</f>
        <v>875</v>
      </c>
      <c r="I77" s="30">
        <f>IFERROR('Cash Flow'!K9,0)</f>
        <v>-4150</v>
      </c>
      <c r="J77" s="30">
        <f>IFERROR('Cash Flow'!L9,0)</f>
        <v>-4396</v>
      </c>
      <c r="K77" s="30">
        <f>IFERROR('Cash Flow'!M9,0)</f>
        <v>-2194</v>
      </c>
      <c r="L77" s="30">
        <f>IFERROR('Cash Flow'!N9,0)</f>
        <v>2760</v>
      </c>
      <c r="M77" s="26"/>
      <c r="N77" s="26"/>
    </row>
    <row r="78" spans="1:14" hidden="1" outlineLevel="1" x14ac:dyDescent="0.25">
      <c r="B78" t="s">
        <v>130</v>
      </c>
      <c r="C78" s="30">
        <f>IFERROR('Cash Flow'!E10,0)</f>
        <v>-3672</v>
      </c>
      <c r="D78" s="30">
        <f>IFERROR('Cash Flow'!F10,0)</f>
        <v>1313</v>
      </c>
      <c r="E78" s="30">
        <f>IFERROR('Cash Flow'!G10,0)</f>
        <v>3254</v>
      </c>
      <c r="F78" s="30">
        <f>IFERROR('Cash Flow'!H10,0)</f>
        <v>-6434</v>
      </c>
      <c r="G78" s="30">
        <f>IFERROR('Cash Flow'!I10,0)</f>
        <v>-7221</v>
      </c>
      <c r="H78" s="30">
        <f>IFERROR('Cash Flow'!J10,0)</f>
        <v>5065</v>
      </c>
      <c r="I78" s="30">
        <f>IFERROR('Cash Flow'!K10,0)</f>
        <v>-93</v>
      </c>
      <c r="J78" s="30">
        <f>IFERROR('Cash Flow'!L10,0)</f>
        <v>-10750</v>
      </c>
      <c r="K78" s="30">
        <f>IFERROR('Cash Flow'!M10,0)</f>
        <v>-3127</v>
      </c>
      <c r="L78" s="30">
        <f>IFERROR('Cash Flow'!N10,0)</f>
        <v>7325</v>
      </c>
      <c r="M78" s="26"/>
      <c r="N78" s="26"/>
    </row>
    <row r="79" spans="1:14" hidden="1" outlineLevel="1" x14ac:dyDescent="0.25">
      <c r="B79" t="s">
        <v>131</v>
      </c>
      <c r="C79" s="30">
        <f>IFERROR('Cash Flow'!E11,0)</f>
        <v>-4194</v>
      </c>
      <c r="D79" s="30">
        <f>IFERROR('Cash Flow'!F11,0)</f>
        <v>-2040</v>
      </c>
      <c r="E79" s="30">
        <f>IFERROR('Cash Flow'!G11,0)</f>
        <v>-1895</v>
      </c>
      <c r="F79" s="30">
        <f>IFERROR('Cash Flow'!H11,0)</f>
        <v>-3021</v>
      </c>
      <c r="G79" s="30">
        <f>IFERROR('Cash Flow'!I11,0)</f>
        <v>-2659</v>
      </c>
      <c r="H79" s="30">
        <f>IFERROR('Cash Flow'!J11,0)</f>
        <v>-1785</v>
      </c>
      <c r="I79" s="30">
        <f>IFERROR('Cash Flow'!K11,0)</f>
        <v>-2105</v>
      </c>
      <c r="J79" s="30">
        <f>IFERROR('Cash Flow'!L11,0)</f>
        <v>-1910</v>
      </c>
      <c r="K79" s="30">
        <f>IFERROR('Cash Flow'!M11,0)</f>
        <v>-3179</v>
      </c>
      <c r="L79" s="30">
        <f>IFERROR('Cash Flow'!N11,0)</f>
        <v>-4516</v>
      </c>
      <c r="M79" s="26"/>
      <c r="N79" s="26"/>
    </row>
    <row r="80" spans="1:14" collapsed="1" x14ac:dyDescent="0.25">
      <c r="B80" s="2" t="s">
        <v>154</v>
      </c>
      <c r="C80" s="39">
        <f>SUM(C72:C79)</f>
        <v>31860</v>
      </c>
      <c r="D80" s="39">
        <f t="shared" ref="D80:L80" si="23">SUM(D72:D79)</f>
        <v>39212</v>
      </c>
      <c r="E80" s="39">
        <f t="shared" si="23"/>
        <v>33454</v>
      </c>
      <c r="F80" s="39">
        <f t="shared" si="23"/>
        <v>17423</v>
      </c>
      <c r="G80" s="39">
        <f t="shared" si="23"/>
        <v>11671</v>
      </c>
      <c r="H80" s="39">
        <f t="shared" si="23"/>
        <v>31698</v>
      </c>
      <c r="I80" s="39">
        <f t="shared" si="23"/>
        <v>28907</v>
      </c>
      <c r="J80" s="39">
        <f t="shared" si="23"/>
        <v>3532</v>
      </c>
      <c r="K80" s="39">
        <f t="shared" si="23"/>
        <v>32261</v>
      </c>
      <c r="L80" s="39">
        <f t="shared" si="23"/>
        <v>75241</v>
      </c>
      <c r="M80" s="26"/>
      <c r="N80" s="26"/>
    </row>
    <row r="81" spans="2:14" x14ac:dyDescent="0.25"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2:14" x14ac:dyDescent="0.25">
      <c r="B82" s="2" t="s">
        <v>157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2:14" hidden="1" outlineLevel="1" x14ac:dyDescent="0.25">
      <c r="B83" t="s">
        <v>133</v>
      </c>
      <c r="C83" s="30">
        <f>IFERROR('Cash Flow'!E13,0)</f>
        <v>-31962</v>
      </c>
      <c r="D83" s="30">
        <f>IFERROR('Cash Flow'!F13,0)</f>
        <v>-31503</v>
      </c>
      <c r="E83" s="30">
        <f>IFERROR('Cash Flow'!G13,0)</f>
        <v>-16072</v>
      </c>
      <c r="F83" s="30">
        <f>IFERROR('Cash Flow'!H13,0)</f>
        <v>-35079</v>
      </c>
      <c r="G83" s="30">
        <f>IFERROR('Cash Flow'!I13,0)</f>
        <v>-35304</v>
      </c>
      <c r="H83" s="30">
        <f>IFERROR('Cash Flow'!J13,0)</f>
        <v>-29702</v>
      </c>
      <c r="I83" s="30">
        <f>IFERROR('Cash Flow'!K13,0)</f>
        <v>-20205</v>
      </c>
      <c r="J83" s="30">
        <f>IFERROR('Cash Flow'!L13,0)</f>
        <v>-15168</v>
      </c>
      <c r="K83" s="30">
        <f>IFERROR('Cash Flow'!M13,0)</f>
        <v>-19230</v>
      </c>
      <c r="L83" s="30">
        <f>IFERROR('Cash Flow'!N13,0)</f>
        <v>-31414</v>
      </c>
      <c r="M83" s="26"/>
      <c r="N83" s="26"/>
    </row>
    <row r="84" spans="2:14" hidden="1" outlineLevel="1" x14ac:dyDescent="0.25">
      <c r="B84" t="s">
        <v>134</v>
      </c>
      <c r="C84" s="30">
        <f>IFERROR('Cash Flow'!E14,0)</f>
        <v>74</v>
      </c>
      <c r="D84" s="30">
        <f>IFERROR('Cash Flow'!F14,0)</f>
        <v>59</v>
      </c>
      <c r="E84" s="30">
        <f>IFERROR('Cash Flow'!G14,0)</f>
        <v>53</v>
      </c>
      <c r="F84" s="30">
        <f>IFERROR('Cash Flow'!H14,0)</f>
        <v>30</v>
      </c>
      <c r="G84" s="30">
        <f>IFERROR('Cash Flow'!I14,0)</f>
        <v>67</v>
      </c>
      <c r="H84" s="30">
        <f>IFERROR('Cash Flow'!J14,0)</f>
        <v>171</v>
      </c>
      <c r="I84" s="30">
        <f>IFERROR('Cash Flow'!K14,0)</f>
        <v>351</v>
      </c>
      <c r="J84" s="30">
        <f>IFERROR('Cash Flow'!L14,0)</f>
        <v>230</v>
      </c>
      <c r="K84" s="30">
        <f>IFERROR('Cash Flow'!M14,0)</f>
        <v>285</v>
      </c>
      <c r="L84" s="30">
        <f>IFERROR('Cash Flow'!N14,0)</f>
        <v>231</v>
      </c>
      <c r="M84" s="26"/>
      <c r="N84" s="26"/>
    </row>
    <row r="85" spans="2:14" hidden="1" outlineLevel="1" x14ac:dyDescent="0.25">
      <c r="B85" t="s">
        <v>135</v>
      </c>
      <c r="C85" s="30">
        <f>IFERROR('Cash Flow'!E15,0)</f>
        <v>-5461</v>
      </c>
      <c r="D85" s="30">
        <f>IFERROR('Cash Flow'!F15,0)</f>
        <v>-4728</v>
      </c>
      <c r="E85" s="30">
        <f>IFERROR('Cash Flow'!G15,0)</f>
        <v>-6</v>
      </c>
      <c r="F85" s="30">
        <f>IFERROR('Cash Flow'!H15,0)</f>
        <v>-329</v>
      </c>
      <c r="G85" s="30">
        <f>IFERROR('Cash Flow'!I15,0)</f>
        <v>-130</v>
      </c>
      <c r="H85" s="30">
        <f>IFERROR('Cash Flow'!J15,0)</f>
        <v>-1439</v>
      </c>
      <c r="I85" s="30">
        <f>IFERROR('Cash Flow'!K15,0)</f>
        <v>-7530</v>
      </c>
      <c r="J85" s="30">
        <f>IFERROR('Cash Flow'!L15,0)</f>
        <v>-3008</v>
      </c>
      <c r="K85" s="30">
        <f>IFERROR('Cash Flow'!M15,0)</f>
        <v>-50</v>
      </c>
      <c r="L85" s="30" t="str">
        <f>IFERROR('Cash Flow'!N15,0)</f>
        <v>w</v>
      </c>
      <c r="M85" s="26"/>
      <c r="N85" s="26"/>
    </row>
    <row r="86" spans="2:14" hidden="1" outlineLevel="1" x14ac:dyDescent="0.25">
      <c r="B86" t="s">
        <v>136</v>
      </c>
      <c r="C86" s="30">
        <f>IFERROR('Cash Flow'!E16,0)</f>
        <v>42</v>
      </c>
      <c r="D86" s="30">
        <f>IFERROR('Cash Flow'!F16,0)</f>
        <v>89</v>
      </c>
      <c r="E86" s="30">
        <f>IFERROR('Cash Flow'!G16,0)</f>
        <v>1965</v>
      </c>
      <c r="F86" s="30">
        <f>IFERROR('Cash Flow'!H16,0)</f>
        <v>2381</v>
      </c>
      <c r="G86" s="30">
        <f>IFERROR('Cash Flow'!I16,0)</f>
        <v>5644</v>
      </c>
      <c r="H86" s="30">
        <f>IFERROR('Cash Flow'!J16,0)</f>
        <v>21</v>
      </c>
      <c r="I86" s="30">
        <f>IFERROR('Cash Flow'!K16,0)</f>
        <v>226</v>
      </c>
      <c r="J86" s="30">
        <f>IFERROR('Cash Flow'!L16,0)</f>
        <v>104</v>
      </c>
      <c r="K86" s="30">
        <f>IFERROR('Cash Flow'!M16,0)</f>
        <v>6895</v>
      </c>
      <c r="L86" s="30">
        <f>IFERROR('Cash Flow'!N16,0)</f>
        <v>10820</v>
      </c>
      <c r="M86" s="26"/>
      <c r="N86" s="26"/>
    </row>
    <row r="87" spans="2:14" hidden="1" outlineLevel="1" x14ac:dyDescent="0.25">
      <c r="B87" t="s">
        <v>137</v>
      </c>
      <c r="C87" s="30">
        <f>IFERROR('Cash Flow'!E17,0)</f>
        <v>698</v>
      </c>
      <c r="D87" s="30">
        <f>IFERROR('Cash Flow'!F17,0)</f>
        <v>731</v>
      </c>
      <c r="E87" s="30">
        <f>IFERROR('Cash Flow'!G17,0)</f>
        <v>638</v>
      </c>
      <c r="F87" s="30">
        <f>IFERROR('Cash Flow'!H17,0)</f>
        <v>690</v>
      </c>
      <c r="G87" s="30">
        <f>IFERROR('Cash Flow'!I17,0)</f>
        <v>761</v>
      </c>
      <c r="H87" s="30">
        <f>IFERROR('Cash Flow'!J17,0)</f>
        <v>1104</v>
      </c>
      <c r="I87" s="30">
        <f>IFERROR('Cash Flow'!K17,0)</f>
        <v>428</v>
      </c>
      <c r="J87" s="30">
        <f>IFERROR('Cash Flow'!L17,0)</f>
        <v>653</v>
      </c>
      <c r="K87" s="30">
        <f>IFERROR('Cash Flow'!M17,0)</f>
        <v>973</v>
      </c>
      <c r="L87" s="30">
        <f>IFERROR('Cash Flow'!N17,0)</f>
        <v>2493</v>
      </c>
      <c r="M87" s="26"/>
      <c r="N87" s="26"/>
    </row>
    <row r="88" spans="2:14" hidden="1" outlineLevel="1" x14ac:dyDescent="0.25">
      <c r="B88" t="s">
        <v>138</v>
      </c>
      <c r="C88" s="30">
        <f>IFERROR('Cash Flow'!E18,0)</f>
        <v>80</v>
      </c>
      <c r="D88" s="30">
        <f>IFERROR('Cash Flow'!F18,0)</f>
        <v>58</v>
      </c>
      <c r="E88" s="30">
        <f>IFERROR('Cash Flow'!G18,0)</f>
        <v>620</v>
      </c>
      <c r="F88" s="30">
        <f>IFERROR('Cash Flow'!H18,0)</f>
        <v>1797</v>
      </c>
      <c r="G88" s="30">
        <f>IFERROR('Cash Flow'!I18,0)</f>
        <v>232</v>
      </c>
      <c r="H88" s="30">
        <f>IFERROR('Cash Flow'!J18,0)</f>
        <v>21</v>
      </c>
      <c r="I88" s="30">
        <f>IFERROR('Cash Flow'!K18,0)</f>
        <v>18</v>
      </c>
      <c r="J88" s="30">
        <f>IFERROR('Cash Flow'!L18,0)</f>
        <v>32</v>
      </c>
      <c r="K88" s="30">
        <f>IFERROR('Cash Flow'!M18,0)</f>
        <v>46</v>
      </c>
      <c r="L88" s="30">
        <f>IFERROR('Cash Flow'!N18,0)</f>
        <v>47</v>
      </c>
      <c r="M88" s="26"/>
      <c r="N88" s="26"/>
    </row>
    <row r="89" spans="2:14" hidden="1" outlineLevel="1" x14ac:dyDescent="0.25">
      <c r="B89" t="s">
        <v>139</v>
      </c>
      <c r="C89" s="30">
        <f>IFERROR('Cash Flow'!E19,0)</f>
        <v>-160</v>
      </c>
      <c r="D89" s="30">
        <f>IFERROR('Cash Flow'!F19,0)</f>
        <v>0</v>
      </c>
      <c r="E89" s="30">
        <f>IFERROR('Cash Flow'!G19,0)</f>
        <v>-107</v>
      </c>
      <c r="F89" s="30">
        <f>IFERROR('Cash Flow'!H19,0)</f>
        <v>-4</v>
      </c>
      <c r="G89" s="30">
        <f>IFERROR('Cash Flow'!I19,0)</f>
        <v>-9</v>
      </c>
      <c r="H89" s="30">
        <f>IFERROR('Cash Flow'!J19,0)</f>
        <v>-606</v>
      </c>
      <c r="I89" s="30">
        <f>IFERROR('Cash Flow'!K19,0)</f>
        <v>-10</v>
      </c>
      <c r="J89" s="30">
        <f>IFERROR('Cash Flow'!L19,0)</f>
        <v>0</v>
      </c>
      <c r="K89" s="30">
        <f>IFERROR('Cash Flow'!M19,0)</f>
        <v>0</v>
      </c>
      <c r="L89" s="30">
        <f>IFERROR('Cash Flow'!N19,0)</f>
        <v>-150</v>
      </c>
      <c r="M89" s="26"/>
      <c r="N89" s="26"/>
    </row>
    <row r="90" spans="2:14" hidden="1" outlineLevel="1" x14ac:dyDescent="0.25">
      <c r="B90" t="s">
        <v>140</v>
      </c>
      <c r="C90" s="30">
        <f>IFERROR('Cash Flow'!E20,0)</f>
        <v>0</v>
      </c>
      <c r="D90" s="30">
        <f>IFERROR('Cash Flow'!F20,0)</f>
        <v>0</v>
      </c>
      <c r="E90" s="30">
        <f>IFERROR('Cash Flow'!G20,0)</f>
        <v>0</v>
      </c>
      <c r="F90" s="30">
        <f>IFERROR('Cash Flow'!H20,0)</f>
        <v>14</v>
      </c>
      <c r="G90" s="30">
        <f>IFERROR('Cash Flow'!I20,0)</f>
        <v>533</v>
      </c>
      <c r="H90" s="30">
        <f>IFERROR('Cash Flow'!J20,0)</f>
        <v>0</v>
      </c>
      <c r="I90" s="30">
        <f>IFERROR('Cash Flow'!K20,0)</f>
        <v>0</v>
      </c>
      <c r="J90" s="30">
        <f>IFERROR('Cash Flow'!L20,0)</f>
        <v>0</v>
      </c>
      <c r="K90" s="30">
        <f>IFERROR('Cash Flow'!M20,0)</f>
        <v>19</v>
      </c>
      <c r="L90" s="30">
        <f>IFERROR('Cash Flow'!N20,0)</f>
        <v>108</v>
      </c>
      <c r="M90" s="26"/>
      <c r="N90" s="26"/>
    </row>
    <row r="91" spans="2:14" hidden="1" outlineLevel="1" x14ac:dyDescent="0.25">
      <c r="B91" t="s">
        <v>141</v>
      </c>
      <c r="C91" s="30">
        <f>IFERROR('Cash Flow'!E21,0)</f>
        <v>0</v>
      </c>
      <c r="D91" s="30">
        <f>IFERROR('Cash Flow'!F21,0)</f>
        <v>-111</v>
      </c>
      <c r="E91" s="30">
        <f>IFERROR('Cash Flow'!G21,0)</f>
        <v>0</v>
      </c>
      <c r="F91" s="30">
        <f>IFERROR('Cash Flow'!H21,0)</f>
        <v>0</v>
      </c>
      <c r="G91" s="30">
        <f>IFERROR('Cash Flow'!I21,0)</f>
        <v>-8</v>
      </c>
      <c r="H91" s="30">
        <f>IFERROR('Cash Flow'!J21,0)</f>
        <v>-27</v>
      </c>
      <c r="I91" s="30">
        <f>IFERROR('Cash Flow'!K21,0)</f>
        <v>0</v>
      </c>
      <c r="J91" s="30">
        <f>IFERROR('Cash Flow'!L21,0)</f>
        <v>-98</v>
      </c>
      <c r="K91" s="30">
        <f>IFERROR('Cash Flow'!M21,0)</f>
        <v>0</v>
      </c>
      <c r="L91" s="30">
        <f>IFERROR('Cash Flow'!N21,0)</f>
        <v>0</v>
      </c>
      <c r="M91" s="26"/>
      <c r="N91" s="26"/>
    </row>
    <row r="92" spans="2:14" hidden="1" outlineLevel="1" x14ac:dyDescent="0.25">
      <c r="B92" t="s">
        <v>142</v>
      </c>
      <c r="C92" s="30">
        <f>IFERROR('Cash Flow'!E22,0)</f>
        <v>0</v>
      </c>
      <c r="D92" s="30">
        <f>IFERROR('Cash Flow'!F22,0)</f>
        <v>0</v>
      </c>
      <c r="E92" s="30">
        <f>IFERROR('Cash Flow'!G22,0)</f>
        <v>0</v>
      </c>
      <c r="F92" s="30">
        <f>IFERROR('Cash Flow'!H22,0)</f>
        <v>0</v>
      </c>
      <c r="G92" s="30">
        <f>IFERROR('Cash Flow'!I22,0)</f>
        <v>0</v>
      </c>
      <c r="H92" s="30">
        <f>IFERROR('Cash Flow'!J22,0)</f>
        <v>0</v>
      </c>
      <c r="I92" s="30">
        <f>IFERROR('Cash Flow'!K22,0)</f>
        <v>0</v>
      </c>
      <c r="J92" s="30">
        <f>IFERROR('Cash Flow'!L22,0)</f>
        <v>0</v>
      </c>
      <c r="K92" s="30">
        <f>IFERROR('Cash Flow'!M22,0)</f>
        <v>0</v>
      </c>
      <c r="L92" s="30">
        <f>IFERROR('Cash Flow'!N22,0)</f>
        <v>-24</v>
      </c>
      <c r="M92" s="26"/>
      <c r="N92" s="26"/>
    </row>
    <row r="93" spans="2:14" hidden="1" outlineLevel="1" x14ac:dyDescent="0.25">
      <c r="B93" t="s">
        <v>143</v>
      </c>
      <c r="C93" s="30">
        <f>IFERROR('Cash Flow'!E23,0)</f>
        <v>456</v>
      </c>
      <c r="D93" s="30">
        <f>IFERROR('Cash Flow'!F23,0)</f>
        <v>-1289</v>
      </c>
      <c r="E93" s="30">
        <f>IFERROR('Cash Flow'!G23,0)</f>
        <v>-26663</v>
      </c>
      <c r="F93" s="30">
        <f>IFERROR('Cash Flow'!H23,0)</f>
        <v>5360</v>
      </c>
      <c r="G93" s="30">
        <f>IFERROR('Cash Flow'!I23,0)</f>
        <v>7335</v>
      </c>
      <c r="H93" s="30">
        <f>IFERROR('Cash Flow'!J23,0)</f>
        <v>-2659</v>
      </c>
      <c r="I93" s="30">
        <f>IFERROR('Cash Flow'!K23,0)</f>
        <v>1051</v>
      </c>
      <c r="J93" s="30">
        <f>IFERROR('Cash Flow'!L23,0)</f>
        <v>12813</v>
      </c>
      <c r="K93" s="30">
        <f>IFERROR('Cash Flow'!M23,0)</f>
        <v>-4357</v>
      </c>
      <c r="L93" s="30">
        <f>IFERROR('Cash Flow'!N23,0)</f>
        <v>-4817</v>
      </c>
      <c r="M93" s="26"/>
      <c r="N93" s="26"/>
    </row>
    <row r="94" spans="2:14" collapsed="1" x14ac:dyDescent="0.25">
      <c r="B94" s="2" t="s">
        <v>155</v>
      </c>
      <c r="C94" s="39">
        <f>SUM(C83:C93)</f>
        <v>-36233</v>
      </c>
      <c r="D94" s="39">
        <f t="shared" ref="D94:L94" si="24">SUM(D83:D93)</f>
        <v>-36694</v>
      </c>
      <c r="E94" s="39">
        <f t="shared" si="24"/>
        <v>-39572</v>
      </c>
      <c r="F94" s="39">
        <f t="shared" si="24"/>
        <v>-25140</v>
      </c>
      <c r="G94" s="39">
        <f t="shared" si="24"/>
        <v>-20879</v>
      </c>
      <c r="H94" s="39">
        <f t="shared" si="24"/>
        <v>-33116</v>
      </c>
      <c r="I94" s="39">
        <f t="shared" si="24"/>
        <v>-25671</v>
      </c>
      <c r="J94" s="39">
        <f t="shared" si="24"/>
        <v>-4442</v>
      </c>
      <c r="K94" s="39">
        <f t="shared" si="24"/>
        <v>-15419</v>
      </c>
      <c r="L94" s="39">
        <f t="shared" si="24"/>
        <v>-22706</v>
      </c>
      <c r="M94" s="26"/>
      <c r="N94" s="26"/>
    </row>
    <row r="95" spans="2:14" x14ac:dyDescent="0.25"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2:14" x14ac:dyDescent="0.25">
      <c r="B96" s="2" t="s">
        <v>158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2:14" hidden="1" outlineLevel="1" x14ac:dyDescent="0.25">
      <c r="B97" t="s">
        <v>145</v>
      </c>
      <c r="C97" s="30">
        <f>IFERROR('Cash Flow'!E25,0)</f>
        <v>0</v>
      </c>
      <c r="D97" s="30">
        <f>IFERROR('Cash Flow'!F25,0)</f>
        <v>7433</v>
      </c>
      <c r="E97" s="30">
        <f>IFERROR('Cash Flow'!G25,0)</f>
        <v>5</v>
      </c>
      <c r="F97" s="30">
        <f>IFERROR('Cash Flow'!H25,0)</f>
        <v>0</v>
      </c>
      <c r="G97" s="30">
        <f>IFERROR('Cash Flow'!I25,0)</f>
        <v>0</v>
      </c>
      <c r="H97" s="30">
        <f>IFERROR('Cash Flow'!J25,0)</f>
        <v>3889</v>
      </c>
      <c r="I97" s="30">
        <f>IFERROR('Cash Flow'!K25,0)</f>
        <v>2603</v>
      </c>
      <c r="J97" s="30">
        <f>IFERROR('Cash Flow'!L25,0)</f>
        <v>19</v>
      </c>
      <c r="K97" s="30">
        <f>IFERROR('Cash Flow'!M25,0)</f>
        <v>20</v>
      </c>
      <c r="L97" s="30">
        <f>IFERROR('Cash Flow'!N25,0)</f>
        <v>82</v>
      </c>
      <c r="M97" s="26"/>
      <c r="N97" s="26"/>
    </row>
    <row r="98" spans="2:14" hidden="1" outlineLevel="1" x14ac:dyDescent="0.25">
      <c r="B98" t="s">
        <v>146</v>
      </c>
      <c r="C98" s="30">
        <f>IFERROR('Cash Flow'!E26,0)</f>
        <v>-744</v>
      </c>
      <c r="D98" s="30">
        <f>IFERROR('Cash Flow'!F26,0)</f>
        <v>0</v>
      </c>
      <c r="E98" s="30">
        <f>IFERROR('Cash Flow'!G26,0)</f>
        <v>0</v>
      </c>
      <c r="F98" s="30">
        <f>IFERROR('Cash Flow'!H26,0)</f>
        <v>0</v>
      </c>
      <c r="G98" s="30">
        <f>IFERROR('Cash Flow'!I26,0)</f>
        <v>0</v>
      </c>
      <c r="H98" s="30">
        <f>IFERROR('Cash Flow'!J26,0)</f>
        <v>0</v>
      </c>
      <c r="I98" s="30">
        <f>IFERROR('Cash Flow'!K26,0)</f>
        <v>0</v>
      </c>
      <c r="J98" s="30">
        <f>IFERROR('Cash Flow'!L26,0)</f>
        <v>0</v>
      </c>
      <c r="K98" s="30">
        <f>IFERROR('Cash Flow'!M26,0)</f>
        <v>0</v>
      </c>
      <c r="L98" s="30">
        <f>IFERROR('Cash Flow'!N26,0)</f>
        <v>0</v>
      </c>
      <c r="M98" s="26"/>
      <c r="N98" s="26"/>
    </row>
    <row r="99" spans="2:14" hidden="1" outlineLevel="1" x14ac:dyDescent="0.25">
      <c r="B99" t="s">
        <v>147</v>
      </c>
      <c r="C99" s="30">
        <f>IFERROR('Cash Flow'!E27,0)</f>
        <v>36363</v>
      </c>
      <c r="D99" s="30">
        <f>IFERROR('Cash Flow'!F27,0)</f>
        <v>19519</v>
      </c>
      <c r="E99" s="30">
        <f>IFERROR('Cash Flow'!G27,0)</f>
        <v>33390</v>
      </c>
      <c r="F99" s="30">
        <f>IFERROR('Cash Flow'!H27,0)</f>
        <v>37482</v>
      </c>
      <c r="G99" s="30">
        <f>IFERROR('Cash Flow'!I27,0)</f>
        <v>51128</v>
      </c>
      <c r="H99" s="30">
        <f>IFERROR('Cash Flow'!J27,0)</f>
        <v>38297</v>
      </c>
      <c r="I99" s="30">
        <f>IFERROR('Cash Flow'!K27,0)</f>
        <v>46641</v>
      </c>
      <c r="J99" s="30">
        <f>IFERROR('Cash Flow'!L27,0)</f>
        <v>46578</v>
      </c>
      <c r="K99" s="30">
        <f>IFERROR('Cash Flow'!M27,0)</f>
        <v>43934</v>
      </c>
      <c r="L99" s="30">
        <f>IFERROR('Cash Flow'!N27,0)</f>
        <v>18747</v>
      </c>
      <c r="M99" s="26"/>
      <c r="N99" s="26"/>
    </row>
    <row r="100" spans="2:14" hidden="1" outlineLevel="1" x14ac:dyDescent="0.25">
      <c r="B100" t="s">
        <v>148</v>
      </c>
      <c r="C100" s="30">
        <f>IFERROR('Cash Flow'!E28,0)</f>
        <v>-23332</v>
      </c>
      <c r="D100" s="30">
        <f>IFERROR('Cash Flow'!F28,0)</f>
        <v>-24924</v>
      </c>
      <c r="E100" s="30">
        <f>IFERROR('Cash Flow'!G28,0)</f>
        <v>-21732</v>
      </c>
      <c r="F100" s="30">
        <f>IFERROR('Cash Flow'!H28,0)</f>
        <v>-29964</v>
      </c>
      <c r="G100" s="30">
        <f>IFERROR('Cash Flow'!I28,0)</f>
        <v>-35198</v>
      </c>
      <c r="H100" s="30">
        <f>IFERROR('Cash Flow'!J28,0)</f>
        <v>-29847</v>
      </c>
      <c r="I100" s="30">
        <f>IFERROR('Cash Flow'!K28,0)</f>
        <v>-29709</v>
      </c>
      <c r="J100" s="30">
        <f>IFERROR('Cash Flow'!L28,0)</f>
        <v>-42816</v>
      </c>
      <c r="K100" s="30">
        <f>IFERROR('Cash Flow'!M28,0)</f>
        <v>-62557</v>
      </c>
      <c r="L100" s="30">
        <f>IFERROR('Cash Flow'!N28,0)</f>
        <v>-47332</v>
      </c>
      <c r="M100" s="26"/>
      <c r="N100" s="26"/>
    </row>
    <row r="101" spans="2:14" hidden="1" outlineLevel="1" x14ac:dyDescent="0.25">
      <c r="B101" t="s">
        <v>149</v>
      </c>
      <c r="C101" s="30">
        <f>IFERROR('Cash Flow'!E29,0)</f>
        <v>-6307</v>
      </c>
      <c r="D101" s="30">
        <f>IFERROR('Cash Flow'!F29,0)</f>
        <v>-5716</v>
      </c>
      <c r="E101" s="30">
        <f>IFERROR('Cash Flow'!G29,0)</f>
        <v>-5336</v>
      </c>
      <c r="F101" s="30">
        <f>IFERROR('Cash Flow'!H29,0)</f>
        <v>-5411</v>
      </c>
      <c r="G101" s="30">
        <f>IFERROR('Cash Flow'!I29,0)</f>
        <v>-7005</v>
      </c>
      <c r="H101" s="30">
        <f>IFERROR('Cash Flow'!J29,0)</f>
        <v>-7518</v>
      </c>
      <c r="I101" s="30">
        <f>IFERROR('Cash Flow'!K29,0)</f>
        <v>-8123</v>
      </c>
      <c r="J101" s="30">
        <f>IFERROR('Cash Flow'!L29,0)</f>
        <v>-9251</v>
      </c>
      <c r="K101" s="30">
        <f>IFERROR('Cash Flow'!M29,0)</f>
        <v>-9336</v>
      </c>
      <c r="L101" s="30">
        <f>IFERROR('Cash Flow'!N29,0)</f>
        <v>-9332</v>
      </c>
      <c r="M101" s="26"/>
      <c r="N101" s="26"/>
    </row>
    <row r="102" spans="2:14" hidden="1" outlineLevel="1" x14ac:dyDescent="0.25">
      <c r="B102" t="s">
        <v>150</v>
      </c>
      <c r="C102" s="30">
        <f>IFERROR('Cash Flow'!E30,0)</f>
        <v>-720</v>
      </c>
      <c r="D102" s="30">
        <f>IFERROR('Cash Flow'!F30,0)</f>
        <v>-108</v>
      </c>
      <c r="E102" s="30">
        <f>IFERROR('Cash Flow'!G30,0)</f>
        <v>-121</v>
      </c>
      <c r="F102" s="30">
        <f>IFERROR('Cash Flow'!H30,0)</f>
        <v>-96</v>
      </c>
      <c r="G102" s="30">
        <f>IFERROR('Cash Flow'!I30,0)</f>
        <v>-95</v>
      </c>
      <c r="H102" s="30">
        <f>IFERROR('Cash Flow'!J30,0)</f>
        <v>-57</v>
      </c>
      <c r="I102" s="30">
        <f>IFERROR('Cash Flow'!K30,0)</f>
        <v>-30</v>
      </c>
      <c r="J102" s="30">
        <f>IFERROR('Cash Flow'!L30,0)</f>
        <v>-100</v>
      </c>
      <c r="K102" s="30">
        <f>IFERROR('Cash Flow'!M30,0)</f>
        <v>-141</v>
      </c>
      <c r="L102" s="30">
        <f>IFERROR('Cash Flow'!N30,0)</f>
        <v>-1059</v>
      </c>
      <c r="M102" s="26"/>
      <c r="N102" s="26"/>
    </row>
    <row r="103" spans="2:14" hidden="1" outlineLevel="1" x14ac:dyDescent="0.25">
      <c r="B103" t="s">
        <v>151</v>
      </c>
      <c r="C103" s="30">
        <f>IFERROR('Cash Flow'!E31,0)</f>
        <v>0</v>
      </c>
      <c r="D103" s="30">
        <f>IFERROR('Cash Flow'!F31,0)</f>
        <v>0</v>
      </c>
      <c r="E103" s="30">
        <f>IFERROR('Cash Flow'!G31,0)</f>
        <v>0</v>
      </c>
      <c r="F103" s="30">
        <f>IFERROR('Cash Flow'!H31,0)</f>
        <v>0</v>
      </c>
      <c r="G103" s="30">
        <f>IFERROR('Cash Flow'!I31,0)</f>
        <v>0</v>
      </c>
      <c r="H103" s="30">
        <f>IFERROR('Cash Flow'!J31,0)</f>
        <v>-1346</v>
      </c>
      <c r="I103" s="30">
        <f>IFERROR('Cash Flow'!K31,0)</f>
        <v>-1477</v>
      </c>
      <c r="J103" s="30">
        <f>IFERROR('Cash Flow'!L31,0)</f>
        <v>-1559</v>
      </c>
      <c r="K103" s="30">
        <f>IFERROR('Cash Flow'!M31,0)</f>
        <v>-1517</v>
      </c>
      <c r="L103" s="30">
        <f>IFERROR('Cash Flow'!N31,0)</f>
        <v>-1924</v>
      </c>
      <c r="M103" s="26"/>
      <c r="N103" s="26"/>
    </row>
    <row r="104" spans="2:14" hidden="1" outlineLevel="1" x14ac:dyDescent="0.25">
      <c r="B104" t="s">
        <v>152</v>
      </c>
      <c r="C104" s="30">
        <f>IFERROR('Cash Flow'!E32,0)</f>
        <v>-57</v>
      </c>
      <c r="D104" s="30">
        <f>IFERROR('Cash Flow'!F32,0)</f>
        <v>0</v>
      </c>
      <c r="E104" s="30">
        <f>IFERROR('Cash Flow'!G32,0)</f>
        <v>0</v>
      </c>
      <c r="F104" s="30">
        <f>IFERROR('Cash Flow'!H32,0)</f>
        <v>0</v>
      </c>
      <c r="G104" s="30">
        <f>IFERROR('Cash Flow'!I32,0)</f>
        <v>0</v>
      </c>
      <c r="H104" s="30">
        <f>IFERROR('Cash Flow'!J32,0)</f>
        <v>-29</v>
      </c>
      <c r="I104" s="30">
        <f>IFERROR('Cash Flow'!K32,0)</f>
        <v>0</v>
      </c>
      <c r="J104" s="30">
        <f>IFERROR('Cash Flow'!L32,0)</f>
        <v>3750</v>
      </c>
      <c r="K104" s="30">
        <f>IFERROR('Cash Flow'!M32,0)</f>
        <v>3355</v>
      </c>
      <c r="L104" s="30">
        <f>IFERROR('Cash Flow'!N32,0)</f>
        <v>3812</v>
      </c>
      <c r="M104" s="26"/>
      <c r="N104" s="26"/>
    </row>
    <row r="105" spans="2:14" collapsed="1" x14ac:dyDescent="0.25">
      <c r="B105" s="2" t="s">
        <v>159</v>
      </c>
      <c r="C105" s="39">
        <f>SUM(C97:C104)</f>
        <v>5203</v>
      </c>
      <c r="D105" s="39">
        <f t="shared" ref="D105:L105" si="25">SUM(D97:D104)</f>
        <v>-3796</v>
      </c>
      <c r="E105" s="39">
        <f t="shared" si="25"/>
        <v>6206</v>
      </c>
      <c r="F105" s="39">
        <f t="shared" si="25"/>
        <v>2011</v>
      </c>
      <c r="G105" s="39">
        <f t="shared" si="25"/>
        <v>8830</v>
      </c>
      <c r="H105" s="39">
        <f t="shared" si="25"/>
        <v>3389</v>
      </c>
      <c r="I105" s="39">
        <f t="shared" si="25"/>
        <v>9905</v>
      </c>
      <c r="J105" s="39">
        <f t="shared" si="25"/>
        <v>-3379</v>
      </c>
      <c r="K105" s="39">
        <f t="shared" si="25"/>
        <v>-26242</v>
      </c>
      <c r="L105" s="39">
        <f t="shared" si="25"/>
        <v>-37006</v>
      </c>
      <c r="M105" s="26"/>
      <c r="N105" s="26"/>
    </row>
    <row r="106" spans="2:14" x14ac:dyDescent="0.25"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2:14" x14ac:dyDescent="0.25">
      <c r="B107" s="2" t="s">
        <v>160</v>
      </c>
      <c r="C107" s="39">
        <f>C105+C94+C80</f>
        <v>830</v>
      </c>
      <c r="D107" s="39">
        <f t="shared" ref="D107:L107" si="26">D105+D94+D80</f>
        <v>-1278</v>
      </c>
      <c r="E107" s="39">
        <f t="shared" si="26"/>
        <v>88</v>
      </c>
      <c r="F107" s="39">
        <f t="shared" si="26"/>
        <v>-5706</v>
      </c>
      <c r="G107" s="39">
        <f t="shared" si="26"/>
        <v>-378</v>
      </c>
      <c r="H107" s="39">
        <f t="shared" si="26"/>
        <v>1971</v>
      </c>
      <c r="I107" s="39">
        <f t="shared" si="26"/>
        <v>13141</v>
      </c>
      <c r="J107" s="39">
        <f t="shared" si="26"/>
        <v>-4289</v>
      </c>
      <c r="K107" s="39">
        <f t="shared" si="26"/>
        <v>-9400</v>
      </c>
      <c r="L107" s="39">
        <f t="shared" si="26"/>
        <v>15529</v>
      </c>
      <c r="M107" s="26"/>
      <c r="N107" s="26"/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18 M23 M26 M32 M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7F37-59D9-48B6-92D2-17F7AB433685}">
  <dimension ref="B2:O40"/>
  <sheetViews>
    <sheetView showGridLines="0" zoomScale="120" zoomScaleNormal="120" workbookViewId="0">
      <pane xSplit="2" ySplit="3" topLeftCell="C24" activePane="bottomRight" state="frozen"/>
      <selection pane="topRight" activeCell="C1" sqref="C1"/>
      <selection pane="bottomLeft" activeCell="A4" sqref="A4"/>
      <selection pane="bottomRight" activeCell="Q20" sqref="Q20"/>
    </sheetView>
  </sheetViews>
  <sheetFormatPr defaultRowHeight="15" x14ac:dyDescent="0.25"/>
  <cols>
    <col min="1" max="1" width="1.85546875" customWidth="1"/>
    <col min="2" max="2" width="26.140625" bestFit="1" customWidth="1"/>
    <col min="3" max="12" width="13.42578125" customWidth="1"/>
    <col min="13" max="13" width="12.42578125" customWidth="1"/>
    <col min="14" max="15" width="11.42578125" bestFit="1" customWidth="1"/>
  </cols>
  <sheetData>
    <row r="2" spans="2:15" x14ac:dyDescent="0.25">
      <c r="B2" s="168" t="str">
        <f>"Ratio Analysis - "&amp;'Data Sheet'!B1</f>
        <v>Ratio Analysis - TATA MOTORS LTD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2:15" x14ac:dyDescent="0.25">
      <c r="B3" s="27" t="s">
        <v>93</v>
      </c>
      <c r="C3" s="28">
        <f>'Data Sheet'!B16</f>
        <v>42094</v>
      </c>
      <c r="D3" s="28">
        <f>'Data Sheet'!C16</f>
        <v>42460</v>
      </c>
      <c r="E3" s="28">
        <f>'Data Sheet'!D16</f>
        <v>42825</v>
      </c>
      <c r="F3" s="28">
        <f>'Data Sheet'!E16</f>
        <v>43190</v>
      </c>
      <c r="G3" s="28">
        <f>'Data Sheet'!F16</f>
        <v>43555</v>
      </c>
      <c r="H3" s="28">
        <f>'Data Sheet'!G16</f>
        <v>43921</v>
      </c>
      <c r="I3" s="28">
        <f>'Data Sheet'!H16</f>
        <v>44286</v>
      </c>
      <c r="J3" s="28">
        <f>'Data Sheet'!I16</f>
        <v>44651</v>
      </c>
      <c r="K3" s="28">
        <f>'Data Sheet'!J16</f>
        <v>45016</v>
      </c>
      <c r="L3" s="28">
        <f>'Data Sheet'!K16</f>
        <v>45382</v>
      </c>
      <c r="M3" s="78" t="s">
        <v>189</v>
      </c>
      <c r="N3" s="28" t="s">
        <v>187</v>
      </c>
      <c r="O3" s="28" t="s">
        <v>188</v>
      </c>
    </row>
    <row r="5" spans="2:15" x14ac:dyDescent="0.25">
      <c r="B5" s="52" t="s">
        <v>161</v>
      </c>
      <c r="C5" s="53" t="s">
        <v>97</v>
      </c>
      <c r="D5" s="54">
        <f>IFERROR(HistoricalFS!D6/HistoricalFS!C6-1,0)</f>
        <v>3.75690010654397E-2</v>
      </c>
      <c r="E5" s="54">
        <f>IFERROR(HistoricalFS!E6/HistoricalFS!D6-1,0)</f>
        <v>-1.2280329732469508E-2</v>
      </c>
      <c r="F5" s="54">
        <f>IFERROR(HistoricalFS!F6/HistoricalFS!E6-1,0)</f>
        <v>8.104774581985974E-2</v>
      </c>
      <c r="G5" s="54">
        <f>IFERROR(HistoricalFS!G6/HistoricalFS!F6-1,0)</f>
        <v>3.5629919045237157E-2</v>
      </c>
      <c r="H5" s="54">
        <f>IFERROR(HistoricalFS!H6/HistoricalFS!G6-1,0)</f>
        <v>-0.135360159555724</v>
      </c>
      <c r="I5" s="54">
        <f>IFERROR(HistoricalFS!I6/HistoricalFS!H6-1,0)</f>
        <v>-4.3181168490336042E-2</v>
      </c>
      <c r="J5" s="54">
        <f>IFERROR(HistoricalFS!J6/HistoricalFS!I6-1,0)</f>
        <v>0.11472967306158344</v>
      </c>
      <c r="K5" s="54">
        <f>IFERROR(HistoricalFS!K6/HistoricalFS!J6-1,0)</f>
        <v>0.24245815155859707</v>
      </c>
      <c r="L5" s="49">
        <f>IFERROR(HistoricalFS!L6/HistoricalFS!K6-1,0)</f>
        <v>0.26580803363974326</v>
      </c>
      <c r="M5" s="68"/>
      <c r="N5" s="69">
        <f>IFERROR(AVERAGE(D5:L5),0)</f>
        <v>6.5157874045770087E-2</v>
      </c>
      <c r="O5" s="69">
        <f>IFERROR(MEDIAN(D5:L5),0)</f>
        <v>3.75690010654397E-2</v>
      </c>
    </row>
    <row r="6" spans="2:15" x14ac:dyDescent="0.25">
      <c r="B6" t="s">
        <v>162</v>
      </c>
      <c r="C6" s="26" t="s">
        <v>97</v>
      </c>
      <c r="D6" s="50">
        <f>IFERROR(HistoricalFS!D18/HistoricalFS!C18-1,0)</f>
        <v>-2.1494113584437979E-2</v>
      </c>
      <c r="E6" s="50">
        <f>IFERROR(HistoricalFS!E18/HistoricalFS!D18-1,0)</f>
        <v>-0.22936587208052905</v>
      </c>
      <c r="F6" s="50">
        <f>IFERROR(HistoricalFS!F18/HistoricalFS!E18-1,0)</f>
        <v>6.3165689322506102E-2</v>
      </c>
      <c r="G6" s="50">
        <f>IFERROR(HistoricalFS!G18/HistoricalFS!F18-1,0)</f>
        <v>-0.21595203460649259</v>
      </c>
      <c r="H6" s="50">
        <f>IFERROR(HistoricalFS!H18/HistoricalFS!G18-1,0)</f>
        <v>-0.27072537547138131</v>
      </c>
      <c r="I6" s="50">
        <f>IFERROR(HistoricalFS!I18/HistoricalFS!H18-1,0)</f>
        <v>0.79503554497758966</v>
      </c>
      <c r="J6" s="50">
        <f>IFERROR(HistoricalFS!J18/HistoricalFS!I18-1,0)</f>
        <v>-0.234374182150762</v>
      </c>
      <c r="K6" s="50">
        <f>IFERROR(HistoricalFS!K18/HistoricalFS!J18-1,0)</f>
        <v>0.28704223973294352</v>
      </c>
      <c r="L6" s="50">
        <f>IFERROR(HistoricalFS!L18/HistoricalFS!K18-1,0)</f>
        <v>0.87134505497269021</v>
      </c>
      <c r="N6" s="58">
        <f t="shared" ref="N6:N9" si="0">IFERROR(AVERAGE(D6:L6),0)</f>
        <v>0.11607521679023629</v>
      </c>
      <c r="O6" s="58">
        <f t="shared" ref="O6:O9" si="1">IFERROR(MEDIAN(D6:L6),0)</f>
        <v>-2.1494113584437979E-2</v>
      </c>
    </row>
    <row r="7" spans="2:15" x14ac:dyDescent="0.25">
      <c r="B7" t="s">
        <v>163</v>
      </c>
      <c r="C7" s="26" t="s">
        <v>97</v>
      </c>
      <c r="D7" s="50">
        <f>IFERROR((HistoricalFS!D18-HistoricalFS!D26)/(HistoricalFS!C18-HistoricalFS!C26)-1,0)</f>
        <v>-0.16114300878684085</v>
      </c>
      <c r="E7" s="50">
        <f>IFERROR((HistoricalFS!E18-HistoricalFS!E26)/(HistoricalFS!D18-HistoricalFS!D26)-1,0)</f>
        <v>-0.46119503958362551</v>
      </c>
      <c r="F7" s="50">
        <f>IFERROR((HistoricalFS!F18-HistoricalFS!F26)/(HistoricalFS!E18-HistoricalFS!E26)-1,0)</f>
        <v>-0.15231561919597769</v>
      </c>
      <c r="G7" s="50">
        <f>IFERROR((HistoricalFS!G18-HistoricalFS!G26)/(HistoricalFS!F18-HistoricalFS!F26)-1,0)</f>
        <v>-0.89159024201112635</v>
      </c>
      <c r="H7" s="50">
        <f>IFERROR((HistoricalFS!H18-HistoricalFS!H26)/(HistoricalFS!G18-HistoricalFS!G26)-1,0)</f>
        <v>-4.2023470243084331</v>
      </c>
      <c r="I7" s="50">
        <f>IFERROR((HistoricalFS!I18-HistoricalFS!I26)/(HistoricalFS!H18-HistoricalFS!H26)-1,0)</f>
        <v>-3.5421189171581497</v>
      </c>
      <c r="J7" s="50">
        <f>IFERROR((HistoricalFS!J18-HistoricalFS!J26)/(HistoricalFS!I18-HistoricalFS!I26)-1,0)</f>
        <v>-1.0132254551112476</v>
      </c>
      <c r="K7" s="50">
        <f>IFERROR((HistoricalFS!K18-HistoricalFS!K26)/(HistoricalFS!J18-HistoricalFS!J26)-1,0)</f>
        <v>-61.168166089973369</v>
      </c>
      <c r="L7" s="50">
        <f>IFERROR((HistoricalFS!L18-HistoricalFS!L26)/(HistoricalFS!K18-HistoricalFS!K26)-1,0)</f>
        <v>3.639276595010557</v>
      </c>
      <c r="N7" s="58">
        <f t="shared" si="0"/>
        <v>-7.550313866790912</v>
      </c>
      <c r="O7" s="58">
        <f t="shared" si="1"/>
        <v>-0.89159024201112635</v>
      </c>
    </row>
    <row r="8" spans="2:15" x14ac:dyDescent="0.25">
      <c r="B8" t="s">
        <v>164</v>
      </c>
      <c r="C8" s="26" t="s">
        <v>97</v>
      </c>
      <c r="D8" s="50">
        <f>IFERROR(HistoricalFS!D35/HistoricalFS!C35-1,0)</f>
        <v>-0.21045545230500162</v>
      </c>
      <c r="E8" s="50">
        <f>IFERROR(HistoricalFS!E35/HistoricalFS!D35-1,0)</f>
        <v>-0.45376876454860027</v>
      </c>
      <c r="F8" s="50">
        <f>IFERROR(HistoricalFS!F35/HistoricalFS!E35-1,0)</f>
        <v>0.1236138506092026</v>
      </c>
      <c r="G8" s="50">
        <f>IFERROR(HistoricalFS!G35/HistoricalFS!F35-1,0)</f>
        <v>-5.2467745959988887</v>
      </c>
      <c r="H8" s="50">
        <f>IFERROR(HistoricalFS!H35/HistoricalFS!G35-1,0)</f>
        <v>-0.62067658128756276</v>
      </c>
      <c r="I8" s="50">
        <f>IFERROR(HistoricalFS!I35/HistoricalFS!H35-1,0)</f>
        <v>0.18595601185578436</v>
      </c>
      <c r="J8" s="50">
        <f>IFERROR(HistoricalFS!J35/HistoricalFS!I35-1,0)</f>
        <v>-0.13686392432779737</v>
      </c>
      <c r="K8" s="50">
        <f>IFERROR(HistoricalFS!K35/HistoricalFS!J35-1,0)</f>
        <v>-1.2394251737919095</v>
      </c>
      <c r="L8" s="50">
        <f>IFERROR(HistoricalFS!L35/HistoricalFS!K35-1,0)</f>
        <v>10.824642083074821</v>
      </c>
      <c r="N8" s="58">
        <f t="shared" si="0"/>
        <v>0.35847193925333865</v>
      </c>
      <c r="O8" s="58">
        <f t="shared" si="1"/>
        <v>-0.21045545230500162</v>
      </c>
    </row>
    <row r="9" spans="2:15" x14ac:dyDescent="0.25">
      <c r="B9" s="55" t="s">
        <v>165</v>
      </c>
      <c r="C9" s="56" t="s">
        <v>97</v>
      </c>
      <c r="D9" s="57">
        <f>IFERROR(HistoricalFS!D43/HistoricalFS!C43-1,0)</f>
        <v>0</v>
      </c>
      <c r="E9" s="57">
        <f>IFERROR(HistoricalFS!E43/HistoricalFS!D43-1,0)</f>
        <v>-1</v>
      </c>
      <c r="F9" s="57">
        <f>IFERROR(HistoricalFS!F43/HistoricalFS!E43-1,0)</f>
        <v>0</v>
      </c>
      <c r="G9" s="57">
        <f>IFERROR(HistoricalFS!G43/HistoricalFS!F43-1,0)</f>
        <v>0</v>
      </c>
      <c r="H9" s="57">
        <f>IFERROR(HistoricalFS!H43/HistoricalFS!G43-1,0)</f>
        <v>0</v>
      </c>
      <c r="I9" s="57">
        <f>IFERROR(HistoricalFS!I43/HistoricalFS!H43-1,0)</f>
        <v>0</v>
      </c>
      <c r="J9" s="57">
        <f>IFERROR(HistoricalFS!J43/HistoricalFS!I43-1,0)</f>
        <v>0</v>
      </c>
      <c r="K9" s="57">
        <f>IFERROR(HistoricalFS!K43/HistoricalFS!J43-1,0)</f>
        <v>0</v>
      </c>
      <c r="L9" s="51">
        <f>IFERROR(HistoricalFS!L43/HistoricalFS!K43-1,0)</f>
        <v>5.0994148647671187</v>
      </c>
      <c r="M9" s="70"/>
      <c r="N9" s="71">
        <f t="shared" si="0"/>
        <v>0.45549054052967985</v>
      </c>
      <c r="O9" s="71">
        <f t="shared" si="1"/>
        <v>0</v>
      </c>
    </row>
    <row r="10" spans="2:15" x14ac:dyDescent="0.25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5" x14ac:dyDescent="0.25">
      <c r="B11" s="52" t="s">
        <v>101</v>
      </c>
      <c r="C11" s="54">
        <f>IFERROR(HistoricalFS!C13,0)</f>
        <v>0.22914703499762759</v>
      </c>
      <c r="D11" s="54">
        <f>IFERROR(HistoricalFS!D13,0)</f>
        <v>0.24734524196690946</v>
      </c>
      <c r="E11" s="54">
        <f>IFERROR(HistoricalFS!E13,0)</f>
        <v>0.23819078253229964</v>
      </c>
      <c r="F11" s="54">
        <f>IFERROR(HistoricalFS!F13,0)</f>
        <v>0.21649990080619999</v>
      </c>
      <c r="G11" s="54">
        <f>IFERROR(HistoricalFS!G13,0)</f>
        <v>0.19571167496416494</v>
      </c>
      <c r="H11" s="54">
        <f>IFERROR(HistoricalFS!H13,0)</f>
        <v>0.19417127271491774</v>
      </c>
      <c r="I11" s="54">
        <f>IFERROR(HistoricalFS!I13,0)</f>
        <v>0.2180538622208833</v>
      </c>
      <c r="J11" s="54">
        <f>IFERROR(HistoricalFS!J13,0)</f>
        <v>0.19807108271747378</v>
      </c>
      <c r="K11" s="54">
        <f>IFERROR(HistoricalFS!K13,0)</f>
        <v>0.20685017994636876</v>
      </c>
      <c r="L11" s="49">
        <f>IFERROR(HistoricalFS!L13,0)</f>
        <v>0.23605714704961514</v>
      </c>
      <c r="M11" s="68"/>
      <c r="N11" s="69">
        <f>IFERROR(AVERAGE(C11:L11),0)</f>
        <v>0.21800981799164604</v>
      </c>
      <c r="O11" s="69">
        <f>IFERROR(MEDIAN(C11:L11),0)</f>
        <v>0.21727688151354163</v>
      </c>
    </row>
    <row r="12" spans="2:15" x14ac:dyDescent="0.25">
      <c r="B12" t="s">
        <v>166</v>
      </c>
      <c r="C12" s="50">
        <f>IFERROR(HistoricalFS!C19,0)</f>
        <v>0.14910625508580397</v>
      </c>
      <c r="D12" s="50">
        <f>IFERROR(HistoricalFS!D19,0)</f>
        <v>0.14061845347443788</v>
      </c>
      <c r="E12" s="50">
        <f>IFERROR(HistoricalFS!E19,0)</f>
        <v>0.10971268723777329</v>
      </c>
      <c r="F12" s="50">
        <f>IFERROR(HistoricalFS!F19,0)</f>
        <v>0.10789788444182975</v>
      </c>
      <c r="G12" s="50">
        <f>IFERROR(HistoricalFS!G19,0)</f>
        <v>8.1686628795807431E-2</v>
      </c>
      <c r="H12" s="50">
        <f>IFERROR(HistoricalFS!H19,0)</f>
        <v>6.8898034485042198E-2</v>
      </c>
      <c r="I12" s="50">
        <f>IFERROR(HistoricalFS!I19,0)</f>
        <v>0.12925583904385496</v>
      </c>
      <c r="J12" s="50">
        <f>IFERROR(HistoricalFS!J19,0)</f>
        <v>8.877632835227646E-2</v>
      </c>
      <c r="K12" s="50">
        <f>IFERROR(HistoricalFS!K19,0)</f>
        <v>9.1961958102532049E-2</v>
      </c>
      <c r="L12" s="50">
        <f>IFERROR(HistoricalFS!L19,0)</f>
        <v>0.13595470321509878</v>
      </c>
      <c r="N12" s="58">
        <f t="shared" ref="N12:N40" si="2">IFERROR(AVERAGE(C12:L12),0)</f>
        <v>0.11038687722344567</v>
      </c>
      <c r="O12" s="58">
        <f t="shared" ref="O12:O40" si="3">IFERROR(MEDIAN(C12:L12),0)</f>
        <v>0.10880528583980152</v>
      </c>
    </row>
    <row r="13" spans="2:15" x14ac:dyDescent="0.25">
      <c r="B13" t="s">
        <v>167</v>
      </c>
      <c r="C13" s="58">
        <f>IFERROR((HistoricalFS!C18+HistoricalFS!C21-HistoricalFS!C26)/HistoricalFS!C6,0)</f>
        <v>0.10094297371117635</v>
      </c>
      <c r="D13" s="58">
        <f>IFERROR((HistoricalFS!D18+HistoricalFS!D21-HistoricalFS!D26)/HistoricalFS!D6,0)</f>
        <v>6.9639833053526487E-2</v>
      </c>
      <c r="E13" s="58">
        <f>IFERROR((HistoricalFS!E18+HistoricalFS!E21-HistoricalFS!E26)/HistoricalFS!E6,0)</f>
        <v>5.0252786033991241E-2</v>
      </c>
      <c r="F13" s="58">
        <f>IFERROR((HistoricalFS!F18+HistoricalFS!F21-HistoricalFS!F26)/HistoricalFS!F6,0)</f>
        <v>5.4319306900129233E-2</v>
      </c>
      <c r="G13" s="58">
        <f>IFERROR((HistoricalFS!G18+HistoricalFS!G21-HistoricalFS!G26)/HistoricalFS!G6,0)</f>
        <v>-8.4827070687265929E-2</v>
      </c>
      <c r="H13" s="58">
        <f>IFERROR((HistoricalFS!H18+HistoricalFS!H21-HistoricalFS!H26)/HistoricalFS!H6,0)</f>
        <v>-1.2780771229806696E-2</v>
      </c>
      <c r="I13" s="58">
        <f>IFERROR((HistoricalFS!I18+HistoricalFS!I21-HistoricalFS!I26)/HistoricalFS!I6,0)</f>
        <v>-9.5162528435846147E-3</v>
      </c>
      <c r="J13" s="58">
        <f>IFERROR((HistoricalFS!J18+HistoricalFS!J21-HistoricalFS!J26)/HistoricalFS!J6,0)</f>
        <v>8.2902495575385773E-3</v>
      </c>
      <c r="K13" s="58">
        <f>IFERROR((HistoricalFS!K18+HistoricalFS!K21-HistoricalFS!K26)/HistoricalFS!K6,0)</f>
        <v>3.9366214641819594E-2</v>
      </c>
      <c r="L13" s="58">
        <f>IFERROR((HistoricalFS!L18+HistoricalFS!L21-HistoricalFS!L26)/HistoricalFS!L6,0)</f>
        <v>8.6637278106387355E-2</v>
      </c>
      <c r="N13" s="58">
        <f t="shared" si="2"/>
        <v>3.0232454724391167E-2</v>
      </c>
      <c r="O13" s="58">
        <f t="shared" si="3"/>
        <v>4.4809500337905414E-2</v>
      </c>
    </row>
    <row r="14" spans="2:15" x14ac:dyDescent="0.25">
      <c r="B14" t="s">
        <v>109</v>
      </c>
      <c r="C14" s="50">
        <f>IFERROR(HistoricalFS!C30,0)</f>
        <v>8.2469387896244251E-2</v>
      </c>
      <c r="D14" s="50">
        <f>IFERROR(HistoricalFS!D30,0)</f>
        <v>5.1734105951533257E-2</v>
      </c>
      <c r="E14" s="50">
        <f>IFERROR(HistoricalFS!E30,0)</f>
        <v>3.4538556521276929E-2</v>
      </c>
      <c r="F14" s="50">
        <f>IFERROR(HistoricalFS!F30,0)</f>
        <v>3.8261058599526193E-2</v>
      </c>
      <c r="G14" s="50">
        <f>IFERROR(HistoricalFS!G30,0)</f>
        <v>-0.10389917281140781</v>
      </c>
      <c r="H14" s="50">
        <f>IFERROR(HistoricalFS!H30,0)</f>
        <v>-4.0525768059559507E-2</v>
      </c>
      <c r="I14" s="50">
        <f>IFERROR(HistoricalFS!I30,0)</f>
        <v>-4.1931545799101085E-2</v>
      </c>
      <c r="J14" s="50">
        <f>IFERROR(HistoricalFS!J30,0)</f>
        <v>-2.5151082611172333E-2</v>
      </c>
      <c r="K14" s="50">
        <f>IFERROR(HistoricalFS!K30,0)</f>
        <v>9.8099827275417769E-3</v>
      </c>
      <c r="L14" s="50">
        <f>IFERROR(HistoricalFS!L30,0)</f>
        <v>6.3834978996650624E-2</v>
      </c>
      <c r="N14" s="58">
        <f t="shared" si="2"/>
        <v>6.9140501411532303E-3</v>
      </c>
      <c r="O14" s="58">
        <f t="shared" si="3"/>
        <v>2.2174269624409354E-2</v>
      </c>
    </row>
    <row r="15" spans="2:15" x14ac:dyDescent="0.25">
      <c r="B15" s="55" t="s">
        <v>168</v>
      </c>
      <c r="C15" s="57">
        <f>IFERROR(HistoricalFS!C36,0)</f>
        <v>5.3426449669321488E-2</v>
      </c>
      <c r="D15" s="57">
        <f>IFERROR(HistoricalFS!D36,0)</f>
        <v>4.0655187265423685E-2</v>
      </c>
      <c r="E15" s="57">
        <f>IFERROR(HistoricalFS!E36,0)</f>
        <v>2.248323470310705E-2</v>
      </c>
      <c r="F15" s="57">
        <f>IFERROR(HistoricalFS!F36,0)</f>
        <v>2.3368508945689228E-2</v>
      </c>
      <c r="G15" s="57">
        <f>IFERROR(HistoricalFS!G36,0)</f>
        <v>-9.5826499709874516E-2</v>
      </c>
      <c r="H15" s="57">
        <f>IFERROR(HistoricalFS!H36,0)</f>
        <v>-4.2039741604456643E-2</v>
      </c>
      <c r="I15" s="57">
        <f>IFERROR(HistoricalFS!I36,0)</f>
        <v>-5.210734012624367E-2</v>
      </c>
      <c r="J15" s="57">
        <f>IFERROR(HistoricalFS!J36,0)</f>
        <v>-4.0346755053857764E-2</v>
      </c>
      <c r="K15" s="57">
        <f>IFERROR(HistoricalFS!K36,0)</f>
        <v>7.7749329654214225E-3</v>
      </c>
      <c r="L15" s="51">
        <f>IFERROR(HistoricalFS!L36,0)</f>
        <v>7.2630128023167026E-2</v>
      </c>
      <c r="M15" s="70"/>
      <c r="N15" s="71">
        <f t="shared" si="2"/>
        <v>-9.981894922302711E-4</v>
      </c>
      <c r="O15" s="71">
        <f t="shared" si="3"/>
        <v>1.5129083834264236E-2</v>
      </c>
    </row>
    <row r="16" spans="2:15" x14ac:dyDescent="0.25">
      <c r="C16" s="26"/>
      <c r="D16" s="26"/>
      <c r="E16" s="26"/>
      <c r="F16" s="26"/>
      <c r="G16" s="26"/>
      <c r="H16" s="26"/>
      <c r="I16" s="26"/>
      <c r="J16" s="26"/>
      <c r="K16" s="26"/>
      <c r="L16" s="26"/>
      <c r="N16" s="48"/>
      <c r="O16" s="48"/>
    </row>
    <row r="17" spans="2:15" x14ac:dyDescent="0.25">
      <c r="B17" s="52" t="s">
        <v>169</v>
      </c>
      <c r="C17" s="59">
        <f>IFERROR(HistoricalFS!C16,0)</f>
        <v>8.0040779911823637E-2</v>
      </c>
      <c r="D17" s="59">
        <f>IFERROR(HistoricalFS!D16,0)</f>
        <v>0.10672678849247161</v>
      </c>
      <c r="E17" s="59">
        <f>IFERROR(HistoricalFS!E16,0)</f>
        <v>0.12847809529452636</v>
      </c>
      <c r="F17" s="59">
        <f>IFERROR(HistoricalFS!F16,0)</f>
        <v>0.10860201636437025</v>
      </c>
      <c r="G17" s="59">
        <f>IFERROR(HistoricalFS!G16,0)</f>
        <v>0.11402504616835751</v>
      </c>
      <c r="H17" s="59">
        <f>IFERROR(HistoricalFS!H16,0)</f>
        <v>0.12527323822987554</v>
      </c>
      <c r="I17" s="59">
        <f>IFERROR(HistoricalFS!I16,0)</f>
        <v>8.8798023177028354E-2</v>
      </c>
      <c r="J17" s="59">
        <f>IFERROR(HistoricalFS!J16,0)</f>
        <v>0.10929475436519734</v>
      </c>
      <c r="K17" s="59">
        <f>IFERROR(HistoricalFS!K16,0)</f>
        <v>0.11488822184383672</v>
      </c>
      <c r="L17" s="72">
        <f>IFERROR(HistoricalFS!L16,0)</f>
        <v>0.10010244383451636</v>
      </c>
      <c r="M17" s="68"/>
      <c r="N17" s="69">
        <f t="shared" si="2"/>
        <v>0.10762294076820036</v>
      </c>
      <c r="O17" s="69">
        <f t="shared" si="3"/>
        <v>0.1089483853647838</v>
      </c>
    </row>
    <row r="18" spans="2:15" x14ac:dyDescent="0.25">
      <c r="B18" t="s">
        <v>170</v>
      </c>
      <c r="C18" s="60">
        <f>IFERROR(HistoricalFS!C27,0)</f>
        <v>5.0876584184966822E-2</v>
      </c>
      <c r="D18" s="60">
        <f>IFERROR(HistoricalFS!D27,0)</f>
        <v>6.1201425695927715E-2</v>
      </c>
      <c r="E18" s="60">
        <f>IFERROR(HistoricalFS!E27,0)</f>
        <v>6.63903865924938E-2</v>
      </c>
      <c r="F18" s="60">
        <f>IFERROR(HistoricalFS!F27,0)</f>
        <v>7.3927472182518786E-2</v>
      </c>
      <c r="G18" s="60">
        <f>IFERROR(HistoricalFS!G27,0)</f>
        <v>7.8130605447998658E-2</v>
      </c>
      <c r="H18" s="60">
        <f>IFERROR(HistoricalFS!H27,0)</f>
        <v>8.206839774331566E-2</v>
      </c>
      <c r="I18" s="60">
        <f>IFERROR(HistoricalFS!I27,0)</f>
        <v>9.4264230933596482E-2</v>
      </c>
      <c r="J18" s="60">
        <f>IFERROR(HistoricalFS!J27,0)</f>
        <v>8.9191478279219347E-2</v>
      </c>
      <c r="K18" s="60">
        <f>IFERROR(HistoricalFS!K27,0)</f>
        <v>7.1857611147098821E-2</v>
      </c>
      <c r="L18" s="60">
        <f>IFERROR(HistoricalFS!L27,0)</f>
        <v>6.2270839777984394E-2</v>
      </c>
      <c r="N18" s="58">
        <f t="shared" si="2"/>
        <v>7.3017903198512063E-2</v>
      </c>
      <c r="O18" s="58">
        <f t="shared" si="3"/>
        <v>7.2892541664808796E-2</v>
      </c>
    </row>
    <row r="19" spans="2:15" x14ac:dyDescent="0.25">
      <c r="B19" s="55" t="s">
        <v>171</v>
      </c>
      <c r="C19" s="61">
        <f>C13</f>
        <v>0.10094297371117635</v>
      </c>
      <c r="D19" s="61">
        <f t="shared" ref="D19:L19" si="4">D13</f>
        <v>6.9639833053526487E-2</v>
      </c>
      <c r="E19" s="61">
        <f t="shared" si="4"/>
        <v>5.0252786033991241E-2</v>
      </c>
      <c r="F19" s="61">
        <f t="shared" si="4"/>
        <v>5.4319306900129233E-2</v>
      </c>
      <c r="G19" s="61">
        <f t="shared" si="4"/>
        <v>-8.4827070687265929E-2</v>
      </c>
      <c r="H19" s="61">
        <f t="shared" si="4"/>
        <v>-1.2780771229806696E-2</v>
      </c>
      <c r="I19" s="61">
        <f t="shared" si="4"/>
        <v>-9.5162528435846147E-3</v>
      </c>
      <c r="J19" s="61">
        <f t="shared" si="4"/>
        <v>8.2902495575385773E-3</v>
      </c>
      <c r="K19" s="61">
        <f t="shared" si="4"/>
        <v>3.9366214641819594E-2</v>
      </c>
      <c r="L19" s="73">
        <f t="shared" si="4"/>
        <v>8.6637278106387355E-2</v>
      </c>
      <c r="M19" s="70"/>
      <c r="N19" s="71">
        <f t="shared" si="2"/>
        <v>3.0232454724391167E-2</v>
      </c>
      <c r="O19" s="71">
        <f t="shared" si="3"/>
        <v>4.4809500337905414E-2</v>
      </c>
    </row>
    <row r="20" spans="2:15" x14ac:dyDescent="0.25">
      <c r="C20" s="26"/>
      <c r="D20" s="26"/>
      <c r="E20" s="26"/>
      <c r="F20" s="26"/>
      <c r="G20" s="26"/>
      <c r="H20" s="26"/>
      <c r="I20" s="26"/>
      <c r="J20" s="26"/>
      <c r="K20" s="26"/>
      <c r="L20" s="26"/>
      <c r="N20" s="48"/>
      <c r="O20" s="48"/>
    </row>
    <row r="21" spans="2:15" x14ac:dyDescent="0.25">
      <c r="B21" s="52" t="s">
        <v>172</v>
      </c>
      <c r="C21" s="54">
        <f>IFERROR((HistoricalFS!C18-HistoricalFS!C23)/SUM(HistoricalFS!C49:C51),0)</f>
        <v>0.26469968848632924</v>
      </c>
      <c r="D21" s="54">
        <f>IFERROR((HistoricalFS!D18-HistoricalFS!D23)/SUM(HistoricalFS!D49:D51),0)</f>
        <v>0.22591621993499242</v>
      </c>
      <c r="E21" s="54">
        <f>IFERROR((HistoricalFS!E18-HistoricalFS!E23)/SUM(HistoricalFS!E49:E51),0)</f>
        <v>0.18549386178129218</v>
      </c>
      <c r="F21" s="54">
        <f>IFERROR((HistoricalFS!F18-HistoricalFS!F23)/SUM(HistoricalFS!F49:F51),0)</f>
        <v>0.14522250385321744</v>
      </c>
      <c r="G21" s="54">
        <f>IFERROR((HistoricalFS!G18-HistoricalFS!G23)/SUM(HistoricalFS!G49:G51),0)</f>
        <v>0.11364696801837533</v>
      </c>
      <c r="H21" s="54">
        <f>IFERROR((HistoricalFS!H18-HistoricalFS!H23)/SUM(HistoricalFS!H49:H51),0)</f>
        <v>5.7453563707164146E-2</v>
      </c>
      <c r="I21" s="54">
        <f>IFERROR((HistoricalFS!I18-HistoricalFS!I23)/SUM(HistoricalFS!I49:I51),0)</f>
        <v>0.12255847671229039</v>
      </c>
      <c r="J21" s="54">
        <f>IFERROR((HistoricalFS!J18-HistoricalFS!J23)/SUM(HistoricalFS!J49:J51),0)</f>
        <v>8.0667023820237604E-2</v>
      </c>
      <c r="K21" s="54">
        <f>IFERROR((HistoricalFS!K18-HistoricalFS!K23)/SUM(HistoricalFS!K49:K51),0)</f>
        <v>0.12032375136142419</v>
      </c>
      <c r="L21" s="49">
        <f>IFERROR((HistoricalFS!L18-HistoricalFS!L23)/SUM(HistoricalFS!L49:L51),0)</f>
        <v>0.25784392715765381</v>
      </c>
      <c r="M21" s="68"/>
      <c r="N21" s="69">
        <f t="shared" si="2"/>
        <v>0.15738259848329766</v>
      </c>
      <c r="O21" s="69">
        <f t="shared" si="3"/>
        <v>0.1338904902827539</v>
      </c>
    </row>
    <row r="22" spans="2:15" x14ac:dyDescent="0.25">
      <c r="B22" t="s">
        <v>173</v>
      </c>
      <c r="C22" s="50">
        <f>HistoricalFS!C46</f>
        <v>1</v>
      </c>
      <c r="D22" s="50">
        <f>HistoricalFS!D46</f>
        <v>0.99388147795818649</v>
      </c>
      <c r="E22" s="50">
        <f>HistoricalFS!E46</f>
        <v>1</v>
      </c>
      <c r="F22" s="50">
        <f>HistoricalFS!F46</f>
        <v>1</v>
      </c>
      <c r="G22" s="50">
        <f>HistoricalFS!G46</f>
        <v>0</v>
      </c>
      <c r="H22" s="50">
        <f>HistoricalFS!H46</f>
        <v>0</v>
      </c>
      <c r="I22" s="50">
        <f>HistoricalFS!I46</f>
        <v>0</v>
      </c>
      <c r="J22" s="50">
        <f>HistoricalFS!J46</f>
        <v>0</v>
      </c>
      <c r="K22" s="50">
        <f>HistoricalFS!K46</f>
        <v>0.71522043816243519</v>
      </c>
      <c r="L22" s="50">
        <f>HistoricalFS!L46</f>
        <v>0.85299818434766228</v>
      </c>
      <c r="N22" s="58">
        <f t="shared" si="2"/>
        <v>0.55621001004682835</v>
      </c>
      <c r="O22" s="58">
        <f t="shared" si="3"/>
        <v>0.78410931125504879</v>
      </c>
    </row>
    <row r="23" spans="2:15" x14ac:dyDescent="0.25">
      <c r="B23" t="s">
        <v>174</v>
      </c>
      <c r="C23" s="50">
        <f>IFERROR(HistoricalFS!C35/SUM(HistoricalFS!C49:C50),0)</f>
        <v>0.24989637751431129</v>
      </c>
      <c r="D23" s="50">
        <f>IFERROR(HistoricalFS!D35/SUM(HistoricalFS!D49:D50),0)</f>
        <v>0.1406001412749778</v>
      </c>
      <c r="E23" s="50">
        <f>IFERROR(HistoricalFS!E35/SUM(HistoricalFS!E49:E50),0)</f>
        <v>0.10443270103677378</v>
      </c>
      <c r="F23" s="50">
        <f>IFERROR(HistoricalFS!F35/SUM(HistoricalFS!F49:F50),0)</f>
        <v>7.1395255329389354E-2</v>
      </c>
      <c r="G23" s="50">
        <f>IFERROR(HistoricalFS!G35/SUM(HistoricalFS!G49:G50),0)</f>
        <v>-0.48078949065097815</v>
      </c>
      <c r="H23" s="50">
        <f>IFERROR(HistoricalFS!H35/SUM(HistoricalFS!H49:H50),0)</f>
        <v>-0.17641935843209861</v>
      </c>
      <c r="I23" s="50">
        <f>IFERROR(HistoricalFS!I35/SUM(HistoricalFS!I49:I50),0)</f>
        <v>-0.23560023110874287</v>
      </c>
      <c r="J23" s="50">
        <f>IFERROR(HistoricalFS!J35/SUM(HistoricalFS!J49:J50),0)</f>
        <v>-0.25211820855972567</v>
      </c>
      <c r="K23" s="50">
        <f>IFERROR(HistoricalFS!K35/SUM(HistoricalFS!K49:K50),0)</f>
        <v>5.9350480199479416E-2</v>
      </c>
      <c r="L23" s="50">
        <f>IFERROR(HistoricalFS!L35/SUM(HistoricalFS!L49:L50),0)</f>
        <v>0.37455830929642547</v>
      </c>
      <c r="N23" s="58">
        <f t="shared" si="2"/>
        <v>-1.4469402410018812E-2</v>
      </c>
      <c r="O23" s="58">
        <f t="shared" si="3"/>
        <v>6.5372867764434378E-2</v>
      </c>
    </row>
    <row r="24" spans="2:15" x14ac:dyDescent="0.25">
      <c r="B24" t="s">
        <v>175</v>
      </c>
      <c r="C24" s="50">
        <f>IFERROR(C23*C22,0)</f>
        <v>0.24989637751431129</v>
      </c>
      <c r="D24" s="50">
        <f t="shared" ref="D24:L24" si="5">D23*D22</f>
        <v>0.13973987621150474</v>
      </c>
      <c r="E24" s="50">
        <f t="shared" si="5"/>
        <v>0.10443270103677378</v>
      </c>
      <c r="F24" s="50">
        <f t="shared" si="5"/>
        <v>7.1395255329389354E-2</v>
      </c>
      <c r="G24" s="50">
        <f t="shared" si="5"/>
        <v>0</v>
      </c>
      <c r="H24" s="50">
        <f t="shared" si="5"/>
        <v>0</v>
      </c>
      <c r="I24" s="50">
        <f t="shared" si="5"/>
        <v>0</v>
      </c>
      <c r="J24" s="50">
        <f t="shared" si="5"/>
        <v>0</v>
      </c>
      <c r="K24" s="50">
        <f t="shared" si="5"/>
        <v>4.2448676453422603E-2</v>
      </c>
      <c r="L24" s="50">
        <f t="shared" si="5"/>
        <v>0.31949755776218103</v>
      </c>
      <c r="N24" s="58">
        <f t="shared" si="2"/>
        <v>9.2741044430758285E-2</v>
      </c>
      <c r="O24" s="58">
        <f t="shared" si="3"/>
        <v>5.6921965891405982E-2</v>
      </c>
    </row>
    <row r="25" spans="2:15" x14ac:dyDescent="0.25">
      <c r="B25" s="55" t="s">
        <v>176</v>
      </c>
      <c r="C25" s="62">
        <f>IFERROR((HistoricalFS!C18-HistoricalFS!C26)/HistoricalFS!C23,0)</f>
        <v>5.3173039541375138</v>
      </c>
      <c r="D25" s="62">
        <f>IFERROR((HistoricalFS!D18-HistoricalFS!D26)/HistoricalFS!D23,0)</f>
        <v>4.4352863933500721</v>
      </c>
      <c r="E25" s="62">
        <f>IFERROR((HistoricalFS!E18-HistoricalFS!E26)/HistoricalFS!E23,0)</f>
        <v>2.7568835373205922</v>
      </c>
      <c r="F25" s="62">
        <f>IFERROR((HistoricalFS!F18-HistoricalFS!F26)/HistoricalFS!F23,0)</f>
        <v>2.1154494328024094</v>
      </c>
      <c r="G25" s="62">
        <f>IFERROR((HistoricalFS!G18-HistoricalFS!G26)/HistoricalFS!G23,0)</f>
        <v>0.18645156808947008</v>
      </c>
      <c r="H25" s="62">
        <f>IFERROR((HistoricalFS!H18-HistoricalFS!H26)/HistoricalFS!H23,0)</f>
        <v>-0.47469326953211261</v>
      </c>
      <c r="I25" s="62">
        <f>IFERROR((HistoricalFS!I18-HistoricalFS!I26)/HistoricalFS!I23,0)</f>
        <v>1.079478385658198</v>
      </c>
      <c r="J25" s="62">
        <f>IFERROR((HistoricalFS!J18-HistoricalFS!J26)/HistoricalFS!J23,0)</f>
        <v>-1.2414275987824557E-2</v>
      </c>
      <c r="K25" s="62">
        <f>IFERROR((HistoricalFS!K18-HistoricalFS!K26)/HistoricalFS!K23,0)</f>
        <v>0.68020669934320532</v>
      </c>
      <c r="L25" s="74">
        <f>IFERROR((HistoricalFS!L18-HistoricalFS!L26)/HistoricalFS!L23,0)</f>
        <v>3.231422545705088</v>
      </c>
      <c r="M25" s="70"/>
      <c r="N25" s="74">
        <f t="shared" si="2"/>
        <v>1.9315374970886612</v>
      </c>
      <c r="O25" s="74">
        <f t="shared" si="3"/>
        <v>1.5974639092303038</v>
      </c>
    </row>
    <row r="26" spans="2:15" x14ac:dyDescent="0.25">
      <c r="C26" s="26"/>
      <c r="D26" s="26"/>
      <c r="E26" s="26"/>
      <c r="F26" s="26"/>
      <c r="G26" s="26"/>
      <c r="H26" s="26"/>
      <c r="I26" s="26"/>
      <c r="J26" s="26"/>
      <c r="K26" s="26"/>
      <c r="L26" s="26"/>
      <c r="N26" s="48"/>
      <c r="O26" s="48"/>
    </row>
    <row r="27" spans="2:15" x14ac:dyDescent="0.25">
      <c r="B27" s="52" t="s">
        <v>177</v>
      </c>
      <c r="C27" s="63">
        <f>IFERROR(HistoricalFS!C6/HistoricalFS!C61,0)</f>
        <v>20.92016821419486</v>
      </c>
      <c r="D27" s="63">
        <f>IFERROR(HistoricalFS!D6/HistoricalFS!D61,0)</f>
        <v>20.119918266350599</v>
      </c>
      <c r="E27" s="63">
        <f>IFERROR(HistoricalFS!E6/HistoricalFS!E61,0)</f>
        <v>19.160353236640844</v>
      </c>
      <c r="F27" s="63">
        <f>IFERROR(HistoricalFS!F6/HistoricalFS!F61,0)</f>
        <v>14.655712224718874</v>
      </c>
      <c r="G27" s="63">
        <f>IFERROR(HistoricalFS!G6/HistoricalFS!G61,0)</f>
        <v>15.894698773489607</v>
      </c>
      <c r="H27" s="63">
        <f>IFERROR(HistoricalFS!H6/HistoricalFS!H61,0)</f>
        <v>23.366617170976728</v>
      </c>
      <c r="I27" s="63">
        <f>IFERROR(HistoricalFS!I6/HistoricalFS!I61,0)</f>
        <v>19.701330853658153</v>
      </c>
      <c r="J27" s="63">
        <f>IFERROR(HistoricalFS!J6/HistoricalFS!J61,0)</f>
        <v>22.379917570317598</v>
      </c>
      <c r="K27" s="63">
        <f>IFERROR(HistoricalFS!K6/HistoricalFS!K61,0)</f>
        <v>21.982947610142858</v>
      </c>
      <c r="L27" s="75">
        <f>IFERROR(HistoricalFS!L6/HistoricalFS!L61,0)</f>
        <v>25.833687966063799</v>
      </c>
      <c r="M27" s="68"/>
      <c r="N27" s="75">
        <f t="shared" si="2"/>
        <v>20.401535188655391</v>
      </c>
      <c r="O27" s="75">
        <f t="shared" si="3"/>
        <v>20.520043240272727</v>
      </c>
    </row>
    <row r="28" spans="2:15" x14ac:dyDescent="0.25">
      <c r="B28" t="s">
        <v>178</v>
      </c>
      <c r="C28" s="64">
        <f>IFERROR(HistoricalFS!C6/HistoricalFS!C52,0)</f>
        <v>2.4493010585757142</v>
      </c>
      <c r="D28" s="64">
        <f>IFERROR(HistoricalFS!D6/HistoricalFS!D52,0)</f>
        <v>2.3769603927858673</v>
      </c>
      <c r="E28" s="64">
        <f>IFERROR(HistoricalFS!E6/HistoricalFS!E52,0)</f>
        <v>1.9842807783040648</v>
      </c>
      <c r="F28" s="64">
        <f>IFERROR(HistoricalFS!F6/HistoricalFS!F52,0)</f>
        <v>2.0414780318629697</v>
      </c>
      <c r="G28" s="64">
        <f>IFERROR(HistoricalFS!G6/HistoricalFS!G52,0)</f>
        <v>2.1667847518227492</v>
      </c>
      <c r="H28" s="64">
        <f>IFERROR(HistoricalFS!H6/HistoricalFS!H52,0)</f>
        <v>1.9602534811345065</v>
      </c>
      <c r="I28" s="64">
        <f>IFERROR(HistoricalFS!I6/HistoricalFS!I52,0)</f>
        <v>1.7323684804395676</v>
      </c>
      <c r="J28" s="64">
        <f>IFERROR(HistoricalFS!J6/HistoricalFS!J52,0)</f>
        <v>2.0170312149360217</v>
      </c>
      <c r="K28" s="64">
        <f>IFERROR(HistoricalFS!K6/HistoricalFS!K52,0)</f>
        <v>2.2286057258733614</v>
      </c>
      <c r="L28" s="64">
        <f>IFERROR(HistoricalFS!L6/HistoricalFS!L52,0)</f>
        <v>2.4694234112546125</v>
      </c>
      <c r="N28" s="64">
        <f t="shared" si="2"/>
        <v>2.1426487326989436</v>
      </c>
      <c r="O28" s="64">
        <f t="shared" si="3"/>
        <v>2.1041313918428592</v>
      </c>
    </row>
    <row r="29" spans="2:15" x14ac:dyDescent="0.25">
      <c r="B29" t="s">
        <v>47</v>
      </c>
      <c r="C29" s="64">
        <f>IFERROR(HistoricalFS!C6/HistoricalFS!C62,0)</f>
        <v>8.9900219797938927</v>
      </c>
      <c r="D29" s="64">
        <f>IFERROR(HistoricalFS!D6/HistoricalFS!D62,0)</f>
        <v>8.3613381173839922</v>
      </c>
      <c r="E29" s="64">
        <f>IFERROR(HistoricalFS!E6/HistoricalFS!E62,0)</f>
        <v>7.6867643466738649</v>
      </c>
      <c r="F29" s="64">
        <f>IFERROR(HistoricalFS!F6/HistoricalFS!F62,0)</f>
        <v>6.9190051742350009</v>
      </c>
      <c r="G29" s="64">
        <f>IFERROR(HistoricalFS!G6/HistoricalFS!G62,0)</f>
        <v>7.7392856309817084</v>
      </c>
      <c r="H29" s="64">
        <f>IFERROR(HistoricalFS!H6/HistoricalFS!H62,0)</f>
        <v>6.9698269049637886</v>
      </c>
      <c r="I29" s="64">
        <f>IFERROR(HistoricalFS!I6/HistoricalFS!I62,0)</f>
        <v>6.9217098811563442</v>
      </c>
      <c r="J29" s="64">
        <f>IFERROR(HistoricalFS!J6/HistoricalFS!J62,0)</f>
        <v>7.9015588385356104</v>
      </c>
      <c r="K29" s="64">
        <f>IFERROR(HistoricalFS!K6/HistoricalFS!K62,0)</f>
        <v>8.4888641723217457</v>
      </c>
      <c r="L29" s="64">
        <f>IFERROR(HistoricalFS!L6/HistoricalFS!L62,0)</f>
        <v>9.1639137956181322</v>
      </c>
      <c r="N29" s="64">
        <f t="shared" si="2"/>
        <v>7.9142288841664072</v>
      </c>
      <c r="O29" s="64">
        <f t="shared" si="3"/>
        <v>7.8204222347586594</v>
      </c>
    </row>
    <row r="30" spans="2:15" x14ac:dyDescent="0.25">
      <c r="B30" t="s">
        <v>179</v>
      </c>
      <c r="C30" s="64">
        <f>IFERROR(HistoricalFS!C6/HistoricalFS!C55,0)</f>
        <v>2.9742370802544178</v>
      </c>
      <c r="D30" s="64">
        <f>IFERROR(HistoricalFS!D6/HistoricalFS!D55,0)</f>
        <v>2.546312771514708</v>
      </c>
      <c r="E30" s="64">
        <f>IFERROR(HistoricalFS!E6/HistoricalFS!E55,0)</f>
        <v>2.8109343484246239</v>
      </c>
      <c r="F30" s="64">
        <f>IFERROR(HistoricalFS!F6/HistoricalFS!F55,0)</f>
        <v>2.4012948768781421</v>
      </c>
      <c r="G30" s="64">
        <f>IFERROR(HistoricalFS!G6/HistoricalFS!G55,0)</f>
        <v>2.7144319562092578</v>
      </c>
      <c r="H30" s="64">
        <f>IFERROR(HistoricalFS!H6/HistoricalFS!H55,0)</f>
        <v>2.0539205744067566</v>
      </c>
      <c r="I30" s="64">
        <f>IFERROR(HistoricalFS!I6/HistoricalFS!I55,0)</f>
        <v>1.8008727134726064</v>
      </c>
      <c r="J30" s="64">
        <f>IFERROR(HistoricalFS!J6/HistoricalFS!J55,0)</f>
        <v>2.0053488717943728</v>
      </c>
      <c r="K30" s="64">
        <f>IFERROR(HistoricalFS!K6/HistoricalFS!K55,0)</f>
        <v>2.6193791539294131</v>
      </c>
      <c r="L30" s="64">
        <f>IFERROR(HistoricalFS!L6/HistoricalFS!L55,0)</f>
        <v>3.6107194547475023</v>
      </c>
      <c r="N30" s="64">
        <f t="shared" si="2"/>
        <v>2.5537451801631801</v>
      </c>
      <c r="O30" s="64">
        <f t="shared" si="3"/>
        <v>2.5828459627220606</v>
      </c>
    </row>
    <row r="31" spans="2:15" x14ac:dyDescent="0.25">
      <c r="B31" s="55" t="s">
        <v>180</v>
      </c>
      <c r="C31" s="62">
        <f>IFERROR(HistoricalFS!C6/SUM(HistoricalFS!C49:C50),0)</f>
        <v>4.6773906756114965</v>
      </c>
      <c r="D31" s="62">
        <f>IFERROR(HistoricalFS!D6/SUM(HistoricalFS!D49:D50),0)</f>
        <v>3.4583567493379874</v>
      </c>
      <c r="E31" s="62">
        <f>IFERROR(HistoricalFS!E6/SUM(HistoricalFS!E49:E50),0)</f>
        <v>4.6449144180459854</v>
      </c>
      <c r="F31" s="62">
        <f>IFERROR(HistoricalFS!F6/SUM(HistoricalFS!F49:F50),0)</f>
        <v>3.0551908765475422</v>
      </c>
      <c r="G31" s="62">
        <f>IFERROR(HistoricalFS!G6/SUM(HistoricalFS!G49:G50),0)</f>
        <v>5.0172915853821474</v>
      </c>
      <c r="H31" s="62">
        <f>IFERROR(HistoricalFS!H6/SUM(HistoricalFS!H49:H50),0)</f>
        <v>4.196490075795241</v>
      </c>
      <c r="I31" s="62">
        <f>IFERROR(HistoricalFS!I6/SUM(HistoricalFS!I49:I50),0)</f>
        <v>4.5214403678625628</v>
      </c>
      <c r="J31" s="62">
        <f>IFERROR(HistoricalFS!J6/SUM(HistoricalFS!J49:J50),0)</f>
        <v>6.2487852671963351</v>
      </c>
      <c r="K31" s="62">
        <f>IFERROR(HistoricalFS!K6/SUM(HistoricalFS!K49:K50),0)</f>
        <v>7.6335680916398054</v>
      </c>
      <c r="L31" s="74">
        <f>IFERROR(HistoricalFS!L6/SUM(HistoricalFS!L49:L50),0)</f>
        <v>5.1570652495194773</v>
      </c>
      <c r="M31" s="70"/>
      <c r="N31" s="74">
        <f t="shared" si="2"/>
        <v>4.861049335693858</v>
      </c>
      <c r="O31" s="74">
        <f t="shared" si="3"/>
        <v>4.6611525468287409</v>
      </c>
    </row>
    <row r="32" spans="2:15" x14ac:dyDescent="0.25">
      <c r="C32" s="26"/>
      <c r="D32" s="26"/>
      <c r="E32" s="26"/>
      <c r="F32" s="26"/>
      <c r="G32" s="26"/>
      <c r="H32" s="26"/>
      <c r="I32" s="26"/>
      <c r="J32" s="26"/>
      <c r="K32" s="26"/>
      <c r="L32" s="26"/>
      <c r="N32" s="48"/>
      <c r="O32" s="48"/>
    </row>
    <row r="33" spans="2:15" x14ac:dyDescent="0.25">
      <c r="B33" s="52" t="s">
        <v>46</v>
      </c>
      <c r="C33" s="65">
        <f>IFERROR(365/C27,0)</f>
        <v>17.447278447423685</v>
      </c>
      <c r="D33" s="65">
        <f t="shared" ref="D33:L33" si="6">IFERROR(365/D27,0)</f>
        <v>18.141226776772818</v>
      </c>
      <c r="E33" s="65">
        <f t="shared" si="6"/>
        <v>19.049753180019717</v>
      </c>
      <c r="F33" s="65">
        <f t="shared" si="6"/>
        <v>24.904964999543136</v>
      </c>
      <c r="G33" s="65">
        <f t="shared" si="6"/>
        <v>22.963631157878556</v>
      </c>
      <c r="H33" s="65">
        <f t="shared" si="6"/>
        <v>15.620575170519771</v>
      </c>
      <c r="I33" s="65">
        <f t="shared" si="6"/>
        <v>18.52666719376608</v>
      </c>
      <c r="J33" s="65">
        <f t="shared" si="6"/>
        <v>16.309264717046954</v>
      </c>
      <c r="K33" s="65">
        <f t="shared" si="6"/>
        <v>16.603778823163378</v>
      </c>
      <c r="L33" s="76">
        <f t="shared" si="6"/>
        <v>14.128838301348189</v>
      </c>
      <c r="M33" s="68"/>
      <c r="N33" s="76">
        <f t="shared" si="2"/>
        <v>18.369597876748227</v>
      </c>
      <c r="O33" s="76">
        <f t="shared" si="3"/>
        <v>17.794252612098251</v>
      </c>
    </row>
    <row r="34" spans="2:15" x14ac:dyDescent="0.25">
      <c r="B34" t="s">
        <v>181</v>
      </c>
      <c r="C34" s="66">
        <f>IFERROR(365/C28,0)</f>
        <v>149.02210519283818</v>
      </c>
      <c r="D34" s="66">
        <f t="shared" ref="D34:L34" si="7">IFERROR(365/D28,0)</f>
        <v>153.55745981623585</v>
      </c>
      <c r="E34" s="66">
        <f t="shared" si="7"/>
        <v>183.94574194885871</v>
      </c>
      <c r="F34" s="66">
        <f t="shared" si="7"/>
        <v>178.79202925682029</v>
      </c>
      <c r="G34" s="66">
        <f t="shared" si="7"/>
        <v>168.45235766633192</v>
      </c>
      <c r="H34" s="66">
        <f t="shared" si="7"/>
        <v>186.20040903524091</v>
      </c>
      <c r="I34" s="66">
        <f t="shared" si="7"/>
        <v>210.69420514242194</v>
      </c>
      <c r="J34" s="66">
        <f t="shared" si="7"/>
        <v>180.95902398395825</v>
      </c>
      <c r="K34" s="66">
        <f t="shared" si="7"/>
        <v>163.77953074537726</v>
      </c>
      <c r="L34" s="66">
        <f t="shared" si="7"/>
        <v>147.8077831191203</v>
      </c>
      <c r="N34" s="66">
        <f t="shared" si="2"/>
        <v>172.32106459072037</v>
      </c>
      <c r="O34" s="66">
        <f t="shared" si="3"/>
        <v>173.6221934615761</v>
      </c>
    </row>
    <row r="35" spans="2:15" x14ac:dyDescent="0.25">
      <c r="B35" t="s">
        <v>182</v>
      </c>
      <c r="C35" s="66">
        <f>IFERROR(365/C29,0)</f>
        <v>40.600568143256986</v>
      </c>
      <c r="D35" s="66">
        <f t="shared" ref="D35:L35" si="8">IFERROR(365/D29,0)</f>
        <v>43.653299851746382</v>
      </c>
      <c r="E35" s="66">
        <f t="shared" si="8"/>
        <v>47.484218786795374</v>
      </c>
      <c r="F35" s="66">
        <f t="shared" si="8"/>
        <v>52.753248596949661</v>
      </c>
      <c r="G35" s="66">
        <f t="shared" si="8"/>
        <v>47.161975588398164</v>
      </c>
      <c r="H35" s="66">
        <f t="shared" si="8"/>
        <v>52.368588915752468</v>
      </c>
      <c r="I35" s="66">
        <f t="shared" si="8"/>
        <v>52.732634893247351</v>
      </c>
      <c r="J35" s="66">
        <f t="shared" si="8"/>
        <v>46.193416698982041</v>
      </c>
      <c r="K35" s="66">
        <f t="shared" si="8"/>
        <v>42.997507392107408</v>
      </c>
      <c r="L35" s="66">
        <f t="shared" si="8"/>
        <v>39.830143336194453</v>
      </c>
      <c r="N35" s="66">
        <f t="shared" si="2"/>
        <v>46.577560220343024</v>
      </c>
      <c r="O35" s="66">
        <f t="shared" si="3"/>
        <v>46.677696143690099</v>
      </c>
    </row>
    <row r="36" spans="2:15" x14ac:dyDescent="0.25">
      <c r="B36" s="55" t="s">
        <v>183</v>
      </c>
      <c r="C36" s="67">
        <f>SUM(C35+C33)-C34</f>
        <v>-90.974258602157505</v>
      </c>
      <c r="D36" s="67">
        <f t="shared" ref="D36:L36" si="9">SUM(D35+D33)-D34</f>
        <v>-91.762933187716641</v>
      </c>
      <c r="E36" s="67">
        <f t="shared" si="9"/>
        <v>-117.41176998204362</v>
      </c>
      <c r="F36" s="67">
        <f t="shared" si="9"/>
        <v>-101.13381566032749</v>
      </c>
      <c r="G36" s="67">
        <f t="shared" si="9"/>
        <v>-98.326750920055204</v>
      </c>
      <c r="H36" s="67">
        <f t="shared" si="9"/>
        <v>-118.21124494896867</v>
      </c>
      <c r="I36" s="67">
        <f t="shared" si="9"/>
        <v>-139.43490305540851</v>
      </c>
      <c r="J36" s="67">
        <f t="shared" si="9"/>
        <v>-118.45634256792925</v>
      </c>
      <c r="K36" s="67">
        <f t="shared" si="9"/>
        <v>-104.17824453010647</v>
      </c>
      <c r="L36" s="77">
        <f t="shared" si="9"/>
        <v>-93.848801481577652</v>
      </c>
      <c r="M36" s="70"/>
      <c r="N36" s="77">
        <f t="shared" si="2"/>
        <v>-107.37390649362911</v>
      </c>
      <c r="O36" s="77">
        <f t="shared" si="3"/>
        <v>-102.65603009521698</v>
      </c>
    </row>
    <row r="37" spans="2:15" x14ac:dyDescent="0.25">
      <c r="C37" s="26"/>
      <c r="D37" s="26"/>
      <c r="E37" s="26"/>
      <c r="F37" s="26"/>
      <c r="G37" s="26"/>
      <c r="H37" s="26"/>
      <c r="I37" s="26"/>
      <c r="J37" s="26"/>
      <c r="K37" s="26"/>
      <c r="L37" s="26"/>
      <c r="N37" s="48"/>
      <c r="O37" s="48"/>
    </row>
    <row r="38" spans="2:15" x14ac:dyDescent="0.25">
      <c r="B38" s="52" t="s">
        <v>184</v>
      </c>
      <c r="C38" s="54">
        <f>IFERROR(HistoricalFS!C80/HistoricalFS!C6,0)</f>
        <v>0.12106750071762705</v>
      </c>
      <c r="D38" s="54">
        <f>IFERROR(HistoricalFS!D80/HistoricalFS!D6,0)</f>
        <v>0.14360971207739662</v>
      </c>
      <c r="E38" s="54">
        <f>IFERROR(HistoricalFS!E80/HistoricalFS!E6,0)</f>
        <v>0.12404497255040564</v>
      </c>
      <c r="F38" s="54">
        <f>IFERROR(HistoricalFS!F80/HistoricalFS!F6,0)</f>
        <v>5.9759805574664121E-2</v>
      </c>
      <c r="G38" s="54">
        <f>IFERROR(HistoricalFS!G80/HistoricalFS!G6,0)</f>
        <v>3.8653579670555313E-2</v>
      </c>
      <c r="H38" s="54">
        <f>IFERROR(HistoricalFS!H80/HistoricalFS!H6,0)</f>
        <v>0.12141665635964458</v>
      </c>
      <c r="I38" s="54">
        <f>IFERROR(HistoricalFS!I80/HistoricalFS!I6,0)</f>
        <v>0.11572300859005244</v>
      </c>
      <c r="J38" s="54">
        <f>IFERROR(HistoricalFS!J80/HistoricalFS!J6,0)</f>
        <v>1.2684338598291522E-2</v>
      </c>
      <c r="K38" s="54">
        <f>IFERROR(HistoricalFS!K80/HistoricalFS!K6,0)</f>
        <v>9.3248786148573667E-2</v>
      </c>
      <c r="L38" s="49">
        <f>IFERROR(HistoricalFS!L80/HistoricalFS!L6,0)</f>
        <v>0.17181143821959496</v>
      </c>
      <c r="M38" s="68"/>
      <c r="N38" s="69">
        <f t="shared" si="2"/>
        <v>0.10020197985068061</v>
      </c>
      <c r="O38" s="69">
        <f t="shared" si="3"/>
        <v>0.11839525465383974</v>
      </c>
    </row>
    <row r="39" spans="2:15" x14ac:dyDescent="0.25">
      <c r="B39" t="s">
        <v>185</v>
      </c>
      <c r="C39" s="50">
        <f>IFERROR(HistoricalFS!C80/HistoricalFS!C66,0)</f>
        <v>0.1342520624188657</v>
      </c>
      <c r="D39" s="50">
        <f>IFERROR(HistoricalFS!D80/HistoricalFS!D66,0)</f>
        <v>0.14899075217760099</v>
      </c>
      <c r="E39" s="50">
        <f>IFERROR(HistoricalFS!E80/HistoricalFS!E66,0)</f>
        <v>0.12273077928285075</v>
      </c>
      <c r="F39" s="50">
        <f>IFERROR(HistoricalFS!F80/HistoricalFS!F66,0)</f>
        <v>5.3250110386320486E-2</v>
      </c>
      <c r="G39" s="50">
        <f>IFERROR(HistoricalFS!G80/HistoricalFS!G66,0)</f>
        <v>3.8177516390146542E-2</v>
      </c>
      <c r="H39" s="50">
        <f>IFERROR(HistoricalFS!H80/HistoricalFS!H66,0)</f>
        <v>9.9000750797857404E-2</v>
      </c>
      <c r="I39" s="50">
        <f>IFERROR(HistoricalFS!I80/HistoricalFS!I66,0)</f>
        <v>8.4629819997903213E-2</v>
      </c>
      <c r="J39" s="50">
        <f>IFERROR(HistoricalFS!J80/HistoricalFS!J66,0)</f>
        <v>1.073355621163692E-2</v>
      </c>
      <c r="K39" s="50">
        <f>IFERROR(HistoricalFS!K80/HistoricalFS!K66,0)</f>
        <v>9.639517425935408E-2</v>
      </c>
      <c r="L39" s="50">
        <f>IFERROR(HistoricalFS!L80/HistoricalFS!L66,0)</f>
        <v>0.2036178712738107</v>
      </c>
      <c r="N39" s="58">
        <f t="shared" si="2"/>
        <v>9.9177839319634684E-2</v>
      </c>
      <c r="O39" s="58">
        <f t="shared" si="3"/>
        <v>9.7697962528605742E-2</v>
      </c>
    </row>
    <row r="40" spans="2:15" x14ac:dyDescent="0.25">
      <c r="B40" s="55" t="s">
        <v>186</v>
      </c>
      <c r="C40" s="57">
        <f>IFERROR(HistoricalFS!C80/HistoricalFS!C51,0)</f>
        <v>0.43281933433581865</v>
      </c>
      <c r="D40" s="57">
        <f>IFERROR(HistoricalFS!D80/HistoricalFS!D51,0)</f>
        <v>0.56534057978118779</v>
      </c>
      <c r="E40" s="57">
        <f>IFERROR(HistoricalFS!E80/HistoricalFS!E51,0)</f>
        <v>0.42560185883717339</v>
      </c>
      <c r="F40" s="57">
        <f>IFERROR(HistoricalFS!F80/HistoricalFS!F51,0)</f>
        <v>0.19587305159826587</v>
      </c>
      <c r="G40" s="57">
        <f>IFERROR(HistoricalFS!G80/HistoricalFS!G51,0)</f>
        <v>0.1099219460940742</v>
      </c>
      <c r="H40" s="57">
        <f>IFERROR(HistoricalFS!H80/HistoricalFS!H51,0)</f>
        <v>0.25401554192386361</v>
      </c>
      <c r="I40" s="57">
        <f>IFERROR(HistoricalFS!I80/HistoricalFS!I51,0)</f>
        <v>0.20338341005738594</v>
      </c>
      <c r="J40" s="57">
        <f>IFERROR(HistoricalFS!J80/HistoricalFS!J51,0)</f>
        <v>2.4117605968438302E-2</v>
      </c>
      <c r="K40" s="57">
        <f>IFERROR(HistoricalFS!K80/HistoricalFS!K51,0)</f>
        <v>0.24055008953614193</v>
      </c>
      <c r="L40" s="51">
        <f>IFERROR(HistoricalFS!L80/HistoricalFS!L51,0)</f>
        <v>0.70146602960027971</v>
      </c>
      <c r="M40" s="70"/>
      <c r="N40" s="71">
        <f t="shared" si="2"/>
        <v>0.31530894477326293</v>
      </c>
      <c r="O40" s="71">
        <f t="shared" si="3"/>
        <v>0.24728281573000277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54C1C5CB-1838-4FF7-91BC-527E41873983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EE409410-E5E9-4060-BD3A-DD8104CFAF65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CC25-270A-464D-A32C-2DE087F746EE}">
  <dimension ref="B2:O20"/>
  <sheetViews>
    <sheetView showGridLines="0" zoomScale="120" zoomScaleNormal="120" workbookViewId="0">
      <selection activeCell="R14" sqref="R14"/>
    </sheetView>
  </sheetViews>
  <sheetFormatPr defaultRowHeight="15" x14ac:dyDescent="0.25"/>
  <cols>
    <col min="1" max="1" width="1.85546875" customWidth="1"/>
    <col min="2" max="2" width="12" bestFit="1" customWidth="1"/>
    <col min="3" max="3" width="10.140625" customWidth="1"/>
    <col min="4" max="4" width="12.7109375" customWidth="1"/>
    <col min="5" max="5" width="16.28515625" customWidth="1"/>
    <col min="6" max="6" width="2.7109375" customWidth="1"/>
    <col min="7" max="7" width="14.5703125" customWidth="1"/>
    <col min="8" max="8" width="12.42578125" customWidth="1"/>
    <col min="9" max="9" width="15.28515625" customWidth="1"/>
    <col min="10" max="10" width="15.140625" customWidth="1"/>
    <col min="11" max="11" width="2.7109375" customWidth="1"/>
    <col min="12" max="12" width="14.85546875" customWidth="1"/>
    <col min="13" max="13" width="11.28515625" customWidth="1"/>
    <col min="14" max="14" width="14.85546875" customWidth="1"/>
    <col min="15" max="15" width="17.7109375" customWidth="1"/>
  </cols>
  <sheetData>
    <row r="2" spans="2:15" x14ac:dyDescent="0.25">
      <c r="B2" s="169" t="str">
        <f>'Data Sheet'!$B$1&amp;" - "&amp;'Data Sheet'!A17&amp;" Forecasting"</f>
        <v>TATA MOTORS LTD - Sales Forecasting</v>
      </c>
      <c r="C2" s="169"/>
      <c r="D2" s="169"/>
      <c r="E2" s="169"/>
      <c r="G2" s="169" t="str">
        <f>'Data Sheet'!$B$1&amp;" - "&amp;HistoricalFS!B18&amp;" Forecasting"</f>
        <v>TATA MOTORS LTD - EBIDTA Forecasting</v>
      </c>
      <c r="H2" s="169"/>
      <c r="I2" s="169"/>
      <c r="J2" s="169"/>
      <c r="L2" s="169" t="str">
        <f>'Data Sheet'!$B$1&amp;" - "&amp;HistoricalFS!B40&amp;" Forecasting"</f>
        <v>TATA MOTORS LTD - Earning Per Share Forecasting</v>
      </c>
      <c r="M2" s="169"/>
      <c r="N2" s="169"/>
      <c r="O2" s="169"/>
    </row>
    <row r="3" spans="2:15" x14ac:dyDescent="0.25">
      <c r="B3" s="79" t="s">
        <v>190</v>
      </c>
      <c r="C3" s="80" t="s">
        <v>191</v>
      </c>
      <c r="D3" s="80" t="s">
        <v>6</v>
      </c>
      <c r="E3" s="80" t="str">
        <f>D3&amp;" Growth"</f>
        <v>Sales Growth</v>
      </c>
      <c r="G3" s="79" t="s">
        <v>190</v>
      </c>
      <c r="H3" s="80" t="s">
        <v>191</v>
      </c>
      <c r="I3" s="80" t="s">
        <v>104</v>
      </c>
      <c r="J3" s="80" t="str">
        <f>I3&amp;" Growth"</f>
        <v>EBIDTA Growth</v>
      </c>
      <c r="L3" s="79" t="s">
        <v>190</v>
      </c>
      <c r="M3" s="80" t="s">
        <v>191</v>
      </c>
      <c r="N3" s="80" t="s">
        <v>57</v>
      </c>
      <c r="O3" s="80" t="str">
        <f>N3&amp;" Growth"</f>
        <v>EPS Growth</v>
      </c>
    </row>
    <row r="4" spans="2:15" x14ac:dyDescent="0.25">
      <c r="B4" s="20">
        <v>1</v>
      </c>
      <c r="C4" s="81">
        <f>'Data Sheet'!$B$16</f>
        <v>42094</v>
      </c>
      <c r="D4" s="85" cm="1">
        <f t="array" ref="D4:D13">TRANSPOSE('Data Sheet'!B17:K17)</f>
        <v>263158.98</v>
      </c>
      <c r="G4" s="20">
        <v>1</v>
      </c>
      <c r="H4" s="81">
        <f>'Data Sheet'!$B$16</f>
        <v>42094</v>
      </c>
      <c r="I4" s="85" cm="1">
        <f t="array" ref="I4:I13">TRANSPOSE(HistoricalFS!C18:L18)</f>
        <v>39238.64999999998</v>
      </c>
      <c r="L4" s="20">
        <v>1</v>
      </c>
      <c r="M4" s="81">
        <f>'Data Sheet'!$B$16</f>
        <v>42094</v>
      </c>
      <c r="N4" s="85" cm="1">
        <f t="array" ref="N4:N13">TRANSPOSE(HistoricalFS!C40:L40)</f>
        <v>48.693114913070509</v>
      </c>
    </row>
    <row r="5" spans="2:15" x14ac:dyDescent="0.25">
      <c r="B5" s="20">
        <f>B4+1</f>
        <v>2</v>
      </c>
      <c r="C5" s="81">
        <f>C4+365</f>
        <v>42459</v>
      </c>
      <c r="D5" s="85">
        <v>273045.59999999998</v>
      </c>
      <c r="E5" s="48">
        <f>D5/D4-1</f>
        <v>3.75690010654397E-2</v>
      </c>
      <c r="G5" s="20">
        <f>G4+1</f>
        <v>2</v>
      </c>
      <c r="H5" s="81">
        <f>H4+365</f>
        <v>42459</v>
      </c>
      <c r="I5" s="85">
        <v>38395.249999999971</v>
      </c>
      <c r="J5" s="48">
        <f>I5/I4-1</f>
        <v>-2.1494113584437979E-2</v>
      </c>
      <c r="L5" s="20">
        <f>L4+1</f>
        <v>2</v>
      </c>
      <c r="M5" s="81">
        <f>M4+365</f>
        <v>42459</v>
      </c>
      <c r="N5" s="85">
        <v>38.448046550290826</v>
      </c>
      <c r="O5" s="48">
        <f>N5/N4-1</f>
        <v>-0.2104007595543993</v>
      </c>
    </row>
    <row r="6" spans="2:15" x14ac:dyDescent="0.25">
      <c r="B6" s="20">
        <f t="shared" ref="B6:B18" si="0">B5+1</f>
        <v>3</v>
      </c>
      <c r="C6" s="81">
        <f t="shared" ref="C6:C18" si="1">C5+365</f>
        <v>42824</v>
      </c>
      <c r="D6" s="85">
        <v>269692.51</v>
      </c>
      <c r="E6" s="48">
        <f t="shared" ref="E6:E18" si="2">D6/D5-1</f>
        <v>-1.2280329732469508E-2</v>
      </c>
      <c r="G6" s="20">
        <f t="shared" ref="G6:G18" si="3">G5+1</f>
        <v>3</v>
      </c>
      <c r="H6" s="81">
        <f t="shared" ref="H6:H18" si="4">H5+365</f>
        <v>42824</v>
      </c>
      <c r="I6" s="85">
        <v>29588.690000000046</v>
      </c>
      <c r="J6" s="48">
        <f t="shared" ref="J6:J18" si="5">I6/I5-1</f>
        <v>-0.22936587208052905</v>
      </c>
      <c r="L6" s="20">
        <f t="shared" ref="L6:L18" si="6">L5+1</f>
        <v>3</v>
      </c>
      <c r="M6" s="81">
        <f t="shared" ref="M6:M18" si="7">M5+365</f>
        <v>42824</v>
      </c>
      <c r="N6" s="85">
        <v>21.000796591971891</v>
      </c>
      <c r="O6" s="48">
        <f t="shared" ref="O6:O18" si="8">N6/N5-1</f>
        <v>-0.45378768295802951</v>
      </c>
    </row>
    <row r="7" spans="2:15" x14ac:dyDescent="0.25">
      <c r="B7" s="20">
        <f t="shared" si="0"/>
        <v>4</v>
      </c>
      <c r="C7" s="81">
        <f t="shared" si="1"/>
        <v>43189</v>
      </c>
      <c r="D7" s="85">
        <v>291550.48</v>
      </c>
      <c r="E7" s="48">
        <f t="shared" si="2"/>
        <v>8.104774581985974E-2</v>
      </c>
      <c r="G7" s="20">
        <f t="shared" si="3"/>
        <v>4</v>
      </c>
      <c r="H7" s="81">
        <f t="shared" si="4"/>
        <v>43189</v>
      </c>
      <c r="I7" s="85">
        <v>31457.679999999993</v>
      </c>
      <c r="J7" s="48">
        <f t="shared" si="5"/>
        <v>6.3165689322506102E-2</v>
      </c>
      <c r="L7" s="20">
        <f t="shared" si="6"/>
        <v>4</v>
      </c>
      <c r="M7" s="81">
        <f t="shared" si="7"/>
        <v>43189</v>
      </c>
      <c r="N7" s="85">
        <v>23.596785924566159</v>
      </c>
      <c r="O7" s="48">
        <f t="shared" si="8"/>
        <v>0.12361385060920282</v>
      </c>
    </row>
    <row r="8" spans="2:15" x14ac:dyDescent="0.25">
      <c r="B8" s="20">
        <f t="shared" si="0"/>
        <v>5</v>
      </c>
      <c r="C8" s="81">
        <f t="shared" si="1"/>
        <v>43554</v>
      </c>
      <c r="D8" s="85">
        <v>301938.40000000002</v>
      </c>
      <c r="E8" s="48">
        <f t="shared" si="2"/>
        <v>3.5629919045237157E-2</v>
      </c>
      <c r="G8" s="20">
        <f t="shared" si="3"/>
        <v>5</v>
      </c>
      <c r="H8" s="81">
        <f t="shared" si="4"/>
        <v>43554</v>
      </c>
      <c r="I8" s="85">
        <v>24664.330000000024</v>
      </c>
      <c r="J8" s="48">
        <f t="shared" si="5"/>
        <v>-0.21595203460649259</v>
      </c>
      <c r="L8" s="20">
        <f t="shared" si="6"/>
        <v>5</v>
      </c>
      <c r="M8" s="81">
        <f t="shared" si="7"/>
        <v>43554</v>
      </c>
      <c r="N8" s="85">
        <v>-100.21023101167172</v>
      </c>
      <c r="O8" s="48">
        <f t="shared" si="8"/>
        <v>-5.2467745959988887</v>
      </c>
    </row>
    <row r="9" spans="2:15" x14ac:dyDescent="0.25">
      <c r="B9" s="20">
        <f t="shared" si="0"/>
        <v>6</v>
      </c>
      <c r="C9" s="81">
        <f t="shared" si="1"/>
        <v>43919</v>
      </c>
      <c r="D9" s="85">
        <v>261067.97</v>
      </c>
      <c r="E9" s="48">
        <f t="shared" si="2"/>
        <v>-0.135360159555724</v>
      </c>
      <c r="G9" s="20">
        <f t="shared" si="3"/>
        <v>6</v>
      </c>
      <c r="H9" s="81">
        <f t="shared" si="4"/>
        <v>43919</v>
      </c>
      <c r="I9" s="85">
        <v>17987.069999999963</v>
      </c>
      <c r="J9" s="48">
        <f t="shared" si="5"/>
        <v>-0.27072537547138131</v>
      </c>
      <c r="L9" s="20">
        <f t="shared" si="6"/>
        <v>6</v>
      </c>
      <c r="M9" s="81">
        <f t="shared" si="7"/>
        <v>43919</v>
      </c>
      <c r="N9" s="85">
        <v>-35.530042084817225</v>
      </c>
      <c r="O9" s="48">
        <f t="shared" si="8"/>
        <v>-0.64544496379138216</v>
      </c>
    </row>
    <row r="10" spans="2:15" x14ac:dyDescent="0.25">
      <c r="B10" s="20">
        <f t="shared" si="0"/>
        <v>7</v>
      </c>
      <c r="C10" s="81">
        <f t="shared" si="1"/>
        <v>44284</v>
      </c>
      <c r="D10" s="85">
        <v>249794.75</v>
      </c>
      <c r="E10" s="48">
        <f t="shared" si="2"/>
        <v>-4.3181168490336042E-2</v>
      </c>
      <c r="G10" s="20">
        <f t="shared" si="3"/>
        <v>7</v>
      </c>
      <c r="H10" s="81">
        <f t="shared" si="4"/>
        <v>44284</v>
      </c>
      <c r="I10" s="85">
        <v>32287.429999999989</v>
      </c>
      <c r="J10" s="48">
        <f t="shared" si="5"/>
        <v>0.79503554497758966</v>
      </c>
      <c r="L10" s="20">
        <f t="shared" si="6"/>
        <v>7</v>
      </c>
      <c r="M10" s="81">
        <f t="shared" si="7"/>
        <v>44284</v>
      </c>
      <c r="N10" s="85">
        <v>-39.201698641689028</v>
      </c>
      <c r="O10" s="48">
        <f t="shared" si="8"/>
        <v>0.10333949360675776</v>
      </c>
    </row>
    <row r="11" spans="2:15" x14ac:dyDescent="0.25">
      <c r="B11" s="20">
        <f t="shared" si="0"/>
        <v>8</v>
      </c>
      <c r="C11" s="81">
        <f t="shared" si="1"/>
        <v>44649</v>
      </c>
      <c r="D11" s="85">
        <v>278453.62</v>
      </c>
      <c r="E11" s="48">
        <f t="shared" si="2"/>
        <v>0.11472967306158344</v>
      </c>
      <c r="G11" s="20">
        <f t="shared" si="3"/>
        <v>8</v>
      </c>
      <c r="H11" s="81">
        <f t="shared" si="4"/>
        <v>44649</v>
      </c>
      <c r="I11" s="85">
        <v>24720.090000000015</v>
      </c>
      <c r="J11" s="48">
        <f t="shared" si="5"/>
        <v>-0.234374182150762</v>
      </c>
      <c r="L11" s="20">
        <f t="shared" si="6"/>
        <v>8</v>
      </c>
      <c r="M11" s="81">
        <f t="shared" si="7"/>
        <v>44649</v>
      </c>
      <c r="N11" s="85">
        <v>-33.832324509892466</v>
      </c>
      <c r="O11" s="48">
        <f t="shared" si="8"/>
        <v>-0.13696789470460613</v>
      </c>
    </row>
    <row r="12" spans="2:15" x14ac:dyDescent="0.25">
      <c r="B12" s="20">
        <f t="shared" si="0"/>
        <v>9</v>
      </c>
      <c r="C12" s="81">
        <f t="shared" si="1"/>
        <v>45014</v>
      </c>
      <c r="D12" s="85">
        <v>345966.97</v>
      </c>
      <c r="E12" s="48">
        <f t="shared" si="2"/>
        <v>0.24245815155859707</v>
      </c>
      <c r="G12" s="20">
        <f t="shared" si="3"/>
        <v>9</v>
      </c>
      <c r="H12" s="81">
        <f t="shared" si="4"/>
        <v>45014</v>
      </c>
      <c r="I12" s="85">
        <v>31815.799999999959</v>
      </c>
      <c r="J12" s="48">
        <f t="shared" si="5"/>
        <v>0.28704223973294352</v>
      </c>
      <c r="L12" s="20">
        <f t="shared" si="6"/>
        <v>9</v>
      </c>
      <c r="M12" s="81">
        <f t="shared" si="7"/>
        <v>45014</v>
      </c>
      <c r="N12" s="85">
        <v>8.0988468370817568</v>
      </c>
      <c r="O12" s="48">
        <f t="shared" si="8"/>
        <v>-1.239381921118476</v>
      </c>
    </row>
    <row r="13" spans="2:15" x14ac:dyDescent="0.25">
      <c r="B13" s="20">
        <f t="shared" si="0"/>
        <v>10</v>
      </c>
      <c r="C13" s="81">
        <f t="shared" si="1"/>
        <v>45379</v>
      </c>
      <c r="D13" s="85">
        <v>437927.77</v>
      </c>
      <c r="E13" s="48">
        <f t="shared" si="2"/>
        <v>0.26580803363974326</v>
      </c>
      <c r="G13" s="20">
        <f t="shared" si="3"/>
        <v>10</v>
      </c>
      <c r="H13" s="81">
        <f t="shared" si="4"/>
        <v>45379</v>
      </c>
      <c r="I13" s="85">
        <v>59538.34000000004</v>
      </c>
      <c r="J13" s="48">
        <f t="shared" si="5"/>
        <v>0.87134505497269021</v>
      </c>
      <c r="L13" s="20">
        <f t="shared" si="6"/>
        <v>10</v>
      </c>
      <c r="M13" s="81">
        <f t="shared" si="7"/>
        <v>45379</v>
      </c>
      <c r="N13" s="85">
        <v>95.696813791858602</v>
      </c>
      <c r="O13" s="48">
        <f t="shared" si="8"/>
        <v>10.816103664746038</v>
      </c>
    </row>
    <row r="14" spans="2:15" x14ac:dyDescent="0.25">
      <c r="B14" s="82">
        <f t="shared" si="0"/>
        <v>11</v>
      </c>
      <c r="C14" s="83">
        <f t="shared" si="1"/>
        <v>45744</v>
      </c>
      <c r="D14" s="86">
        <f>FORECAST(B14,$D$4:$D$13,$B$4:$B$13)</f>
        <v>362627.59266666661</v>
      </c>
      <c r="E14" s="84">
        <f t="shared" si="2"/>
        <v>-0.17194656857073354</v>
      </c>
      <c r="G14" s="82">
        <f t="shared" si="3"/>
        <v>11</v>
      </c>
      <c r="H14" s="83">
        <f t="shared" si="4"/>
        <v>45744</v>
      </c>
      <c r="I14" s="86">
        <f>FORECAST(G14,_xlfn.ANCHORARRAY($I$4),$G$4:$G$13)</f>
        <v>36573.001333333334</v>
      </c>
      <c r="J14" s="84">
        <f t="shared" si="5"/>
        <v>-0.38572352985767977</v>
      </c>
      <c r="L14" s="82">
        <f t="shared" si="6"/>
        <v>11</v>
      </c>
      <c r="M14" s="83">
        <f t="shared" si="7"/>
        <v>45744</v>
      </c>
      <c r="N14" s="86">
        <f>FORECAST(L14,_xlfn.ANCHORARRAY($N$4),$L$4:$L$13)</f>
        <v>-3.5670551094098606</v>
      </c>
      <c r="O14" s="84">
        <f t="shared" si="8"/>
        <v>-1.0372745441365294</v>
      </c>
    </row>
    <row r="15" spans="2:15" x14ac:dyDescent="0.25">
      <c r="B15" s="82">
        <f t="shared" si="0"/>
        <v>12</v>
      </c>
      <c r="C15" s="83">
        <f t="shared" si="1"/>
        <v>46109</v>
      </c>
      <c r="D15" s="86">
        <f t="shared" ref="D15:D18" si="9">FORECAST(B15,$D$4:$D$13,$B$4:$B$13)</f>
        <v>374512.66315151507</v>
      </c>
      <c r="E15" s="84">
        <f t="shared" si="2"/>
        <v>3.2774865247977569E-2</v>
      </c>
      <c r="G15" s="82">
        <f t="shared" si="3"/>
        <v>12</v>
      </c>
      <c r="H15" s="83">
        <f t="shared" si="4"/>
        <v>46109</v>
      </c>
      <c r="I15" s="86">
        <f t="shared" ref="I15:I18" si="10">FORECAST(G15,_xlfn.ANCHORARRAY($I$4),$G$4:$G$13)</f>
        <v>37228.213757575766</v>
      </c>
      <c r="J15" s="84">
        <f t="shared" si="5"/>
        <v>1.7915194278716795E-2</v>
      </c>
      <c r="L15" s="82">
        <f t="shared" si="6"/>
        <v>12</v>
      </c>
      <c r="M15" s="83">
        <f t="shared" si="7"/>
        <v>46109</v>
      </c>
      <c r="N15" s="86">
        <f t="shared" ref="N15:N18" si="11">FORECAST(L15,_xlfn.ANCHORARRAY($N$4),$L$4:$L$13)</f>
        <v>-4.7021580085892758</v>
      </c>
      <c r="O15" s="84">
        <f t="shared" si="8"/>
        <v>0.31821849238746647</v>
      </c>
    </row>
    <row r="16" spans="2:15" x14ac:dyDescent="0.25">
      <c r="B16" s="82">
        <f t="shared" si="0"/>
        <v>13</v>
      </c>
      <c r="C16" s="83">
        <f t="shared" si="1"/>
        <v>46474</v>
      </c>
      <c r="D16" s="86">
        <f t="shared" si="9"/>
        <v>386397.73363636358</v>
      </c>
      <c r="E16" s="84">
        <f t="shared" si="2"/>
        <v>3.1734762677544603E-2</v>
      </c>
      <c r="G16" s="82">
        <f t="shared" si="3"/>
        <v>13</v>
      </c>
      <c r="H16" s="83">
        <f t="shared" si="4"/>
        <v>46474</v>
      </c>
      <c r="I16" s="86">
        <f t="shared" si="10"/>
        <v>37883.426181818184</v>
      </c>
      <c r="J16" s="84">
        <f t="shared" si="5"/>
        <v>1.7599888850672762E-2</v>
      </c>
      <c r="L16" s="82">
        <f t="shared" si="6"/>
        <v>13</v>
      </c>
      <c r="M16" s="83">
        <f t="shared" si="7"/>
        <v>46474</v>
      </c>
      <c r="N16" s="86">
        <f t="shared" si="11"/>
        <v>-5.837260907768691</v>
      </c>
      <c r="O16" s="84">
        <f t="shared" si="8"/>
        <v>0.24140041595921713</v>
      </c>
    </row>
    <row r="17" spans="2:15" x14ac:dyDescent="0.25">
      <c r="B17" s="82">
        <f t="shared" si="0"/>
        <v>14</v>
      </c>
      <c r="C17" s="83">
        <f t="shared" si="1"/>
        <v>46839</v>
      </c>
      <c r="D17" s="86">
        <f t="shared" si="9"/>
        <v>398282.8041212121</v>
      </c>
      <c r="E17" s="84">
        <f t="shared" si="2"/>
        <v>3.0758644397312906E-2</v>
      </c>
      <c r="G17" s="82">
        <f t="shared" si="3"/>
        <v>14</v>
      </c>
      <c r="H17" s="83">
        <f t="shared" si="4"/>
        <v>46839</v>
      </c>
      <c r="I17" s="86">
        <f t="shared" si="10"/>
        <v>38538.638606060616</v>
      </c>
      <c r="J17" s="84">
        <f t="shared" si="5"/>
        <v>1.7295490146477244E-2</v>
      </c>
      <c r="L17" s="82">
        <f t="shared" si="6"/>
        <v>14</v>
      </c>
      <c r="M17" s="83">
        <f t="shared" si="7"/>
        <v>46839</v>
      </c>
      <c r="N17" s="86">
        <f t="shared" si="11"/>
        <v>-6.972363806948108</v>
      </c>
      <c r="O17" s="84">
        <f t="shared" si="8"/>
        <v>0.19445814006167383</v>
      </c>
    </row>
    <row r="18" spans="2:15" x14ac:dyDescent="0.25">
      <c r="B18" s="82">
        <f t="shared" si="0"/>
        <v>15</v>
      </c>
      <c r="C18" s="83">
        <f t="shared" si="1"/>
        <v>47204</v>
      </c>
      <c r="D18" s="86">
        <f t="shared" si="9"/>
        <v>410167.87460606056</v>
      </c>
      <c r="E18" s="84">
        <f t="shared" si="2"/>
        <v>2.9840782383442788E-2</v>
      </c>
      <c r="G18" s="82">
        <f t="shared" si="3"/>
        <v>15</v>
      </c>
      <c r="H18" s="83">
        <f t="shared" si="4"/>
        <v>47204</v>
      </c>
      <c r="I18" s="86">
        <f t="shared" si="10"/>
        <v>39193.851030303042</v>
      </c>
      <c r="J18" s="84">
        <f t="shared" si="5"/>
        <v>1.7001441876034251E-2</v>
      </c>
      <c r="L18" s="82">
        <f t="shared" si="6"/>
        <v>15</v>
      </c>
      <c r="M18" s="83">
        <f t="shared" si="7"/>
        <v>47204</v>
      </c>
      <c r="N18" s="86">
        <f t="shared" si="11"/>
        <v>-8.107466706127525</v>
      </c>
      <c r="O18" s="84">
        <f t="shared" si="8"/>
        <v>0.16280029708837951</v>
      </c>
    </row>
    <row r="19" spans="2:15" x14ac:dyDescent="0.25">
      <c r="B19" s="20"/>
    </row>
    <row r="20" spans="2:15" x14ac:dyDescent="0.25">
      <c r="B20" s="20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D32-5F68-4F21-B111-0F3F317E8ABF}">
  <dimension ref="A2:O41"/>
  <sheetViews>
    <sheetView showGridLines="0" zoomScale="120" zoomScaleNormal="120" workbookViewId="0">
      <selection activeCell="B2" sqref="B2:L2"/>
    </sheetView>
  </sheetViews>
  <sheetFormatPr defaultRowHeight="15" x14ac:dyDescent="0.25"/>
  <cols>
    <col min="1" max="1" width="1.85546875" customWidth="1"/>
    <col min="2" max="2" width="26.5703125" customWidth="1"/>
    <col min="3" max="12" width="10.42578125" bestFit="1" customWidth="1"/>
  </cols>
  <sheetData>
    <row r="2" spans="1:12" x14ac:dyDescent="0.25">
      <c r="A2" t="s">
        <v>95</v>
      </c>
      <c r="B2" s="168" t="str">
        <f>"Common Size Income Statement - "&amp;'Data Sheet'!$B$1</f>
        <v>Common Size Income Statement - TATA MOTORS LTD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4" spans="1:12" x14ac:dyDescent="0.25">
      <c r="B4" s="87" t="s">
        <v>192</v>
      </c>
      <c r="C4" s="88">
        <f>'Data Sheet'!B$56</f>
        <v>42094</v>
      </c>
      <c r="D4" s="88">
        <f>'Data Sheet'!C$56</f>
        <v>42460</v>
      </c>
      <c r="E4" s="88">
        <f>'Data Sheet'!D$56</f>
        <v>42825</v>
      </c>
      <c r="F4" s="88">
        <f>'Data Sheet'!E$56</f>
        <v>43190</v>
      </c>
      <c r="G4" s="88">
        <f>'Data Sheet'!F$56</f>
        <v>43555</v>
      </c>
      <c r="H4" s="88">
        <f>'Data Sheet'!G$56</f>
        <v>43921</v>
      </c>
      <c r="I4" s="88">
        <f>'Data Sheet'!H$56</f>
        <v>44286</v>
      </c>
      <c r="J4" s="88">
        <f>'Data Sheet'!I$56</f>
        <v>44651</v>
      </c>
      <c r="K4" s="88">
        <f>'Data Sheet'!J$56</f>
        <v>45016</v>
      </c>
      <c r="L4" s="88">
        <f>'Data Sheet'!K$56</f>
        <v>45382</v>
      </c>
    </row>
    <row r="6" spans="1:12" x14ac:dyDescent="0.25">
      <c r="B6" s="90" t="str">
        <f>'Data Sheet'!A17</f>
        <v>Sales</v>
      </c>
      <c r="C6" s="90">
        <f>IFERROR('Data Sheet'!B17/'Data Sheet'!B$17,0)</f>
        <v>1</v>
      </c>
      <c r="D6" s="90">
        <f>IFERROR('Data Sheet'!C17/'Data Sheet'!C$17,0)</f>
        <v>1</v>
      </c>
      <c r="E6" s="90">
        <f>IFERROR('Data Sheet'!D17/'Data Sheet'!D$17,0)</f>
        <v>1</v>
      </c>
      <c r="F6" s="90">
        <f>IFERROR('Data Sheet'!E17/'Data Sheet'!E$17,0)</f>
        <v>1</v>
      </c>
      <c r="G6" s="90">
        <f>IFERROR('Data Sheet'!F17/'Data Sheet'!F$17,0)</f>
        <v>1</v>
      </c>
      <c r="H6" s="90">
        <f>IFERROR('Data Sheet'!G17/'Data Sheet'!G$17,0)</f>
        <v>1</v>
      </c>
      <c r="I6" s="90">
        <f>IFERROR('Data Sheet'!H17/'Data Sheet'!H$17,0)</f>
        <v>1</v>
      </c>
      <c r="J6" s="90">
        <f>IFERROR('Data Sheet'!I17/'Data Sheet'!I$17,0)</f>
        <v>1</v>
      </c>
      <c r="K6" s="90">
        <f>IFERROR('Data Sheet'!J17/'Data Sheet'!J$17,0)</f>
        <v>1</v>
      </c>
      <c r="L6" s="90">
        <f>IFERROR('Data Sheet'!K17/'Data Sheet'!K$17,0)</f>
        <v>1</v>
      </c>
    </row>
    <row r="7" spans="1:12" x14ac:dyDescent="0.25">
      <c r="B7" s="48" t="str">
        <f>'Data Sheet'!A18</f>
        <v>Raw Material Cost</v>
      </c>
      <c r="C7" s="48">
        <f>IFERROR('Data Sheet'!B18/'Data Sheet'!B$17,0)</f>
        <v>0.62034880968150885</v>
      </c>
      <c r="D7" s="48">
        <f>IFERROR('Data Sheet'!C18/'Data Sheet'!C$17,0)</f>
        <v>0.60844785632875986</v>
      </c>
      <c r="E7" s="48">
        <f>IFERROR('Data Sheet'!D18/'Data Sheet'!D$17,0)</f>
        <v>0.64256170851760019</v>
      </c>
      <c r="F7" s="48">
        <f>IFERROR('Data Sheet'!E18/'Data Sheet'!E$17,0)</f>
        <v>0.6444735745247272</v>
      </c>
      <c r="G7" s="48">
        <f>IFERROR('Data Sheet'!F18/'Data Sheet'!F$17,0)</f>
        <v>0.64340246222408271</v>
      </c>
      <c r="H7" s="48">
        <f>IFERROR('Data Sheet'!G18/'Data Sheet'!G$17,0)</f>
        <v>0.63163558516963991</v>
      </c>
      <c r="I7" s="48">
        <f>IFERROR('Data Sheet'!H18/'Data Sheet'!H$17,0)</f>
        <v>0.6149343010611712</v>
      </c>
      <c r="J7" s="48">
        <f>IFERROR('Data Sheet'!I18/'Data Sheet'!I$17,0)</f>
        <v>0.64389656704768283</v>
      </c>
      <c r="K7" s="48">
        <f>IFERROR('Data Sheet'!J18/'Data Sheet'!J$17,0)</f>
        <v>0.66842005177546293</v>
      </c>
      <c r="L7" s="48">
        <f>IFERROR('Data Sheet'!K18/'Data Sheet'!K$17,0)</f>
        <v>0.62640747810991748</v>
      </c>
    </row>
    <row r="8" spans="1:12" x14ac:dyDescent="0.25">
      <c r="B8" s="48" t="str">
        <f>'Data Sheet'!A19</f>
        <v>Change in Inventory</v>
      </c>
      <c r="C8" s="48">
        <f>IFERROR('Data Sheet'!B19/'Data Sheet'!B$17,0)</f>
        <v>1.2655277809634314E-2</v>
      </c>
      <c r="D8" s="48">
        <f>IFERROR('Data Sheet'!C19/'Data Sheet'!C$17,0)</f>
        <v>1.0075203555743071E-2</v>
      </c>
      <c r="E8" s="48">
        <f>IFERROR('Data Sheet'!D19/'Data Sheet'!D$17,0)</f>
        <v>2.7438359337454348E-2</v>
      </c>
      <c r="F8" s="48">
        <f>IFERROR('Data Sheet'!E19/'Data Sheet'!E$17,0)</f>
        <v>7.0196420187680708E-3</v>
      </c>
      <c r="G8" s="48">
        <f>IFERROR('Data Sheet'!F19/'Data Sheet'!F$17,0)</f>
        <v>-6.8003274840166073E-3</v>
      </c>
      <c r="H8" s="48">
        <f>IFERROR('Data Sheet'!G19/'Data Sheet'!G$17,0)</f>
        <v>-8.5463950250197294E-3</v>
      </c>
      <c r="I8" s="48">
        <f>IFERROR('Data Sheet'!H19/'Data Sheet'!H$17,0)</f>
        <v>-1.8752035421080705E-2</v>
      </c>
      <c r="J8" s="48">
        <f>IFERROR('Data Sheet'!I19/'Data Sheet'!I$17,0)</f>
        <v>-5.7118668451859233E-3</v>
      </c>
      <c r="K8" s="48">
        <f>IFERROR('Data Sheet'!J19/'Data Sheet'!J$17,0)</f>
        <v>1.3821030371772196E-2</v>
      </c>
      <c r="L8" s="48">
        <f>IFERROR('Data Sheet'!K19/'Data Sheet'!K$17,0)</f>
        <v>3.5748589316452802E-3</v>
      </c>
    </row>
    <row r="9" spans="1:12" x14ac:dyDescent="0.25">
      <c r="B9" s="48" t="str">
        <f>'Data Sheet'!A20</f>
        <v>Power and Fuel</v>
      </c>
      <c r="C9" s="48">
        <f>IFERROR('Data Sheet'!B20/'Data Sheet'!B$17,0)</f>
        <v>4.2626324209038965E-3</v>
      </c>
      <c r="D9" s="48">
        <f>IFERROR('Data Sheet'!C20/'Data Sheet'!C$17,0)</f>
        <v>4.1884212746881849E-3</v>
      </c>
      <c r="E9" s="48">
        <f>IFERROR('Data Sheet'!D20/'Data Sheet'!D$17,0)</f>
        <v>4.3005272931013168E-3</v>
      </c>
      <c r="F9" s="48">
        <f>IFERROR('Data Sheet'!E20/'Data Sheet'!E$17,0)</f>
        <v>4.4866329837632236E-3</v>
      </c>
      <c r="G9" s="48">
        <f>IFERROR('Data Sheet'!F20/'Data Sheet'!F$17,0)</f>
        <v>5.252495210943689E-3</v>
      </c>
      <c r="H9" s="48">
        <f>IFERROR('Data Sheet'!G20/'Data Sheet'!G$17,0)</f>
        <v>4.8452899066859867E-3</v>
      </c>
      <c r="I9" s="48">
        <f>IFERROR('Data Sheet'!H20/'Data Sheet'!H$17,0)</f>
        <v>4.4551376680254488E-3</v>
      </c>
      <c r="J9" s="48">
        <f>IFERROR('Data Sheet'!I20/'Data Sheet'!I$17,0)</f>
        <v>7.8228108508698862E-3</v>
      </c>
      <c r="K9" s="48">
        <f>IFERROR('Data Sheet'!J20/'Data Sheet'!J$17,0)</f>
        <v>7.2646530389880865E-3</v>
      </c>
      <c r="L9" s="48">
        <f>IFERROR('Data Sheet'!K20/'Data Sheet'!K$17,0)</f>
        <v>5.0125161051102094E-3</v>
      </c>
    </row>
    <row r="10" spans="1:12" x14ac:dyDescent="0.25">
      <c r="B10" s="48" t="str">
        <f>'Data Sheet'!A21</f>
        <v>Other Mfr. Exp</v>
      </c>
      <c r="C10" s="48">
        <f>IFERROR('Data Sheet'!B21/'Data Sheet'!B$17,0)</f>
        <v>6.1457792548063536E-2</v>
      </c>
      <c r="D10" s="48">
        <f>IFERROR('Data Sheet'!C21/'Data Sheet'!C$17,0)</f>
        <v>4.4320545725695638E-2</v>
      </c>
      <c r="E10" s="48">
        <f>IFERROR('Data Sheet'!D21/'Data Sheet'!D$17,0)</f>
        <v>3.7329067833585743E-2</v>
      </c>
      <c r="F10" s="48">
        <f>IFERROR('Data Sheet'!E21/'Data Sheet'!E$17,0)</f>
        <v>3.7632110912662539E-2</v>
      </c>
      <c r="G10" s="48">
        <f>IFERROR('Data Sheet'!F21/'Data Sheet'!F$17,0)</f>
        <v>3.8731542592793759E-2</v>
      </c>
      <c r="H10" s="48">
        <f>IFERROR('Data Sheet'!G21/'Data Sheet'!G$17,0)</f>
        <v>4.4208831899217663E-2</v>
      </c>
      <c r="I10" s="48">
        <f>IFERROR('Data Sheet'!H21/'Data Sheet'!H$17,0)</f>
        <v>3.3119871414431248E-2</v>
      </c>
      <c r="J10" s="48">
        <f>IFERROR('Data Sheet'!I21/'Data Sheet'!I$17,0)</f>
        <v>3.3856194794666339E-2</v>
      </c>
      <c r="K10" s="48">
        <f>IFERROR('Data Sheet'!J21/'Data Sheet'!J$17,0)</f>
        <v>3.4008940217616732E-2</v>
      </c>
      <c r="L10" s="48">
        <f>IFERROR('Data Sheet'!K21/'Data Sheet'!K$17,0)</f>
        <v>3.9080257458895561E-2</v>
      </c>
    </row>
    <row r="11" spans="1:12" x14ac:dyDescent="0.25">
      <c r="B11" s="48" t="str">
        <f>'Data Sheet'!A22</f>
        <v>Employee Cost</v>
      </c>
      <c r="C11" s="48">
        <f>IFERROR('Data Sheet'!B22/'Data Sheet'!B$17,0)</f>
        <v>9.7439008161530352E-2</v>
      </c>
      <c r="D11" s="48">
        <f>IFERROR('Data Sheet'!C22/'Data Sheet'!C$17,0)</f>
        <v>0.10577313825968997</v>
      </c>
      <c r="E11" s="48">
        <f>IFERROR('Data Sheet'!D22/'Data Sheet'!D$17,0)</f>
        <v>0.10505627316086753</v>
      </c>
      <c r="F11" s="48">
        <f>IFERROR('Data Sheet'!E22/'Data Sheet'!E$17,0)</f>
        <v>0.10392742279141506</v>
      </c>
      <c r="G11" s="48">
        <f>IFERROR('Data Sheet'!F22/'Data Sheet'!F$17,0)</f>
        <v>0.11010149752399827</v>
      </c>
      <c r="H11" s="48">
        <f>IFERROR('Data Sheet'!G22/'Data Sheet'!G$17,0)</f>
        <v>0.11659262528451882</v>
      </c>
      <c r="I11" s="48">
        <f>IFERROR('Data Sheet'!H22/'Data Sheet'!H$17,0)</f>
        <v>0.11068479221440802</v>
      </c>
      <c r="J11" s="48">
        <f>IFERROR('Data Sheet'!I22/'Data Sheet'!I$17,0)</f>
        <v>0.11064147774412127</v>
      </c>
      <c r="K11" s="48">
        <f>IFERROR('Data Sheet'!J22/'Data Sheet'!J$17,0)</f>
        <v>9.7277205393335675E-2</v>
      </c>
      <c r="L11" s="48">
        <f>IFERROR('Data Sheet'!K22/'Data Sheet'!K$17,0)</f>
        <v>9.701746020810692E-2</v>
      </c>
    </row>
    <row r="12" spans="1:12" x14ac:dyDescent="0.25">
      <c r="B12" s="48" t="str">
        <f>'Data Sheet'!A23</f>
        <v>Selling and admin</v>
      </c>
      <c r="C12" s="48">
        <f>IFERROR('Data Sheet'!B23/'Data Sheet'!B$17,0)</f>
        <v>8.96910681140351E-2</v>
      </c>
      <c r="D12" s="48">
        <f>IFERROR('Data Sheet'!C23/'Data Sheet'!C$17,0)</f>
        <v>8.0542956927341092E-2</v>
      </c>
      <c r="E12" s="48">
        <f>IFERROR('Data Sheet'!D23/'Data Sheet'!D$17,0)</f>
        <v>0.1113838126242364</v>
      </c>
      <c r="F12" s="48">
        <f>IFERROR('Data Sheet'!E23/'Data Sheet'!E$17,0)</f>
        <v>0.10634377964323709</v>
      </c>
      <c r="G12" s="48">
        <f>IFERROR('Data Sheet'!F23/'Data Sheet'!F$17,0)</f>
        <v>0.1083658123643763</v>
      </c>
      <c r="H12" s="48">
        <f>IFERROR('Data Sheet'!G23/'Data Sheet'!G$17,0)</f>
        <v>0.11203335284677013</v>
      </c>
      <c r="I12" s="48">
        <f>IFERROR('Data Sheet'!H23/'Data Sheet'!H$17,0)</f>
        <v>9.2138805959692913E-2</v>
      </c>
      <c r="J12" s="48">
        <f>IFERROR('Data Sheet'!I23/'Data Sheet'!I$17,0)</f>
        <v>0.10488425325553319</v>
      </c>
      <c r="K12" s="48">
        <f>IFERROR('Data Sheet'!J23/'Data Sheet'!J$17,0)</f>
        <v>0.10070091373173573</v>
      </c>
      <c r="L12" s="48">
        <f>IFERROR('Data Sheet'!K23/'Data Sheet'!K$17,0)</f>
        <v>9.7653843692077344E-2</v>
      </c>
    </row>
    <row r="13" spans="1:12" x14ac:dyDescent="0.25">
      <c r="B13" s="48" t="str">
        <f>'Data Sheet'!A24</f>
        <v>Other Expenses</v>
      </c>
      <c r="C13" s="48">
        <f>IFERROR('Data Sheet'!B24/'Data Sheet'!B$17,0)</f>
        <v>-9.6502882022114541E-3</v>
      </c>
      <c r="D13" s="48">
        <f>IFERROR('Data Sheet'!C24/'Data Sheet'!C$17,0)</f>
        <v>2.6183831565130516E-2</v>
      </c>
      <c r="E13" s="48">
        <f>IFERROR('Data Sheet'!D24/'Data Sheet'!D$17,0)</f>
        <v>1.7094282670289951E-2</v>
      </c>
      <c r="F13" s="48">
        <f>IFERROR('Data Sheet'!E24/'Data Sheet'!E$17,0)</f>
        <v>2.2582367211331639E-3</v>
      </c>
      <c r="G13" s="48">
        <f>IFERROR('Data Sheet'!F24/'Data Sheet'!F$17,0)</f>
        <v>5.6592338039812094E-3</v>
      </c>
      <c r="H13" s="48">
        <f>IFERROR('Data Sheet'!G24/'Data Sheet'!G$17,0)</f>
        <v>1.3239885383105405E-2</v>
      </c>
      <c r="I13" s="48">
        <f>IFERROR('Data Sheet'!H24/'Data Sheet'!H$17,0)</f>
        <v>-3.3407827826645677E-3</v>
      </c>
      <c r="J13" s="48">
        <f>IFERROR('Data Sheet'!I24/'Data Sheet'!I$17,0)</f>
        <v>4.4105011096641517E-3</v>
      </c>
      <c r="K13" s="48">
        <f>IFERROR('Data Sheet'!J24/'Data Sheet'!J$17,0)</f>
        <v>1.4187308112100993E-2</v>
      </c>
      <c r="L13" s="48">
        <f>IFERROR('Data Sheet'!K24/'Data Sheet'!K$17,0)</f>
        <v>2.4486001424390141E-3</v>
      </c>
    </row>
    <row r="14" spans="1:12" x14ac:dyDescent="0.25">
      <c r="B14" s="48" t="str">
        <f>'Data Sheet'!A25</f>
        <v>Other Income</v>
      </c>
      <c r="C14" s="48">
        <f>IFERROR('Data Sheet'!B25/'Data Sheet'!B$17,0)</f>
        <v>2.7133028103392101E-3</v>
      </c>
      <c r="D14" s="48">
        <f>IFERROR('Data Sheet'!C25/'Data Sheet'!C$17,0)</f>
        <v>-9.7771947249836663E-3</v>
      </c>
      <c r="E14" s="48">
        <f>IFERROR('Data Sheet'!D25/'Data Sheet'!D$17,0)</f>
        <v>6.9304853887117582E-3</v>
      </c>
      <c r="F14" s="48">
        <f>IFERROR('Data Sheet'!E25/'Data Sheet'!E$17,0)</f>
        <v>2.034889464081829E-2</v>
      </c>
      <c r="G14" s="48">
        <f>IFERROR('Data Sheet'!F25/'Data Sheet'!F$17,0)</f>
        <v>-8.8383094035074702E-2</v>
      </c>
      <c r="H14" s="48">
        <f>IFERROR('Data Sheet'!G25/'Data Sheet'!G$17,0)</f>
        <v>3.8959202846676288E-4</v>
      </c>
      <c r="I14" s="48">
        <f>IFERROR('Data Sheet'!H25/'Data Sheet'!H$17,0)</f>
        <v>-4.4507860953843105E-2</v>
      </c>
      <c r="J14" s="48">
        <f>IFERROR('Data Sheet'!I25/'Data Sheet'!I$17,0)</f>
        <v>8.7053994844814731E-3</v>
      </c>
      <c r="K14" s="48">
        <f>IFERROR('Data Sheet'!J25/'Data Sheet'!J$17,0)</f>
        <v>1.9261867686386363E-2</v>
      </c>
      <c r="L14" s="48">
        <f>IFERROR('Data Sheet'!K25/'Data Sheet'!K$17,0)</f>
        <v>1.295341466927297E-2</v>
      </c>
    </row>
    <row r="15" spans="1:12" x14ac:dyDescent="0.25">
      <c r="B15" s="48" t="str">
        <f>'Data Sheet'!A26</f>
        <v>Depreciation</v>
      </c>
      <c r="C15" s="48">
        <f>IFERROR('Data Sheet'!B26/'Data Sheet'!B$17,0)</f>
        <v>5.0876584184966822E-2</v>
      </c>
      <c r="D15" s="48">
        <f>IFERROR('Data Sheet'!C26/'Data Sheet'!C$17,0)</f>
        <v>6.1201425695927715E-2</v>
      </c>
      <c r="E15" s="48">
        <f>IFERROR('Data Sheet'!D26/'Data Sheet'!D$17,0)</f>
        <v>6.63903865924938E-2</v>
      </c>
      <c r="F15" s="48">
        <f>IFERROR('Data Sheet'!E26/'Data Sheet'!E$17,0)</f>
        <v>7.3927472182518786E-2</v>
      </c>
      <c r="G15" s="48">
        <f>IFERROR('Data Sheet'!F26/'Data Sheet'!F$17,0)</f>
        <v>7.8130605447998658E-2</v>
      </c>
      <c r="H15" s="48">
        <f>IFERROR('Data Sheet'!G26/'Data Sheet'!G$17,0)</f>
        <v>8.206839774331566E-2</v>
      </c>
      <c r="I15" s="48">
        <f>IFERROR('Data Sheet'!H26/'Data Sheet'!H$17,0)</f>
        <v>9.4264230933596482E-2</v>
      </c>
      <c r="J15" s="48">
        <f>IFERROR('Data Sheet'!I26/'Data Sheet'!I$17,0)</f>
        <v>8.9191478279219347E-2</v>
      </c>
      <c r="K15" s="48">
        <f>IFERROR('Data Sheet'!J26/'Data Sheet'!J$17,0)</f>
        <v>7.1857611147098821E-2</v>
      </c>
      <c r="L15" s="48">
        <f>IFERROR('Data Sheet'!K26/'Data Sheet'!K$17,0)</f>
        <v>6.2270839777984394E-2</v>
      </c>
    </row>
    <row r="16" spans="1:12" x14ac:dyDescent="0.25">
      <c r="B16" s="48" t="str">
        <f>'Data Sheet'!A27</f>
        <v>Interest</v>
      </c>
      <c r="C16" s="48">
        <f>IFERROR('Data Sheet'!B27/'Data Sheet'!B$17,0)</f>
        <v>1.8473585814932098E-2</v>
      </c>
      <c r="D16" s="48">
        <f>IFERROR('Data Sheet'!C27/'Data Sheet'!C$17,0)</f>
        <v>1.7905727101993223E-2</v>
      </c>
      <c r="E16" s="48">
        <f>IFERROR('Data Sheet'!D27/'Data Sheet'!D$17,0)</f>
        <v>1.5714229512714312E-2</v>
      </c>
      <c r="F16" s="48">
        <f>IFERROR('Data Sheet'!E27/'Data Sheet'!E$17,0)</f>
        <v>1.605824830060304E-2</v>
      </c>
      <c r="G16" s="48">
        <f>IFERROR('Data Sheet'!F27/'Data Sheet'!F$17,0)</f>
        <v>1.9072102124141878E-2</v>
      </c>
      <c r="H16" s="48">
        <f>IFERROR('Data Sheet'!G27/'Data Sheet'!G$17,0)</f>
        <v>2.7744996829752802E-2</v>
      </c>
      <c r="I16" s="48">
        <f>IFERROR('Data Sheet'!H27/'Data Sheet'!H$17,0)</f>
        <v>3.2415292955516477E-2</v>
      </c>
      <c r="J16" s="48">
        <f>IFERROR('Data Sheet'!I27/'Data Sheet'!I$17,0)</f>
        <v>3.3441332168710897E-2</v>
      </c>
      <c r="K16" s="48">
        <f>IFERROR('Data Sheet'!J27/'Data Sheet'!J$17,0)</f>
        <v>2.9556231914277829E-2</v>
      </c>
      <c r="L16" s="48">
        <f>IFERROR('Data Sheet'!K27/'Data Sheet'!K$17,0)</f>
        <v>2.2802299109736749E-2</v>
      </c>
    </row>
    <row r="17" spans="1:15" x14ac:dyDescent="0.25">
      <c r="B17" s="48" t="str">
        <f>'Data Sheet'!A28</f>
        <v>Profit before tax</v>
      </c>
      <c r="C17" s="48">
        <f>IFERROR('Data Sheet'!B28/'Data Sheet'!B$17,0)</f>
        <v>8.246938789624432E-2</v>
      </c>
      <c r="D17" s="48">
        <f>IFERROR('Data Sheet'!C28/'Data Sheet'!C$17,0)</f>
        <v>5.1734105951533375E-2</v>
      </c>
      <c r="E17" s="48">
        <f>IFERROR('Data Sheet'!D28/'Data Sheet'!D$17,0)</f>
        <v>3.453855652127677E-2</v>
      </c>
      <c r="F17" s="48">
        <f>IFERROR('Data Sheet'!E28/'Data Sheet'!E$17,0)</f>
        <v>3.8261058599526235E-2</v>
      </c>
      <c r="G17" s="48">
        <f>IFERROR('Data Sheet'!F28/'Data Sheet'!F$17,0)</f>
        <v>-0.10389917281140788</v>
      </c>
      <c r="H17" s="48">
        <f>IFERROR('Data Sheet'!G28/'Data Sheet'!G$17,0)</f>
        <v>-4.0525768059559354E-2</v>
      </c>
      <c r="I17" s="48">
        <f>IFERROR('Data Sheet'!H28/'Data Sheet'!H$17,0)</f>
        <v>-4.1931545799101064E-2</v>
      </c>
      <c r="J17" s="48">
        <f>IFERROR('Data Sheet'!I28/'Data Sheet'!I$17,0)</f>
        <v>-2.5151082611172375E-2</v>
      </c>
      <c r="K17" s="48">
        <f>IFERROR('Data Sheet'!J28/'Data Sheet'!J$17,0)</f>
        <v>9.809982727541881E-3</v>
      </c>
      <c r="L17" s="48">
        <f>IFERROR('Data Sheet'!K28/'Data Sheet'!K$17,0)</f>
        <v>6.3834978996650513E-2</v>
      </c>
    </row>
    <row r="18" spans="1:15" x14ac:dyDescent="0.25">
      <c r="B18" s="48" t="str">
        <f>'Data Sheet'!A29</f>
        <v>Tax</v>
      </c>
      <c r="C18" s="48">
        <f>IFERROR('Data Sheet'!B29/'Data Sheet'!B$17,0)</f>
        <v>2.9042938226922752E-2</v>
      </c>
      <c r="D18" s="48">
        <f>IFERROR('Data Sheet'!C29/'Data Sheet'!C$17,0)</f>
        <v>1.1078918686109574E-2</v>
      </c>
      <c r="E18" s="48">
        <f>IFERROR('Data Sheet'!D29/'Data Sheet'!D$17,0)</f>
        <v>1.2055321818169885E-2</v>
      </c>
      <c r="F18" s="48">
        <f>IFERROR('Data Sheet'!E29/'Data Sheet'!E$17,0)</f>
        <v>1.4892549653836963E-2</v>
      </c>
      <c r="G18" s="48">
        <f>IFERROR('Data Sheet'!F29/'Data Sheet'!F$17,0)</f>
        <v>-8.0726731015332912E-3</v>
      </c>
      <c r="H18" s="48">
        <f>IFERROR('Data Sheet'!G29/'Data Sheet'!G$17,0)</f>
        <v>1.5139735448971392E-3</v>
      </c>
      <c r="I18" s="48">
        <f>IFERROR('Data Sheet'!H29/'Data Sheet'!H$17,0)</f>
        <v>1.0175794327142584E-2</v>
      </c>
      <c r="J18" s="48">
        <f>IFERROR('Data Sheet'!I29/'Data Sheet'!I$17,0)</f>
        <v>1.5195672442685429E-2</v>
      </c>
      <c r="K18" s="48">
        <f>IFERROR('Data Sheet'!J29/'Data Sheet'!J$17,0)</f>
        <v>2.0350497621203548E-3</v>
      </c>
      <c r="L18" s="48">
        <f>IFERROR('Data Sheet'!K29/'Data Sheet'!K$17,0)</f>
        <v>-8.795149026516404E-3</v>
      </c>
    </row>
    <row r="19" spans="1:15" x14ac:dyDescent="0.25">
      <c r="B19" s="48" t="str">
        <f>'Data Sheet'!A30</f>
        <v>Net profit</v>
      </c>
      <c r="C19" s="48">
        <f>IFERROR('Data Sheet'!B30/'Data Sheet'!B$17,0)</f>
        <v>5.3147682818956064E-2</v>
      </c>
      <c r="D19" s="48">
        <f>IFERROR('Data Sheet'!C30/'Data Sheet'!C$17,0)</f>
        <v>4.2407971415763523E-2</v>
      </c>
      <c r="E19" s="48">
        <f>IFERROR('Data Sheet'!D30/'Data Sheet'!D$17,0)</f>
        <v>2.764021885516954E-2</v>
      </c>
      <c r="F19" s="48">
        <f>IFERROR('Data Sheet'!E30/'Data Sheet'!E$17,0)</f>
        <v>3.0831401821049997E-2</v>
      </c>
      <c r="G19" s="48">
        <f>IFERROR('Data Sheet'!F30/'Data Sheet'!F$17,0)</f>
        <v>-9.5470566181711222E-2</v>
      </c>
      <c r="H19" s="48">
        <f>IFERROR('Data Sheet'!G30/'Data Sheet'!G$17,0)</f>
        <v>-4.6236426475450051E-2</v>
      </c>
      <c r="I19" s="48">
        <f>IFERROR('Data Sheet'!H30/'Data Sheet'!H$17,0)</f>
        <v>-5.3849770661713266E-2</v>
      </c>
      <c r="J19" s="48">
        <f>IFERROR('Data Sheet'!I30/'Data Sheet'!I$17,0)</f>
        <v>-4.1089320368684734E-2</v>
      </c>
      <c r="K19" s="48">
        <f>IFERROR('Data Sheet'!J30/'Data Sheet'!J$17,0)</f>
        <v>6.9783829363826268E-3</v>
      </c>
      <c r="L19" s="48">
        <f>IFERROR('Data Sheet'!K30/'Data Sheet'!K$17,0)</f>
        <v>7.169924391869463E-2</v>
      </c>
      <c r="O19" t="s">
        <v>193</v>
      </c>
    </row>
    <row r="20" spans="1:15" x14ac:dyDescent="0.25">
      <c r="B20" s="48" t="str">
        <f>'Data Sheet'!A31</f>
        <v>Dividend Amount</v>
      </c>
      <c r="C20" s="48">
        <f>IFERROR('Data Sheet'!B31/'Data Sheet'!B$17,0)</f>
        <v>0</v>
      </c>
      <c r="D20" s="48">
        <f>IFERROR('Data Sheet'!C31/'Data Sheet'!C$17,0)</f>
        <v>2.487496593975512E-4</v>
      </c>
      <c r="E20" s="48">
        <f>IFERROR('Data Sheet'!D31/'Data Sheet'!D$17,0)</f>
        <v>0</v>
      </c>
      <c r="F20" s="48">
        <f>IFERROR('Data Sheet'!E31/'Data Sheet'!E$17,0)</f>
        <v>0</v>
      </c>
      <c r="G20" s="48">
        <f>IFERROR('Data Sheet'!F31/'Data Sheet'!F$17,0)</f>
        <v>0</v>
      </c>
      <c r="H20" s="48">
        <f>IFERROR('Data Sheet'!G31/'Data Sheet'!G$17,0)</f>
        <v>0</v>
      </c>
      <c r="I20" s="48">
        <f>IFERROR('Data Sheet'!H31/'Data Sheet'!H$17,0)</f>
        <v>0</v>
      </c>
      <c r="J20" s="48">
        <f>IFERROR('Data Sheet'!I31/'Data Sheet'!I$17,0)</f>
        <v>0</v>
      </c>
      <c r="K20" s="48">
        <f>IFERROR('Data Sheet'!J31/'Data Sheet'!J$17,0)</f>
        <v>2.2141420032091505E-3</v>
      </c>
      <c r="L20" s="48">
        <f>IFERROR('Data Sheet'!K31/'Data Sheet'!K$17,0)</f>
        <v>1.0676760690467288E-2</v>
      </c>
    </row>
    <row r="21" spans="1:15" x14ac:dyDescent="0.25">
      <c r="B21" s="48" t="str">
        <f>'Data Sheet'!A33</f>
        <v>EBIDTA</v>
      </c>
      <c r="C21" s="48">
        <f>IFERROR('Data Sheet'!B33/'Data Sheet'!B$17,0)</f>
        <v>0.15154079104577772</v>
      </c>
      <c r="D21" s="48">
        <f>IFERROR('Data Sheet'!C33/'Data Sheet'!C$17,0)</f>
        <v>0.13259404289979404</v>
      </c>
      <c r="E21" s="48">
        <f>IFERROR('Data Sheet'!D33/'Data Sheet'!D$17,0)</f>
        <v>0.12180015677854755</v>
      </c>
      <c r="F21" s="48">
        <f>IFERROR('Data Sheet'!E33/'Data Sheet'!E$17,0)</f>
        <v>0.13570967195800879</v>
      </c>
      <c r="G21" s="48">
        <f>IFERROR('Data Sheet'!F33/'Data Sheet'!F$17,0)</f>
        <v>-6.340531711103989E-3</v>
      </c>
      <c r="H21" s="48">
        <f>IFERROR('Data Sheet'!G33/'Data Sheet'!G$17,0)</f>
        <v>6.5090941642515554E-2</v>
      </c>
      <c r="I21" s="48">
        <f>IFERROR('Data Sheet'!H33/'Data Sheet'!H$17,0)</f>
        <v>8.3005547554542272E-2</v>
      </c>
      <c r="J21" s="48">
        <f>IFERROR('Data Sheet'!I33/'Data Sheet'!I$17,0)</f>
        <v>9.6739162521930933E-2</v>
      </c>
      <c r="K21" s="48">
        <f>IFERROR('Data Sheet'!J33/'Data Sheet'!J$17,0)</f>
        <v>0.11042727575987964</v>
      </c>
      <c r="L21" s="48">
        <f>IFERROR('Data Sheet'!K33/'Data Sheet'!K$17,0)</f>
        <v>0.14797723377989935</v>
      </c>
    </row>
    <row r="22" spans="1:15" x14ac:dyDescent="0.25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5" x14ac:dyDescent="0.25">
      <c r="B23" s="89"/>
    </row>
    <row r="24" spans="1:15" x14ac:dyDescent="0.25">
      <c r="A24" t="s">
        <v>95</v>
      </c>
      <c r="B24" s="168" t="str">
        <f>"Common Size Balance Sheet - "&amp;'Data Sheet'!$B$1</f>
        <v>Common Size Balance Sheet - TATA MOTORS LTD</v>
      </c>
      <c r="C24" s="168"/>
      <c r="D24" s="168"/>
      <c r="E24" s="168"/>
      <c r="F24" s="168"/>
      <c r="G24" s="168"/>
      <c r="H24" s="168"/>
      <c r="I24" s="168"/>
      <c r="J24" s="168"/>
      <c r="K24" s="168"/>
      <c r="L24" s="168"/>
    </row>
    <row r="26" spans="1:15" x14ac:dyDescent="0.25">
      <c r="B26" s="87" t="s">
        <v>192</v>
      </c>
      <c r="C26" s="88">
        <f>'Data Sheet'!B$56</f>
        <v>42094</v>
      </c>
      <c r="D26" s="88">
        <f>'Data Sheet'!C$56</f>
        <v>42460</v>
      </c>
      <c r="E26" s="88">
        <f>'Data Sheet'!D$56</f>
        <v>42825</v>
      </c>
      <c r="F26" s="88">
        <f>'Data Sheet'!E$56</f>
        <v>43190</v>
      </c>
      <c r="G26" s="88">
        <f>'Data Sheet'!F$56</f>
        <v>43555</v>
      </c>
      <c r="H26" s="88">
        <f>'Data Sheet'!G$56</f>
        <v>43921</v>
      </c>
      <c r="I26" s="88">
        <f>'Data Sheet'!H$56</f>
        <v>44286</v>
      </c>
      <c r="J26" s="88">
        <f>'Data Sheet'!I$56</f>
        <v>44651</v>
      </c>
      <c r="K26" s="88">
        <f>'Data Sheet'!J$56</f>
        <v>45016</v>
      </c>
      <c r="L26" s="88">
        <f>'Data Sheet'!K$56</f>
        <v>45382</v>
      </c>
    </row>
    <row r="28" spans="1:15" x14ac:dyDescent="0.25">
      <c r="B28" s="1" t="s">
        <v>119</v>
      </c>
      <c r="C28" s="90">
        <f>'Data Sheet'!B61/'Data Sheet'!B$61</f>
        <v>1</v>
      </c>
      <c r="D28" s="90">
        <f>'Data Sheet'!C61/'Data Sheet'!C$61</f>
        <v>1</v>
      </c>
      <c r="E28" s="90">
        <f>'Data Sheet'!D61/'Data Sheet'!D$61</f>
        <v>1</v>
      </c>
      <c r="F28" s="90">
        <f>'Data Sheet'!E61/'Data Sheet'!E$61</f>
        <v>1</v>
      </c>
      <c r="G28" s="90">
        <f>'Data Sheet'!F61/'Data Sheet'!F$61</f>
        <v>1</v>
      </c>
      <c r="H28" s="90">
        <f>'Data Sheet'!G61/'Data Sheet'!G$61</f>
        <v>1</v>
      </c>
      <c r="I28" s="90">
        <f>'Data Sheet'!H61/'Data Sheet'!H$61</f>
        <v>1</v>
      </c>
      <c r="J28" s="90">
        <f>'Data Sheet'!I61/'Data Sheet'!I$61</f>
        <v>1</v>
      </c>
      <c r="K28" s="90">
        <f>'Data Sheet'!J61/'Data Sheet'!J$61</f>
        <v>1</v>
      </c>
      <c r="L28" s="90">
        <f>'Data Sheet'!K61/'Data Sheet'!K$61</f>
        <v>1</v>
      </c>
    </row>
    <row r="29" spans="1:15" x14ac:dyDescent="0.25">
      <c r="B29" s="6" t="s">
        <v>24</v>
      </c>
      <c r="C29" s="48">
        <f>'Data Sheet'!B57/'Data Sheet'!B$61</f>
        <v>2.7127681338360746E-3</v>
      </c>
      <c r="D29" s="48">
        <f>'Data Sheet'!C57/'Data Sheet'!C$61</f>
        <v>2.5806268250531225E-3</v>
      </c>
      <c r="E29" s="48">
        <f>'Data Sheet'!D57/'Data Sheet'!D$61</f>
        <v>2.491815624573979E-3</v>
      </c>
      <c r="F29" s="48">
        <f>'Data Sheet'!E57/'Data Sheet'!E$61</f>
        <v>2.0759077068585549E-3</v>
      </c>
      <c r="G29" s="48">
        <f>'Data Sheet'!F57/'Data Sheet'!F$61</f>
        <v>2.2218261230841693E-3</v>
      </c>
      <c r="H29" s="48">
        <f>'Data Sheet'!G57/'Data Sheet'!G$61</f>
        <v>2.2473026761653833E-3</v>
      </c>
      <c r="I29" s="48">
        <f>'Data Sheet'!H57/'Data Sheet'!H$61</f>
        <v>2.2420300429859294E-3</v>
      </c>
      <c r="J29" s="48">
        <f>'Data Sheet'!I57/'Data Sheet'!I$61</f>
        <v>2.3274677325505334E-3</v>
      </c>
      <c r="K29" s="48">
        <f>'Data Sheet'!J57/'Data Sheet'!J$61</f>
        <v>2.2888512875034999E-3</v>
      </c>
      <c r="L29" s="48">
        <f>'Data Sheet'!K57/'Data Sheet'!K$61</f>
        <v>2.0743091975302811E-3</v>
      </c>
    </row>
    <row r="30" spans="1:15" x14ac:dyDescent="0.25">
      <c r="B30" s="6" t="s">
        <v>25</v>
      </c>
      <c r="C30" s="48">
        <f>'Data Sheet'!B58/'Data Sheet'!B$61</f>
        <v>0.23436440687072221</v>
      </c>
      <c r="D30" s="48">
        <f>'Data Sheet'!C58/'Data Sheet'!C$61</f>
        <v>0.2974086354450261</v>
      </c>
      <c r="E30" s="48">
        <f>'Data Sheet'!D58/'Data Sheet'!D$61</f>
        <v>0.21051652437468349</v>
      </c>
      <c r="F30" s="48">
        <f>'Data Sheet'!E58/'Data Sheet'!E$61</f>
        <v>0.28958148432871839</v>
      </c>
      <c r="G30" s="48">
        <f>'Data Sheet'!F58/'Data Sheet'!F$61</f>
        <v>0.19463415350606564</v>
      </c>
      <c r="H30" s="48">
        <f>'Data Sheet'!G58/'Data Sheet'!G$61</f>
        <v>0.19205324240264182</v>
      </c>
      <c r="I30" s="48">
        <f>'Data Sheet'!H58/'Data Sheet'!H$61</f>
        <v>0.15950149121742019</v>
      </c>
      <c r="J30" s="48">
        <f>'Data Sheet'!I58/'Data Sheet'!I$61</f>
        <v>0.13309172094249011</v>
      </c>
      <c r="K30" s="48">
        <f>'Data Sheet'!J58/'Data Sheet'!J$61</f>
        <v>0.13313168263258116</v>
      </c>
      <c r="L30" s="48">
        <f>'Data Sheet'!K58/'Data Sheet'!K$61</f>
        <v>0.22773160068121778</v>
      </c>
    </row>
    <row r="31" spans="1:15" x14ac:dyDescent="0.25">
      <c r="B31" s="6" t="s">
        <v>71</v>
      </c>
      <c r="C31" s="48">
        <f>'Data Sheet'!B59/'Data Sheet'!B$61</f>
        <v>0.31018037266029647</v>
      </c>
      <c r="D31" s="48">
        <f>'Data Sheet'!C59/'Data Sheet'!C$61</f>
        <v>0.2635415844998551</v>
      </c>
      <c r="E31" s="48">
        <f>'Data Sheet'!D59/'Data Sheet'!D$61</f>
        <v>0.2883699324485447</v>
      </c>
      <c r="F31" s="48">
        <f>'Data Sheet'!E59/'Data Sheet'!E$61</f>
        <v>0.27186031948660327</v>
      </c>
      <c r="G31" s="48">
        <f>'Data Sheet'!F59/'Data Sheet'!F$61</f>
        <v>0.34731477877468786</v>
      </c>
      <c r="H31" s="48">
        <f>'Data Sheet'!G59/'Data Sheet'!G$61</f>
        <v>0.38974288757311953</v>
      </c>
      <c r="I31" s="48">
        <f>'Data Sheet'!H59/'Data Sheet'!H$61</f>
        <v>0.41610975041683274</v>
      </c>
      <c r="J31" s="48">
        <f>'Data Sheet'!I59/'Data Sheet'!I$61</f>
        <v>0.445050649956031</v>
      </c>
      <c r="K31" s="48">
        <f>'Data Sheet'!J59/'Data Sheet'!J$61</f>
        <v>0.40072807474416255</v>
      </c>
      <c r="L31" s="48">
        <f>'Data Sheet'!K59/'Data Sheet'!K$61</f>
        <v>0.29027474272679948</v>
      </c>
    </row>
    <row r="32" spans="1:15" x14ac:dyDescent="0.25">
      <c r="B32" s="6" t="s">
        <v>72</v>
      </c>
      <c r="C32" s="48">
        <f>'Data Sheet'!B60/'Data Sheet'!B$61</f>
        <v>0.45274245233514521</v>
      </c>
      <c r="D32" s="48">
        <f>'Data Sheet'!C60/'Data Sheet'!C$61</f>
        <v>0.43646915323006569</v>
      </c>
      <c r="E32" s="48">
        <f>'Data Sheet'!D60/'Data Sheet'!D$61</f>
        <v>0.4986217275521978</v>
      </c>
      <c r="F32" s="48">
        <f>'Data Sheet'!E60/'Data Sheet'!E$61</f>
        <v>0.43648228847781978</v>
      </c>
      <c r="G32" s="48">
        <f>'Data Sheet'!F60/'Data Sheet'!F$61</f>
        <v>0.45582924159616234</v>
      </c>
      <c r="H32" s="48">
        <f>'Data Sheet'!G60/'Data Sheet'!G$61</f>
        <v>0.41595656734807318</v>
      </c>
      <c r="I32" s="48">
        <f>'Data Sheet'!H60/'Data Sheet'!H$61</f>
        <v>0.42214672832276123</v>
      </c>
      <c r="J32" s="48">
        <f>'Data Sheet'!I60/'Data Sheet'!I$61</f>
        <v>0.41953016136892834</v>
      </c>
      <c r="K32" s="48">
        <f>'Data Sheet'!J60/'Data Sheet'!J$61</f>
        <v>0.46385139133575282</v>
      </c>
      <c r="L32" s="48">
        <f>'Data Sheet'!K60/'Data Sheet'!K$61</f>
        <v>0.47991934739445252</v>
      </c>
    </row>
    <row r="33" spans="2:12" x14ac:dyDescent="0.25">
      <c r="B33" s="1"/>
    </row>
    <row r="34" spans="2:12" x14ac:dyDescent="0.25">
      <c r="B34" s="1" t="s">
        <v>195</v>
      </c>
      <c r="C34" s="90">
        <f>'Data Sheet'!B77/'Data Sheet'!B$77</f>
        <v>1</v>
      </c>
      <c r="D34" s="90">
        <f>'Data Sheet'!C77/'Data Sheet'!C$77</f>
        <v>1</v>
      </c>
      <c r="E34" s="90">
        <f>'Data Sheet'!D77/'Data Sheet'!D$77</f>
        <v>1</v>
      </c>
      <c r="F34" s="90">
        <f>'Data Sheet'!E77/'Data Sheet'!E$77</f>
        <v>1</v>
      </c>
      <c r="G34" s="90">
        <f>'Data Sheet'!F77/'Data Sheet'!F$77</f>
        <v>1</v>
      </c>
      <c r="H34" s="90">
        <f>'Data Sheet'!G77/'Data Sheet'!G$77</f>
        <v>1</v>
      </c>
      <c r="I34" s="90">
        <f>'Data Sheet'!H77/'Data Sheet'!H$77</f>
        <v>1</v>
      </c>
      <c r="J34" s="90">
        <f>'Data Sheet'!I77/'Data Sheet'!I$77</f>
        <v>1</v>
      </c>
      <c r="K34" s="90">
        <f>'Data Sheet'!J77/'Data Sheet'!J$77</f>
        <v>1</v>
      </c>
      <c r="L34" s="90">
        <f>'Data Sheet'!K77/'Data Sheet'!K$77</f>
        <v>1</v>
      </c>
    </row>
    <row r="35" spans="2:12" x14ac:dyDescent="0.25">
      <c r="B35" s="6" t="s">
        <v>194</v>
      </c>
      <c r="C35" s="48">
        <f>'Data Sheet'!B62/'Data Sheet'!B$77</f>
        <v>0.37283597031605153</v>
      </c>
      <c r="D35" s="48">
        <f>'Data Sheet'!C62/'Data Sheet'!C$77</f>
        <v>0.40744008415097382</v>
      </c>
      <c r="E35" s="48">
        <f>'Data Sheet'!D62/'Data Sheet'!D$77</f>
        <v>0.35198456704657666</v>
      </c>
      <c r="F35" s="48">
        <f>'Data Sheet'!E62/'Data Sheet'!E$77</f>
        <v>0.37107854258332446</v>
      </c>
      <c r="G35" s="48">
        <f>'Data Sheet'!F62/'Data Sheet'!F$77</f>
        <v>0.36386391925064382</v>
      </c>
      <c r="H35" s="48">
        <f>'Data Sheet'!G62/'Data Sheet'!G$77</f>
        <v>0.39698726392101624</v>
      </c>
      <c r="I35" s="48">
        <f>'Data Sheet'!H62/'Data Sheet'!H$77</f>
        <v>0.40608849298230043</v>
      </c>
      <c r="J35" s="48">
        <f>'Data Sheet'!I62/'Data Sheet'!I$77</f>
        <v>0.42197417266906562</v>
      </c>
      <c r="K35" s="48">
        <f>'Data Sheet'!J62/'Data Sheet'!J$77</f>
        <v>0.39465148263642374</v>
      </c>
      <c r="L35" s="48">
        <f>'Data Sheet'!K62/'Data Sheet'!K$77</f>
        <v>0.32822380326769868</v>
      </c>
    </row>
    <row r="36" spans="2:12" x14ac:dyDescent="0.25">
      <c r="B36" s="6" t="s">
        <v>28</v>
      </c>
      <c r="C36" s="48">
        <f>'Data Sheet'!B63/'Data Sheet'!B$77</f>
        <v>0.12068396579918175</v>
      </c>
      <c r="D36" s="48">
        <f>'Data Sheet'!C63/'Data Sheet'!C$77</f>
        <v>9.8482157662096018E-2</v>
      </c>
      <c r="E36" s="48">
        <f>'Data Sheet'!D63/'Data Sheet'!D$77</f>
        <v>0.12362900980833688</v>
      </c>
      <c r="F36" s="48">
        <f>'Data Sheet'!E63/'Data Sheet'!E$77</f>
        <v>0.12235483522646853</v>
      </c>
      <c r="G36" s="48">
        <f>'Data Sheet'!F63/'Data Sheet'!F$77</f>
        <v>0.1042966176146697</v>
      </c>
      <c r="H36" s="48">
        <f>'Data Sheet'!G63/'Data Sheet'!G$77</f>
        <v>0.11125728611076434</v>
      </c>
      <c r="I36" s="48">
        <f>'Data Sheet'!H63/'Data Sheet'!H$77</f>
        <v>6.137522476731045E-2</v>
      </c>
      <c r="J36" s="48">
        <f>'Data Sheet'!I63/'Data Sheet'!I$77</f>
        <v>3.1152505873598278E-2</v>
      </c>
      <c r="K36" s="48">
        <f>'Data Sheet'!J63/'Data Sheet'!J$77</f>
        <v>4.2651899041106903E-2</v>
      </c>
      <c r="L36" s="48">
        <f>'Data Sheet'!K63/'Data Sheet'!K$77</f>
        <v>9.6607412506706999E-2</v>
      </c>
    </row>
    <row r="37" spans="2:12" x14ac:dyDescent="0.25">
      <c r="B37" s="6" t="s">
        <v>29</v>
      </c>
      <c r="C37" s="48">
        <f>'Data Sheet'!B64/'Data Sheet'!B$77</f>
        <v>6.4626144877021785E-2</v>
      </c>
      <c r="D37" s="48">
        <f>'Data Sheet'!C64/'Data Sheet'!C$77</f>
        <v>9.0305676497502971E-2</v>
      </c>
      <c r="E37" s="48">
        <f>'Data Sheet'!D64/'Data Sheet'!D$77</f>
        <v>7.4612565630187005E-2</v>
      </c>
      <c r="F37" s="48">
        <f>'Data Sheet'!E64/'Data Sheet'!E$77</f>
        <v>6.3610241344366172E-2</v>
      </c>
      <c r="G37" s="48">
        <f>'Data Sheet'!F64/'Data Sheet'!F$77</f>
        <v>5.1588289031309388E-2</v>
      </c>
      <c r="H37" s="48">
        <f>'Data Sheet'!G64/'Data Sheet'!G$77</f>
        <v>5.0935445907370862E-2</v>
      </c>
      <c r="I37" s="48">
        <f>'Data Sheet'!H64/'Data Sheet'!H$77</f>
        <v>7.207976838475029E-2</v>
      </c>
      <c r="J37" s="48">
        <f>'Data Sheet'!I64/'Data Sheet'!I$77</f>
        <v>8.928279635517361E-2</v>
      </c>
      <c r="K37" s="48">
        <f>'Data Sheet'!J64/'Data Sheet'!J$77</f>
        <v>7.8820362822460022E-2</v>
      </c>
      <c r="L37" s="48">
        <f>'Data Sheet'!K64/'Data Sheet'!K$77</f>
        <v>6.216451634456871E-2</v>
      </c>
    </row>
    <row r="38" spans="2:12" x14ac:dyDescent="0.25">
      <c r="B38" s="6" t="s">
        <v>73</v>
      </c>
      <c r="C38" s="48">
        <f>'Data Sheet'!B75/'Data Sheet'!B$77</f>
        <v>0.13016959457099153</v>
      </c>
      <c r="D38" s="48">
        <f>'Data Sheet'!C75/'Data Sheet'!C$77</f>
        <v>0.11239036762552386</v>
      </c>
      <c r="E38" s="48">
        <f>'Data Sheet'!D75/'Data Sheet'!D$77</f>
        <v>0.13706335995740859</v>
      </c>
      <c r="F38" s="48">
        <f>'Data Sheet'!E75/'Data Sheet'!E$77</f>
        <v>0.14757967199729119</v>
      </c>
      <c r="G38" s="48">
        <f>'Data Sheet'!F75/'Data Sheet'!F$77</f>
        <v>0.1836934867835496</v>
      </c>
      <c r="H38" s="48">
        <f>'Data Sheet'!G75/'Data Sheet'!G$77</f>
        <v>0.1836000124805035</v>
      </c>
      <c r="I38" s="48">
        <f>'Data Sheet'!H75/'Data Sheet'!H$77</f>
        <v>0.18068910109792749</v>
      </c>
      <c r="J38" s="48">
        <f>'Data Sheet'!I75/'Data Sheet'!I$77</f>
        <v>0.18909465826584576</v>
      </c>
      <c r="K38" s="48">
        <f>'Data Sheet'!J75/'Data Sheet'!J$77</f>
        <v>0.20447361335612049</v>
      </c>
      <c r="L38" s="48">
        <f>'Data Sheet'!K75/'Data Sheet'!K$77</f>
        <v>0.21384155000177119</v>
      </c>
    </row>
    <row r="39" spans="2:12" x14ac:dyDescent="0.25">
      <c r="B39" s="6" t="s">
        <v>78</v>
      </c>
      <c r="C39" s="48">
        <f>'Data Sheet'!B67/'Data Sheet'!B$77</f>
        <v>5.3006388687363314E-2</v>
      </c>
      <c r="D39" s="48">
        <f>'Data Sheet'!C67/'Data Sheet'!C$77</f>
        <v>5.1564319306195219E-2</v>
      </c>
      <c r="E39" s="48">
        <f>'Data Sheet'!D67/'Data Sheet'!D$77</f>
        <v>5.1638166447501938E-2</v>
      </c>
      <c r="F39" s="48">
        <f>'Data Sheet'!E67/'Data Sheet'!E$77</f>
        <v>6.0800115993123419E-2</v>
      </c>
      <c r="G39" s="48">
        <f>'Data Sheet'!F67/'Data Sheet'!F$77</f>
        <v>6.2139198999658127E-2</v>
      </c>
      <c r="H39" s="48">
        <f>'Data Sheet'!G67/'Data Sheet'!G$77</f>
        <v>3.4895094278241959E-2</v>
      </c>
      <c r="I39" s="48">
        <f>'Data Sheet'!H67/'Data Sheet'!H$77</f>
        <v>3.7120014464974392E-2</v>
      </c>
      <c r="J39" s="48">
        <f>'Data Sheet'!I67/'Data Sheet'!I$77</f>
        <v>3.7810927070195913E-2</v>
      </c>
      <c r="K39" s="48">
        <f>'Data Sheet'!J67/'Data Sheet'!J$77</f>
        <v>4.7024715930643397E-2</v>
      </c>
      <c r="L39" s="48">
        <f>'Data Sheet'!K67/'Data Sheet'!K$77</f>
        <v>4.5875140766843833E-2</v>
      </c>
    </row>
    <row r="40" spans="2:12" x14ac:dyDescent="0.25">
      <c r="B40" s="6" t="s">
        <v>45</v>
      </c>
      <c r="C40" s="48">
        <f>'Data Sheet'!B68/'Data Sheet'!B$77</f>
        <v>0.1233481486762793</v>
      </c>
      <c r="D40" s="48">
        <f>'Data Sheet'!C68/'Data Sheet'!C$77</f>
        <v>0.12407940874244236</v>
      </c>
      <c r="E40" s="48">
        <f>'Data Sheet'!D68/'Data Sheet'!D$77</f>
        <v>0.12871547311772571</v>
      </c>
      <c r="F40" s="48">
        <f>'Data Sheet'!E68/'Data Sheet'!E$77</f>
        <v>0.12878571135383859</v>
      </c>
      <c r="G40" s="48">
        <f>'Data Sheet'!F68/'Data Sheet'!F$77</f>
        <v>0.12761951131143451</v>
      </c>
      <c r="H40" s="48">
        <f>'Data Sheet'!G68/'Data Sheet'!G$77</f>
        <v>0.11698716772494318</v>
      </c>
      <c r="I40" s="48">
        <f>'Data Sheet'!H68/'Data Sheet'!H$77</f>
        <v>0.1056550619461767</v>
      </c>
      <c r="J40" s="48">
        <f>'Data Sheet'!I68/'Data Sheet'!I$77</f>
        <v>0.1070934797019244</v>
      </c>
      <c r="K40" s="48">
        <f>'Data Sheet'!J68/'Data Sheet'!J$77</f>
        <v>0.12177622891596469</v>
      </c>
      <c r="L40" s="48">
        <f>'Data Sheet'!K68/'Data Sheet'!K$77</f>
        <v>0.12932510043215181</v>
      </c>
    </row>
    <row r="41" spans="2:12" x14ac:dyDescent="0.25">
      <c r="B41" s="4" t="s">
        <v>87</v>
      </c>
      <c r="C41" s="48">
        <f>'Data Sheet'!B69/'Data Sheet'!B$77</f>
        <v>0.13532978707311077</v>
      </c>
      <c r="D41" s="48">
        <f>'Data Sheet'!C69/'Data Sheet'!C$77</f>
        <v>0.11573798601526566</v>
      </c>
      <c r="E41" s="48">
        <f>'Data Sheet'!D69/'Data Sheet'!D$77</f>
        <v>0.13235685799226327</v>
      </c>
      <c r="F41" s="48">
        <f>'Data Sheet'!E69/'Data Sheet'!E$77</f>
        <v>0.10579088150158772</v>
      </c>
      <c r="G41" s="48">
        <f>'Data Sheet'!F69/'Data Sheet'!F$77</f>
        <v>0.10679897700873484</v>
      </c>
      <c r="H41" s="48">
        <f>'Data Sheet'!G69/'Data Sheet'!G$77</f>
        <v>0.10533772957715985</v>
      </c>
      <c r="I41" s="48">
        <f>'Data Sheet'!H69/'Data Sheet'!H$77</f>
        <v>0.13699233635656022</v>
      </c>
      <c r="J41" s="48">
        <f>'Data Sheet'!I69/'Data Sheet'!I$77</f>
        <v>0.12359146006419652</v>
      </c>
      <c r="K41" s="48">
        <f>'Data Sheet'!J69/'Data Sheet'!J$77</f>
        <v>0.11060169729728082</v>
      </c>
      <c r="L41" s="48">
        <f>'Data Sheet'!K69/'Data Sheet'!K$77</f>
        <v>0.1239624766802588</v>
      </c>
    </row>
  </sheetData>
  <mergeCells count="2">
    <mergeCell ref="B2:L2"/>
    <mergeCell ref="B24:L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4109-BFCF-4282-8C6C-AC4F9D809328}">
  <sheetPr>
    <tabColor rgb="FF002060"/>
  </sheetPr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8822-1CAC-4EB6-9064-0599260F015B}">
  <dimension ref="B2:J41"/>
  <sheetViews>
    <sheetView showGridLines="0" topLeftCell="A17" zoomScale="120" zoomScaleNormal="120" workbookViewId="0">
      <selection activeCell="M9" sqref="M9"/>
    </sheetView>
  </sheetViews>
  <sheetFormatPr defaultRowHeight="15" x14ac:dyDescent="0.25"/>
  <cols>
    <col min="1" max="1" width="1.85546875" customWidth="1"/>
    <col min="2" max="2" width="20" customWidth="1"/>
    <col min="3" max="3" width="10.42578125" customWidth="1"/>
    <col min="4" max="4" width="10.85546875" customWidth="1"/>
    <col min="5" max="5" width="11" customWidth="1"/>
    <col min="6" max="6" width="9.7109375" customWidth="1"/>
    <col min="7" max="7" width="8" customWidth="1"/>
    <col min="8" max="8" width="11" customWidth="1"/>
    <col min="9" max="9" width="10.28515625" customWidth="1"/>
    <col min="10" max="10" width="10.85546875" customWidth="1"/>
  </cols>
  <sheetData>
    <row r="2" spans="2:10" ht="18.75" x14ac:dyDescent="0.3">
      <c r="B2" s="91" t="s">
        <v>197</v>
      </c>
      <c r="C2" s="92"/>
      <c r="D2" s="92"/>
      <c r="E2" s="92"/>
      <c r="F2" s="92"/>
      <c r="G2" s="92"/>
      <c r="H2" s="92"/>
      <c r="I2" s="92"/>
      <c r="J2" s="92"/>
    </row>
    <row r="4" spans="2:10" x14ac:dyDescent="0.25">
      <c r="B4" s="93" t="s">
        <v>198</v>
      </c>
    </row>
    <row r="6" spans="2:10" x14ac:dyDescent="0.25">
      <c r="B6" s="2" t="s">
        <v>199</v>
      </c>
    </row>
    <row r="7" spans="2:10" x14ac:dyDescent="0.25">
      <c r="B7" s="94"/>
      <c r="C7" s="95"/>
      <c r="D7" s="95"/>
      <c r="E7" s="95"/>
      <c r="F7" s="95"/>
      <c r="G7" s="95" t="s">
        <v>200</v>
      </c>
      <c r="H7" s="95" t="s">
        <v>200</v>
      </c>
      <c r="I7" s="95" t="s">
        <v>201</v>
      </c>
      <c r="J7" s="95" t="s">
        <v>202</v>
      </c>
    </row>
    <row r="8" spans="2:10" ht="17.25" x14ac:dyDescent="0.25">
      <c r="B8" s="96" t="s">
        <v>203</v>
      </c>
      <c r="C8" s="97" t="s">
        <v>204</v>
      </c>
      <c r="D8" s="97" t="s">
        <v>205</v>
      </c>
      <c r="E8" s="97" t="s">
        <v>206</v>
      </c>
      <c r="F8" s="97" t="s">
        <v>207</v>
      </c>
      <c r="G8" s="97" t="s">
        <v>208</v>
      </c>
      <c r="H8" s="97" t="s">
        <v>209</v>
      </c>
      <c r="I8" s="97" t="s">
        <v>210</v>
      </c>
      <c r="J8" s="97" t="s">
        <v>211</v>
      </c>
    </row>
    <row r="9" spans="2:10" x14ac:dyDescent="0.25">
      <c r="C9" s="26"/>
      <c r="D9" s="26"/>
      <c r="E9" s="26"/>
      <c r="F9" s="26"/>
      <c r="G9" s="26"/>
      <c r="H9" s="26"/>
      <c r="I9" s="26"/>
      <c r="J9" s="26"/>
    </row>
    <row r="10" spans="2:10" x14ac:dyDescent="0.25">
      <c r="B10" s="152" t="s">
        <v>291</v>
      </c>
      <c r="C10" s="98" t="s">
        <v>212</v>
      </c>
      <c r="D10" s="99">
        <f>IFERROR('Beta - Comps'!F4,0)</f>
        <v>107262.5</v>
      </c>
      <c r="E10" s="99">
        <f>IFERROR('Beta - Comps'!E4,0)</f>
        <v>376292.75</v>
      </c>
      <c r="F10" s="100">
        <v>0.3</v>
      </c>
      <c r="G10" s="101">
        <f>D10/E10</f>
        <v>0.28505066866156736</v>
      </c>
      <c r="H10" s="101">
        <f>D10/SUM(D10,E10)</f>
        <v>0.22182056755665458</v>
      </c>
      <c r="I10" s="102">
        <f>Beta!M7</f>
        <v>1.1639114162017081</v>
      </c>
      <c r="J10" s="103">
        <f>I10/(1+(1-F10)*G10)</f>
        <v>0.97030179364440838</v>
      </c>
    </row>
    <row r="11" spans="2:10" x14ac:dyDescent="0.25">
      <c r="B11" s="152" t="s">
        <v>290</v>
      </c>
      <c r="C11" s="98" t="s">
        <v>212</v>
      </c>
      <c r="D11" s="99">
        <f>IFERROR('Beta - Comps'!F3,0)</f>
        <v>118.6</v>
      </c>
      <c r="E11" s="99">
        <f>IFERROR('Beta - Comps'!E3,0)</f>
        <v>397247.65</v>
      </c>
      <c r="F11" s="100">
        <v>0.3</v>
      </c>
      <c r="G11" s="101">
        <f t="shared" ref="G11:G14" si="0">D11/E11</f>
        <v>2.9855431492168674E-4</v>
      </c>
      <c r="H11" s="101">
        <f t="shared" ref="H11:H14" si="1">D11/SUM(D11,E11)</f>
        <v>2.9846520684632878E-4</v>
      </c>
      <c r="I11" s="102">
        <f>Beta!AS7</f>
        <v>1.2348373236373322</v>
      </c>
      <c r="J11" s="103">
        <f t="shared" ref="J11:J14" si="2">I11/(1+(1-F11)*G11)</f>
        <v>1.2345793113509704</v>
      </c>
    </row>
    <row r="12" spans="2:10" x14ac:dyDescent="0.25">
      <c r="B12" s="152" t="s">
        <v>292</v>
      </c>
      <c r="C12" s="98" t="s">
        <v>212</v>
      </c>
      <c r="D12" s="99">
        <f>IFERROR('Beta - Comps'!F5,0)</f>
        <v>108647.25</v>
      </c>
      <c r="E12" s="99">
        <f>IFERROR('Beta - Comps'!E5,0)</f>
        <v>350668.9</v>
      </c>
      <c r="F12" s="100">
        <v>0.3</v>
      </c>
      <c r="G12" s="101">
        <f t="shared" si="0"/>
        <v>0.30982858759359611</v>
      </c>
      <c r="H12" s="101">
        <f t="shared" si="1"/>
        <v>0.23654132344355841</v>
      </c>
      <c r="I12" s="102">
        <f>Beta!AC7</f>
        <v>0.57405269548300752</v>
      </c>
      <c r="J12" s="103">
        <f t="shared" si="2"/>
        <v>0.47174141258382873</v>
      </c>
    </row>
    <row r="13" spans="2:10" x14ac:dyDescent="0.25">
      <c r="B13" s="152" t="s">
        <v>293</v>
      </c>
      <c r="C13" s="98" t="s">
        <v>212</v>
      </c>
      <c r="D13" s="99">
        <f>IFERROR('Beta - Comps'!F6,0)</f>
        <v>1911.74</v>
      </c>
      <c r="E13" s="99">
        <f>IFERROR('Beta - Comps'!E6,0)</f>
        <v>268730.05</v>
      </c>
      <c r="F13" s="100">
        <v>0.3</v>
      </c>
      <c r="G13" s="101">
        <f t="shared" si="0"/>
        <v>7.1139792516691008E-3</v>
      </c>
      <c r="H13" s="101">
        <f t="shared" si="1"/>
        <v>7.06372803697463E-3</v>
      </c>
      <c r="I13" s="102">
        <f>Beta!BY7</f>
        <v>0.77989076603170671</v>
      </c>
      <c r="J13" s="103">
        <f t="shared" si="2"/>
        <v>0.77602632142713945</v>
      </c>
    </row>
    <row r="14" spans="2:10" x14ac:dyDescent="0.25">
      <c r="B14" s="152" t="s">
        <v>294</v>
      </c>
      <c r="C14" s="98" t="s">
        <v>212</v>
      </c>
      <c r="D14" s="99">
        <f>IFERROR('Beta - Comps'!F7,0)</f>
        <v>419.44</v>
      </c>
      <c r="E14" s="99">
        <f>IFERROR('Beta - Comps'!E7,0)</f>
        <v>135087.1</v>
      </c>
      <c r="F14" s="100">
        <v>0.3</v>
      </c>
      <c r="G14" s="101">
        <f t="shared" si="0"/>
        <v>3.1049596889710417E-3</v>
      </c>
      <c r="H14" s="101">
        <f t="shared" si="1"/>
        <v>3.0953487558607871E-3</v>
      </c>
      <c r="I14" s="102">
        <f>Beta!BI7</f>
        <v>0.58753116480356105</v>
      </c>
      <c r="J14" s="103">
        <f t="shared" si="2"/>
        <v>0.58625695186152471</v>
      </c>
    </row>
    <row r="16" spans="2:10" x14ac:dyDescent="0.25">
      <c r="E16" s="104" t="s">
        <v>213</v>
      </c>
      <c r="F16" s="105">
        <f>AVERAGE(F10:F14)</f>
        <v>0.3</v>
      </c>
      <c r="G16" s="105">
        <f t="shared" ref="G16:J16" si="3">AVERAGE(G10:G14)</f>
        <v>0.12107934990214506</v>
      </c>
      <c r="H16" s="105">
        <f t="shared" si="3"/>
        <v>9.3763886599978946E-2</v>
      </c>
      <c r="I16" s="106">
        <f t="shared" si="3"/>
        <v>0.86804467323146317</v>
      </c>
      <c r="J16" s="106">
        <f t="shared" si="3"/>
        <v>0.80778115817357432</v>
      </c>
    </row>
    <row r="17" spans="2:10" x14ac:dyDescent="0.25">
      <c r="E17" s="107" t="s">
        <v>188</v>
      </c>
      <c r="F17" s="108">
        <f>MEDIAN(F10:F14)</f>
        <v>0.3</v>
      </c>
      <c r="G17" s="108">
        <f t="shared" ref="G17:J17" si="4">MEDIAN(G10:G14)</f>
        <v>7.1139792516691008E-3</v>
      </c>
      <c r="H17" s="108">
        <f t="shared" si="4"/>
        <v>7.06372803697463E-3</v>
      </c>
      <c r="I17" s="109">
        <f t="shared" si="4"/>
        <v>0.77989076603170671</v>
      </c>
      <c r="J17" s="109">
        <f t="shared" si="4"/>
        <v>0.77602632142713945</v>
      </c>
    </row>
    <row r="20" spans="2:10" x14ac:dyDescent="0.25">
      <c r="B20" s="107" t="s">
        <v>214</v>
      </c>
      <c r="C20" s="97"/>
      <c r="D20" s="96"/>
      <c r="E20" s="96"/>
      <c r="G20" s="107" t="s">
        <v>215</v>
      </c>
      <c r="H20" s="96"/>
      <c r="I20" s="96"/>
      <c r="J20" s="96"/>
    </row>
    <row r="21" spans="2:10" x14ac:dyDescent="0.25">
      <c r="C21" s="26"/>
    </row>
    <row r="22" spans="2:10" x14ac:dyDescent="0.25">
      <c r="B22" t="s">
        <v>216</v>
      </c>
      <c r="C22" s="26"/>
      <c r="E22" s="110">
        <f>9986/107262.5</f>
        <v>9.3098706444470339E-2</v>
      </c>
      <c r="G22" t="s">
        <v>217</v>
      </c>
      <c r="J22" s="111">
        <v>6.9650000000000004E-2</v>
      </c>
    </row>
    <row r="23" spans="2:10" x14ac:dyDescent="0.25">
      <c r="B23" t="s">
        <v>218</v>
      </c>
      <c r="C23" s="26"/>
      <c r="E23" s="112">
        <f>F10</f>
        <v>0.3</v>
      </c>
      <c r="G23" t="s">
        <v>219</v>
      </c>
      <c r="J23" s="113">
        <f>Rm!G8</f>
        <v>0.16859166666666667</v>
      </c>
    </row>
    <row r="24" spans="2:10" ht="17.25" x14ac:dyDescent="0.25">
      <c r="B24" s="68" t="s">
        <v>220</v>
      </c>
      <c r="C24" s="114"/>
      <c r="D24" s="68"/>
      <c r="E24" s="115">
        <f>E22*(1-E23)</f>
        <v>6.5169094511129233E-2</v>
      </c>
      <c r="G24" t="s">
        <v>221</v>
      </c>
      <c r="J24" s="116">
        <f>J33</f>
        <v>0.83223051594939235</v>
      </c>
    </row>
    <row r="25" spans="2:10" x14ac:dyDescent="0.25">
      <c r="C25" s="26"/>
      <c r="G25" s="68" t="s">
        <v>215</v>
      </c>
      <c r="H25" s="68"/>
      <c r="I25" s="68"/>
      <c r="J25" s="115">
        <f>J22+J23*J24</f>
        <v>0.20995712973476799</v>
      </c>
    </row>
    <row r="26" spans="2:10" x14ac:dyDescent="0.25">
      <c r="C26" s="26"/>
    </row>
    <row r="27" spans="2:10" x14ac:dyDescent="0.25">
      <c r="C27" s="26"/>
    </row>
    <row r="28" spans="2:10" x14ac:dyDescent="0.25">
      <c r="B28" s="107" t="s">
        <v>222</v>
      </c>
      <c r="C28" s="96"/>
      <c r="D28" s="97"/>
      <c r="E28" s="96"/>
      <c r="G28" s="107" t="s">
        <v>223</v>
      </c>
      <c r="H28" s="96"/>
      <c r="I28" s="97"/>
      <c r="J28" s="96"/>
    </row>
    <row r="29" spans="2:10" x14ac:dyDescent="0.25">
      <c r="D29" s="26"/>
    </row>
    <row r="30" spans="2:10" x14ac:dyDescent="0.25">
      <c r="D30" s="117" t="s">
        <v>224</v>
      </c>
      <c r="E30" s="117" t="s">
        <v>225</v>
      </c>
      <c r="G30" t="s">
        <v>226</v>
      </c>
      <c r="J30" s="116">
        <f>J17</f>
        <v>0.77602632142713945</v>
      </c>
    </row>
    <row r="31" spans="2:10" x14ac:dyDescent="0.25">
      <c r="B31" t="s">
        <v>205</v>
      </c>
      <c r="C31" s="140">
        <f>D10</f>
        <v>107262.5</v>
      </c>
      <c r="D31" s="48">
        <f>C31/$C$33</f>
        <v>0.22182056755665458</v>
      </c>
      <c r="E31" s="110">
        <f>H16</f>
        <v>9.3763886599978946E-2</v>
      </c>
      <c r="G31" t="s">
        <v>227</v>
      </c>
      <c r="J31" s="5">
        <f>E35</f>
        <v>0.10346518441887638</v>
      </c>
    </row>
    <row r="32" spans="2:10" x14ac:dyDescent="0.25">
      <c r="B32" t="s">
        <v>79</v>
      </c>
      <c r="C32" s="140">
        <f>E10</f>
        <v>376292.75</v>
      </c>
      <c r="D32" s="48">
        <f>C32/$C$33</f>
        <v>0.77817943244334542</v>
      </c>
      <c r="E32" s="5">
        <f>E33-E31</f>
        <v>0.90623611340002108</v>
      </c>
      <c r="G32" t="s">
        <v>228</v>
      </c>
      <c r="J32" s="5">
        <f>E23</f>
        <v>0.3</v>
      </c>
    </row>
    <row r="33" spans="2:10" x14ac:dyDescent="0.25">
      <c r="B33" s="68" t="s">
        <v>229</v>
      </c>
      <c r="C33" s="118">
        <f>SUM(C31:C32)</f>
        <v>483555.25</v>
      </c>
      <c r="D33" s="69">
        <f>SUM(D31:D32)</f>
        <v>1</v>
      </c>
      <c r="E33" s="119">
        <v>1</v>
      </c>
      <c r="G33" s="68" t="s">
        <v>223</v>
      </c>
      <c r="H33" s="68"/>
      <c r="I33" s="68"/>
      <c r="J33" s="120">
        <f>J30*(1+(1-J32)*J31)</f>
        <v>0.83223051594939235</v>
      </c>
    </row>
    <row r="35" spans="2:10" x14ac:dyDescent="0.25">
      <c r="B35" t="s">
        <v>230</v>
      </c>
      <c r="D35" s="121">
        <f>D31/D32</f>
        <v>0.28505066866156736</v>
      </c>
      <c r="E35" s="121">
        <f>E31/E32</f>
        <v>0.10346518441887638</v>
      </c>
      <c r="G35" s="107" t="s">
        <v>231</v>
      </c>
      <c r="H35" s="96"/>
      <c r="I35" s="97"/>
      <c r="J35" s="96"/>
    </row>
    <row r="37" spans="2:10" x14ac:dyDescent="0.25">
      <c r="B37" s="122" t="s">
        <v>232</v>
      </c>
    </row>
    <row r="38" spans="2:10" x14ac:dyDescent="0.25">
      <c r="B38" s="123" t="s">
        <v>233</v>
      </c>
      <c r="I38" s="117" t="s">
        <v>234</v>
      </c>
      <c r="J38" s="117" t="s">
        <v>235</v>
      </c>
    </row>
    <row r="39" spans="2:10" x14ac:dyDescent="0.25">
      <c r="B39" s="123" t="s">
        <v>236</v>
      </c>
      <c r="G39" t="s">
        <v>237</v>
      </c>
      <c r="I39" s="5">
        <f>E24</f>
        <v>6.5169094511129233E-2</v>
      </c>
      <c r="J39" s="5">
        <f>E31</f>
        <v>9.3763886599978946E-2</v>
      </c>
    </row>
    <row r="40" spans="2:10" x14ac:dyDescent="0.25">
      <c r="B40" s="123" t="s">
        <v>238</v>
      </c>
      <c r="G40" t="s">
        <v>208</v>
      </c>
      <c r="I40" s="5">
        <f>J25</f>
        <v>0.20995712973476799</v>
      </c>
      <c r="J40" s="5">
        <f>E32</f>
        <v>0.90623611340002108</v>
      </c>
    </row>
    <row r="41" spans="2:10" x14ac:dyDescent="0.25">
      <c r="B41" s="123" t="s">
        <v>239</v>
      </c>
      <c r="G41" s="124" t="s">
        <v>240</v>
      </c>
      <c r="H41" s="124"/>
      <c r="I41" s="124"/>
      <c r="J41" s="125">
        <f>SUMPRODUCT(I39:I40,J39:J40)</f>
        <v>0.196381240819025</v>
      </c>
    </row>
  </sheetData>
  <pageMargins left="0.70866141732283472" right="0.70866141732283472" top="0.74803149606299213" bottom="0.74803149606299213" header="0.31496062992125984" footer="0.31496062992125984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F90-CA30-4120-AA1C-1D55A7F40D69}">
  <dimension ref="A2:K64"/>
  <sheetViews>
    <sheetView showGridLines="0"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K54" sqref="K54"/>
    </sheetView>
  </sheetViews>
  <sheetFormatPr defaultRowHeight="15" x14ac:dyDescent="0.25"/>
  <cols>
    <col min="1" max="1" width="1.85546875" customWidth="1"/>
    <col min="7" max="7" width="11.28515625" bestFit="1" customWidth="1"/>
    <col min="8" max="8" width="14.42578125" customWidth="1"/>
    <col min="9" max="9" width="11.28515625" bestFit="1" customWidth="1"/>
    <col min="10" max="10" width="14.28515625" customWidth="1"/>
    <col min="11" max="11" width="11.28515625" bestFit="1" customWidth="1"/>
  </cols>
  <sheetData>
    <row r="2" spans="2:11" x14ac:dyDescent="0.25">
      <c r="B2" s="27" t="s">
        <v>328</v>
      </c>
      <c r="C2" s="27"/>
      <c r="D2" s="27"/>
      <c r="E2" s="27"/>
      <c r="F2" s="27"/>
      <c r="G2" s="141">
        <f>'Raw FS'!J$3</f>
        <v>43891</v>
      </c>
      <c r="H2" s="141">
        <f>'Raw FS'!K$3</f>
        <v>44256</v>
      </c>
      <c r="I2" s="141">
        <f>'Raw FS'!L$3</f>
        <v>44621</v>
      </c>
      <c r="J2" s="141">
        <f>'Raw FS'!M$3</f>
        <v>44986</v>
      </c>
      <c r="K2" s="141">
        <f>'Raw FS'!N$3</f>
        <v>45352</v>
      </c>
    </row>
    <row r="4" spans="2:11" x14ac:dyDescent="0.25">
      <c r="B4" s="2" t="s">
        <v>329</v>
      </c>
    </row>
    <row r="5" spans="2:11" x14ac:dyDescent="0.25">
      <c r="B5" s="156" t="str">
        <f>'Raw FS'!B37</f>
        <v>Inventories</v>
      </c>
      <c r="C5" s="156"/>
      <c r="D5" s="156"/>
      <c r="E5" s="156"/>
      <c r="F5" s="156"/>
      <c r="G5" s="157">
        <f>'Raw FS'!J37</f>
        <v>37457</v>
      </c>
      <c r="H5" s="157">
        <f>'Raw FS'!K37</f>
        <v>36089</v>
      </c>
      <c r="I5" s="157">
        <f>'Raw FS'!L37</f>
        <v>35240</v>
      </c>
      <c r="J5" s="157">
        <f>'Raw FS'!M37</f>
        <v>40755</v>
      </c>
      <c r="K5" s="157">
        <f>'Raw FS'!N37</f>
        <v>47788</v>
      </c>
    </row>
    <row r="6" spans="2:11" x14ac:dyDescent="0.25">
      <c r="B6" s="156" t="str">
        <f>'Raw FS'!B38</f>
        <v>Trade receivables</v>
      </c>
      <c r="C6" s="156"/>
      <c r="D6" s="156"/>
      <c r="E6" s="156"/>
      <c r="F6" s="156"/>
      <c r="G6" s="157">
        <f>'Raw FS'!J38</f>
        <v>11173</v>
      </c>
      <c r="H6" s="157">
        <f>'Raw FS'!K38</f>
        <v>12679</v>
      </c>
      <c r="I6" s="157">
        <f>'Raw FS'!L38</f>
        <v>12442</v>
      </c>
      <c r="J6" s="157">
        <f>'Raw FS'!M38</f>
        <v>15738</v>
      </c>
      <c r="K6" s="157">
        <f>'Raw FS'!N38</f>
        <v>16952</v>
      </c>
    </row>
    <row r="7" spans="2:11" x14ac:dyDescent="0.25">
      <c r="B7" s="156" t="str">
        <f>'Raw FS'!B40</f>
        <v>Short term loans</v>
      </c>
      <c r="C7" s="156"/>
      <c r="D7" s="156"/>
      <c r="E7" s="156"/>
      <c r="F7" s="156"/>
      <c r="G7" s="157">
        <f>'Raw FS'!J40</f>
        <v>39</v>
      </c>
      <c r="H7" s="157">
        <f>'Raw FS'!K40</f>
        <v>142</v>
      </c>
      <c r="I7" s="157">
        <f>'Raw FS'!L40</f>
        <v>47</v>
      </c>
      <c r="J7" s="157">
        <f>'Raw FS'!M40</f>
        <v>119</v>
      </c>
      <c r="K7" s="157">
        <f>'Raw FS'!N40</f>
        <v>168</v>
      </c>
    </row>
    <row r="8" spans="2:11" x14ac:dyDescent="0.25">
      <c r="B8" s="158" t="str">
        <f>'Raw FS'!B41</f>
        <v>Other asset items</v>
      </c>
      <c r="C8" s="158"/>
      <c r="D8" s="158"/>
      <c r="E8" s="158"/>
      <c r="F8" s="158"/>
      <c r="G8" s="159">
        <f>'Raw FS'!J41</f>
        <v>58746</v>
      </c>
      <c r="H8" s="159">
        <f>'Raw FS'!K41</f>
        <v>61576</v>
      </c>
      <c r="I8" s="159">
        <f>'Raw FS'!L41</f>
        <v>62177</v>
      </c>
      <c r="J8" s="159">
        <f>'Raw FS'!M41</f>
        <v>68313</v>
      </c>
      <c r="K8" s="159">
        <f>'Raw FS'!N41</f>
        <v>78851</v>
      </c>
    </row>
    <row r="9" spans="2:11" x14ac:dyDescent="0.25">
      <c r="B9" s="149" t="s">
        <v>120</v>
      </c>
      <c r="C9" s="149"/>
      <c r="D9" s="149"/>
      <c r="E9" s="149"/>
      <c r="F9" s="149"/>
      <c r="G9" s="154">
        <f t="shared" ref="G9:K9" si="0">SUM(G5:G8)</f>
        <v>107415</v>
      </c>
      <c r="H9" s="154">
        <f t="shared" si="0"/>
        <v>110486</v>
      </c>
      <c r="I9" s="154">
        <f t="shared" si="0"/>
        <v>109906</v>
      </c>
      <c r="J9" s="154">
        <f t="shared" si="0"/>
        <v>124925</v>
      </c>
      <c r="K9" s="154">
        <f t="shared" si="0"/>
        <v>143759</v>
      </c>
    </row>
    <row r="10" spans="2:11" x14ac:dyDescent="0.25">
      <c r="G10" s="142"/>
      <c r="H10" s="142"/>
      <c r="I10" s="142"/>
      <c r="J10" s="142"/>
      <c r="K10" s="142"/>
    </row>
    <row r="11" spans="2:11" x14ac:dyDescent="0.25">
      <c r="B11" s="2" t="s">
        <v>331</v>
      </c>
      <c r="G11" s="142"/>
      <c r="H11" s="142"/>
      <c r="I11" s="142"/>
      <c r="J11" s="142"/>
      <c r="K11" s="142"/>
    </row>
    <row r="12" spans="2:11" x14ac:dyDescent="0.25">
      <c r="B12" s="156" t="str">
        <f>'Raw FS'!B14</f>
        <v>Trade Payables</v>
      </c>
      <c r="C12" s="156"/>
      <c r="D12" s="156"/>
      <c r="E12" s="156"/>
      <c r="F12" s="156"/>
      <c r="G12" s="157">
        <f>'Raw FS'!J14</f>
        <v>66398</v>
      </c>
      <c r="H12" s="157">
        <f>'Raw FS'!K14</f>
        <v>76040</v>
      </c>
      <c r="I12" s="157">
        <f>'Raw FS'!L14</f>
        <v>69750</v>
      </c>
      <c r="J12" s="157">
        <f>'Raw FS'!M14</f>
        <v>79252</v>
      </c>
      <c r="K12" s="157">
        <f>'Raw FS'!N14</f>
        <v>93979</v>
      </c>
    </row>
    <row r="13" spans="2:11" x14ac:dyDescent="0.25">
      <c r="B13" s="156" t="str">
        <f>'Raw FS'!B15</f>
        <v>Advance from Customers</v>
      </c>
      <c r="C13" s="156"/>
      <c r="D13" s="156"/>
      <c r="E13" s="156"/>
      <c r="F13" s="156"/>
      <c r="G13" s="157">
        <f>'Raw FS'!J15</f>
        <v>0</v>
      </c>
      <c r="H13" s="157">
        <f>'Raw FS'!K15</f>
        <v>0</v>
      </c>
      <c r="I13" s="157">
        <f>'Raw FS'!L15</f>
        <v>0</v>
      </c>
      <c r="J13" s="157">
        <f>'Raw FS'!M15</f>
        <v>0</v>
      </c>
      <c r="K13" s="157">
        <f>'Raw FS'!N15</f>
        <v>0</v>
      </c>
    </row>
    <row r="14" spans="2:11" x14ac:dyDescent="0.25">
      <c r="B14" s="158" t="str">
        <f>'Raw FS'!B16</f>
        <v>Other liability items</v>
      </c>
      <c r="C14" s="158"/>
      <c r="D14" s="158"/>
      <c r="E14" s="158"/>
      <c r="F14" s="158"/>
      <c r="G14" s="159">
        <f>'Raw FS'!J16</f>
        <v>65969</v>
      </c>
      <c r="H14" s="159">
        <f>'Raw FS'!K16</f>
        <v>66579</v>
      </c>
      <c r="I14" s="159">
        <f>'Raw FS'!L16</f>
        <v>64030</v>
      </c>
      <c r="J14" s="159">
        <f>'Raw FS'!M16</f>
        <v>68710</v>
      </c>
      <c r="K14" s="159">
        <f>'Raw FS'!N16</f>
        <v>75186</v>
      </c>
    </row>
    <row r="15" spans="2:11" x14ac:dyDescent="0.25">
      <c r="B15" s="149" t="s">
        <v>332</v>
      </c>
      <c r="C15" s="149"/>
      <c r="D15" s="149"/>
      <c r="E15" s="149"/>
      <c r="F15" s="149"/>
      <c r="G15" s="154">
        <f>SUM(G12:G14)</f>
        <v>132367</v>
      </c>
      <c r="H15" s="154">
        <f>SUM(H12:H14)</f>
        <v>142619</v>
      </c>
      <c r="I15" s="154">
        <f>SUM(I12:I14)</f>
        <v>133780</v>
      </c>
      <c r="J15" s="154">
        <f>SUM(J12:J14)</f>
        <v>147962</v>
      </c>
      <c r="K15" s="154">
        <f>SUM(K12:K14)</f>
        <v>169165</v>
      </c>
    </row>
    <row r="16" spans="2:11" x14ac:dyDescent="0.25">
      <c r="G16" s="142"/>
      <c r="H16" s="142"/>
      <c r="I16" s="142"/>
      <c r="J16" s="142"/>
      <c r="K16" s="142"/>
    </row>
    <row r="17" spans="1:11" ht="15.75" thickBot="1" x14ac:dyDescent="0.3">
      <c r="A17" t="s">
        <v>95</v>
      </c>
      <c r="B17" s="150" t="s">
        <v>333</v>
      </c>
      <c r="C17" s="150"/>
      <c r="D17" s="150"/>
      <c r="E17" s="150"/>
      <c r="F17" s="150"/>
      <c r="G17" s="155">
        <f>G9-G15</f>
        <v>-24952</v>
      </c>
      <c r="H17" s="155">
        <f t="shared" ref="H17:K17" si="1">H9-H15</f>
        <v>-32133</v>
      </c>
      <c r="I17" s="155">
        <f t="shared" si="1"/>
        <v>-23874</v>
      </c>
      <c r="J17" s="155">
        <f t="shared" si="1"/>
        <v>-23037</v>
      </c>
      <c r="K17" s="155">
        <f t="shared" si="1"/>
        <v>-25406</v>
      </c>
    </row>
    <row r="18" spans="1:11" ht="15.75" thickTop="1" x14ac:dyDescent="0.25">
      <c r="G18" s="142"/>
      <c r="H18" s="142"/>
      <c r="I18" s="142"/>
      <c r="J18" s="142"/>
      <c r="K18" s="142"/>
    </row>
    <row r="19" spans="1:11" x14ac:dyDescent="0.25">
      <c r="B19" s="2" t="s">
        <v>334</v>
      </c>
      <c r="G19" s="142"/>
      <c r="H19" s="142"/>
      <c r="I19" s="142"/>
      <c r="J19" s="142"/>
      <c r="K19" s="142"/>
    </row>
    <row r="20" spans="1:11" x14ac:dyDescent="0.25">
      <c r="B20" s="156" t="str">
        <f>'Raw FS'!B20</f>
        <v>Land</v>
      </c>
      <c r="C20" s="156"/>
      <c r="D20" s="156"/>
      <c r="E20" s="156"/>
      <c r="F20" s="156"/>
      <c r="G20" s="157">
        <f>'Raw FS'!J20</f>
        <v>7675</v>
      </c>
      <c r="H20" s="157">
        <f>'Raw FS'!K20</f>
        <v>7819</v>
      </c>
      <c r="I20" s="157">
        <f>'Raw FS'!L20</f>
        <v>7760</v>
      </c>
      <c r="J20" s="157">
        <f>'Raw FS'!M20</f>
        <v>8045</v>
      </c>
      <c r="K20" s="157">
        <f>'Raw FS'!N20</f>
        <v>7930</v>
      </c>
    </row>
    <row r="21" spans="1:11" x14ac:dyDescent="0.25">
      <c r="B21" s="156" t="str">
        <f>'Raw FS'!B21</f>
        <v>Building</v>
      </c>
      <c r="C21" s="156"/>
      <c r="D21" s="156"/>
      <c r="E21" s="156"/>
      <c r="F21" s="156"/>
      <c r="G21" s="157">
        <f>'Raw FS'!J21</f>
        <v>32665</v>
      </c>
      <c r="H21" s="157">
        <f>'Raw FS'!K21</f>
        <v>35537</v>
      </c>
      <c r="I21" s="157">
        <f>'Raw FS'!L21</f>
        <v>36466</v>
      </c>
      <c r="J21" s="157">
        <f>'Raw FS'!M21</f>
        <v>38674</v>
      </c>
      <c r="K21" s="157">
        <f>'Raw FS'!N21</f>
        <v>40584</v>
      </c>
    </row>
    <row r="22" spans="1:11" x14ac:dyDescent="0.25">
      <c r="B22" s="156" t="str">
        <f>'Raw FS'!B22</f>
        <v>Plant Machinery</v>
      </c>
      <c r="C22" s="156"/>
      <c r="D22" s="156"/>
      <c r="E22" s="156"/>
      <c r="F22" s="156"/>
      <c r="G22" s="157">
        <f>'Raw FS'!J22</f>
        <v>124158</v>
      </c>
      <c r="H22" s="157">
        <f>'Raw FS'!K22</f>
        <v>138868</v>
      </c>
      <c r="I22" s="157">
        <f>'Raw FS'!L22</f>
        <v>148585</v>
      </c>
      <c r="J22" s="157">
        <f>'Raw FS'!M22</f>
        <v>153672</v>
      </c>
      <c r="K22" s="157">
        <f>'Raw FS'!N22</f>
        <v>151878</v>
      </c>
    </row>
    <row r="23" spans="1:11" x14ac:dyDescent="0.25">
      <c r="B23" s="156" t="str">
        <f>'Raw FS'!B23</f>
        <v>Equipments</v>
      </c>
      <c r="C23" s="156"/>
      <c r="D23" s="156"/>
      <c r="E23" s="156"/>
      <c r="F23" s="156"/>
      <c r="G23" s="157">
        <f>'Raw FS'!J23</f>
        <v>0</v>
      </c>
      <c r="H23" s="157">
        <f>'Raw FS'!K23</f>
        <v>0</v>
      </c>
      <c r="I23" s="157">
        <f>'Raw FS'!L23</f>
        <v>0</v>
      </c>
      <c r="J23" s="157">
        <f>'Raw FS'!M23</f>
        <v>0</v>
      </c>
      <c r="K23" s="157">
        <f>'Raw FS'!N23</f>
        <v>0</v>
      </c>
    </row>
    <row r="24" spans="1:11" x14ac:dyDescent="0.25">
      <c r="B24" s="156" t="str">
        <f>'Raw FS'!B24</f>
        <v>Computers</v>
      </c>
      <c r="C24" s="156"/>
      <c r="D24" s="156"/>
      <c r="E24" s="156"/>
      <c r="F24" s="156"/>
      <c r="G24" s="157">
        <f>'Raw FS'!J24</f>
        <v>3054</v>
      </c>
      <c r="H24" s="157">
        <f>'Raw FS'!K24</f>
        <v>3172</v>
      </c>
      <c r="I24" s="157">
        <f>'Raw FS'!L24</f>
        <v>3383</v>
      </c>
      <c r="J24" s="157">
        <f>'Raw FS'!M24</f>
        <v>3499</v>
      </c>
      <c r="K24" s="157">
        <f>'Raw FS'!N24</f>
        <v>3667</v>
      </c>
    </row>
    <row r="25" spans="1:11" x14ac:dyDescent="0.25">
      <c r="B25" s="156" t="str">
        <f>'Raw FS'!B25</f>
        <v>Furniture n fittings</v>
      </c>
      <c r="C25" s="156"/>
      <c r="D25" s="156"/>
      <c r="E25" s="156"/>
      <c r="F25" s="156"/>
      <c r="G25" s="157">
        <f>'Raw FS'!J25</f>
        <v>1890</v>
      </c>
      <c r="H25" s="157">
        <f>'Raw FS'!K25</f>
        <v>1956</v>
      </c>
      <c r="I25" s="157">
        <f>'Raw FS'!L25</f>
        <v>1984</v>
      </c>
      <c r="J25" s="157">
        <f>'Raw FS'!M25</f>
        <v>2084</v>
      </c>
      <c r="K25" s="157">
        <f>'Raw FS'!N25</f>
        <v>2029</v>
      </c>
    </row>
    <row r="26" spans="1:11" x14ac:dyDescent="0.25">
      <c r="B26" s="156" t="str">
        <f>'Raw FS'!B26</f>
        <v>Vehicles</v>
      </c>
      <c r="C26" s="156"/>
      <c r="D26" s="156"/>
      <c r="E26" s="156"/>
      <c r="F26" s="156"/>
      <c r="G26" s="157">
        <f>'Raw FS'!J26</f>
        <v>601</v>
      </c>
      <c r="H26" s="157">
        <f>'Raw FS'!K26</f>
        <v>845</v>
      </c>
      <c r="I26" s="157">
        <f>'Raw FS'!L26</f>
        <v>725</v>
      </c>
      <c r="J26" s="157">
        <f>'Raw FS'!M26</f>
        <v>788</v>
      </c>
      <c r="K26" s="157">
        <f>'Raw FS'!N26</f>
        <v>956</v>
      </c>
    </row>
    <row r="27" spans="1:11" x14ac:dyDescent="0.25">
      <c r="B27" s="156" t="str">
        <f>'Raw FS'!B27</f>
        <v>Intangible Assets</v>
      </c>
      <c r="C27" s="156"/>
      <c r="D27" s="156"/>
      <c r="E27" s="156"/>
      <c r="F27" s="156"/>
      <c r="G27" s="157">
        <f>'Raw FS'!J27</f>
        <v>91157</v>
      </c>
      <c r="H27" s="157">
        <f>'Raw FS'!K27</f>
        <v>114809</v>
      </c>
      <c r="I27" s="157">
        <f>'Raw FS'!L27</f>
        <v>114323</v>
      </c>
      <c r="J27" s="157">
        <f>'Raw FS'!M27</f>
        <v>112538</v>
      </c>
      <c r="K27" s="157">
        <f>'Raw FS'!N27</f>
        <v>116714</v>
      </c>
    </row>
    <row r="28" spans="1:11" x14ac:dyDescent="0.25">
      <c r="B28" s="156" t="str">
        <f>'Raw FS'!B28</f>
        <v>Other fixed assets</v>
      </c>
      <c r="C28" s="156"/>
      <c r="D28" s="156"/>
      <c r="E28" s="156"/>
      <c r="F28" s="156"/>
      <c r="G28" s="157">
        <f>'Raw FS'!J28</f>
        <v>9380</v>
      </c>
      <c r="H28" s="157">
        <f>'Raw FS'!K28</f>
        <v>10686</v>
      </c>
      <c r="I28" s="157">
        <f>'Raw FS'!L28</f>
        <v>10870</v>
      </c>
      <c r="J28" s="157">
        <f>'Raw FS'!M28</f>
        <v>11841</v>
      </c>
      <c r="K28" s="157">
        <f>'Raw FS'!N28</f>
        <v>10724</v>
      </c>
    </row>
    <row r="29" spans="1:11" ht="5.25" customHeight="1" x14ac:dyDescent="0.25">
      <c r="G29" s="142"/>
      <c r="H29" s="142"/>
      <c r="I29" s="142"/>
      <c r="J29" s="142"/>
      <c r="K29" s="142"/>
    </row>
    <row r="30" spans="1:11" x14ac:dyDescent="0.25">
      <c r="B30" s="149" t="s">
        <v>317</v>
      </c>
      <c r="C30" s="149"/>
      <c r="D30" s="149"/>
      <c r="E30" s="149"/>
      <c r="F30" s="149"/>
      <c r="G30" s="154">
        <f>SUM(G20:G29)</f>
        <v>270580</v>
      </c>
      <c r="H30" s="154">
        <f t="shared" ref="H30:K30" si="2">SUM(H20:H29)</f>
        <v>313692</v>
      </c>
      <c r="I30" s="154">
        <f t="shared" si="2"/>
        <v>324096</v>
      </c>
      <c r="J30" s="154">
        <f t="shared" si="2"/>
        <v>331141</v>
      </c>
      <c r="K30" s="154">
        <f t="shared" si="2"/>
        <v>334482</v>
      </c>
    </row>
    <row r="31" spans="1:11" x14ac:dyDescent="0.25">
      <c r="B31" t="str">
        <f>'Raw FS'!B30</f>
        <v>Accumulated Depreciation</v>
      </c>
      <c r="G31" s="142">
        <f>-'Raw FS'!J30</f>
        <v>-143471</v>
      </c>
      <c r="H31" s="142">
        <f>-'Raw FS'!K30</f>
        <v>-174985</v>
      </c>
      <c r="I31" s="142">
        <f>-'Raw FS'!L30</f>
        <v>-185241</v>
      </c>
      <c r="J31" s="142">
        <f>-'Raw FS'!M30</f>
        <v>-199062</v>
      </c>
      <c r="K31" s="142">
        <f>-'Raw FS'!N30</f>
        <v>-213197</v>
      </c>
    </row>
    <row r="32" spans="1:11" ht="15.75" thickBot="1" x14ac:dyDescent="0.3">
      <c r="A32" t="s">
        <v>95</v>
      </c>
      <c r="B32" s="150" t="s">
        <v>335</v>
      </c>
      <c r="C32" s="150"/>
      <c r="D32" s="150"/>
      <c r="E32" s="150"/>
      <c r="F32" s="150"/>
      <c r="G32" s="155">
        <f>SUM(G30:G31)</f>
        <v>127109</v>
      </c>
      <c r="H32" s="155">
        <f t="shared" ref="H32:K32" si="3">SUM(H30:H31)</f>
        <v>138707</v>
      </c>
      <c r="I32" s="155">
        <f t="shared" si="3"/>
        <v>138855</v>
      </c>
      <c r="J32" s="155">
        <f t="shared" si="3"/>
        <v>132079</v>
      </c>
      <c r="K32" s="155">
        <f t="shared" si="3"/>
        <v>121285</v>
      </c>
    </row>
    <row r="33" spans="1:11" ht="15.75" thickTop="1" x14ac:dyDescent="0.25">
      <c r="G33" s="142"/>
      <c r="H33" s="142"/>
      <c r="I33" s="142"/>
      <c r="J33" s="142"/>
      <c r="K33" s="142"/>
    </row>
    <row r="34" spans="1:11" x14ac:dyDescent="0.25">
      <c r="A34" t="s">
        <v>95</v>
      </c>
      <c r="B34" s="43" t="s">
        <v>336</v>
      </c>
      <c r="C34" s="43"/>
      <c r="D34" s="43"/>
      <c r="E34" s="43"/>
      <c r="F34" s="43"/>
      <c r="G34" s="160">
        <f>G32+G17</f>
        <v>102157</v>
      </c>
      <c r="H34" s="160">
        <f t="shared" ref="H34:K34" si="4">H32+H17</f>
        <v>106574</v>
      </c>
      <c r="I34" s="160">
        <f t="shared" si="4"/>
        <v>114981</v>
      </c>
      <c r="J34" s="160">
        <f t="shared" si="4"/>
        <v>109042</v>
      </c>
      <c r="K34" s="160">
        <f t="shared" si="4"/>
        <v>95879</v>
      </c>
    </row>
    <row r="35" spans="1:11" x14ac:dyDescent="0.25">
      <c r="B35" s="156" t="s">
        <v>337</v>
      </c>
      <c r="C35" s="156"/>
      <c r="D35" s="156"/>
      <c r="E35" s="156"/>
      <c r="F35" s="156"/>
      <c r="G35" s="157">
        <f>HistoricalFS!H18-HistoricalFS!H26</f>
        <v>-3438.360000000037</v>
      </c>
      <c r="H35" s="157">
        <f>HistoricalFS!I18-HistoricalFS!I26</f>
        <v>8740.7199999999903</v>
      </c>
      <c r="I35" s="157">
        <f>HistoricalFS!J18-HistoricalFS!J26</f>
        <v>-115.59999999998399</v>
      </c>
      <c r="J35" s="157">
        <f>HistoricalFS!K18-HistoricalFS!K26</f>
        <v>6955.4399999999587</v>
      </c>
      <c r="K35" s="157">
        <f>HistoricalFS!L18-HistoricalFS!L26</f>
        <v>32268.210000000039</v>
      </c>
    </row>
    <row r="36" spans="1:11" x14ac:dyDescent="0.25">
      <c r="B36" s="156" t="s">
        <v>343</v>
      </c>
      <c r="C36" s="156"/>
      <c r="D36" s="156"/>
      <c r="E36" s="156"/>
      <c r="F36" s="156"/>
      <c r="G36" s="161">
        <v>0.25</v>
      </c>
      <c r="H36" s="161">
        <v>0.25</v>
      </c>
      <c r="I36" s="161">
        <v>0.25</v>
      </c>
      <c r="J36" s="161">
        <v>0.25</v>
      </c>
      <c r="K36" s="161">
        <v>0.25</v>
      </c>
    </row>
    <row r="37" spans="1:11" x14ac:dyDescent="0.25">
      <c r="B37" s="156" t="s">
        <v>344</v>
      </c>
      <c r="C37" s="156"/>
      <c r="D37" s="156"/>
      <c r="E37" s="156"/>
      <c r="F37" s="156"/>
      <c r="G37" s="157">
        <f>G35*(1-G36)</f>
        <v>-2578.7700000000277</v>
      </c>
      <c r="H37" s="157">
        <f>H35*(1-H36)</f>
        <v>6555.5399999999927</v>
      </c>
      <c r="I37" s="157">
        <f>I35*(1-I36)</f>
        <v>-86.699999999987995</v>
      </c>
      <c r="J37" s="157">
        <f>J35*(1-J36)</f>
        <v>5216.579999999969</v>
      </c>
      <c r="K37" s="157">
        <f>K35*(1-K36)</f>
        <v>24201.15750000003</v>
      </c>
    </row>
    <row r="38" spans="1:11" ht="5.25" customHeight="1" x14ac:dyDescent="0.25"/>
    <row r="39" spans="1:11" ht="15.75" thickBot="1" x14ac:dyDescent="0.3">
      <c r="A39" t="s">
        <v>95</v>
      </c>
      <c r="B39" s="150" t="s">
        <v>338</v>
      </c>
      <c r="C39" s="150"/>
      <c r="D39" s="150"/>
      <c r="E39" s="150"/>
      <c r="F39" s="150"/>
      <c r="G39" s="151">
        <f>G37/G34</f>
        <v>-2.5243204087825873E-2</v>
      </c>
      <c r="H39" s="151">
        <f t="shared" ref="H39:K39" si="5">H37/H34</f>
        <v>6.1511625724848397E-2</v>
      </c>
      <c r="I39" s="151">
        <f t="shared" si="5"/>
        <v>-7.5403762360727415E-4</v>
      </c>
      <c r="J39" s="151">
        <f t="shared" si="5"/>
        <v>4.7840098310742367E-2</v>
      </c>
      <c r="K39" s="151">
        <f t="shared" si="5"/>
        <v>0.25241353685374307</v>
      </c>
    </row>
    <row r="40" spans="1:11" ht="15.75" thickTop="1" x14ac:dyDescent="0.25"/>
    <row r="42" spans="1:11" x14ac:dyDescent="0.25">
      <c r="B42" s="27" t="s">
        <v>339</v>
      </c>
      <c r="C42" s="27"/>
      <c r="D42" s="27"/>
      <c r="E42" s="27"/>
      <c r="F42" s="27"/>
      <c r="G42" s="141">
        <f>'Raw FS'!J$3</f>
        <v>43891</v>
      </c>
      <c r="H42" s="141">
        <f>'Raw FS'!K$3</f>
        <v>44256</v>
      </c>
      <c r="I42" s="141">
        <f>'Raw FS'!L$3</f>
        <v>44621</v>
      </c>
      <c r="J42" s="141">
        <f>'Raw FS'!M$3</f>
        <v>44986</v>
      </c>
      <c r="K42" s="141">
        <f>'Raw FS'!N$3</f>
        <v>45352</v>
      </c>
    </row>
    <row r="44" spans="1:11" x14ac:dyDescent="0.25">
      <c r="B44" s="156" t="s">
        <v>340</v>
      </c>
      <c r="C44" s="156"/>
      <c r="D44" s="156"/>
      <c r="E44" s="156"/>
      <c r="F44" s="156"/>
      <c r="G44" s="157">
        <f>-SUM('Raw FS'!J58:J59)</f>
        <v>29531</v>
      </c>
      <c r="H44" s="157">
        <f>-SUM('Raw FS'!K58:K59)</f>
        <v>19854</v>
      </c>
      <c r="I44" s="157">
        <f>-SUM('Raw FS'!L58:L59)</f>
        <v>14938</v>
      </c>
      <c r="J44" s="157">
        <f>-SUM('Raw FS'!M58:M59)</f>
        <v>18945</v>
      </c>
      <c r="K44" s="157">
        <f>-SUM('Raw FS'!N58:N59)</f>
        <v>31183</v>
      </c>
    </row>
    <row r="45" spans="1:11" x14ac:dyDescent="0.25">
      <c r="B45" s="156" t="s">
        <v>342</v>
      </c>
      <c r="C45" s="156"/>
      <c r="D45" s="156"/>
      <c r="E45" s="156"/>
      <c r="F45" s="156"/>
      <c r="G45" s="157"/>
      <c r="H45" s="157">
        <f>H17-G17</f>
        <v>-7181</v>
      </c>
      <c r="I45" s="157">
        <f>I17-H17</f>
        <v>8259</v>
      </c>
      <c r="J45" s="157">
        <f>J17-I17</f>
        <v>837</v>
      </c>
      <c r="K45" s="157">
        <f>K17-J17</f>
        <v>-2369</v>
      </c>
    </row>
    <row r="46" spans="1:11" x14ac:dyDescent="0.25">
      <c r="B46" s="156"/>
      <c r="C46" s="156"/>
      <c r="D46" s="156"/>
      <c r="E46" s="156"/>
      <c r="F46" s="156"/>
      <c r="G46" s="157"/>
      <c r="H46" s="157"/>
      <c r="I46" s="157"/>
      <c r="J46" s="157"/>
      <c r="K46" s="157"/>
    </row>
    <row r="47" spans="1:11" x14ac:dyDescent="0.25">
      <c r="B47" s="156" t="s">
        <v>344</v>
      </c>
      <c r="C47" s="156"/>
      <c r="D47" s="156"/>
      <c r="E47" s="156"/>
      <c r="F47" s="156"/>
      <c r="G47" s="157">
        <f>G37</f>
        <v>-2578.7700000000277</v>
      </c>
      <c r="H47" s="157">
        <f t="shared" ref="H47:K47" si="6">H37</f>
        <v>6555.5399999999927</v>
      </c>
      <c r="I47" s="157">
        <f t="shared" si="6"/>
        <v>-86.699999999987995</v>
      </c>
      <c r="J47" s="157">
        <f t="shared" si="6"/>
        <v>5216.579999999969</v>
      </c>
      <c r="K47" s="157">
        <f t="shared" si="6"/>
        <v>24201.15750000003</v>
      </c>
    </row>
    <row r="48" spans="1:11" x14ac:dyDescent="0.25">
      <c r="B48" s="156"/>
      <c r="C48" s="156"/>
      <c r="D48" s="156"/>
      <c r="E48" s="156"/>
      <c r="F48" s="156"/>
      <c r="G48" s="157"/>
      <c r="H48" s="157"/>
      <c r="I48" s="157"/>
      <c r="J48" s="157"/>
      <c r="K48" s="157"/>
    </row>
    <row r="49" spans="2:11" x14ac:dyDescent="0.25">
      <c r="B49" s="156" t="s">
        <v>345</v>
      </c>
      <c r="C49" s="156"/>
      <c r="D49" s="156"/>
      <c r="E49" s="156"/>
      <c r="F49" s="156"/>
      <c r="G49" s="157"/>
      <c r="H49" s="157">
        <f>SUM(H44:H45)</f>
        <v>12673</v>
      </c>
      <c r="I49" s="157">
        <f>SUM(I44:I45)</f>
        <v>23197</v>
      </c>
      <c r="J49" s="157">
        <f>SUM(J44:J45)</f>
        <v>19782</v>
      </c>
      <c r="K49" s="157">
        <f>SUM(K44:K45)</f>
        <v>28814</v>
      </c>
    </row>
    <row r="50" spans="2:11" ht="5.25" customHeight="1" x14ac:dyDescent="0.25">
      <c r="G50" s="136"/>
      <c r="H50" s="136"/>
      <c r="I50" s="136"/>
      <c r="J50" s="136"/>
      <c r="K50" s="136"/>
    </row>
    <row r="51" spans="2:11" ht="15.75" thickBot="1" x14ac:dyDescent="0.3">
      <c r="B51" s="150" t="s">
        <v>346</v>
      </c>
      <c r="C51" s="150"/>
      <c r="D51" s="150"/>
      <c r="E51" s="150"/>
      <c r="F51" s="150"/>
      <c r="G51" s="153"/>
      <c r="H51" s="151">
        <f>H49/H47</f>
        <v>1.9331740787181551</v>
      </c>
      <c r="I51" s="151">
        <f t="shared" ref="I51:K51" si="7">I49/I47</f>
        <v>-267.5547866205676</v>
      </c>
      <c r="J51" s="151">
        <f t="shared" si="7"/>
        <v>3.7921396777199079</v>
      </c>
      <c r="K51" s="151">
        <f t="shared" si="7"/>
        <v>1.1906042097366609</v>
      </c>
    </row>
    <row r="52" spans="2:11" ht="15.75" thickTop="1" x14ac:dyDescent="0.25">
      <c r="G52" s="136"/>
      <c r="H52" s="48"/>
      <c r="I52" s="48"/>
      <c r="J52" s="48"/>
      <c r="K52" s="48"/>
    </row>
    <row r="53" spans="2:11" x14ac:dyDescent="0.25">
      <c r="J53" s="162" t="s">
        <v>347</v>
      </c>
      <c r="K53" s="163">
        <f>AVERAGE(H51:K51)</f>
        <v>-65.159717163598231</v>
      </c>
    </row>
    <row r="54" spans="2:11" x14ac:dyDescent="0.25">
      <c r="J54" s="162" t="s">
        <v>348</v>
      </c>
      <c r="K54" s="163">
        <f>MEDIAN(H51:K51)</f>
        <v>1.5618891442274081</v>
      </c>
    </row>
    <row r="56" spans="2:11" x14ac:dyDescent="0.25">
      <c r="B56" s="27" t="s">
        <v>349</v>
      </c>
      <c r="C56" s="27"/>
      <c r="D56" s="27"/>
      <c r="E56" s="27"/>
      <c r="F56" s="27"/>
      <c r="G56" s="141">
        <f>'Raw FS'!J$3</f>
        <v>43891</v>
      </c>
      <c r="H56" s="141">
        <f>'Raw FS'!K$3</f>
        <v>44256</v>
      </c>
      <c r="I56" s="141">
        <f>'Raw FS'!L$3</f>
        <v>44621</v>
      </c>
      <c r="J56" s="141">
        <f>'Raw FS'!M$3</f>
        <v>44986</v>
      </c>
      <c r="K56" s="141">
        <f>'Raw FS'!N$3</f>
        <v>45352</v>
      </c>
    </row>
    <row r="58" spans="2:11" x14ac:dyDescent="0.25">
      <c r="B58" s="156" t="s">
        <v>346</v>
      </c>
      <c r="C58" s="156"/>
      <c r="D58" s="156"/>
      <c r="E58" s="156"/>
      <c r="F58" s="156"/>
      <c r="G58" s="156"/>
      <c r="H58" s="164">
        <f>H51</f>
        <v>1.9331740787181551</v>
      </c>
      <c r="I58" s="164">
        <f t="shared" ref="I58:K58" si="8">I51</f>
        <v>-267.5547866205676</v>
      </c>
      <c r="J58" s="164">
        <f t="shared" si="8"/>
        <v>3.7921396777199079</v>
      </c>
      <c r="K58" s="164">
        <f t="shared" si="8"/>
        <v>1.1906042097366609</v>
      </c>
    </row>
    <row r="59" spans="2:11" x14ac:dyDescent="0.25">
      <c r="B59" s="156" t="s">
        <v>338</v>
      </c>
      <c r="C59" s="156"/>
      <c r="D59" s="156"/>
      <c r="E59" s="156"/>
      <c r="F59" s="156"/>
      <c r="G59" s="156"/>
      <c r="H59" s="164">
        <f>H39</f>
        <v>6.1511625724848397E-2</v>
      </c>
      <c r="I59" s="164">
        <f>I39</f>
        <v>-7.5403762360727415E-4</v>
      </c>
      <c r="J59" s="164">
        <f>J39</f>
        <v>4.7840098310742367E-2</v>
      </c>
      <c r="K59" s="164">
        <f>K39</f>
        <v>0.25241353685374307</v>
      </c>
    </row>
    <row r="60" spans="2:11" ht="5.25" customHeight="1" x14ac:dyDescent="0.25"/>
    <row r="61" spans="2:11" ht="15.75" thickBot="1" x14ac:dyDescent="0.3">
      <c r="B61" s="150" t="s">
        <v>350</v>
      </c>
      <c r="C61" s="150"/>
      <c r="D61" s="150"/>
      <c r="E61" s="150"/>
      <c r="F61" s="150"/>
      <c r="G61" s="150"/>
      <c r="H61" s="165">
        <f>IF(AND(H59&gt;0,H58&gt;0),H59*H58,-H59*H58)</f>
        <v>0.11891268039108976</v>
      </c>
      <c r="I61" s="165">
        <f t="shared" ref="I61:K61" si="9">IF(AND(I59&gt;0,I58&gt;0),I59*I58,-I59*I58)</f>
        <v>-0.2017463754881241</v>
      </c>
      <c r="J61" s="165">
        <f t="shared" si="9"/>
        <v>0.18141633499018728</v>
      </c>
      <c r="K61" s="165">
        <f t="shared" si="9"/>
        <v>0.3005246195725863</v>
      </c>
    </row>
    <row r="62" spans="2:11" ht="15.75" thickTop="1" x14ac:dyDescent="0.25"/>
    <row r="63" spans="2:11" x14ac:dyDescent="0.25">
      <c r="J63" s="162" t="s">
        <v>347</v>
      </c>
      <c r="K63" s="163">
        <f>AVERAGE(H61:K61)</f>
        <v>9.9776814866434804E-2</v>
      </c>
    </row>
    <row r="64" spans="2:11" x14ac:dyDescent="0.25">
      <c r="J64" s="162" t="s">
        <v>348</v>
      </c>
      <c r="K64" s="163">
        <f>MEDIAN(H61:K61)</f>
        <v>0.15016450769063852</v>
      </c>
    </row>
  </sheetData>
  <pageMargins left="0.7" right="0.7" top="0.75" bottom="0.75" header="0.3" footer="0.3"/>
  <ignoredErrors>
    <ignoredError sqref="G44:K44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4BCF-E24E-419A-96E5-6DD7D1F23DAE}">
  <dimension ref="B2:J40"/>
  <sheetViews>
    <sheetView showGridLines="0" tabSelected="1" zoomScale="120" zoomScaleNormal="120" workbookViewId="0">
      <selection activeCell="D40" sqref="D40"/>
    </sheetView>
  </sheetViews>
  <sheetFormatPr defaultRowHeight="15" outlineLevelRow="1" x14ac:dyDescent="0.25"/>
  <cols>
    <col min="1" max="1" width="1.85546875" customWidth="1"/>
    <col min="2" max="2" width="16.42578125" customWidth="1"/>
    <col min="3" max="3" width="10.42578125" customWidth="1"/>
    <col min="4" max="4" width="12.7109375" customWidth="1"/>
    <col min="5" max="10" width="11.7109375" customWidth="1"/>
  </cols>
  <sheetData>
    <row r="2" spans="2:10" x14ac:dyDescent="0.25">
      <c r="B2" s="27" t="s">
        <v>351</v>
      </c>
      <c r="C2" s="27"/>
      <c r="D2" s="27"/>
      <c r="E2" s="166">
        <f>'Intrinsic Growth'!K2</f>
        <v>45352</v>
      </c>
      <c r="F2" s="167">
        <f>E2+365</f>
        <v>45717</v>
      </c>
      <c r="G2" s="167">
        <f t="shared" ref="G2:J2" si="0">F2+365</f>
        <v>46082</v>
      </c>
      <c r="H2" s="167">
        <f t="shared" si="0"/>
        <v>46447</v>
      </c>
      <c r="I2" s="167">
        <f>H2+366</f>
        <v>46813</v>
      </c>
      <c r="J2" s="167">
        <f t="shared" si="0"/>
        <v>47178</v>
      </c>
    </row>
    <row r="4" spans="2:10" x14ac:dyDescent="0.25">
      <c r="B4" s="156" t="s">
        <v>337</v>
      </c>
      <c r="C4" s="156"/>
      <c r="D4" s="156"/>
      <c r="E4" s="177">
        <f>'Data Sheet'!K33-'Data Sheet'!K26</f>
        <v>37533.209999999992</v>
      </c>
      <c r="F4" s="157">
        <f>E4*(1+$D$14)</f>
        <v>43169.366001699345</v>
      </c>
      <c r="G4" s="157">
        <f>F4*(1+$D$14)</f>
        <v>49651.872594661516</v>
      </c>
      <c r="H4" s="157">
        <f>G4*(1+$D$14)</f>
        <v>57107.821598757175</v>
      </c>
      <c r="I4" s="157">
        <f>H4*(1+$D$14)</f>
        <v>65683.389514419367</v>
      </c>
      <c r="J4" s="157">
        <f>I4*(1+$D$14)</f>
        <v>75546.703364304602</v>
      </c>
    </row>
    <row r="5" spans="2:10" x14ac:dyDescent="0.25">
      <c r="B5" s="156" t="s">
        <v>218</v>
      </c>
      <c r="C5" s="156"/>
      <c r="D5" s="156"/>
      <c r="E5" s="178">
        <v>0.25</v>
      </c>
      <c r="F5" s="164">
        <f>E5</f>
        <v>0.25</v>
      </c>
      <c r="G5" s="164">
        <f t="shared" ref="G5:J5" si="1">F5</f>
        <v>0.25</v>
      </c>
      <c r="H5" s="164">
        <f t="shared" si="1"/>
        <v>0.25</v>
      </c>
      <c r="I5" s="164">
        <f t="shared" si="1"/>
        <v>0.25</v>
      </c>
      <c r="J5" s="164">
        <f t="shared" si="1"/>
        <v>0.25</v>
      </c>
    </row>
    <row r="6" spans="2:10" x14ac:dyDescent="0.25">
      <c r="B6" s="156" t="s">
        <v>344</v>
      </c>
      <c r="C6" s="156"/>
      <c r="D6" s="156"/>
      <c r="E6" s="177">
        <f>E4*(1-E5)</f>
        <v>28149.907499999994</v>
      </c>
      <c r="F6" s="157">
        <f>F4*(1-F5)</f>
        <v>32377.024501274507</v>
      </c>
      <c r="G6" s="157">
        <f>G4*(1-G5)</f>
        <v>37238.904445996137</v>
      </c>
      <c r="H6" s="157">
        <f>H4*(1-H5)</f>
        <v>42830.866199067881</v>
      </c>
      <c r="I6" s="157">
        <f>I4*(1-I5)</f>
        <v>49262.542135814525</v>
      </c>
      <c r="J6" s="157">
        <f>J4*(1-J5)</f>
        <v>56660.027523228448</v>
      </c>
    </row>
    <row r="7" spans="2:10" x14ac:dyDescent="0.25">
      <c r="B7" s="156" t="s">
        <v>352</v>
      </c>
      <c r="C7" s="156"/>
      <c r="D7" s="156"/>
      <c r="E7" s="179">
        <f>'Intrinsic Growth'!$K$54</f>
        <v>1.5618891442274081</v>
      </c>
      <c r="F7" s="164">
        <f>E7+($J$7-$E$7)/5</f>
        <v>1.2154113153819264</v>
      </c>
      <c r="G7" s="164">
        <f t="shared" ref="G7:I7" si="2">F7+($J$7-$E$7)/5</f>
        <v>0.86893348653644475</v>
      </c>
      <c r="H7" s="164">
        <f t="shared" si="2"/>
        <v>0.52245565769096314</v>
      </c>
      <c r="I7" s="164">
        <f t="shared" si="2"/>
        <v>0.17597782884548152</v>
      </c>
      <c r="J7" s="161">
        <v>-0.17050000000000001</v>
      </c>
    </row>
    <row r="8" spans="2:10" x14ac:dyDescent="0.25">
      <c r="B8" s="156" t="s">
        <v>353</v>
      </c>
      <c r="C8" s="156"/>
      <c r="D8" s="156"/>
      <c r="E8" s="177">
        <f>E6*(1-E7)</f>
        <v>-15817.127435255694</v>
      </c>
      <c r="F8" s="157">
        <f>F6*(1-F7)</f>
        <v>-6974.3774359724002</v>
      </c>
      <c r="G8" s="157">
        <f>G6*(1-G7)</f>
        <v>4880.7733709391996</v>
      </c>
      <c r="H8" s="157">
        <f>H6*(1-H7)</f>
        <v>20453.63782956023</v>
      </c>
      <c r="I8" s="157">
        <f>I6*(1-I7)</f>
        <v>40593.426927344837</v>
      </c>
      <c r="J8" s="157">
        <f>J6*(1-J7)</f>
        <v>66320.562215938902</v>
      </c>
    </row>
    <row r="9" spans="2:10" x14ac:dyDescent="0.25">
      <c r="B9" s="156" t="s">
        <v>354</v>
      </c>
      <c r="C9" s="156"/>
      <c r="D9" s="156"/>
      <c r="E9" s="180"/>
      <c r="F9" s="176">
        <v>0.5</v>
      </c>
      <c r="G9" s="156">
        <f>F9+1</f>
        <v>1.5</v>
      </c>
      <c r="H9" s="156">
        <f t="shared" ref="H9:J9" si="3">G9+1</f>
        <v>2.5</v>
      </c>
      <c r="I9" s="156">
        <f t="shared" si="3"/>
        <v>3.5</v>
      </c>
      <c r="J9" s="156">
        <f t="shared" si="3"/>
        <v>4.5</v>
      </c>
    </row>
    <row r="10" spans="2:10" x14ac:dyDescent="0.25">
      <c r="B10" s="156" t="s">
        <v>355</v>
      </c>
      <c r="C10" s="156"/>
      <c r="D10" s="156"/>
      <c r="E10" s="180"/>
      <c r="F10" s="183">
        <f>1/(1+$D$16)^F9</f>
        <v>0.91425049184123752</v>
      </c>
      <c r="G10" s="183">
        <f t="shared" ref="G10:J10" si="4">1/(1+$D$16)^G9</f>
        <v>0.76417989571230238</v>
      </c>
      <c r="H10" s="183">
        <f t="shared" si="4"/>
        <v>0.6387427933834503</v>
      </c>
      <c r="I10" s="183">
        <f t="shared" si="4"/>
        <v>0.53389569444116014</v>
      </c>
      <c r="J10" s="183">
        <f t="shared" si="4"/>
        <v>0.44625883140366107</v>
      </c>
    </row>
    <row r="11" spans="2:10" ht="4.5" customHeight="1" x14ac:dyDescent="0.25">
      <c r="E11" s="181"/>
    </row>
    <row r="12" spans="2:10" ht="15.75" thickBot="1" x14ac:dyDescent="0.3">
      <c r="B12" s="173" t="s">
        <v>356</v>
      </c>
      <c r="C12" s="173"/>
      <c r="D12" s="173"/>
      <c r="E12" s="182"/>
      <c r="F12" s="157">
        <f>F8*F10</f>
        <v>-6376.3280011241959</v>
      </c>
      <c r="G12" s="157">
        <f t="shared" ref="G12:J12" si="5">G8*G10</f>
        <v>3729.7888855997003</v>
      </c>
      <c r="H12" s="157">
        <f t="shared" si="5"/>
        <v>13064.613762106714</v>
      </c>
      <c r="I12" s="157">
        <f t="shared" si="5"/>
        <v>21672.65585912126</v>
      </c>
      <c r="J12" s="157">
        <f t="shared" si="5"/>
        <v>29596.136592518695</v>
      </c>
    </row>
    <row r="13" spans="2:10" ht="15.75" thickTop="1" x14ac:dyDescent="0.25"/>
    <row r="14" spans="2:10" outlineLevel="1" x14ac:dyDescent="0.25">
      <c r="B14" s="130" t="s">
        <v>357</v>
      </c>
      <c r="C14" s="130"/>
      <c r="D14" s="174">
        <f>'Intrinsic Growth'!K64</f>
        <v>0.15016450769063852</v>
      </c>
    </row>
    <row r="15" spans="2:10" outlineLevel="1" x14ac:dyDescent="0.25">
      <c r="B15" s="130" t="s">
        <v>358</v>
      </c>
      <c r="C15" s="130"/>
      <c r="D15" s="175">
        <f>0.072</f>
        <v>7.1999999999999995E-2</v>
      </c>
    </row>
    <row r="16" spans="2:10" outlineLevel="1" x14ac:dyDescent="0.25">
      <c r="B16" s="130" t="s">
        <v>240</v>
      </c>
      <c r="C16" s="130"/>
      <c r="D16" s="174">
        <f>WACC!J41</f>
        <v>0.196381240819025</v>
      </c>
    </row>
    <row r="18" spans="2:4" x14ac:dyDescent="0.25">
      <c r="B18" s="27" t="s">
        <v>359</v>
      </c>
      <c r="C18" s="27"/>
      <c r="D18" s="27"/>
    </row>
    <row r="20" spans="2:4" x14ac:dyDescent="0.25">
      <c r="B20" t="s">
        <v>360</v>
      </c>
      <c r="D20" s="172">
        <f>J12*(1+D14)</f>
        <v>34040.425873479158</v>
      </c>
    </row>
    <row r="21" spans="2:4" x14ac:dyDescent="0.25">
      <c r="B21" t="s">
        <v>240</v>
      </c>
      <c r="D21" s="5">
        <f>D16</f>
        <v>0.196381240819025</v>
      </c>
    </row>
    <row r="22" spans="2:4" x14ac:dyDescent="0.25">
      <c r="B22" t="s">
        <v>361</v>
      </c>
      <c r="D22" s="5">
        <f>D15</f>
        <v>7.1999999999999995E-2</v>
      </c>
    </row>
    <row r="23" spans="2:4" ht="4.5" customHeight="1" x14ac:dyDescent="0.25"/>
    <row r="24" spans="2:4" ht="15.75" thickBot="1" x14ac:dyDescent="0.3">
      <c r="B24" s="150" t="s">
        <v>362</v>
      </c>
      <c r="C24" s="150"/>
      <c r="D24" s="155">
        <f>D20/(D21-D22)</f>
        <v>273678.13385145483</v>
      </c>
    </row>
    <row r="25" spans="2:4" ht="15.75" thickTop="1" x14ac:dyDescent="0.25"/>
    <row r="26" spans="2:4" x14ac:dyDescent="0.25">
      <c r="B26" s="27" t="s">
        <v>367</v>
      </c>
      <c r="C26" s="27"/>
      <c r="D26" s="27"/>
    </row>
    <row r="28" spans="2:4" x14ac:dyDescent="0.25">
      <c r="B28" t="s">
        <v>356</v>
      </c>
      <c r="D28" s="172">
        <f>SUM(F12:J12)</f>
        <v>61686.867098222167</v>
      </c>
    </row>
    <row r="29" spans="2:4" x14ac:dyDescent="0.25">
      <c r="B29" t="s">
        <v>363</v>
      </c>
      <c r="D29" s="172">
        <f>D24*J10</f>
        <v>122131.28419328497</v>
      </c>
    </row>
    <row r="30" spans="2:4" x14ac:dyDescent="0.25">
      <c r="B30" s="2" t="s">
        <v>364</v>
      </c>
      <c r="C30" s="2"/>
      <c r="D30" s="184">
        <f>SUM(D28:D29)</f>
        <v>183818.15129150712</v>
      </c>
    </row>
    <row r="31" spans="2:4" x14ac:dyDescent="0.25">
      <c r="B31" s="2"/>
      <c r="C31" s="2"/>
      <c r="D31" s="184"/>
    </row>
    <row r="32" spans="2:4" x14ac:dyDescent="0.25">
      <c r="B32" s="185" t="s">
        <v>365</v>
      </c>
      <c r="C32" s="2"/>
      <c r="D32" s="186">
        <f>'Data Sheet'!K69</f>
        <v>45806.69</v>
      </c>
    </row>
    <row r="33" spans="2:4" x14ac:dyDescent="0.25">
      <c r="B33" s="185" t="s">
        <v>366</v>
      </c>
      <c r="C33" s="2"/>
      <c r="D33" s="186">
        <f>SUM('Raw FS'!N8:N9)</f>
        <v>98501</v>
      </c>
    </row>
    <row r="34" spans="2:4" x14ac:dyDescent="0.25">
      <c r="B34" s="2" t="s">
        <v>368</v>
      </c>
      <c r="C34" s="2"/>
      <c r="D34" s="184">
        <f>D30+D32-D33</f>
        <v>131123.84129150712</v>
      </c>
    </row>
    <row r="35" spans="2:4" x14ac:dyDescent="0.25">
      <c r="B35" s="185" t="s">
        <v>369</v>
      </c>
      <c r="C35" s="2"/>
      <c r="D35" s="184">
        <f>'Data Sheet'!B6</f>
        <v>367.1898839543652</v>
      </c>
    </row>
    <row r="36" spans="2:4" ht="4.5" customHeight="1" x14ac:dyDescent="0.25"/>
    <row r="37" spans="2:4" ht="15.75" thickBot="1" x14ac:dyDescent="0.3">
      <c r="B37" s="150" t="s">
        <v>370</v>
      </c>
      <c r="C37" s="150"/>
      <c r="D37" s="155">
        <f>D34/D35</f>
        <v>357.10090887962303</v>
      </c>
    </row>
    <row r="38" spans="2:4" ht="15.75" thickTop="1" x14ac:dyDescent="0.25"/>
    <row r="39" spans="2:4" x14ac:dyDescent="0.25">
      <c r="B39" t="s">
        <v>371</v>
      </c>
      <c r="D39" s="152">
        <v>1025</v>
      </c>
    </row>
    <row r="40" spans="2:4" x14ac:dyDescent="0.25">
      <c r="B40" t="s">
        <v>372</v>
      </c>
      <c r="D40" s="187">
        <f>D39/D37</f>
        <v>2.8703371358416856</v>
      </c>
    </row>
  </sheetData>
  <pageMargins left="0.7" right="0.7" top="0.75" bottom="0.75" header="0.3" footer="0.3"/>
  <pageSetup orientation="portrait" r:id="rId1"/>
  <ignoredErrors>
    <ignoredError sqref="D33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7496-46EB-4F7B-8430-C8907FC3496B}">
  <sheetPr>
    <tabColor rgb="FF002060"/>
  </sheetPr>
  <dimension ref="A1"/>
  <sheetViews>
    <sheetView topLeftCell="A18" workbookViewId="0">
      <selection activeCell="K63" sqref="K6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6A5C-A239-430A-9B50-8CF8674BF3BE}">
  <dimension ref="B2:N7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K58" sqref="K58"/>
    </sheetView>
  </sheetViews>
  <sheetFormatPr defaultRowHeight="15" x14ac:dyDescent="0.25"/>
  <cols>
    <col min="1" max="1" width="1.85546875" customWidth="1"/>
    <col min="2" max="2" width="28" bestFit="1" customWidth="1"/>
    <col min="3" max="14" width="9.7109375" bestFit="1" customWidth="1"/>
  </cols>
  <sheetData>
    <row r="2" spans="2:14" x14ac:dyDescent="0.25">
      <c r="B2" s="168" t="str">
        <f>'Data Sheet'!$B$1&amp;" - Balance Sheet"</f>
        <v>TATA MOTORS LTD - Balance Sheet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2:14" x14ac:dyDescent="0.25">
      <c r="B3" s="27" t="s">
        <v>192</v>
      </c>
      <c r="C3" s="141">
        <v>41334</v>
      </c>
      <c r="D3" s="141">
        <v>41699</v>
      </c>
      <c r="E3" s="141">
        <v>42064</v>
      </c>
      <c r="F3" s="141">
        <v>42430</v>
      </c>
      <c r="G3" s="141">
        <v>42795</v>
      </c>
      <c r="H3" s="141">
        <v>43160</v>
      </c>
      <c r="I3" s="141">
        <v>43525</v>
      </c>
      <c r="J3" s="141">
        <v>43891</v>
      </c>
      <c r="K3" s="141">
        <v>44256</v>
      </c>
      <c r="L3" s="141">
        <v>44621</v>
      </c>
      <c r="M3" s="141">
        <v>44986</v>
      </c>
      <c r="N3" s="141">
        <v>45352</v>
      </c>
    </row>
    <row r="5" spans="2:14" x14ac:dyDescent="0.25">
      <c r="B5" s="2" t="s">
        <v>299</v>
      </c>
      <c r="C5" s="142">
        <v>638</v>
      </c>
      <c r="D5" s="142">
        <v>644</v>
      </c>
      <c r="E5" s="142">
        <v>644</v>
      </c>
      <c r="F5" s="142">
        <v>679</v>
      </c>
      <c r="G5" s="142">
        <v>679</v>
      </c>
      <c r="H5" s="142">
        <v>679</v>
      </c>
      <c r="I5" s="142">
        <v>679</v>
      </c>
      <c r="J5" s="142">
        <v>720</v>
      </c>
      <c r="K5" s="142">
        <v>766</v>
      </c>
      <c r="L5" s="142">
        <v>766</v>
      </c>
      <c r="M5" s="142">
        <v>766</v>
      </c>
      <c r="N5" s="142">
        <v>766</v>
      </c>
    </row>
    <row r="6" spans="2:14" x14ac:dyDescent="0.25">
      <c r="B6" s="2" t="s">
        <v>25</v>
      </c>
      <c r="C6" s="142">
        <v>36999</v>
      </c>
      <c r="D6" s="142">
        <v>64960</v>
      </c>
      <c r="E6" s="142">
        <v>55618</v>
      </c>
      <c r="F6" s="142">
        <v>78273</v>
      </c>
      <c r="G6" s="142">
        <v>57383</v>
      </c>
      <c r="H6" s="142">
        <v>94749</v>
      </c>
      <c r="I6" s="142">
        <v>59500</v>
      </c>
      <c r="J6" s="142">
        <v>61491</v>
      </c>
      <c r="K6" s="142">
        <v>54481</v>
      </c>
      <c r="L6" s="142">
        <v>43795</v>
      </c>
      <c r="M6" s="142">
        <v>44556</v>
      </c>
      <c r="N6" s="142">
        <v>84152</v>
      </c>
    </row>
    <row r="7" spans="2:14" x14ac:dyDescent="0.25">
      <c r="B7" s="2" t="s">
        <v>324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</row>
    <row r="8" spans="2:14" x14ac:dyDescent="0.25">
      <c r="B8" t="s">
        <v>300</v>
      </c>
      <c r="C8" s="142">
        <v>32155</v>
      </c>
      <c r="D8" s="142">
        <v>45259</v>
      </c>
      <c r="E8" s="142">
        <v>56071</v>
      </c>
      <c r="F8" s="142">
        <v>50510</v>
      </c>
      <c r="G8" s="142">
        <v>60629</v>
      </c>
      <c r="H8" s="142">
        <v>61200</v>
      </c>
      <c r="I8" s="142">
        <v>70818</v>
      </c>
      <c r="J8" s="142">
        <v>83316</v>
      </c>
      <c r="K8" s="142">
        <v>93113</v>
      </c>
      <c r="L8" s="142">
        <v>97759</v>
      </c>
      <c r="M8" s="142">
        <v>88696</v>
      </c>
      <c r="N8" s="142">
        <v>62149</v>
      </c>
    </row>
    <row r="9" spans="2:14" x14ac:dyDescent="0.25">
      <c r="B9" t="s">
        <v>301</v>
      </c>
      <c r="C9" s="142">
        <v>11620</v>
      </c>
      <c r="D9" s="142">
        <v>9696</v>
      </c>
      <c r="E9" s="142">
        <v>13140</v>
      </c>
      <c r="F9" s="142">
        <v>11451</v>
      </c>
      <c r="G9" s="142">
        <v>13860</v>
      </c>
      <c r="H9" s="142">
        <v>16795</v>
      </c>
      <c r="I9" s="142">
        <v>20150</v>
      </c>
      <c r="J9" s="142">
        <v>16363</v>
      </c>
      <c r="K9" s="142">
        <v>42792</v>
      </c>
      <c r="L9" s="142">
        <v>41918</v>
      </c>
      <c r="M9" s="142">
        <v>36965</v>
      </c>
      <c r="N9" s="142">
        <v>36352</v>
      </c>
    </row>
    <row r="10" spans="2:14" x14ac:dyDescent="0.25">
      <c r="B10" t="s">
        <v>302</v>
      </c>
      <c r="C10" s="142">
        <v>0</v>
      </c>
      <c r="D10" s="142">
        <v>0</v>
      </c>
      <c r="E10" s="142">
        <v>0</v>
      </c>
      <c r="F10" s="142">
        <v>0</v>
      </c>
      <c r="G10" s="142">
        <v>0</v>
      </c>
      <c r="H10" s="142">
        <v>0</v>
      </c>
      <c r="I10" s="142">
        <v>173</v>
      </c>
      <c r="J10" s="142">
        <v>5977</v>
      </c>
      <c r="K10" s="142">
        <v>6226</v>
      </c>
      <c r="L10" s="142">
        <v>6772</v>
      </c>
      <c r="M10" s="142">
        <v>8453</v>
      </c>
      <c r="N10" s="142">
        <v>8762</v>
      </c>
    </row>
    <row r="11" spans="2:14" x14ac:dyDescent="0.25">
      <c r="B11" t="s">
        <v>303</v>
      </c>
      <c r="C11" s="142">
        <v>9940</v>
      </c>
      <c r="D11" s="142">
        <v>5688</v>
      </c>
      <c r="E11" s="142">
        <v>4399</v>
      </c>
      <c r="F11" s="142">
        <v>7399</v>
      </c>
      <c r="G11" s="142">
        <v>4115</v>
      </c>
      <c r="H11" s="142">
        <v>10956</v>
      </c>
      <c r="I11" s="142">
        <v>15034</v>
      </c>
      <c r="J11" s="142">
        <v>19132</v>
      </c>
      <c r="K11" s="142">
        <v>0</v>
      </c>
      <c r="L11" s="142">
        <v>0</v>
      </c>
      <c r="M11" s="142">
        <v>0</v>
      </c>
      <c r="N11" s="142">
        <v>0</v>
      </c>
    </row>
    <row r="12" spans="2:14" x14ac:dyDescent="0.25">
      <c r="B12" s="2" t="s">
        <v>325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</row>
    <row r="13" spans="2:14" x14ac:dyDescent="0.25">
      <c r="B13" t="s">
        <v>304</v>
      </c>
      <c r="C13" s="142">
        <v>370</v>
      </c>
      <c r="D13" s="142">
        <v>421</v>
      </c>
      <c r="E13" s="142">
        <v>433</v>
      </c>
      <c r="F13" s="142">
        <v>433</v>
      </c>
      <c r="G13" s="142">
        <v>453</v>
      </c>
      <c r="H13" s="142">
        <v>525</v>
      </c>
      <c r="I13" s="142">
        <v>523</v>
      </c>
      <c r="J13" s="142">
        <v>814</v>
      </c>
      <c r="K13" s="142">
        <v>1573</v>
      </c>
      <c r="L13" s="142">
        <v>4271</v>
      </c>
      <c r="M13" s="142">
        <v>7278</v>
      </c>
      <c r="N13" s="142">
        <v>8176</v>
      </c>
    </row>
    <row r="14" spans="2:14" x14ac:dyDescent="0.25">
      <c r="B14" t="s">
        <v>305</v>
      </c>
      <c r="C14" s="142">
        <v>44912</v>
      </c>
      <c r="D14" s="142">
        <v>57316</v>
      </c>
      <c r="E14" s="142">
        <v>57407</v>
      </c>
      <c r="F14" s="142">
        <v>61562</v>
      </c>
      <c r="G14" s="142">
        <v>62533</v>
      </c>
      <c r="H14" s="142">
        <v>76940</v>
      </c>
      <c r="I14" s="142">
        <v>71691</v>
      </c>
      <c r="J14" s="142">
        <v>66398</v>
      </c>
      <c r="K14" s="142">
        <v>76040</v>
      </c>
      <c r="L14" s="142">
        <v>69750</v>
      </c>
      <c r="M14" s="142">
        <v>79252</v>
      </c>
      <c r="N14" s="142">
        <v>93979</v>
      </c>
    </row>
    <row r="15" spans="2:14" x14ac:dyDescent="0.25">
      <c r="B15" t="s">
        <v>306</v>
      </c>
      <c r="C15" s="142">
        <v>2067</v>
      </c>
      <c r="D15" s="142">
        <v>3119</v>
      </c>
      <c r="E15" s="142">
        <v>2289</v>
      </c>
      <c r="F15" s="142">
        <v>2165</v>
      </c>
      <c r="G15" s="142">
        <v>1711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</row>
    <row r="16" spans="2:14" x14ac:dyDescent="0.25">
      <c r="B16" t="s">
        <v>307</v>
      </c>
      <c r="C16" s="142">
        <v>29627</v>
      </c>
      <c r="D16" s="142">
        <v>31325</v>
      </c>
      <c r="E16" s="142">
        <v>47313</v>
      </c>
      <c r="F16" s="142">
        <v>50712</v>
      </c>
      <c r="G16" s="142">
        <v>71218</v>
      </c>
      <c r="H16" s="142">
        <v>65349</v>
      </c>
      <c r="I16" s="142">
        <v>67135</v>
      </c>
      <c r="J16" s="142">
        <v>65969</v>
      </c>
      <c r="K16" s="142">
        <v>66579</v>
      </c>
      <c r="L16" s="142">
        <v>64030</v>
      </c>
      <c r="M16" s="142">
        <v>68710</v>
      </c>
      <c r="N16" s="142">
        <v>75186</v>
      </c>
    </row>
    <row r="17" spans="2:14" x14ac:dyDescent="0.25">
      <c r="B17" s="144" t="s">
        <v>119</v>
      </c>
      <c r="C17" s="145">
        <v>168330</v>
      </c>
      <c r="D17" s="145">
        <v>218426</v>
      </c>
      <c r="E17" s="145">
        <v>237315</v>
      </c>
      <c r="F17" s="145">
        <v>263184</v>
      </c>
      <c r="G17" s="145">
        <v>272580</v>
      </c>
      <c r="H17" s="145">
        <v>327192</v>
      </c>
      <c r="I17" s="145">
        <v>305703</v>
      </c>
      <c r="J17" s="145">
        <v>320179</v>
      </c>
      <c r="K17" s="145">
        <v>341570</v>
      </c>
      <c r="L17" s="145">
        <v>329061</v>
      </c>
      <c r="M17" s="145">
        <v>334674</v>
      </c>
      <c r="N17" s="145">
        <v>369521</v>
      </c>
    </row>
    <row r="18" spans="2:14" x14ac:dyDescent="0.25"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</row>
    <row r="19" spans="2:14" x14ac:dyDescent="0.25">
      <c r="B19" s="2" t="s">
        <v>326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</row>
    <row r="20" spans="2:14" x14ac:dyDescent="0.25">
      <c r="B20" t="s">
        <v>308</v>
      </c>
      <c r="C20" s="142">
        <v>1959</v>
      </c>
      <c r="D20" s="142">
        <v>2296</v>
      </c>
      <c r="E20" s="142">
        <v>2513</v>
      </c>
      <c r="F20" s="142">
        <v>7185</v>
      </c>
      <c r="G20" s="142">
        <v>6762</v>
      </c>
      <c r="H20" s="142">
        <v>7339</v>
      </c>
      <c r="I20" s="142">
        <v>7286</v>
      </c>
      <c r="J20" s="142">
        <v>7675</v>
      </c>
      <c r="K20" s="142">
        <v>7819</v>
      </c>
      <c r="L20" s="142">
        <v>7760</v>
      </c>
      <c r="M20" s="142">
        <v>8045</v>
      </c>
      <c r="N20" s="142">
        <v>7930</v>
      </c>
    </row>
    <row r="21" spans="2:14" x14ac:dyDescent="0.25">
      <c r="B21" t="s">
        <v>309</v>
      </c>
      <c r="C21" s="142">
        <v>8323</v>
      </c>
      <c r="D21" s="142">
        <v>11010</v>
      </c>
      <c r="E21" s="142">
        <v>13396</v>
      </c>
      <c r="F21" s="142">
        <v>12343</v>
      </c>
      <c r="G21" s="142">
        <v>12164</v>
      </c>
      <c r="H21" s="142">
        <v>16552</v>
      </c>
      <c r="I21" s="142">
        <v>22938</v>
      </c>
      <c r="J21" s="142">
        <v>32665</v>
      </c>
      <c r="K21" s="142">
        <v>35537</v>
      </c>
      <c r="L21" s="142">
        <v>36466</v>
      </c>
      <c r="M21" s="142">
        <v>38674</v>
      </c>
      <c r="N21" s="142">
        <v>40584</v>
      </c>
    </row>
    <row r="22" spans="2:14" x14ac:dyDescent="0.25">
      <c r="B22" t="s">
        <v>310</v>
      </c>
      <c r="C22" s="142">
        <v>63478</v>
      </c>
      <c r="D22" s="142">
        <v>79505</v>
      </c>
      <c r="E22" s="142">
        <v>88943</v>
      </c>
      <c r="F22" s="142">
        <v>80063</v>
      </c>
      <c r="G22" s="142">
        <v>79976</v>
      </c>
      <c r="H22" s="142">
        <v>100226</v>
      </c>
      <c r="I22" s="142">
        <v>109415</v>
      </c>
      <c r="J22" s="142">
        <v>124158</v>
      </c>
      <c r="K22" s="142">
        <v>138868</v>
      </c>
      <c r="L22" s="142">
        <v>148585</v>
      </c>
      <c r="M22" s="142">
        <v>153672</v>
      </c>
      <c r="N22" s="142">
        <v>151878</v>
      </c>
    </row>
    <row r="23" spans="2:14" x14ac:dyDescent="0.25">
      <c r="B23" t="s">
        <v>311</v>
      </c>
      <c r="C23" s="142">
        <v>0</v>
      </c>
      <c r="D23" s="142">
        <v>0</v>
      </c>
      <c r="E23" s="142">
        <v>482</v>
      </c>
      <c r="F23" s="142">
        <v>498</v>
      </c>
      <c r="G23" s="142">
        <v>0</v>
      </c>
      <c r="H23" s="142">
        <v>0</v>
      </c>
      <c r="I23" s="142">
        <v>0</v>
      </c>
      <c r="J23" s="142">
        <v>0</v>
      </c>
      <c r="K23" s="142">
        <v>0</v>
      </c>
      <c r="L23" s="142">
        <v>0</v>
      </c>
      <c r="M23" s="142">
        <v>0</v>
      </c>
      <c r="N23" s="142">
        <v>0</v>
      </c>
    </row>
    <row r="24" spans="2:14" x14ac:dyDescent="0.25">
      <c r="B24" t="s">
        <v>312</v>
      </c>
      <c r="C24" s="142">
        <v>928</v>
      </c>
      <c r="D24" s="142">
        <v>1126</v>
      </c>
      <c r="E24" s="142">
        <v>1364</v>
      </c>
      <c r="F24" s="142">
        <v>1634</v>
      </c>
      <c r="G24" s="142">
        <v>1767</v>
      </c>
      <c r="H24" s="142">
        <v>1943</v>
      </c>
      <c r="I24" s="142">
        <v>2335</v>
      </c>
      <c r="J24" s="142">
        <v>3054</v>
      </c>
      <c r="K24" s="142">
        <v>3172</v>
      </c>
      <c r="L24" s="142">
        <v>3383</v>
      </c>
      <c r="M24" s="142">
        <v>3499</v>
      </c>
      <c r="N24" s="142">
        <v>3667</v>
      </c>
    </row>
    <row r="25" spans="2:14" x14ac:dyDescent="0.25">
      <c r="B25" t="s">
        <v>313</v>
      </c>
      <c r="C25" s="142">
        <v>710</v>
      </c>
      <c r="D25" s="142">
        <v>1011</v>
      </c>
      <c r="E25" s="142">
        <v>1149</v>
      </c>
      <c r="F25" s="142">
        <v>1241</v>
      </c>
      <c r="G25" s="142">
        <v>1401</v>
      </c>
      <c r="H25" s="142">
        <v>1430</v>
      </c>
      <c r="I25" s="142">
        <v>1626</v>
      </c>
      <c r="J25" s="142">
        <v>1890</v>
      </c>
      <c r="K25" s="142">
        <v>1956</v>
      </c>
      <c r="L25" s="142">
        <v>1984</v>
      </c>
      <c r="M25" s="142">
        <v>2084</v>
      </c>
      <c r="N25" s="142">
        <v>2029</v>
      </c>
    </row>
    <row r="26" spans="2:14" x14ac:dyDescent="0.25">
      <c r="B26" t="s">
        <v>314</v>
      </c>
      <c r="C26" s="142">
        <v>251</v>
      </c>
      <c r="D26" s="142">
        <v>270</v>
      </c>
      <c r="E26" s="142">
        <v>280</v>
      </c>
      <c r="F26" s="142">
        <v>280</v>
      </c>
      <c r="G26" s="142">
        <v>291</v>
      </c>
      <c r="H26" s="142">
        <v>353</v>
      </c>
      <c r="I26" s="142">
        <v>387</v>
      </c>
      <c r="J26" s="142">
        <v>601</v>
      </c>
      <c r="K26" s="142">
        <v>845</v>
      </c>
      <c r="L26" s="142">
        <v>725</v>
      </c>
      <c r="M26" s="142">
        <v>788</v>
      </c>
      <c r="N26" s="142">
        <v>956</v>
      </c>
    </row>
    <row r="27" spans="2:14" x14ac:dyDescent="0.25">
      <c r="B27" t="s">
        <v>315</v>
      </c>
      <c r="C27" s="142">
        <v>7423</v>
      </c>
      <c r="D27" s="142">
        <v>8994</v>
      </c>
      <c r="E27" s="142">
        <v>9580</v>
      </c>
      <c r="F27" s="142">
        <v>58951</v>
      </c>
      <c r="G27" s="142">
        <v>54932</v>
      </c>
      <c r="H27" s="142">
        <v>77870</v>
      </c>
      <c r="I27" s="142">
        <v>80480</v>
      </c>
      <c r="J27" s="142">
        <v>91157</v>
      </c>
      <c r="K27" s="142">
        <v>114809</v>
      </c>
      <c r="L27" s="142">
        <v>114323</v>
      </c>
      <c r="M27" s="142">
        <v>112538</v>
      </c>
      <c r="N27" s="142">
        <v>116714</v>
      </c>
    </row>
    <row r="28" spans="2:14" x14ac:dyDescent="0.25">
      <c r="B28" t="s">
        <v>316</v>
      </c>
      <c r="C28" s="142">
        <v>24161</v>
      </c>
      <c r="D28" s="142">
        <v>33694</v>
      </c>
      <c r="E28" s="142">
        <v>45196</v>
      </c>
      <c r="F28" s="142">
        <v>6746</v>
      </c>
      <c r="G28" s="142">
        <v>6219</v>
      </c>
      <c r="H28" s="142">
        <v>7497</v>
      </c>
      <c r="I28" s="142">
        <v>8049</v>
      </c>
      <c r="J28" s="142">
        <v>9380</v>
      </c>
      <c r="K28" s="142">
        <v>10686</v>
      </c>
      <c r="L28" s="142">
        <v>10870</v>
      </c>
      <c r="M28" s="142">
        <v>11841</v>
      </c>
      <c r="N28" s="142">
        <v>10724</v>
      </c>
    </row>
    <row r="29" spans="2:14" x14ac:dyDescent="0.25">
      <c r="B29" s="2" t="s">
        <v>317</v>
      </c>
      <c r="C29" s="143">
        <v>107234</v>
      </c>
      <c r="D29" s="143">
        <v>137907</v>
      </c>
      <c r="E29" s="143">
        <v>162904</v>
      </c>
      <c r="F29" s="143">
        <v>168941</v>
      </c>
      <c r="G29" s="143">
        <v>163512</v>
      </c>
      <c r="H29" s="143">
        <v>213209</v>
      </c>
      <c r="I29" s="143">
        <v>232517</v>
      </c>
      <c r="J29" s="143">
        <v>270579</v>
      </c>
      <c r="K29" s="143">
        <v>313692</v>
      </c>
      <c r="L29" s="143">
        <v>324096</v>
      </c>
      <c r="M29" s="143">
        <v>331141</v>
      </c>
      <c r="N29" s="143">
        <v>334482</v>
      </c>
    </row>
    <row r="30" spans="2:14" x14ac:dyDescent="0.25">
      <c r="B30" s="2" t="s">
        <v>318</v>
      </c>
      <c r="C30" s="142">
        <v>51723</v>
      </c>
      <c r="D30" s="142">
        <v>68815</v>
      </c>
      <c r="E30" s="142">
        <v>74424</v>
      </c>
      <c r="F30" s="142">
        <v>61709</v>
      </c>
      <c r="G30" s="142">
        <v>67568</v>
      </c>
      <c r="H30" s="142">
        <v>91795</v>
      </c>
      <c r="I30" s="142">
        <v>121283</v>
      </c>
      <c r="J30" s="142">
        <v>143471</v>
      </c>
      <c r="K30" s="142">
        <v>174985</v>
      </c>
      <c r="L30" s="142">
        <v>185241</v>
      </c>
      <c r="M30" s="142">
        <v>199062</v>
      </c>
      <c r="N30" s="142">
        <v>213197</v>
      </c>
    </row>
    <row r="31" spans="2:14" x14ac:dyDescent="0.25">
      <c r="B31" s="104" t="s">
        <v>27</v>
      </c>
      <c r="C31" s="146">
        <f>C29-C30</f>
        <v>55511</v>
      </c>
      <c r="D31" s="146">
        <f t="shared" ref="D31:N31" si="0">D29-D30</f>
        <v>69092</v>
      </c>
      <c r="E31" s="146">
        <f t="shared" si="0"/>
        <v>88480</v>
      </c>
      <c r="F31" s="146">
        <f t="shared" si="0"/>
        <v>107232</v>
      </c>
      <c r="G31" s="146">
        <f t="shared" si="0"/>
        <v>95944</v>
      </c>
      <c r="H31" s="146">
        <f t="shared" si="0"/>
        <v>121414</v>
      </c>
      <c r="I31" s="146">
        <f t="shared" si="0"/>
        <v>111234</v>
      </c>
      <c r="J31" s="146">
        <f t="shared" si="0"/>
        <v>127108</v>
      </c>
      <c r="K31" s="146">
        <f t="shared" si="0"/>
        <v>138707</v>
      </c>
      <c r="L31" s="146">
        <f t="shared" si="0"/>
        <v>138855</v>
      </c>
      <c r="M31" s="146">
        <f t="shared" si="0"/>
        <v>132079</v>
      </c>
      <c r="N31" s="146">
        <f t="shared" si="0"/>
        <v>121285</v>
      </c>
    </row>
    <row r="32" spans="2:14" x14ac:dyDescent="0.25">
      <c r="B32" s="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</row>
    <row r="33" spans="2:14" x14ac:dyDescent="0.25">
      <c r="B33" s="2" t="s">
        <v>319</v>
      </c>
      <c r="C33" s="142">
        <v>18454</v>
      </c>
      <c r="D33" s="142">
        <v>33263</v>
      </c>
      <c r="E33" s="142">
        <v>28640</v>
      </c>
      <c r="F33" s="142">
        <v>25919</v>
      </c>
      <c r="G33" s="142">
        <v>33699</v>
      </c>
      <c r="H33" s="142">
        <v>40034</v>
      </c>
      <c r="I33" s="142">
        <v>31884</v>
      </c>
      <c r="J33" s="142">
        <v>35622</v>
      </c>
      <c r="K33" s="142">
        <v>20964</v>
      </c>
      <c r="L33" s="142">
        <v>10251</v>
      </c>
      <c r="M33" s="142">
        <v>14274</v>
      </c>
      <c r="N33" s="142">
        <v>35698</v>
      </c>
    </row>
    <row r="34" spans="2:14" x14ac:dyDescent="0.25">
      <c r="B34" s="2" t="s">
        <v>29</v>
      </c>
      <c r="C34" s="142">
        <v>8765</v>
      </c>
      <c r="D34" s="142">
        <v>10687</v>
      </c>
      <c r="E34" s="142">
        <v>15337</v>
      </c>
      <c r="F34" s="142">
        <v>23767</v>
      </c>
      <c r="G34" s="142">
        <v>20338</v>
      </c>
      <c r="H34" s="142">
        <v>20813</v>
      </c>
      <c r="I34" s="142">
        <v>15771</v>
      </c>
      <c r="J34" s="142">
        <v>16308</v>
      </c>
      <c r="K34" s="142">
        <v>24620</v>
      </c>
      <c r="L34" s="142">
        <v>29380</v>
      </c>
      <c r="M34" s="142">
        <v>26379</v>
      </c>
      <c r="N34" s="142">
        <v>22971</v>
      </c>
    </row>
    <row r="35" spans="2:14" x14ac:dyDescent="0.25">
      <c r="B35" s="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</row>
    <row r="36" spans="2:14" x14ac:dyDescent="0.25">
      <c r="B36" s="2" t="s">
        <v>327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</row>
    <row r="37" spans="2:14" x14ac:dyDescent="0.25">
      <c r="B37" t="s">
        <v>320</v>
      </c>
      <c r="C37" s="142">
        <v>21037</v>
      </c>
      <c r="D37" s="142">
        <v>27271</v>
      </c>
      <c r="E37" s="142">
        <v>29272</v>
      </c>
      <c r="F37" s="142">
        <v>32656</v>
      </c>
      <c r="G37" s="142">
        <v>35085</v>
      </c>
      <c r="H37" s="142">
        <v>42138</v>
      </c>
      <c r="I37" s="142">
        <v>39014</v>
      </c>
      <c r="J37" s="142">
        <v>37457</v>
      </c>
      <c r="K37" s="142">
        <v>36089</v>
      </c>
      <c r="L37" s="142">
        <v>35240</v>
      </c>
      <c r="M37" s="142">
        <v>40755</v>
      </c>
      <c r="N37" s="142">
        <v>47788</v>
      </c>
    </row>
    <row r="38" spans="2:14" x14ac:dyDescent="0.25">
      <c r="B38" t="s">
        <v>330</v>
      </c>
      <c r="C38" s="142">
        <v>10960</v>
      </c>
      <c r="D38" s="142">
        <v>10574</v>
      </c>
      <c r="E38" s="142">
        <v>12579</v>
      </c>
      <c r="F38" s="142">
        <v>13571</v>
      </c>
      <c r="G38" s="142">
        <v>14076</v>
      </c>
      <c r="H38" s="142">
        <v>19893</v>
      </c>
      <c r="I38" s="142">
        <v>18996</v>
      </c>
      <c r="J38" s="142">
        <v>11173</v>
      </c>
      <c r="K38" s="142">
        <v>12679</v>
      </c>
      <c r="L38" s="142">
        <v>12442</v>
      </c>
      <c r="M38" s="142">
        <v>15738</v>
      </c>
      <c r="N38" s="142">
        <v>16952</v>
      </c>
    </row>
    <row r="39" spans="2:14" x14ac:dyDescent="0.25">
      <c r="B39" t="s">
        <v>321</v>
      </c>
      <c r="C39" s="142">
        <v>21115</v>
      </c>
      <c r="D39" s="142">
        <v>29712</v>
      </c>
      <c r="E39" s="142">
        <v>32116</v>
      </c>
      <c r="F39" s="142">
        <v>30460</v>
      </c>
      <c r="G39" s="142">
        <v>36078</v>
      </c>
      <c r="H39" s="142">
        <v>34614</v>
      </c>
      <c r="I39" s="142">
        <v>32649</v>
      </c>
      <c r="J39" s="142">
        <v>33727</v>
      </c>
      <c r="K39" s="142">
        <v>46792</v>
      </c>
      <c r="L39" s="142">
        <v>40669</v>
      </c>
      <c r="M39" s="142">
        <v>37016</v>
      </c>
      <c r="N39" s="142">
        <v>45807</v>
      </c>
    </row>
    <row r="40" spans="2:14" x14ac:dyDescent="0.25">
      <c r="B40" t="s">
        <v>322</v>
      </c>
      <c r="C40" s="142">
        <v>7041</v>
      </c>
      <c r="D40" s="142">
        <v>9344</v>
      </c>
      <c r="E40" s="142">
        <v>6190</v>
      </c>
      <c r="F40" s="142">
        <v>0</v>
      </c>
      <c r="G40" s="142">
        <v>0</v>
      </c>
      <c r="H40" s="142">
        <v>966</v>
      </c>
      <c r="I40" s="142">
        <v>974</v>
      </c>
      <c r="J40" s="142">
        <v>39</v>
      </c>
      <c r="K40" s="142">
        <v>142</v>
      </c>
      <c r="L40" s="142">
        <v>47</v>
      </c>
      <c r="M40" s="142">
        <v>119</v>
      </c>
      <c r="N40" s="142">
        <v>168</v>
      </c>
    </row>
    <row r="41" spans="2:14" x14ac:dyDescent="0.25">
      <c r="B41" t="s">
        <v>323</v>
      </c>
      <c r="C41" s="142">
        <v>25448</v>
      </c>
      <c r="D41" s="142">
        <v>28484</v>
      </c>
      <c r="E41" s="142">
        <v>24701</v>
      </c>
      <c r="F41" s="142">
        <v>29579</v>
      </c>
      <c r="G41" s="142">
        <v>37361</v>
      </c>
      <c r="H41" s="142">
        <v>47321</v>
      </c>
      <c r="I41" s="142">
        <v>55182</v>
      </c>
      <c r="J41" s="142">
        <v>58746</v>
      </c>
      <c r="K41" s="142">
        <v>61576</v>
      </c>
      <c r="L41" s="142">
        <v>62177</v>
      </c>
      <c r="M41" s="142">
        <v>68313</v>
      </c>
      <c r="N41" s="142">
        <v>78851</v>
      </c>
    </row>
    <row r="42" spans="2:14" x14ac:dyDescent="0.25">
      <c r="B42" s="147" t="s">
        <v>195</v>
      </c>
      <c r="C42" s="148">
        <v>168330</v>
      </c>
      <c r="D42" s="148">
        <v>218426</v>
      </c>
      <c r="E42" s="148">
        <v>237315</v>
      </c>
      <c r="F42" s="148">
        <v>263184</v>
      </c>
      <c r="G42" s="148">
        <v>272580</v>
      </c>
      <c r="H42" s="148">
        <v>327192</v>
      </c>
      <c r="I42" s="148">
        <v>305703</v>
      </c>
      <c r="J42" s="148">
        <v>320179</v>
      </c>
      <c r="K42" s="148">
        <v>341570</v>
      </c>
      <c r="L42" s="148">
        <v>329061</v>
      </c>
      <c r="M42" s="148">
        <v>334674</v>
      </c>
      <c r="N42" s="148">
        <v>369521</v>
      </c>
    </row>
    <row r="45" spans="2:14" x14ac:dyDescent="0.25">
      <c r="B45" s="168" t="str">
        <f>'Data Sheet'!$B$1&amp;" - Cash Flow Statement"</f>
        <v>TATA MOTORS LTD - Cash Flow Statement</v>
      </c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</row>
    <row r="46" spans="2:14" x14ac:dyDescent="0.25">
      <c r="B46" s="27" t="s">
        <v>192</v>
      </c>
      <c r="C46" s="141">
        <v>41334</v>
      </c>
      <c r="D46" s="141">
        <v>41699</v>
      </c>
      <c r="E46" s="141">
        <v>42064</v>
      </c>
      <c r="F46" s="141">
        <v>42430</v>
      </c>
      <c r="G46" s="141">
        <v>42795</v>
      </c>
      <c r="H46" s="141">
        <v>43160</v>
      </c>
      <c r="I46" s="141">
        <v>43525</v>
      </c>
      <c r="J46" s="141">
        <v>43891</v>
      </c>
      <c r="K46" s="141">
        <v>44256</v>
      </c>
      <c r="L46" s="141">
        <v>44621</v>
      </c>
      <c r="M46" s="141">
        <v>44986</v>
      </c>
      <c r="N46" s="141">
        <v>45352</v>
      </c>
    </row>
    <row r="48" spans="2:14" x14ac:dyDescent="0.25">
      <c r="B48" t="s">
        <v>125</v>
      </c>
      <c r="C48" s="41">
        <v>22163</v>
      </c>
      <c r="D48" s="41">
        <v>36151</v>
      </c>
      <c r="E48" s="41">
        <v>35531</v>
      </c>
      <c r="F48" s="41">
        <v>37900</v>
      </c>
      <c r="G48" s="41">
        <v>30199</v>
      </c>
      <c r="H48" s="41">
        <v>23857</v>
      </c>
      <c r="I48" s="41">
        <v>18891</v>
      </c>
      <c r="J48" s="41">
        <v>26633</v>
      </c>
      <c r="K48" s="41">
        <v>29001</v>
      </c>
      <c r="L48" s="41">
        <v>14283</v>
      </c>
      <c r="M48" s="41">
        <v>35388</v>
      </c>
      <c r="N48" s="41">
        <v>67915</v>
      </c>
    </row>
    <row r="49" spans="2:14" x14ac:dyDescent="0.25">
      <c r="B49" t="s">
        <v>126</v>
      </c>
      <c r="C49" s="41">
        <v>24406</v>
      </c>
      <c r="D49" s="41">
        <v>36303</v>
      </c>
      <c r="E49" s="41">
        <v>43397</v>
      </c>
      <c r="F49" s="41">
        <v>38626</v>
      </c>
      <c r="G49" s="41">
        <v>28840</v>
      </c>
      <c r="H49" s="41">
        <v>33312</v>
      </c>
      <c r="I49" s="41">
        <v>28771</v>
      </c>
      <c r="J49" s="41">
        <v>23352</v>
      </c>
      <c r="K49" s="41">
        <v>31198</v>
      </c>
      <c r="L49" s="41">
        <v>26943</v>
      </c>
      <c r="M49" s="41">
        <v>41694</v>
      </c>
      <c r="N49" s="41">
        <v>65106</v>
      </c>
    </row>
    <row r="50" spans="2:14" x14ac:dyDescent="0.25">
      <c r="B50" t="s">
        <v>78</v>
      </c>
      <c r="C50" s="41">
        <v>-5177</v>
      </c>
      <c r="D50">
        <v>445</v>
      </c>
      <c r="E50" s="41">
        <v>-3179</v>
      </c>
      <c r="F50" s="41">
        <v>-2223</v>
      </c>
      <c r="G50" s="41">
        <v>-4152</v>
      </c>
      <c r="H50" s="41">
        <v>-10688</v>
      </c>
      <c r="I50" s="41">
        <v>-9109</v>
      </c>
      <c r="J50" s="41">
        <v>9950</v>
      </c>
      <c r="K50" s="41">
        <v>-5505</v>
      </c>
      <c r="L50">
        <v>185</v>
      </c>
      <c r="M50" s="41">
        <v>-2213</v>
      </c>
      <c r="N50" s="41">
        <v>-1875</v>
      </c>
    </row>
    <row r="51" spans="2:14" x14ac:dyDescent="0.25">
      <c r="B51" t="s">
        <v>45</v>
      </c>
      <c r="C51" s="41">
        <v>-2656</v>
      </c>
      <c r="D51" s="41">
        <v>-2853</v>
      </c>
      <c r="E51" s="41">
        <v>-3692</v>
      </c>
      <c r="F51" s="41">
        <v>-5743</v>
      </c>
      <c r="G51" s="41">
        <v>-6621</v>
      </c>
      <c r="H51" s="41">
        <v>-3560</v>
      </c>
      <c r="I51" s="41">
        <v>2069</v>
      </c>
      <c r="J51" s="41">
        <v>2326</v>
      </c>
      <c r="K51" s="41">
        <v>3814</v>
      </c>
      <c r="L51">
        <v>472</v>
      </c>
      <c r="M51" s="41">
        <v>-5665</v>
      </c>
      <c r="N51" s="41">
        <v>-7265</v>
      </c>
    </row>
    <row r="52" spans="2:14" x14ac:dyDescent="0.25">
      <c r="B52" t="s">
        <v>127</v>
      </c>
      <c r="C52" s="41">
        <v>8132</v>
      </c>
      <c r="D52" s="41">
        <v>4694</v>
      </c>
      <c r="E52" s="41">
        <v>3598</v>
      </c>
      <c r="F52" s="41">
        <v>3947</v>
      </c>
      <c r="G52" s="41">
        <v>9301</v>
      </c>
      <c r="H52" s="41">
        <v>7320</v>
      </c>
      <c r="I52" s="41">
        <v>-4692</v>
      </c>
      <c r="J52" s="41">
        <v>-8085</v>
      </c>
      <c r="K52" s="41">
        <v>5748</v>
      </c>
      <c r="L52" s="41">
        <v>-7012</v>
      </c>
      <c r="M52" s="41">
        <v>6945</v>
      </c>
      <c r="N52" s="41">
        <v>13706</v>
      </c>
    </row>
    <row r="53" spans="2:14" x14ac:dyDescent="0.25">
      <c r="B53" t="s">
        <v>128</v>
      </c>
      <c r="C53">
        <v>0</v>
      </c>
      <c r="D53">
        <v>0</v>
      </c>
      <c r="E53">
        <v>0</v>
      </c>
      <c r="F53">
        <v>-520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2:14" x14ac:dyDescent="0.25">
      <c r="B54" t="s">
        <v>129</v>
      </c>
      <c r="C54">
        <v>-303</v>
      </c>
      <c r="D54" s="41">
        <v>1870</v>
      </c>
      <c r="E54">
        <v>-398</v>
      </c>
      <c r="F54" s="41">
        <v>5852</v>
      </c>
      <c r="G54" s="41">
        <v>4727</v>
      </c>
      <c r="H54">
        <v>494</v>
      </c>
      <c r="I54" s="41">
        <v>4512</v>
      </c>
      <c r="J54">
        <v>875</v>
      </c>
      <c r="K54" s="41">
        <v>-4150</v>
      </c>
      <c r="L54" s="41">
        <v>-4396</v>
      </c>
      <c r="M54" s="41">
        <v>-2194</v>
      </c>
      <c r="N54" s="41">
        <v>2760</v>
      </c>
    </row>
    <row r="55" spans="2:14" x14ac:dyDescent="0.25">
      <c r="B55" t="s">
        <v>130</v>
      </c>
      <c r="C55">
        <v>-3</v>
      </c>
      <c r="D55" s="41">
        <v>4157</v>
      </c>
      <c r="E55" s="41">
        <v>-3672</v>
      </c>
      <c r="F55" s="41">
        <v>1313</v>
      </c>
      <c r="G55" s="41">
        <v>3254</v>
      </c>
      <c r="H55" s="41">
        <v>-6434</v>
      </c>
      <c r="I55" s="41">
        <v>-7221</v>
      </c>
      <c r="J55" s="41">
        <v>5065</v>
      </c>
      <c r="K55">
        <v>-93</v>
      </c>
      <c r="L55" s="41">
        <v>-10750</v>
      </c>
      <c r="M55" s="41">
        <v>-3127</v>
      </c>
      <c r="N55" s="41">
        <v>7325</v>
      </c>
    </row>
    <row r="56" spans="2:14" x14ac:dyDescent="0.25">
      <c r="B56" t="s">
        <v>131</v>
      </c>
      <c r="C56" s="41">
        <v>-2240</v>
      </c>
      <c r="D56" s="41">
        <v>-4308</v>
      </c>
      <c r="E56" s="41">
        <v>-4194</v>
      </c>
      <c r="F56" s="41">
        <v>-2040</v>
      </c>
      <c r="G56" s="41">
        <v>-1895</v>
      </c>
      <c r="H56" s="41">
        <v>-3021</v>
      </c>
      <c r="I56" s="41">
        <v>-2659</v>
      </c>
      <c r="J56" s="41">
        <v>-1785</v>
      </c>
      <c r="K56" s="41">
        <v>-2105</v>
      </c>
      <c r="L56" s="41">
        <v>-1910</v>
      </c>
      <c r="M56" s="41">
        <v>-3179</v>
      </c>
      <c r="N56" s="41">
        <v>-4516</v>
      </c>
    </row>
    <row r="57" spans="2:14" x14ac:dyDescent="0.25">
      <c r="B57" t="s">
        <v>132</v>
      </c>
      <c r="C57" s="41">
        <v>-22969</v>
      </c>
      <c r="D57" s="41">
        <v>-27991</v>
      </c>
      <c r="E57" s="41">
        <v>-36232</v>
      </c>
      <c r="F57" s="41">
        <v>-36694</v>
      </c>
      <c r="G57" s="41">
        <v>-39571</v>
      </c>
      <c r="H57" s="41">
        <v>-25139</v>
      </c>
      <c r="I57" s="41">
        <v>-20878</v>
      </c>
      <c r="J57" s="41">
        <v>-33115</v>
      </c>
      <c r="K57" s="41">
        <v>-25672</v>
      </c>
      <c r="L57" s="41">
        <v>-4444</v>
      </c>
      <c r="M57" s="41">
        <v>-15417</v>
      </c>
      <c r="N57" s="41">
        <v>-22782</v>
      </c>
    </row>
    <row r="58" spans="2:14" x14ac:dyDescent="0.25">
      <c r="B58" t="s">
        <v>133</v>
      </c>
      <c r="C58" s="41">
        <v>-18863</v>
      </c>
      <c r="D58" s="41">
        <v>-26975</v>
      </c>
      <c r="E58" s="41">
        <v>-31962</v>
      </c>
      <c r="F58" s="41">
        <v>-31503</v>
      </c>
      <c r="G58" s="41">
        <v>-16072</v>
      </c>
      <c r="H58" s="41">
        <v>-35079</v>
      </c>
      <c r="I58" s="41">
        <v>-35304</v>
      </c>
      <c r="J58" s="41">
        <v>-29702</v>
      </c>
      <c r="K58" s="41">
        <v>-20205</v>
      </c>
      <c r="L58" s="41">
        <v>-15168</v>
      </c>
      <c r="M58" s="41">
        <v>-19230</v>
      </c>
      <c r="N58" s="41">
        <v>-31414</v>
      </c>
    </row>
    <row r="59" spans="2:14" x14ac:dyDescent="0.25">
      <c r="B59" t="s">
        <v>134</v>
      </c>
      <c r="C59">
        <v>37</v>
      </c>
      <c r="D59">
        <v>50</v>
      </c>
      <c r="E59">
        <v>74</v>
      </c>
      <c r="F59">
        <v>59</v>
      </c>
      <c r="G59">
        <v>53</v>
      </c>
      <c r="H59">
        <v>30</v>
      </c>
      <c r="I59">
        <v>67</v>
      </c>
      <c r="J59">
        <v>171</v>
      </c>
      <c r="K59">
        <v>351</v>
      </c>
      <c r="L59">
        <v>230</v>
      </c>
      <c r="M59">
        <v>285</v>
      </c>
      <c r="N59">
        <v>231</v>
      </c>
    </row>
    <row r="60" spans="2:14" x14ac:dyDescent="0.25">
      <c r="B60" t="s">
        <v>135</v>
      </c>
      <c r="C60">
        <v>73</v>
      </c>
      <c r="D60">
        <v>-429</v>
      </c>
      <c r="E60" s="41">
        <v>-5461</v>
      </c>
      <c r="F60" s="41">
        <v>-4728</v>
      </c>
      <c r="G60">
        <v>-6</v>
      </c>
      <c r="H60">
        <v>-329</v>
      </c>
      <c r="I60">
        <v>-130</v>
      </c>
      <c r="J60" s="41">
        <v>-1439</v>
      </c>
      <c r="K60" s="41">
        <v>-7530</v>
      </c>
      <c r="L60" s="41">
        <v>-3008</v>
      </c>
      <c r="M60">
        <v>-50</v>
      </c>
      <c r="N60" t="s">
        <v>341</v>
      </c>
    </row>
    <row r="61" spans="2:14" x14ac:dyDescent="0.25">
      <c r="B61" t="s">
        <v>136</v>
      </c>
      <c r="C61">
        <v>34</v>
      </c>
      <c r="D61">
        <v>4</v>
      </c>
      <c r="E61">
        <v>42</v>
      </c>
      <c r="F61">
        <v>89</v>
      </c>
      <c r="G61" s="41">
        <v>1965</v>
      </c>
      <c r="H61" s="41">
        <v>2381</v>
      </c>
      <c r="I61" s="41">
        <v>5644</v>
      </c>
      <c r="J61">
        <v>21</v>
      </c>
      <c r="K61">
        <v>226</v>
      </c>
      <c r="L61">
        <v>104</v>
      </c>
      <c r="M61" s="41">
        <v>6895</v>
      </c>
      <c r="N61" s="41">
        <v>10820</v>
      </c>
    </row>
    <row r="62" spans="2:14" x14ac:dyDescent="0.25">
      <c r="B62" t="s">
        <v>137</v>
      </c>
      <c r="C62">
        <v>713</v>
      </c>
      <c r="D62">
        <v>653</v>
      </c>
      <c r="E62">
        <v>698</v>
      </c>
      <c r="F62">
        <v>731</v>
      </c>
      <c r="G62">
        <v>638</v>
      </c>
      <c r="H62">
        <v>690</v>
      </c>
      <c r="I62">
        <v>761</v>
      </c>
      <c r="J62" s="41">
        <v>1104</v>
      </c>
      <c r="K62">
        <v>428</v>
      </c>
      <c r="L62">
        <v>653</v>
      </c>
      <c r="M62">
        <v>973</v>
      </c>
      <c r="N62" s="41">
        <v>2493</v>
      </c>
    </row>
    <row r="63" spans="2:14" x14ac:dyDescent="0.25">
      <c r="B63" t="s">
        <v>138</v>
      </c>
      <c r="C63">
        <v>95</v>
      </c>
      <c r="D63">
        <v>40</v>
      </c>
      <c r="E63">
        <v>80</v>
      </c>
      <c r="F63">
        <v>58</v>
      </c>
      <c r="G63">
        <v>620</v>
      </c>
      <c r="H63" s="41">
        <v>1797</v>
      </c>
      <c r="I63">
        <v>232</v>
      </c>
      <c r="J63">
        <v>21</v>
      </c>
      <c r="K63">
        <v>18</v>
      </c>
      <c r="L63">
        <v>32</v>
      </c>
      <c r="M63">
        <v>46</v>
      </c>
      <c r="N63">
        <v>47</v>
      </c>
    </row>
    <row r="64" spans="2:14" x14ac:dyDescent="0.25">
      <c r="B64" t="s">
        <v>139</v>
      </c>
      <c r="C64">
        <v>0</v>
      </c>
      <c r="D64">
        <v>0</v>
      </c>
      <c r="E64">
        <v>-160</v>
      </c>
      <c r="F64">
        <v>0</v>
      </c>
      <c r="G64">
        <v>-107</v>
      </c>
      <c r="H64">
        <v>-4</v>
      </c>
      <c r="I64">
        <v>-9</v>
      </c>
      <c r="J64">
        <v>-606</v>
      </c>
      <c r="K64">
        <v>-10</v>
      </c>
      <c r="L64">
        <v>0</v>
      </c>
      <c r="M64">
        <v>0</v>
      </c>
      <c r="N64">
        <v>-150</v>
      </c>
    </row>
    <row r="65" spans="2:14" x14ac:dyDescent="0.25">
      <c r="B65" t="s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14</v>
      </c>
      <c r="I65">
        <v>533</v>
      </c>
      <c r="J65">
        <v>0</v>
      </c>
      <c r="K65">
        <v>0</v>
      </c>
      <c r="L65">
        <v>0</v>
      </c>
      <c r="M65">
        <v>19</v>
      </c>
      <c r="N65">
        <v>108</v>
      </c>
    </row>
    <row r="66" spans="2:14" x14ac:dyDescent="0.25">
      <c r="B66" t="s">
        <v>141</v>
      </c>
      <c r="C66">
        <v>0</v>
      </c>
      <c r="D66">
        <v>-185</v>
      </c>
      <c r="E66">
        <v>0</v>
      </c>
      <c r="F66">
        <v>-111</v>
      </c>
      <c r="G66">
        <v>0</v>
      </c>
      <c r="H66">
        <v>0</v>
      </c>
      <c r="I66">
        <v>-8</v>
      </c>
      <c r="J66">
        <v>-27</v>
      </c>
      <c r="K66">
        <v>0</v>
      </c>
      <c r="L66">
        <v>-98</v>
      </c>
      <c r="M66">
        <v>0</v>
      </c>
      <c r="N66">
        <v>0</v>
      </c>
    </row>
    <row r="67" spans="2:14" x14ac:dyDescent="0.25">
      <c r="B67" t="s">
        <v>142</v>
      </c>
      <c r="C67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-24</v>
      </c>
    </row>
    <row r="68" spans="2:14" x14ac:dyDescent="0.25">
      <c r="B68" t="s">
        <v>143</v>
      </c>
      <c r="C68" s="41">
        <v>-5103</v>
      </c>
      <c r="D68" s="41">
        <v>-1149</v>
      </c>
      <c r="E68">
        <v>456</v>
      </c>
      <c r="F68" s="41">
        <v>-1289</v>
      </c>
      <c r="G68" s="41">
        <v>-26663</v>
      </c>
      <c r="H68" s="41">
        <v>5360</v>
      </c>
      <c r="I68" s="41">
        <v>7335</v>
      </c>
      <c r="J68" s="41">
        <v>-2659</v>
      </c>
      <c r="K68" s="41">
        <v>1051</v>
      </c>
      <c r="L68" s="41">
        <v>12813</v>
      </c>
      <c r="M68" s="41">
        <v>-4357</v>
      </c>
      <c r="N68" s="41">
        <v>-4817</v>
      </c>
    </row>
    <row r="69" spans="2:14" x14ac:dyDescent="0.25">
      <c r="B69" t="s">
        <v>144</v>
      </c>
      <c r="C69" s="41">
        <v>-1692</v>
      </c>
      <c r="D69" s="41">
        <v>-3883</v>
      </c>
      <c r="E69" s="41">
        <v>5201</v>
      </c>
      <c r="F69" s="41">
        <v>-3795</v>
      </c>
      <c r="G69" s="41">
        <v>6205</v>
      </c>
      <c r="H69" s="41">
        <v>2012</v>
      </c>
      <c r="I69" s="41">
        <v>8830</v>
      </c>
      <c r="J69" s="41">
        <v>3390</v>
      </c>
      <c r="K69" s="41">
        <v>9904</v>
      </c>
      <c r="L69" s="41">
        <v>-3380</v>
      </c>
      <c r="M69" s="41">
        <v>-26243</v>
      </c>
      <c r="N69" s="41">
        <v>-37006</v>
      </c>
    </row>
    <row r="70" spans="2:14" x14ac:dyDescent="0.25">
      <c r="B70" t="s">
        <v>145</v>
      </c>
      <c r="C70">
        <v>1</v>
      </c>
      <c r="D70">
        <v>0</v>
      </c>
      <c r="E70">
        <v>0</v>
      </c>
      <c r="F70" s="41">
        <v>7433</v>
      </c>
      <c r="G70">
        <v>5</v>
      </c>
      <c r="H70">
        <v>0</v>
      </c>
      <c r="I70">
        <v>0</v>
      </c>
      <c r="J70" s="41">
        <v>3889</v>
      </c>
      <c r="K70" s="41">
        <v>2603</v>
      </c>
      <c r="L70">
        <v>19</v>
      </c>
      <c r="M70">
        <v>20</v>
      </c>
      <c r="N70">
        <v>82</v>
      </c>
    </row>
    <row r="71" spans="2:14" x14ac:dyDescent="0.25">
      <c r="B71" t="s">
        <v>146</v>
      </c>
      <c r="C71">
        <v>-97</v>
      </c>
      <c r="D71">
        <v>-658</v>
      </c>
      <c r="E71">
        <v>-744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2:14" x14ac:dyDescent="0.25">
      <c r="B72" t="s">
        <v>147</v>
      </c>
      <c r="C72" s="41">
        <v>27863</v>
      </c>
      <c r="D72" s="41">
        <v>33258</v>
      </c>
      <c r="E72" s="41">
        <v>36363</v>
      </c>
      <c r="F72" s="41">
        <v>19519</v>
      </c>
      <c r="G72" s="41">
        <v>33390</v>
      </c>
      <c r="H72" s="41">
        <v>37482</v>
      </c>
      <c r="I72" s="41">
        <v>51128</v>
      </c>
      <c r="J72" s="41">
        <v>38297</v>
      </c>
      <c r="K72" s="41">
        <v>46641</v>
      </c>
      <c r="L72" s="41">
        <v>46578</v>
      </c>
      <c r="M72" s="41">
        <v>43934</v>
      </c>
      <c r="N72" s="41">
        <v>18747</v>
      </c>
    </row>
    <row r="73" spans="2:14" x14ac:dyDescent="0.25">
      <c r="B73" t="s">
        <v>148</v>
      </c>
      <c r="C73" s="41">
        <v>-20395</v>
      </c>
      <c r="D73" s="41">
        <v>-29141</v>
      </c>
      <c r="E73" s="41">
        <v>-23332</v>
      </c>
      <c r="F73" s="41">
        <v>-24924</v>
      </c>
      <c r="G73" s="41">
        <v>-21732</v>
      </c>
      <c r="H73" s="41">
        <v>-29964</v>
      </c>
      <c r="I73" s="41">
        <v>-35198</v>
      </c>
      <c r="J73" s="41">
        <v>-29847</v>
      </c>
      <c r="K73" s="41">
        <v>-29709</v>
      </c>
      <c r="L73" s="41">
        <v>-42816</v>
      </c>
      <c r="M73" s="41">
        <v>-62557</v>
      </c>
      <c r="N73" s="41">
        <v>-47332</v>
      </c>
    </row>
    <row r="74" spans="2:14" x14ac:dyDescent="0.25">
      <c r="B74" t="s">
        <v>149</v>
      </c>
      <c r="C74" s="41">
        <v>-4666</v>
      </c>
      <c r="D74" s="41">
        <v>-6171</v>
      </c>
      <c r="E74" s="41">
        <v>-6307</v>
      </c>
      <c r="F74" s="41">
        <v>-5716</v>
      </c>
      <c r="G74" s="41">
        <v>-5336</v>
      </c>
      <c r="H74" s="41">
        <v>-5411</v>
      </c>
      <c r="I74" s="41">
        <v>-7005</v>
      </c>
      <c r="J74" s="41">
        <v>-7518</v>
      </c>
      <c r="K74" s="41">
        <v>-8123</v>
      </c>
      <c r="L74" s="41">
        <v>-9251</v>
      </c>
      <c r="M74" s="41">
        <v>-9336</v>
      </c>
      <c r="N74" s="41">
        <v>-9332</v>
      </c>
    </row>
    <row r="75" spans="2:14" x14ac:dyDescent="0.25">
      <c r="B75" t="s">
        <v>150</v>
      </c>
      <c r="C75" s="41">
        <v>-1551</v>
      </c>
      <c r="D75">
        <v>-722</v>
      </c>
      <c r="E75">
        <v>-720</v>
      </c>
      <c r="F75">
        <v>-108</v>
      </c>
      <c r="G75">
        <v>-121</v>
      </c>
      <c r="H75">
        <v>-96</v>
      </c>
      <c r="I75">
        <v>-95</v>
      </c>
      <c r="J75">
        <v>-57</v>
      </c>
      <c r="K75">
        <v>-30</v>
      </c>
      <c r="L75">
        <v>-100</v>
      </c>
      <c r="M75">
        <v>-141</v>
      </c>
      <c r="N75" s="41">
        <v>-1059</v>
      </c>
    </row>
    <row r="76" spans="2:14" x14ac:dyDescent="0.25"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41">
        <v>-1346</v>
      </c>
      <c r="K76" s="41">
        <v>-1477</v>
      </c>
      <c r="L76" s="41">
        <v>-1559</v>
      </c>
      <c r="M76" s="41">
        <v>-1517</v>
      </c>
      <c r="N76" s="41">
        <v>-1924</v>
      </c>
    </row>
    <row r="77" spans="2:14" x14ac:dyDescent="0.25">
      <c r="B77" t="s">
        <v>152</v>
      </c>
      <c r="C77" s="41">
        <v>-2849</v>
      </c>
      <c r="D77">
        <v>-450</v>
      </c>
      <c r="E77">
        <v>-57</v>
      </c>
      <c r="F77">
        <v>0</v>
      </c>
      <c r="G77">
        <v>0</v>
      </c>
      <c r="H77">
        <v>0</v>
      </c>
      <c r="I77">
        <v>0</v>
      </c>
      <c r="J77">
        <v>-29</v>
      </c>
      <c r="K77">
        <v>0</v>
      </c>
      <c r="L77" s="41">
        <v>3750</v>
      </c>
      <c r="M77" s="41">
        <v>3355</v>
      </c>
      <c r="N77" s="41">
        <v>3812</v>
      </c>
    </row>
    <row r="78" spans="2:14" x14ac:dyDescent="0.25">
      <c r="B78" t="s">
        <v>35</v>
      </c>
      <c r="C78" s="41">
        <v>-2499</v>
      </c>
      <c r="D78" s="41">
        <v>4277</v>
      </c>
      <c r="E78" s="41">
        <v>4500</v>
      </c>
      <c r="F78" s="41">
        <v>-2589</v>
      </c>
      <c r="G78" s="41">
        <v>-3167</v>
      </c>
      <c r="H78">
        <v>730</v>
      </c>
      <c r="I78" s="41">
        <v>6843</v>
      </c>
      <c r="J78" s="41">
        <v>-3092</v>
      </c>
      <c r="K78" s="41">
        <v>13232</v>
      </c>
      <c r="L78" s="41">
        <v>6459</v>
      </c>
      <c r="M78" s="41">
        <v>-6272</v>
      </c>
      <c r="N78" s="41">
        <v>8128</v>
      </c>
    </row>
  </sheetData>
  <mergeCells count="2">
    <mergeCell ref="B2:N2"/>
    <mergeCell ref="B45:N4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J12" sqref="J12"/>
    </sheetView>
  </sheetViews>
  <sheetFormatPr defaultColWidth="8.85546875" defaultRowHeight="15" x14ac:dyDescent="0.2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 x14ac:dyDescent="0.2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2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2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437927.77</v>
      </c>
      <c r="M4" s="1">
        <f>$K4+M23*K4</f>
        <v>554332.48941993783</v>
      </c>
      <c r="N4" s="1">
        <f>$K4+N23*L4</f>
        <v>463423.99633785209</v>
      </c>
    </row>
    <row r="5" spans="1:14" x14ac:dyDescent="0.2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378389.43</v>
      </c>
      <c r="M5" s="6">
        <f t="shared" ref="M5:N5" si="0">M4-M6</f>
        <v>478968.38033836335</v>
      </c>
      <c r="N5" s="6">
        <f t="shared" si="0"/>
        <v>415840.9062458399</v>
      </c>
    </row>
    <row r="6" spans="1:14" s="2" customFormat="1" x14ac:dyDescent="0.2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59538.34</v>
      </c>
      <c r="M6" s="1">
        <f>M4*M24</f>
        <v>75364.109081574468</v>
      </c>
      <c r="N6" s="1">
        <f>N4*N24</f>
        <v>47583.090092012193</v>
      </c>
    </row>
    <row r="7" spans="1:14" x14ac:dyDescent="0.2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5412.67</v>
      </c>
      <c r="M7" s="6">
        <v>0</v>
      </c>
      <c r="N7" s="6">
        <v>0</v>
      </c>
    </row>
    <row r="8" spans="1:14" x14ac:dyDescent="0.2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27270.129999999997</v>
      </c>
      <c r="M8" s="6">
        <f>+$L8</f>
        <v>27270.129999999997</v>
      </c>
      <c r="N8" s="6">
        <f>+$L8</f>
        <v>27270.129999999997</v>
      </c>
    </row>
    <row r="9" spans="1:14" x14ac:dyDescent="0.2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9985.76</v>
      </c>
      <c r="M9" s="6">
        <f>+$L9</f>
        <v>9985.76</v>
      </c>
      <c r="N9" s="6">
        <f>+$L9</f>
        <v>9985.76</v>
      </c>
    </row>
    <row r="10" spans="1:14" x14ac:dyDescent="0.2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27695.120000000003</v>
      </c>
      <c r="M10" s="6">
        <f>M6+M7-SUM(M8:M9)</f>
        <v>38108.219081574469</v>
      </c>
      <c r="N10" s="6">
        <f>N6+N7-SUM(N8:N9)</f>
        <v>10327.200092012194</v>
      </c>
    </row>
    <row r="11" spans="1:14" x14ac:dyDescent="0.2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-3851.6399999999994</v>
      </c>
      <c r="M11" s="7">
        <f>IF($L10&gt;0,$L11/$L10,0)</f>
        <v>-0.13907287637677682</v>
      </c>
      <c r="N11" s="7">
        <f>IF($L10&gt;0,$L11/$L10,0)</f>
        <v>-0.13907287637677682</v>
      </c>
    </row>
    <row r="12" spans="1:14" s="2" customFormat="1" x14ac:dyDescent="0.2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31399.09</v>
      </c>
      <c r="M12" s="1">
        <f>M10-M11*M10</f>
        <v>43408.038722845406</v>
      </c>
      <c r="N12" s="1">
        <f>N10-N11*N10</f>
        <v>11763.433513726843</v>
      </c>
    </row>
    <row r="13" spans="1:14" x14ac:dyDescent="0.2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85.511860135837281</v>
      </c>
      <c r="M13" s="6">
        <f>IF('Data Sheet'!$B6&gt;0,'Profit &amp; Loss'!M12/'Data Sheet'!$B6,0)</f>
        <v>118.21686985320164</v>
      </c>
      <c r="N13" s="6">
        <f>IF('Data Sheet'!$B6&gt;0,'Profit &amp; Loss'!N12/'Data Sheet'!$B6,0)</f>
        <v>32.036376893184823</v>
      </c>
    </row>
    <row r="14" spans="1:14" x14ac:dyDescent="0.2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11.941618371742621</v>
      </c>
      <c r="M14" s="6">
        <f>M25</f>
        <v>26.779841035275851</v>
      </c>
      <c r="N14" s="6">
        <f>N25</f>
        <v>11.941618371742621</v>
      </c>
    </row>
    <row r="15" spans="1:14" s="2" customFormat="1" x14ac:dyDescent="0.2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1021.15</v>
      </c>
      <c r="M15" s="8">
        <f>M13*M14</f>
        <v>3165.8289823566342</v>
      </c>
      <c r="N15" s="9">
        <f>N13*N14</f>
        <v>382.56618687172664</v>
      </c>
    </row>
    <row r="17" spans="1:14" s="2" customFormat="1" x14ac:dyDescent="0.25">
      <c r="A17" s="2" t="s">
        <v>15</v>
      </c>
    </row>
    <row r="18" spans="1:14" x14ac:dyDescent="0.2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0.14891036651062178</v>
      </c>
    </row>
    <row r="19" spans="1:14" x14ac:dyDescent="0.2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0.13595470321509867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2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2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2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0.13595470321509867</v>
      </c>
      <c r="M24" s="16">
        <f>MAX(K24:L24)</f>
        <v>0.13595470321509867</v>
      </c>
      <c r="N24" s="16">
        <f>MIN(H24:L24)</f>
        <v>0.10267722532288223</v>
      </c>
    </row>
    <row r="25" spans="1:14" x14ac:dyDescent="0.25">
      <c r="G25" t="s">
        <v>23</v>
      </c>
      <c r="H25" s="6">
        <f>IF(ISERROR(AVERAGEIF(B14:$L14,"&gt;0")),"",AVERAGEIF(B14:$L14,"&gt;0"))</f>
        <v>18.537105421736872</v>
      </c>
      <c r="I25" s="6">
        <f>IF(ISERROR(AVERAGEIF(E14:$L14,"&gt;0")),"",AVERAGEIF(E14:$L14,"&gt;0"))</f>
        <v>22.709542734914589</v>
      </c>
      <c r="J25" s="6">
        <f>IF(ISERROR(AVERAGEIF(G14:$L14,"&gt;0")),"",AVERAGEIF(G14:$L14,"&gt;0"))</f>
        <v>26.779841035275851</v>
      </c>
      <c r="K25" s="6">
        <f>IF(ISERROR(AVERAGEIF(I14:$L14,"&gt;0")),"",AVERAGEIF(I14:$L14,"&gt;0"))</f>
        <v>26.779841035275851</v>
      </c>
      <c r="L25" s="6">
        <f>L14</f>
        <v>11.941618371742621</v>
      </c>
      <c r="M25" s="1">
        <f>MAX(K25:L25)</f>
        <v>26.779841035275851</v>
      </c>
      <c r="N25" s="1">
        <f>MIN(H25:L25)</f>
        <v>11.941618371742621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22" sqref="K22"/>
    </sheetView>
  </sheetViews>
  <sheetFormatPr defaultColWidth="8.85546875" defaultRowHeight="15" x14ac:dyDescent="0.25"/>
  <cols>
    <col min="1" max="1" width="20.7109375" customWidth="1"/>
    <col min="2" max="11" width="13.42578125" bestFit="1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25">
      <c r="A3" s="11" t="s">
        <v>2</v>
      </c>
      <c r="B3" s="12">
        <f>'Data Sheet'!B41</f>
        <v>44561</v>
      </c>
      <c r="C3" s="12">
        <f>'Data Sheet'!C41</f>
        <v>44651</v>
      </c>
      <c r="D3" s="12">
        <f>'Data Sheet'!D41</f>
        <v>44742</v>
      </c>
      <c r="E3" s="12">
        <f>'Data Sheet'!E41</f>
        <v>44834</v>
      </c>
      <c r="F3" s="12">
        <f>'Data Sheet'!F41</f>
        <v>44926</v>
      </c>
      <c r="G3" s="12">
        <f>'Data Sheet'!G41</f>
        <v>45016</v>
      </c>
      <c r="H3" s="12">
        <f>'Data Sheet'!H41</f>
        <v>45107</v>
      </c>
      <c r="I3" s="12">
        <f>'Data Sheet'!I41</f>
        <v>45199</v>
      </c>
      <c r="J3" s="12">
        <f>'Data Sheet'!J41</f>
        <v>45291</v>
      </c>
      <c r="K3" s="12">
        <f>'Data Sheet'!K41</f>
        <v>45382</v>
      </c>
    </row>
    <row r="4" spans="1:11" s="2" customFormat="1" x14ac:dyDescent="0.25">
      <c r="A4" s="2" t="s">
        <v>6</v>
      </c>
      <c r="B4" s="1">
        <f>'Data Sheet'!B42</f>
        <v>72229.289999999994</v>
      </c>
      <c r="C4" s="1">
        <f>'Data Sheet'!C42</f>
        <v>78439.06</v>
      </c>
      <c r="D4" s="1">
        <f>'Data Sheet'!D42</f>
        <v>71934.66</v>
      </c>
      <c r="E4" s="1">
        <f>'Data Sheet'!E42</f>
        <v>79611.37</v>
      </c>
      <c r="F4" s="1">
        <f>'Data Sheet'!F42</f>
        <v>88488.59</v>
      </c>
      <c r="G4" s="1">
        <f>'Data Sheet'!G42</f>
        <v>105932.35</v>
      </c>
      <c r="H4" s="1">
        <f>'Data Sheet'!H42</f>
        <v>102236.08</v>
      </c>
      <c r="I4" s="1">
        <f>'Data Sheet'!I42</f>
        <v>105128.24</v>
      </c>
      <c r="J4" s="1">
        <f>'Data Sheet'!J42</f>
        <v>110577.14</v>
      </c>
      <c r="K4" s="1">
        <f>'Data Sheet'!K42</f>
        <v>119986.31</v>
      </c>
    </row>
    <row r="5" spans="1:11" x14ac:dyDescent="0.25">
      <c r="A5" t="s">
        <v>7</v>
      </c>
      <c r="B5" s="6">
        <f>'Data Sheet'!B43</f>
        <v>65151.27</v>
      </c>
      <c r="C5" s="6">
        <f>'Data Sheet'!C43</f>
        <v>70156.27</v>
      </c>
      <c r="D5" s="6">
        <f>'Data Sheet'!D43</f>
        <v>69521.929999999993</v>
      </c>
      <c r="E5" s="6">
        <f>'Data Sheet'!E43</f>
        <v>74039.06</v>
      </c>
      <c r="F5" s="6">
        <f>'Data Sheet'!F43</f>
        <v>77668.350000000006</v>
      </c>
      <c r="G5" s="6">
        <f>'Data Sheet'!G43</f>
        <v>92817.95</v>
      </c>
      <c r="H5" s="6">
        <f>'Data Sheet'!H43</f>
        <v>89018.36</v>
      </c>
      <c r="I5" s="6">
        <f>'Data Sheet'!I43</f>
        <v>91361.3</v>
      </c>
      <c r="J5" s="6">
        <f>'Data Sheet'!J43</f>
        <v>95158.77</v>
      </c>
      <c r="K5" s="6">
        <f>'Data Sheet'!K43</f>
        <v>102851</v>
      </c>
    </row>
    <row r="6" spans="1:11" s="2" customFormat="1" x14ac:dyDescent="0.25">
      <c r="A6" s="2" t="s">
        <v>8</v>
      </c>
      <c r="B6" s="1">
        <f>'Data Sheet'!B50</f>
        <v>7078.02</v>
      </c>
      <c r="C6" s="1">
        <f>'Data Sheet'!C50</f>
        <v>8282.7900000000009</v>
      </c>
      <c r="D6" s="1">
        <f>'Data Sheet'!D50</f>
        <v>2412.73</v>
      </c>
      <c r="E6" s="1">
        <f>'Data Sheet'!E50</f>
        <v>5572.31</v>
      </c>
      <c r="F6" s="1">
        <f>'Data Sheet'!F50</f>
        <v>10820.24</v>
      </c>
      <c r="G6" s="1">
        <f>'Data Sheet'!G50</f>
        <v>13114.4</v>
      </c>
      <c r="H6" s="1">
        <f>'Data Sheet'!H50</f>
        <v>13217.72</v>
      </c>
      <c r="I6" s="1">
        <f>'Data Sheet'!I50</f>
        <v>13766.94</v>
      </c>
      <c r="J6" s="1">
        <f>'Data Sheet'!J50</f>
        <v>15418.37</v>
      </c>
      <c r="K6" s="1">
        <f>'Data Sheet'!K50</f>
        <v>17135.310000000001</v>
      </c>
    </row>
    <row r="7" spans="1:11" x14ac:dyDescent="0.25">
      <c r="A7" t="s">
        <v>9</v>
      </c>
      <c r="B7" s="6">
        <f>'Data Sheet'!B44</f>
        <v>788.73</v>
      </c>
      <c r="C7" s="6">
        <f>'Data Sheet'!C44</f>
        <v>188.74</v>
      </c>
      <c r="D7" s="6">
        <f>'Data Sheet'!D44</f>
        <v>2380.98</v>
      </c>
      <c r="E7" s="6">
        <f>'Data Sheet'!E44</f>
        <v>1351.14</v>
      </c>
      <c r="F7" s="6">
        <f>'Data Sheet'!F44</f>
        <v>1129.98</v>
      </c>
      <c r="G7" s="6">
        <f>'Data Sheet'!G44</f>
        <v>1452.86</v>
      </c>
      <c r="H7" s="6">
        <f>'Data Sheet'!H44</f>
        <v>683.56</v>
      </c>
      <c r="I7" s="6">
        <f>'Data Sheet'!I44</f>
        <v>1507.05</v>
      </c>
      <c r="J7" s="6">
        <f>'Data Sheet'!J44</f>
        <v>1603.76</v>
      </c>
      <c r="K7" s="6">
        <f>'Data Sheet'!K44</f>
        <v>1618.3</v>
      </c>
    </row>
    <row r="8" spans="1:11" x14ac:dyDescent="0.25">
      <c r="A8" t="s">
        <v>10</v>
      </c>
      <c r="B8" s="6">
        <f>'Data Sheet'!B45</f>
        <v>6078.13</v>
      </c>
      <c r="C8" s="6">
        <f>'Data Sheet'!C45</f>
        <v>6432.11</v>
      </c>
      <c r="D8" s="6">
        <f>'Data Sheet'!D45</f>
        <v>5841.04</v>
      </c>
      <c r="E8" s="6">
        <f>'Data Sheet'!E45</f>
        <v>5897.34</v>
      </c>
      <c r="F8" s="6">
        <f>'Data Sheet'!F45</f>
        <v>6071.78</v>
      </c>
      <c r="G8" s="6">
        <f>'Data Sheet'!G45</f>
        <v>7050.2</v>
      </c>
      <c r="H8" s="6">
        <f>'Data Sheet'!H45</f>
        <v>6633.18</v>
      </c>
      <c r="I8" s="6">
        <f>'Data Sheet'!I45</f>
        <v>6636.42</v>
      </c>
      <c r="J8" s="6">
        <f>'Data Sheet'!J45</f>
        <v>6850</v>
      </c>
      <c r="K8" s="6">
        <f>'Data Sheet'!K45</f>
        <v>7150.53</v>
      </c>
    </row>
    <row r="9" spans="1:11" x14ac:dyDescent="0.25">
      <c r="A9" t="s">
        <v>11</v>
      </c>
      <c r="B9" s="6">
        <f>'Data Sheet'!B46</f>
        <v>2400.7399999999998</v>
      </c>
      <c r="C9" s="6">
        <f>'Data Sheet'!C46</f>
        <v>2380.52</v>
      </c>
      <c r="D9" s="6">
        <f>'Data Sheet'!D46</f>
        <v>2420.7199999999998</v>
      </c>
      <c r="E9" s="6">
        <f>'Data Sheet'!E46</f>
        <v>2487.2600000000002</v>
      </c>
      <c r="F9" s="6">
        <f>'Data Sheet'!F46</f>
        <v>2675.83</v>
      </c>
      <c r="G9" s="6">
        <f>'Data Sheet'!G46</f>
        <v>2641.67</v>
      </c>
      <c r="H9" s="6">
        <f>'Data Sheet'!H46</f>
        <v>2615.39</v>
      </c>
      <c r="I9" s="6">
        <f>'Data Sheet'!I46</f>
        <v>2651.69</v>
      </c>
      <c r="J9" s="6">
        <f>'Data Sheet'!J46</f>
        <v>2484.91</v>
      </c>
      <c r="K9" s="6">
        <f>'Data Sheet'!K46</f>
        <v>2233.77</v>
      </c>
    </row>
    <row r="10" spans="1:11" x14ac:dyDescent="0.25">
      <c r="A10" t="s">
        <v>12</v>
      </c>
      <c r="B10" s="6">
        <f>'Data Sheet'!B47</f>
        <v>-612.12</v>
      </c>
      <c r="C10" s="6">
        <f>'Data Sheet'!C47</f>
        <v>-341.1</v>
      </c>
      <c r="D10" s="6">
        <f>'Data Sheet'!D47</f>
        <v>-3468.05</v>
      </c>
      <c r="E10" s="6">
        <f>'Data Sheet'!E47</f>
        <v>-1461.15</v>
      </c>
      <c r="F10" s="6">
        <f>'Data Sheet'!F47</f>
        <v>3202.61</v>
      </c>
      <c r="G10" s="6">
        <f>'Data Sheet'!G47</f>
        <v>4875.3900000000003</v>
      </c>
      <c r="H10" s="6">
        <f>'Data Sheet'!H47</f>
        <v>4652.71</v>
      </c>
      <c r="I10" s="6">
        <f>'Data Sheet'!I47</f>
        <v>5985.88</v>
      </c>
      <c r="J10" s="6">
        <f>'Data Sheet'!J47</f>
        <v>7687.22</v>
      </c>
      <c r="K10" s="6">
        <f>'Data Sheet'!K47</f>
        <v>9369.31</v>
      </c>
    </row>
    <row r="11" spans="1:11" x14ac:dyDescent="0.25">
      <c r="A11" t="s">
        <v>13</v>
      </c>
      <c r="B11" s="6">
        <f>'Data Sheet'!B48</f>
        <v>726.05</v>
      </c>
      <c r="C11" s="6">
        <f>'Data Sheet'!C48</f>
        <v>758.22</v>
      </c>
      <c r="D11" s="6">
        <f>'Data Sheet'!D48</f>
        <v>1518.96</v>
      </c>
      <c r="E11" s="6">
        <f>'Data Sheet'!E48</f>
        <v>-457.08</v>
      </c>
      <c r="F11" s="6">
        <f>'Data Sheet'!F48</f>
        <v>262.83</v>
      </c>
      <c r="G11" s="6">
        <f>'Data Sheet'!G48</f>
        <v>-620.65</v>
      </c>
      <c r="H11" s="6">
        <f>'Data Sheet'!H48</f>
        <v>1563.01</v>
      </c>
      <c r="I11" s="6">
        <f>'Data Sheet'!I48</f>
        <v>2202.84</v>
      </c>
      <c r="J11" s="6">
        <f>'Data Sheet'!J48</f>
        <v>541.79</v>
      </c>
      <c r="K11" s="6">
        <f>'Data Sheet'!K48</f>
        <v>-8159.28</v>
      </c>
    </row>
    <row r="12" spans="1:11" s="2" customFormat="1" x14ac:dyDescent="0.25">
      <c r="A12" s="2" t="s">
        <v>14</v>
      </c>
      <c r="B12" s="1">
        <f>'Data Sheet'!B49</f>
        <v>-1516.14</v>
      </c>
      <c r="C12" s="1">
        <f>'Data Sheet'!C49</f>
        <v>-1032.8399999999999</v>
      </c>
      <c r="D12" s="1">
        <f>'Data Sheet'!D49</f>
        <v>-5006.6000000000004</v>
      </c>
      <c r="E12" s="1">
        <f>'Data Sheet'!E49</f>
        <v>-944.61</v>
      </c>
      <c r="F12" s="1">
        <f>'Data Sheet'!F49</f>
        <v>2957.71</v>
      </c>
      <c r="G12" s="1">
        <f>'Data Sheet'!G49</f>
        <v>5407.79</v>
      </c>
      <c r="H12" s="1">
        <f>'Data Sheet'!H49</f>
        <v>3202.8</v>
      </c>
      <c r="I12" s="1">
        <f>'Data Sheet'!I49</f>
        <v>3764</v>
      </c>
      <c r="J12" s="1">
        <f>'Data Sheet'!J49</f>
        <v>7025.11</v>
      </c>
      <c r="K12" s="1">
        <f>'Data Sheet'!K49</f>
        <v>17407.18</v>
      </c>
    </row>
    <row r="14" spans="1:11" s="2" customFormat="1" x14ac:dyDescent="0.25">
      <c r="A14" s="2" t="s">
        <v>18</v>
      </c>
      <c r="B14" s="10">
        <f>IF(B4&gt;0,B6/B4,"")</f>
        <v>9.7993764025646676E-2</v>
      </c>
      <c r="C14" s="10">
        <f t="shared" ref="C14:K14" si="0">IF(C4&gt;0,C6/C4,"")</f>
        <v>0.10559522258425842</v>
      </c>
      <c r="D14" s="10">
        <f t="shared" si="0"/>
        <v>3.3540576962482339E-2</v>
      </c>
      <c r="E14" s="10">
        <f t="shared" si="0"/>
        <v>6.9993896600447914E-2</v>
      </c>
      <c r="F14" s="10">
        <f t="shared" si="0"/>
        <v>0.12227836379808968</v>
      </c>
      <c r="G14" s="10">
        <f t="shared" si="0"/>
        <v>0.1237997646611257</v>
      </c>
      <c r="H14" s="10">
        <f t="shared" si="0"/>
        <v>0.12928625588931031</v>
      </c>
      <c r="I14" s="10">
        <f t="shared" si="0"/>
        <v>0.1309537760738694</v>
      </c>
      <c r="J14" s="10">
        <f t="shared" si="0"/>
        <v>0.13943542037712317</v>
      </c>
      <c r="K14" s="10">
        <f t="shared" si="0"/>
        <v>0.14281054230270104</v>
      </c>
    </row>
    <row r="22" s="23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C23" sqref="C23"/>
    </sheetView>
  </sheetViews>
  <sheetFormatPr defaultColWidth="8.85546875" defaultRowHeight="15" x14ac:dyDescent="0.2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25">
      <c r="G2" s="2"/>
      <c r="H2" s="2"/>
    </row>
    <row r="3" spans="1:11" x14ac:dyDescent="0.2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2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2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61491.49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2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2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133180.72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2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2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2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2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2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7960.7600000000093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2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2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2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2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2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-0.19403070484446247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2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-1.888561646624937E-2</v>
      </c>
      <c r="H24" s="10">
        <f>IF((G4+G5+G6+H4+H5+H6)&gt;0,('Profit &amp; Loss'!H10+'Profit &amp; Loss'!H9)*2/(G4+G5+G6+H4+H5+H6),"")</f>
        <v>-1.2368671547513017E-2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B2:N33"/>
  <sheetViews>
    <sheetView zoomScale="120" zoomScaleNormal="120" zoomScalePageLayoutView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N33"/>
    </sheetView>
  </sheetViews>
  <sheetFormatPr defaultColWidth="8.85546875" defaultRowHeight="15" x14ac:dyDescent="0.25"/>
  <cols>
    <col min="1" max="1" width="1.85546875" customWidth="1"/>
    <col min="2" max="2" width="28" bestFit="1" customWidth="1"/>
    <col min="3" max="4" width="13.42578125" customWidth="1"/>
    <col min="5" max="9" width="13.42578125" bestFit="1" customWidth="1"/>
  </cols>
  <sheetData>
    <row r="2" spans="2:14" x14ac:dyDescent="0.25">
      <c r="C2" s="25">
        <v>41334</v>
      </c>
      <c r="D2" s="25">
        <v>41699</v>
      </c>
      <c r="E2" s="25">
        <v>42064</v>
      </c>
      <c r="F2" s="25">
        <v>42430</v>
      </c>
      <c r="G2" s="25">
        <v>42795</v>
      </c>
      <c r="H2" s="25">
        <v>43160</v>
      </c>
      <c r="I2" s="25">
        <v>43525</v>
      </c>
      <c r="J2" s="25">
        <v>43891</v>
      </c>
      <c r="K2" s="25">
        <v>44256</v>
      </c>
      <c r="L2" s="25">
        <v>44621</v>
      </c>
      <c r="M2" s="25">
        <v>44986</v>
      </c>
      <c r="N2" s="25">
        <v>45352</v>
      </c>
    </row>
    <row r="3" spans="2:14" x14ac:dyDescent="0.25">
      <c r="B3" t="s">
        <v>125</v>
      </c>
      <c r="C3" s="41">
        <v>22163</v>
      </c>
      <c r="D3" s="41">
        <v>36151</v>
      </c>
      <c r="E3" s="41">
        <v>35531</v>
      </c>
      <c r="F3" s="41">
        <v>37900</v>
      </c>
      <c r="G3" s="41">
        <v>30199</v>
      </c>
      <c r="H3" s="41">
        <v>23857</v>
      </c>
      <c r="I3" s="41">
        <v>18891</v>
      </c>
      <c r="J3" s="41">
        <v>26633</v>
      </c>
      <c r="K3" s="41">
        <v>29001</v>
      </c>
      <c r="L3" s="41">
        <v>14283</v>
      </c>
      <c r="M3" s="41">
        <v>35388</v>
      </c>
      <c r="N3" s="41">
        <v>67915</v>
      </c>
    </row>
    <row r="4" spans="2:14" x14ac:dyDescent="0.25">
      <c r="B4" t="s">
        <v>126</v>
      </c>
      <c r="C4" s="41">
        <v>24406</v>
      </c>
      <c r="D4" s="41">
        <v>36303</v>
      </c>
      <c r="E4" s="41">
        <v>43397</v>
      </c>
      <c r="F4" s="41">
        <v>38626</v>
      </c>
      <c r="G4" s="41">
        <v>28840</v>
      </c>
      <c r="H4" s="41">
        <v>33312</v>
      </c>
      <c r="I4" s="41">
        <v>28771</v>
      </c>
      <c r="J4" s="41">
        <v>23352</v>
      </c>
      <c r="K4" s="41">
        <v>31198</v>
      </c>
      <c r="L4" s="41">
        <v>26943</v>
      </c>
      <c r="M4" s="41">
        <v>41694</v>
      </c>
      <c r="N4" s="41">
        <v>65106</v>
      </c>
    </row>
    <row r="5" spans="2:14" x14ac:dyDescent="0.25">
      <c r="B5" t="s">
        <v>78</v>
      </c>
      <c r="C5" s="41">
        <v>-5177</v>
      </c>
      <c r="D5">
        <v>445</v>
      </c>
      <c r="E5" s="41">
        <v>-3179</v>
      </c>
      <c r="F5" s="41">
        <v>-2223</v>
      </c>
      <c r="G5" s="41">
        <v>-4152</v>
      </c>
      <c r="H5" s="41">
        <v>-10688</v>
      </c>
      <c r="I5" s="41">
        <v>-9109</v>
      </c>
      <c r="J5" s="41">
        <v>9950</v>
      </c>
      <c r="K5" s="41">
        <v>-5505</v>
      </c>
      <c r="L5">
        <v>185</v>
      </c>
      <c r="M5" s="41">
        <v>-2213</v>
      </c>
      <c r="N5" s="41">
        <v>-1875</v>
      </c>
    </row>
    <row r="6" spans="2:14" x14ac:dyDescent="0.25">
      <c r="B6" t="s">
        <v>45</v>
      </c>
      <c r="C6" s="41">
        <v>-2656</v>
      </c>
      <c r="D6" s="41">
        <v>-2853</v>
      </c>
      <c r="E6" s="41">
        <v>-3692</v>
      </c>
      <c r="F6" s="41">
        <v>-5743</v>
      </c>
      <c r="G6" s="41">
        <v>-6621</v>
      </c>
      <c r="H6" s="41">
        <v>-3560</v>
      </c>
      <c r="I6" s="41">
        <v>2069</v>
      </c>
      <c r="J6" s="41">
        <v>2326</v>
      </c>
      <c r="K6" s="41">
        <v>3814</v>
      </c>
      <c r="L6">
        <v>472</v>
      </c>
      <c r="M6" s="41">
        <v>-5665</v>
      </c>
      <c r="N6" s="41">
        <v>-7265</v>
      </c>
    </row>
    <row r="7" spans="2:14" x14ac:dyDescent="0.25">
      <c r="B7" t="s">
        <v>127</v>
      </c>
      <c r="C7" s="41">
        <v>8132</v>
      </c>
      <c r="D7" s="41">
        <v>4694</v>
      </c>
      <c r="E7" s="41">
        <v>3598</v>
      </c>
      <c r="F7" s="41">
        <v>3947</v>
      </c>
      <c r="G7" s="41">
        <v>9301</v>
      </c>
      <c r="H7" s="41">
        <v>7320</v>
      </c>
      <c r="I7" s="41">
        <v>-4692</v>
      </c>
      <c r="J7" s="41">
        <v>-8085</v>
      </c>
      <c r="K7" s="41">
        <v>5748</v>
      </c>
      <c r="L7" s="41">
        <v>-7012</v>
      </c>
      <c r="M7" s="41">
        <v>6945</v>
      </c>
      <c r="N7" s="41">
        <v>13706</v>
      </c>
    </row>
    <row r="8" spans="2:14" x14ac:dyDescent="0.25">
      <c r="B8" t="s">
        <v>128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t="s">
        <v>129</v>
      </c>
      <c r="C9">
        <v>-303</v>
      </c>
      <c r="D9" s="41">
        <v>1870</v>
      </c>
      <c r="E9">
        <v>-398</v>
      </c>
      <c r="F9" s="41">
        <v>5852</v>
      </c>
      <c r="G9" s="41">
        <v>4727</v>
      </c>
      <c r="H9">
        <v>494</v>
      </c>
      <c r="I9" s="41">
        <v>4512</v>
      </c>
      <c r="J9">
        <v>875</v>
      </c>
      <c r="K9" s="41">
        <v>-4150</v>
      </c>
      <c r="L9" s="41">
        <v>-4396</v>
      </c>
      <c r="M9" s="41">
        <v>-2194</v>
      </c>
      <c r="N9" s="41">
        <v>2760</v>
      </c>
    </row>
    <row r="10" spans="2:14" x14ac:dyDescent="0.25">
      <c r="B10" t="s">
        <v>130</v>
      </c>
      <c r="C10">
        <v>-3</v>
      </c>
      <c r="D10" s="41">
        <v>4157</v>
      </c>
      <c r="E10" s="41">
        <v>-3672</v>
      </c>
      <c r="F10" s="41">
        <v>1313</v>
      </c>
      <c r="G10" s="41">
        <v>3254</v>
      </c>
      <c r="H10" s="41">
        <v>-6434</v>
      </c>
      <c r="I10" s="41">
        <v>-7221</v>
      </c>
      <c r="J10" s="41">
        <v>5065</v>
      </c>
      <c r="K10">
        <v>-93</v>
      </c>
      <c r="L10" s="41">
        <v>-10750</v>
      </c>
      <c r="M10" s="41">
        <v>-3127</v>
      </c>
      <c r="N10" s="41">
        <v>7325</v>
      </c>
    </row>
    <row r="11" spans="2:14" x14ac:dyDescent="0.25">
      <c r="B11" t="s">
        <v>131</v>
      </c>
      <c r="C11" s="41">
        <v>-2240</v>
      </c>
      <c r="D11" s="41">
        <v>-4308</v>
      </c>
      <c r="E11" s="41">
        <v>-4194</v>
      </c>
      <c r="F11" s="41">
        <v>-2040</v>
      </c>
      <c r="G11" s="41">
        <v>-1895</v>
      </c>
      <c r="H11" s="41">
        <v>-3021</v>
      </c>
      <c r="I11" s="41">
        <v>-2659</v>
      </c>
      <c r="J11" s="41">
        <v>-1785</v>
      </c>
      <c r="K11" s="41">
        <v>-2105</v>
      </c>
      <c r="L11" s="41">
        <v>-1910</v>
      </c>
      <c r="M11" s="41">
        <v>-3179</v>
      </c>
      <c r="N11" s="41">
        <v>-4516</v>
      </c>
    </row>
    <row r="12" spans="2:14" x14ac:dyDescent="0.25">
      <c r="B12" t="s">
        <v>132</v>
      </c>
      <c r="C12" s="41">
        <v>-22969</v>
      </c>
      <c r="D12" s="41">
        <v>-27991</v>
      </c>
      <c r="E12" s="41">
        <v>-36232</v>
      </c>
      <c r="F12" s="41">
        <v>-36694</v>
      </c>
      <c r="G12" s="41">
        <v>-39571</v>
      </c>
      <c r="H12" s="41">
        <v>-25139</v>
      </c>
      <c r="I12" s="41">
        <v>-20878</v>
      </c>
      <c r="J12" s="41">
        <v>-33115</v>
      </c>
      <c r="K12" s="41">
        <v>-25672</v>
      </c>
      <c r="L12" s="41">
        <v>-4444</v>
      </c>
      <c r="M12" s="41">
        <v>-15417</v>
      </c>
      <c r="N12" s="41">
        <v>-22782</v>
      </c>
    </row>
    <row r="13" spans="2:14" x14ac:dyDescent="0.25">
      <c r="B13" t="s">
        <v>133</v>
      </c>
      <c r="C13" s="41">
        <v>-18863</v>
      </c>
      <c r="D13" s="41">
        <v>-26975</v>
      </c>
      <c r="E13" s="41">
        <v>-31962</v>
      </c>
      <c r="F13" s="41">
        <v>-31503</v>
      </c>
      <c r="G13" s="41">
        <v>-16072</v>
      </c>
      <c r="H13" s="41">
        <v>-35079</v>
      </c>
      <c r="I13" s="41">
        <v>-35304</v>
      </c>
      <c r="J13" s="41">
        <v>-29702</v>
      </c>
      <c r="K13" s="41">
        <v>-20205</v>
      </c>
      <c r="L13" s="41">
        <v>-15168</v>
      </c>
      <c r="M13" s="41">
        <v>-19230</v>
      </c>
      <c r="N13" s="41">
        <v>-31414</v>
      </c>
    </row>
    <row r="14" spans="2:14" x14ac:dyDescent="0.25">
      <c r="B14" t="s">
        <v>134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4" x14ac:dyDescent="0.25">
      <c r="B15" t="s">
        <v>135</v>
      </c>
      <c r="C15">
        <v>73</v>
      </c>
      <c r="D15">
        <v>-429</v>
      </c>
      <c r="E15" s="41">
        <v>-5461</v>
      </c>
      <c r="F15" s="41">
        <v>-4728</v>
      </c>
      <c r="G15">
        <v>-6</v>
      </c>
      <c r="H15">
        <v>-329</v>
      </c>
      <c r="I15">
        <v>-130</v>
      </c>
      <c r="J15" s="41">
        <v>-1439</v>
      </c>
      <c r="K15" s="41">
        <v>-7530</v>
      </c>
      <c r="L15" s="41">
        <v>-3008</v>
      </c>
      <c r="M15">
        <v>-50</v>
      </c>
      <c r="N15" t="s">
        <v>341</v>
      </c>
    </row>
    <row r="16" spans="2:14" x14ac:dyDescent="0.25">
      <c r="B16" t="s">
        <v>136</v>
      </c>
      <c r="C16">
        <v>34</v>
      </c>
      <c r="D16">
        <v>4</v>
      </c>
      <c r="E16">
        <v>42</v>
      </c>
      <c r="F16">
        <v>89</v>
      </c>
      <c r="G16" s="41">
        <v>1965</v>
      </c>
      <c r="H16" s="41">
        <v>2381</v>
      </c>
      <c r="I16" s="41">
        <v>5644</v>
      </c>
      <c r="J16">
        <v>21</v>
      </c>
      <c r="K16">
        <v>226</v>
      </c>
      <c r="L16">
        <v>104</v>
      </c>
      <c r="M16" s="41">
        <v>6895</v>
      </c>
      <c r="N16" s="41">
        <v>10820</v>
      </c>
    </row>
    <row r="17" spans="2:14" x14ac:dyDescent="0.25">
      <c r="B17" t="s">
        <v>137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41">
        <v>1104</v>
      </c>
      <c r="K17">
        <v>428</v>
      </c>
      <c r="L17">
        <v>653</v>
      </c>
      <c r="M17">
        <v>973</v>
      </c>
      <c r="N17" s="41">
        <v>2493</v>
      </c>
    </row>
    <row r="18" spans="2:14" x14ac:dyDescent="0.25">
      <c r="B18" t="s">
        <v>138</v>
      </c>
      <c r="C18">
        <v>95</v>
      </c>
      <c r="D18">
        <v>40</v>
      </c>
      <c r="E18">
        <v>80</v>
      </c>
      <c r="F18">
        <v>58</v>
      </c>
      <c r="G18">
        <v>620</v>
      </c>
      <c r="H18" s="41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 x14ac:dyDescent="0.25">
      <c r="B19" t="s">
        <v>139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 x14ac:dyDescent="0.25">
      <c r="B20" t="s">
        <v>140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 x14ac:dyDescent="0.25">
      <c r="B21" t="s">
        <v>141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 x14ac:dyDescent="0.25">
      <c r="B22" t="s">
        <v>142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 x14ac:dyDescent="0.25">
      <c r="B23" t="s">
        <v>143</v>
      </c>
      <c r="C23" s="41">
        <v>-5103</v>
      </c>
      <c r="D23" s="41">
        <v>-1149</v>
      </c>
      <c r="E23">
        <v>456</v>
      </c>
      <c r="F23" s="41">
        <v>-1289</v>
      </c>
      <c r="G23" s="41">
        <v>-26663</v>
      </c>
      <c r="H23" s="41">
        <v>5360</v>
      </c>
      <c r="I23" s="41">
        <v>7335</v>
      </c>
      <c r="J23" s="41">
        <v>-2659</v>
      </c>
      <c r="K23" s="41">
        <v>1051</v>
      </c>
      <c r="L23" s="41">
        <v>12813</v>
      </c>
      <c r="M23" s="41">
        <v>-4357</v>
      </c>
      <c r="N23" s="41">
        <v>-4817</v>
      </c>
    </row>
    <row r="24" spans="2:14" x14ac:dyDescent="0.25">
      <c r="B24" t="s">
        <v>144</v>
      </c>
      <c r="C24" s="41">
        <v>-1692</v>
      </c>
      <c r="D24" s="41">
        <v>-3883</v>
      </c>
      <c r="E24" s="41">
        <v>5201</v>
      </c>
      <c r="F24" s="41">
        <v>-3795</v>
      </c>
      <c r="G24" s="41">
        <v>6205</v>
      </c>
      <c r="H24" s="41">
        <v>2012</v>
      </c>
      <c r="I24" s="41">
        <v>8830</v>
      </c>
      <c r="J24" s="41">
        <v>3390</v>
      </c>
      <c r="K24" s="41">
        <v>9904</v>
      </c>
      <c r="L24" s="41">
        <v>-3380</v>
      </c>
      <c r="M24" s="41">
        <v>-26243</v>
      </c>
      <c r="N24" s="41">
        <v>-37006</v>
      </c>
    </row>
    <row r="25" spans="2:14" x14ac:dyDescent="0.25">
      <c r="B25" t="s">
        <v>145</v>
      </c>
      <c r="C25">
        <v>1</v>
      </c>
      <c r="D25">
        <v>0</v>
      </c>
      <c r="E25">
        <v>0</v>
      </c>
      <c r="F25" s="41">
        <v>7433</v>
      </c>
      <c r="G25">
        <v>5</v>
      </c>
      <c r="H25">
        <v>0</v>
      </c>
      <c r="I25">
        <v>0</v>
      </c>
      <c r="J25" s="41">
        <v>3889</v>
      </c>
      <c r="K25" s="41">
        <v>2603</v>
      </c>
      <c r="L25">
        <v>19</v>
      </c>
      <c r="M25">
        <v>20</v>
      </c>
      <c r="N25">
        <v>82</v>
      </c>
    </row>
    <row r="26" spans="2:14" x14ac:dyDescent="0.25">
      <c r="B26" t="s">
        <v>146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 t="s">
        <v>147</v>
      </c>
      <c r="C27" s="41">
        <v>27863</v>
      </c>
      <c r="D27" s="41">
        <v>33258</v>
      </c>
      <c r="E27" s="41">
        <v>36363</v>
      </c>
      <c r="F27" s="41">
        <v>19519</v>
      </c>
      <c r="G27" s="41">
        <v>33390</v>
      </c>
      <c r="H27" s="41">
        <v>37482</v>
      </c>
      <c r="I27" s="41">
        <v>51128</v>
      </c>
      <c r="J27" s="41">
        <v>38297</v>
      </c>
      <c r="K27" s="41">
        <v>46641</v>
      </c>
      <c r="L27" s="41">
        <v>46578</v>
      </c>
      <c r="M27" s="41">
        <v>43934</v>
      </c>
      <c r="N27" s="41">
        <v>18747</v>
      </c>
    </row>
    <row r="28" spans="2:14" x14ac:dyDescent="0.25">
      <c r="B28" t="s">
        <v>148</v>
      </c>
      <c r="C28" s="41">
        <v>-20395</v>
      </c>
      <c r="D28" s="41">
        <v>-29141</v>
      </c>
      <c r="E28" s="41">
        <v>-23332</v>
      </c>
      <c r="F28" s="41">
        <v>-24924</v>
      </c>
      <c r="G28" s="41">
        <v>-21732</v>
      </c>
      <c r="H28" s="41">
        <v>-29964</v>
      </c>
      <c r="I28" s="41">
        <v>-35198</v>
      </c>
      <c r="J28" s="41">
        <v>-29847</v>
      </c>
      <c r="K28" s="41">
        <v>-29709</v>
      </c>
      <c r="L28" s="41">
        <v>-42816</v>
      </c>
      <c r="M28" s="41">
        <v>-62557</v>
      </c>
      <c r="N28" s="41">
        <v>-47332</v>
      </c>
    </row>
    <row r="29" spans="2:14" x14ac:dyDescent="0.25">
      <c r="B29" t="s">
        <v>149</v>
      </c>
      <c r="C29" s="41">
        <v>-4666</v>
      </c>
      <c r="D29" s="41">
        <v>-6171</v>
      </c>
      <c r="E29" s="41">
        <v>-6307</v>
      </c>
      <c r="F29" s="41">
        <v>-5716</v>
      </c>
      <c r="G29" s="41">
        <v>-5336</v>
      </c>
      <c r="H29" s="41">
        <v>-5411</v>
      </c>
      <c r="I29" s="41">
        <v>-7005</v>
      </c>
      <c r="J29" s="41">
        <v>-7518</v>
      </c>
      <c r="K29" s="41">
        <v>-8123</v>
      </c>
      <c r="L29" s="41">
        <v>-9251</v>
      </c>
      <c r="M29" s="41">
        <v>-9336</v>
      </c>
      <c r="N29" s="41">
        <v>-9332</v>
      </c>
    </row>
    <row r="30" spans="2:14" x14ac:dyDescent="0.25">
      <c r="B30" t="s">
        <v>150</v>
      </c>
      <c r="C30" s="41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41">
        <v>-1059</v>
      </c>
    </row>
    <row r="31" spans="2:14" x14ac:dyDescent="0.25">
      <c r="B31" t="s">
        <v>151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41">
        <v>-1346</v>
      </c>
      <c r="K31" s="41">
        <v>-1477</v>
      </c>
      <c r="L31" s="41">
        <v>-1559</v>
      </c>
      <c r="M31" s="41">
        <v>-1517</v>
      </c>
      <c r="N31" s="41">
        <v>-1924</v>
      </c>
    </row>
    <row r="32" spans="2:14" x14ac:dyDescent="0.25">
      <c r="B32" t="s">
        <v>152</v>
      </c>
      <c r="C32" s="41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41">
        <v>3750</v>
      </c>
      <c r="M32" s="41">
        <v>3355</v>
      </c>
      <c r="N32" s="41">
        <v>3812</v>
      </c>
    </row>
    <row r="33" spans="2:14" x14ac:dyDescent="0.25">
      <c r="B33" t="s">
        <v>35</v>
      </c>
      <c r="C33" s="41">
        <v>-2499</v>
      </c>
      <c r="D33" s="41">
        <v>4277</v>
      </c>
      <c r="E33" s="41">
        <v>4500</v>
      </c>
      <c r="F33" s="41">
        <v>-2589</v>
      </c>
      <c r="G33" s="41">
        <v>-3167</v>
      </c>
      <c r="H33">
        <v>730</v>
      </c>
      <c r="I33" s="41">
        <v>6843</v>
      </c>
      <c r="J33" s="41">
        <v>-3092</v>
      </c>
      <c r="K33" s="41">
        <v>13232</v>
      </c>
      <c r="L33" s="41">
        <v>6459</v>
      </c>
      <c r="M33" s="41">
        <v>-6272</v>
      </c>
      <c r="N33" s="41">
        <v>8128</v>
      </c>
    </row>
  </sheetData>
  <printOptions gridLines="1"/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5546875" defaultRowHeight="15" x14ac:dyDescent="0.25"/>
  <cols>
    <col min="1" max="1" width="8.85546875" style="2"/>
    <col min="2" max="2" width="10.42578125" customWidth="1"/>
    <col min="3" max="3" width="13.28515625" style="20" customWidth="1"/>
    <col min="6" max="6" width="6.85546875" customWidth="1"/>
  </cols>
  <sheetData>
    <row r="1" spans="1:7" ht="21" x14ac:dyDescent="0.35">
      <c r="A1" s="19" t="s">
        <v>56</v>
      </c>
    </row>
    <row r="3" spans="1:7" x14ac:dyDescent="0.25">
      <c r="A3" s="2" t="s">
        <v>48</v>
      </c>
    </row>
    <row r="4" spans="1:7" x14ac:dyDescent="0.25">
      <c r="B4" t="s">
        <v>90</v>
      </c>
    </row>
    <row r="5" spans="1:7" x14ac:dyDescent="0.25">
      <c r="B5" t="s">
        <v>49</v>
      </c>
    </row>
    <row r="7" spans="1:7" x14ac:dyDescent="0.25">
      <c r="A7" s="2" t="s">
        <v>50</v>
      </c>
    </row>
    <row r="8" spans="1:7" x14ac:dyDescent="0.25">
      <c r="B8" t="s">
        <v>51</v>
      </c>
      <c r="C8" s="21" t="s">
        <v>91</v>
      </c>
    </row>
    <row r="10" spans="1:7" x14ac:dyDescent="0.25">
      <c r="A10" s="2" t="s">
        <v>52</v>
      </c>
    </row>
    <row r="11" spans="1:7" x14ac:dyDescent="0.25">
      <c r="B11" t="s">
        <v>53</v>
      </c>
    </row>
    <row r="14" spans="1:7" x14ac:dyDescent="0.25">
      <c r="A14" s="2" t="s">
        <v>54</v>
      </c>
    </row>
    <row r="15" spans="1:7" x14ac:dyDescent="0.25">
      <c r="B15" t="s">
        <v>55</v>
      </c>
    </row>
    <row r="16" spans="1:7" x14ac:dyDescent="0.2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6" sqref="B6"/>
    </sheetView>
  </sheetViews>
  <sheetFormatPr defaultColWidth="8.85546875" defaultRowHeight="15" x14ac:dyDescent="0.25"/>
  <cols>
    <col min="1" max="1" width="27.7109375" style="4" bestFit="1" customWidth="1"/>
    <col min="2" max="11" width="13.42578125" style="4" bestFit="1" customWidth="1"/>
    <col min="12" max="13" width="12.140625" style="4" bestFit="1" customWidth="1"/>
    <col min="14" max="16384" width="8.85546875" style="4"/>
  </cols>
  <sheetData>
    <row r="1" spans="1:11" s="1" customFormat="1" x14ac:dyDescent="0.25">
      <c r="A1" s="1" t="s">
        <v>0</v>
      </c>
      <c r="B1" s="1" t="s">
        <v>63</v>
      </c>
      <c r="E1" s="170" t="str">
        <f>IF(B2&lt;&gt;B3, "A NEW VERSION OF THE WORKSHEET IS AVAILABLE", "")</f>
        <v/>
      </c>
      <c r="F1" s="170"/>
      <c r="G1" s="170"/>
      <c r="H1" s="170"/>
      <c r="I1" s="170"/>
      <c r="J1" s="170"/>
      <c r="K1" s="170"/>
    </row>
    <row r="2" spans="1:11" x14ac:dyDescent="0.25">
      <c r="A2" s="1" t="s">
        <v>61</v>
      </c>
      <c r="B2" s="4">
        <v>2.1</v>
      </c>
      <c r="E2" s="171" t="s">
        <v>36</v>
      </c>
      <c r="F2" s="171"/>
      <c r="G2" s="171"/>
      <c r="H2" s="171"/>
      <c r="I2" s="171"/>
      <c r="J2" s="171"/>
      <c r="K2" s="171"/>
    </row>
    <row r="3" spans="1:11" x14ac:dyDescent="0.25">
      <c r="A3" s="1" t="s">
        <v>62</v>
      </c>
      <c r="B3" s="4">
        <v>2.1</v>
      </c>
    </row>
    <row r="4" spans="1:11" x14ac:dyDescent="0.25">
      <c r="A4" s="1"/>
    </row>
    <row r="5" spans="1:11" x14ac:dyDescent="0.25">
      <c r="A5" s="1" t="s">
        <v>64</v>
      </c>
    </row>
    <row r="6" spans="1:11" x14ac:dyDescent="0.25">
      <c r="A6" s="4" t="s">
        <v>42</v>
      </c>
      <c r="B6" s="4">
        <f>IF(B9&gt;0, B9/B8, 0)</f>
        <v>367.1898839543652</v>
      </c>
    </row>
    <row r="7" spans="1:11" x14ac:dyDescent="0.25">
      <c r="A7" s="4" t="s">
        <v>31</v>
      </c>
      <c r="B7">
        <v>2</v>
      </c>
    </row>
    <row r="8" spans="1:11" x14ac:dyDescent="0.25">
      <c r="A8" s="4" t="s">
        <v>43</v>
      </c>
      <c r="B8">
        <v>1021.15</v>
      </c>
    </row>
    <row r="9" spans="1:11" x14ac:dyDescent="0.25">
      <c r="A9" s="4" t="s">
        <v>79</v>
      </c>
      <c r="B9">
        <v>374955.95</v>
      </c>
    </row>
    <row r="15" spans="1:11" x14ac:dyDescent="0.25">
      <c r="A15" s="1" t="s">
        <v>37</v>
      </c>
    </row>
    <row r="16" spans="1:11" s="18" customFormat="1" x14ac:dyDescent="0.2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3" s="6" customFormat="1" x14ac:dyDescent="0.2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3" s="6" customFormat="1" x14ac:dyDescent="0.2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  <c r="L18"/>
      <c r="M18"/>
    </row>
    <row r="19" spans="1:13" s="6" customFormat="1" x14ac:dyDescent="0.2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3" s="6" customFormat="1" x14ac:dyDescent="0.2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3" s="6" customFormat="1" x14ac:dyDescent="0.2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3" s="6" customFormat="1" x14ac:dyDescent="0.2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3" s="6" customFormat="1" x14ac:dyDescent="0.2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3" s="6" customFormat="1" x14ac:dyDescent="0.2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3" s="6" customFormat="1" x14ac:dyDescent="0.2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3" s="6" customFormat="1" x14ac:dyDescent="0.2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3" s="6" customFormat="1" x14ac:dyDescent="0.2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3" s="6" customFormat="1" x14ac:dyDescent="0.2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3" s="6" customFormat="1" x14ac:dyDescent="0.2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3" s="6" customFormat="1" x14ac:dyDescent="0.2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3" s="6" customFormat="1" x14ac:dyDescent="0.25">
      <c r="A31" s="6" t="s">
        <v>70</v>
      </c>
      <c r="C31">
        <v>67.92</v>
      </c>
      <c r="J31">
        <v>766.02</v>
      </c>
      <c r="K31">
        <v>4675.6499999999996</v>
      </c>
    </row>
    <row r="32" spans="1:13" s="6" customFormat="1" x14ac:dyDescent="0.25"/>
    <row r="33" spans="1:12" x14ac:dyDescent="0.25">
      <c r="A33" s="6" t="s">
        <v>104</v>
      </c>
      <c r="B33" s="4">
        <f>B30+B29+B27+B26</f>
        <v>39879.32</v>
      </c>
      <c r="C33" s="4">
        <f t="shared" ref="C33:K33" si="0">C30+C29+C27+C26</f>
        <v>36204.22</v>
      </c>
      <c r="D33" s="4">
        <f t="shared" si="0"/>
        <v>32848.590000000004</v>
      </c>
      <c r="E33" s="4">
        <f t="shared" si="0"/>
        <v>39566.22</v>
      </c>
      <c r="F33" s="4">
        <f t="shared" si="0"/>
        <v>-1914.4500000000007</v>
      </c>
      <c r="G33" s="4">
        <f t="shared" si="0"/>
        <v>16993.16</v>
      </c>
      <c r="H33" s="4">
        <f t="shared" si="0"/>
        <v>20734.349999999999</v>
      </c>
      <c r="I33" s="4">
        <f t="shared" si="0"/>
        <v>26937.37</v>
      </c>
      <c r="J33" s="4">
        <f t="shared" si="0"/>
        <v>38204.19</v>
      </c>
      <c r="K33" s="4">
        <f t="shared" si="0"/>
        <v>64803.34</v>
      </c>
    </row>
    <row r="34" spans="1:12" x14ac:dyDescent="0.25">
      <c r="A34" s="6"/>
    </row>
    <row r="35" spans="1:12" x14ac:dyDescent="0.25">
      <c r="A35" s="6"/>
    </row>
    <row r="36" spans="1:12" x14ac:dyDescent="0.25">
      <c r="A36" s="6"/>
    </row>
    <row r="37" spans="1:12" x14ac:dyDescent="0.25">
      <c r="A37" s="6"/>
    </row>
    <row r="38" spans="1:12" x14ac:dyDescent="0.25">
      <c r="A38" s="6"/>
    </row>
    <row r="39" spans="1:12" x14ac:dyDescent="0.25">
      <c r="A39" s="6"/>
    </row>
    <row r="40" spans="1:12" x14ac:dyDescent="0.25">
      <c r="A40" s="1" t="s">
        <v>39</v>
      </c>
    </row>
    <row r="41" spans="1:12" s="18" customFormat="1" x14ac:dyDescent="0.25">
      <c r="A41" s="17" t="s">
        <v>38</v>
      </c>
      <c r="B41" s="12">
        <v>44561</v>
      </c>
      <c r="C41" s="12">
        <v>44651</v>
      </c>
      <c r="D41" s="12">
        <v>44742</v>
      </c>
      <c r="E41" s="12">
        <v>44834</v>
      </c>
      <c r="F41" s="12">
        <v>44926</v>
      </c>
      <c r="G41" s="12">
        <v>45016</v>
      </c>
      <c r="H41" s="12">
        <v>45107</v>
      </c>
      <c r="I41" s="12">
        <v>45199</v>
      </c>
      <c r="J41" s="12">
        <v>45291</v>
      </c>
      <c r="K41" s="12">
        <v>45382</v>
      </c>
    </row>
    <row r="42" spans="1:12" s="6" customFormat="1" x14ac:dyDescent="0.25">
      <c r="A42" s="6" t="s">
        <v>6</v>
      </c>
      <c r="B42">
        <v>72229.289999999994</v>
      </c>
      <c r="C42">
        <v>78439.06</v>
      </c>
      <c r="D42">
        <v>71934.66</v>
      </c>
      <c r="E42">
        <v>79611.37</v>
      </c>
      <c r="F42">
        <v>88488.59</v>
      </c>
      <c r="G42">
        <v>105932.35</v>
      </c>
      <c r="H42">
        <v>102236.08</v>
      </c>
      <c r="I42">
        <v>105128.24</v>
      </c>
      <c r="J42">
        <v>110577.14</v>
      </c>
      <c r="K42">
        <v>119986.31</v>
      </c>
    </row>
    <row r="43" spans="1:12" s="6" customFormat="1" x14ac:dyDescent="0.25">
      <c r="A43" s="6" t="s">
        <v>7</v>
      </c>
      <c r="B43">
        <v>65151.27</v>
      </c>
      <c r="C43">
        <v>70156.27</v>
      </c>
      <c r="D43">
        <v>69521.929999999993</v>
      </c>
      <c r="E43">
        <v>74039.06</v>
      </c>
      <c r="F43">
        <v>77668.350000000006</v>
      </c>
      <c r="G43">
        <v>92817.95</v>
      </c>
      <c r="H43">
        <v>89018.36</v>
      </c>
      <c r="I43">
        <v>91361.3</v>
      </c>
      <c r="J43">
        <v>95158.77</v>
      </c>
      <c r="K43">
        <v>102851</v>
      </c>
      <c r="L43"/>
    </row>
    <row r="44" spans="1:12" s="6" customFormat="1" x14ac:dyDescent="0.25">
      <c r="A44" s="6" t="s">
        <v>9</v>
      </c>
      <c r="B44">
        <v>788.73</v>
      </c>
      <c r="C44">
        <v>188.74</v>
      </c>
      <c r="D44">
        <v>2380.98</v>
      </c>
      <c r="E44">
        <v>1351.14</v>
      </c>
      <c r="F44">
        <v>1129.98</v>
      </c>
      <c r="G44">
        <v>1452.86</v>
      </c>
      <c r="H44">
        <v>683.56</v>
      </c>
      <c r="I44">
        <v>1507.05</v>
      </c>
      <c r="J44">
        <v>1603.76</v>
      </c>
      <c r="K44">
        <v>1618.3</v>
      </c>
    </row>
    <row r="45" spans="1:12" s="6" customFormat="1" x14ac:dyDescent="0.25">
      <c r="A45" s="6" t="s">
        <v>10</v>
      </c>
      <c r="B45">
        <v>6078.13</v>
      </c>
      <c r="C45">
        <v>6432.11</v>
      </c>
      <c r="D45">
        <v>5841.04</v>
      </c>
      <c r="E45">
        <v>5897.34</v>
      </c>
      <c r="F45">
        <v>6071.78</v>
      </c>
      <c r="G45">
        <v>7050.2</v>
      </c>
      <c r="H45">
        <v>6633.18</v>
      </c>
      <c r="I45">
        <v>6636.42</v>
      </c>
      <c r="J45">
        <v>6850</v>
      </c>
      <c r="K45">
        <v>7150.53</v>
      </c>
    </row>
    <row r="46" spans="1:12" s="6" customFormat="1" x14ac:dyDescent="0.25">
      <c r="A46" s="6" t="s">
        <v>11</v>
      </c>
      <c r="B46">
        <v>2400.7399999999998</v>
      </c>
      <c r="C46">
        <v>2380.52</v>
      </c>
      <c r="D46">
        <v>2420.7199999999998</v>
      </c>
      <c r="E46">
        <v>2487.2600000000002</v>
      </c>
      <c r="F46">
        <v>2675.83</v>
      </c>
      <c r="G46">
        <v>2641.67</v>
      </c>
      <c r="H46">
        <v>2615.39</v>
      </c>
      <c r="I46">
        <v>2651.69</v>
      </c>
      <c r="J46">
        <v>2484.91</v>
      </c>
      <c r="K46">
        <v>2233.77</v>
      </c>
    </row>
    <row r="47" spans="1:12" s="6" customFormat="1" x14ac:dyDescent="0.25">
      <c r="A47" s="6" t="s">
        <v>12</v>
      </c>
      <c r="B47">
        <v>-612.12</v>
      </c>
      <c r="C47">
        <v>-341.1</v>
      </c>
      <c r="D47">
        <v>-3468.05</v>
      </c>
      <c r="E47">
        <v>-1461.15</v>
      </c>
      <c r="F47">
        <v>3202.61</v>
      </c>
      <c r="G47">
        <v>4875.3900000000003</v>
      </c>
      <c r="H47">
        <v>4652.71</v>
      </c>
      <c r="I47">
        <v>5985.88</v>
      </c>
      <c r="J47">
        <v>7687.22</v>
      </c>
      <c r="K47">
        <v>9369.31</v>
      </c>
    </row>
    <row r="48" spans="1:12" s="6" customFormat="1" x14ac:dyDescent="0.25">
      <c r="A48" s="6" t="s">
        <v>13</v>
      </c>
      <c r="B48">
        <v>726.05</v>
      </c>
      <c r="C48">
        <v>758.22</v>
      </c>
      <c r="D48">
        <v>1518.96</v>
      </c>
      <c r="E48">
        <v>-457.08</v>
      </c>
      <c r="F48">
        <v>262.83</v>
      </c>
      <c r="G48">
        <v>-620.65</v>
      </c>
      <c r="H48">
        <v>1563.01</v>
      </c>
      <c r="I48">
        <v>2202.84</v>
      </c>
      <c r="J48">
        <v>541.79</v>
      </c>
      <c r="K48">
        <v>-8159.28</v>
      </c>
    </row>
    <row r="49" spans="1:11" s="6" customFormat="1" x14ac:dyDescent="0.25">
      <c r="A49" s="6" t="s">
        <v>14</v>
      </c>
      <c r="B49">
        <v>-1516.14</v>
      </c>
      <c r="C49">
        <v>-1032.8399999999999</v>
      </c>
      <c r="D49">
        <v>-5006.6000000000004</v>
      </c>
      <c r="E49">
        <v>-944.61</v>
      </c>
      <c r="F49">
        <v>2957.71</v>
      </c>
      <c r="G49">
        <v>5407.79</v>
      </c>
      <c r="H49">
        <v>3202.8</v>
      </c>
      <c r="I49">
        <v>3764</v>
      </c>
      <c r="J49">
        <v>7025.11</v>
      </c>
      <c r="K49">
        <v>17407.18</v>
      </c>
    </row>
    <row r="50" spans="1:11" x14ac:dyDescent="0.25">
      <c r="A50" s="6" t="s">
        <v>8</v>
      </c>
      <c r="B50">
        <v>7078.02</v>
      </c>
      <c r="C50">
        <v>8282.7900000000009</v>
      </c>
      <c r="D50">
        <v>2412.73</v>
      </c>
      <c r="E50">
        <v>5572.31</v>
      </c>
      <c r="F50">
        <v>10820.24</v>
      </c>
      <c r="G50">
        <v>13114.4</v>
      </c>
      <c r="H50">
        <v>13217.72</v>
      </c>
      <c r="I50">
        <v>13766.94</v>
      </c>
      <c r="J50">
        <v>15418.37</v>
      </c>
      <c r="K50">
        <v>17135.310000000001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40</v>
      </c>
    </row>
    <row r="56" spans="1:11" s="18" customFormat="1" x14ac:dyDescent="0.2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2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2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2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2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2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2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2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2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2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2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2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2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2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2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25">
      <c r="A71" s="4" t="s">
        <v>75</v>
      </c>
    </row>
    <row r="72" spans="1:11" x14ac:dyDescent="0.2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6"/>
    </row>
    <row r="75" spans="1:11" x14ac:dyDescent="0.25">
      <c r="A75" s="6" t="s">
        <v>196</v>
      </c>
      <c r="B75" s="4">
        <f>B65-SUM(B67:B69)</f>
        <v>30891.17</v>
      </c>
      <c r="C75" s="4">
        <f t="shared" ref="C75:K75" si="1">C65-SUM(C67:C69)</f>
        <v>29579.359999999986</v>
      </c>
      <c r="D75" s="4">
        <f t="shared" si="1"/>
        <v>37360.780000000013</v>
      </c>
      <c r="E75" s="4">
        <f t="shared" si="1"/>
        <v>48286.860000000015</v>
      </c>
      <c r="F75" s="4">
        <f t="shared" si="1"/>
        <v>56155.739999999991</v>
      </c>
      <c r="G75" s="4">
        <f t="shared" si="1"/>
        <v>58784.94</v>
      </c>
      <c r="H75" s="4">
        <f t="shared" si="1"/>
        <v>61717.959999999992</v>
      </c>
      <c r="I75" s="4">
        <f t="shared" si="1"/>
        <v>62223.770000000019</v>
      </c>
      <c r="J75" s="4">
        <f t="shared" si="1"/>
        <v>68432.090000000011</v>
      </c>
      <c r="K75" s="4">
        <f t="shared" si="1"/>
        <v>79018.859999999986</v>
      </c>
    </row>
    <row r="76" spans="1:11" x14ac:dyDescent="0.25">
      <c r="A76" s="6"/>
    </row>
    <row r="77" spans="1:11" x14ac:dyDescent="0.25">
      <c r="A77" s="6" t="s">
        <v>195</v>
      </c>
      <c r="B77" s="4">
        <f>B61</f>
        <v>237314.79</v>
      </c>
      <c r="C77" s="4">
        <f t="shared" ref="C77:K77" si="2">C61</f>
        <v>263184.12</v>
      </c>
      <c r="D77" s="4">
        <f t="shared" si="2"/>
        <v>272580.36</v>
      </c>
      <c r="E77" s="4">
        <f t="shared" si="2"/>
        <v>327191.81</v>
      </c>
      <c r="F77" s="4">
        <f t="shared" si="2"/>
        <v>305703.49</v>
      </c>
      <c r="G77" s="4">
        <f t="shared" si="2"/>
        <v>320179.39</v>
      </c>
      <c r="H77" s="4">
        <f t="shared" si="2"/>
        <v>341569.91</v>
      </c>
      <c r="I77" s="4">
        <f t="shared" si="2"/>
        <v>329061.49</v>
      </c>
      <c r="J77" s="4">
        <f t="shared" si="2"/>
        <v>334674.43</v>
      </c>
      <c r="K77" s="4">
        <f t="shared" si="2"/>
        <v>369520.61</v>
      </c>
    </row>
    <row r="78" spans="1:11" x14ac:dyDescent="0.25">
      <c r="A78" s="6"/>
    </row>
    <row r="79" spans="1:11" x14ac:dyDescent="0.25">
      <c r="A79" s="6"/>
    </row>
    <row r="80" spans="1:11" x14ac:dyDescent="0.25">
      <c r="A80" s="1" t="s">
        <v>41</v>
      </c>
    </row>
    <row r="81" spans="1:11" s="18" customFormat="1" x14ac:dyDescent="0.2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2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2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2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2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s="1" customFormat="1" x14ac:dyDescent="0.2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25">
      <c r="A92" s="1" t="s">
        <v>76</v>
      </c>
    </row>
    <row r="93" spans="1:11" x14ac:dyDescent="0.2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6968-61A8-478E-BC62-A0BC0A312EA9}">
  <dimension ref="B2:CF111"/>
  <sheetViews>
    <sheetView showGridLines="0" topLeftCell="AT1" workbookViewId="0">
      <selection activeCell="V22" sqref="V22"/>
    </sheetView>
  </sheetViews>
  <sheetFormatPr defaultRowHeight="15" x14ac:dyDescent="0.25"/>
  <cols>
    <col min="1" max="1" width="1.85546875" customWidth="1"/>
    <col min="2" max="2" width="14.5703125" customWidth="1"/>
    <col min="3" max="3" width="12.28515625" bestFit="1" customWidth="1"/>
    <col min="4" max="4" width="15.140625" bestFit="1" customWidth="1"/>
    <col min="6" max="6" width="12.28515625" bestFit="1" customWidth="1"/>
    <col min="9" max="9" width="18.5703125" bestFit="1" customWidth="1"/>
    <col min="13" max="13" width="20.42578125" bestFit="1" customWidth="1"/>
    <col min="22" max="22" width="15.42578125" customWidth="1"/>
    <col min="23" max="23" width="13.42578125" customWidth="1"/>
    <col min="25" max="25" width="18.5703125" bestFit="1" customWidth="1"/>
    <col min="26" max="26" width="8.85546875" customWidth="1"/>
    <col min="28" max="28" width="10.85546875" customWidth="1"/>
    <col min="38" max="38" width="14.28515625" customWidth="1"/>
    <col min="39" max="39" width="10.85546875" customWidth="1"/>
    <col min="41" max="41" width="18.5703125" bestFit="1" customWidth="1"/>
    <col min="54" max="54" width="17.140625" customWidth="1"/>
    <col min="55" max="55" width="16.140625" customWidth="1"/>
    <col min="57" max="57" width="18.5703125" bestFit="1" customWidth="1"/>
    <col min="70" max="70" width="19.28515625" customWidth="1"/>
    <col min="71" max="71" width="14.42578125" customWidth="1"/>
    <col min="73" max="73" width="18.5703125" bestFit="1" customWidth="1"/>
    <col min="74" max="74" width="10.28515625" customWidth="1"/>
  </cols>
  <sheetData>
    <row r="2" spans="2:77" x14ac:dyDescent="0.25">
      <c r="B2" s="2" t="s">
        <v>241</v>
      </c>
    </row>
    <row r="4" spans="2:77" x14ac:dyDescent="0.25">
      <c r="B4" s="168" t="s">
        <v>289</v>
      </c>
      <c r="C4" s="168"/>
      <c r="D4" s="168"/>
      <c r="F4" s="168" t="s">
        <v>242</v>
      </c>
      <c r="G4" s="168"/>
      <c r="I4" s="168" t="s">
        <v>243</v>
      </c>
      <c r="J4" s="168"/>
      <c r="L4" t="s">
        <v>244</v>
      </c>
      <c r="M4" s="126">
        <f>SLOPE(D8:D111,$G$8:$G$111)</f>
        <v>1.1639114162017077</v>
      </c>
      <c r="V4" s="168" t="s">
        <v>295</v>
      </c>
      <c r="W4" s="168"/>
      <c r="Y4" s="168" t="s">
        <v>243</v>
      </c>
      <c r="Z4" s="168"/>
      <c r="AB4" t="s">
        <v>244</v>
      </c>
      <c r="AC4" s="126">
        <f>SLOPE(W8:W111,$G$8:$G$111)</f>
        <v>0.57405269548300719</v>
      </c>
      <c r="AL4" s="168" t="s">
        <v>296</v>
      </c>
      <c r="AM4" s="168"/>
      <c r="AO4" s="168" t="s">
        <v>243</v>
      </c>
      <c r="AP4" s="168"/>
      <c r="AR4" t="s">
        <v>244</v>
      </c>
      <c r="AS4" s="126">
        <f>SLOPE(AM8:AM111,$G$8:$G$111)</f>
        <v>1.2348373236373313</v>
      </c>
      <c r="BB4" s="168" t="s">
        <v>297</v>
      </c>
      <c r="BC4" s="168"/>
      <c r="BE4" s="168" t="s">
        <v>243</v>
      </c>
      <c r="BF4" s="168"/>
      <c r="BH4" t="s">
        <v>244</v>
      </c>
      <c r="BI4" s="126">
        <f>SLOPE(BC8:BC111,$G$8:$G$111)</f>
        <v>0.5875311648035606</v>
      </c>
      <c r="BR4" s="168" t="s">
        <v>298</v>
      </c>
      <c r="BS4" s="168"/>
      <c r="BU4" s="168" t="s">
        <v>243</v>
      </c>
      <c r="BV4" s="168"/>
      <c r="BX4" t="s">
        <v>244</v>
      </c>
      <c r="BY4" s="126">
        <f>SLOPE(BS8:BS111,$G$8:$G$111)</f>
        <v>0.77989076603170648</v>
      </c>
    </row>
    <row r="5" spans="2:77" x14ac:dyDescent="0.25">
      <c r="B5" s="2"/>
      <c r="L5" t="s">
        <v>245</v>
      </c>
      <c r="M5" s="126">
        <f>_xlfn.COVARIANCE.S(D8:D111,$G$8:$G$111)/_xlfn.VAR.S($G$8:$G$111)</f>
        <v>1.1639114162017081</v>
      </c>
      <c r="AB5" t="s">
        <v>245</v>
      </c>
      <c r="AC5" s="126">
        <f>_xlfn.COVARIANCE.S(W8:W111,$G$8:$G$111)/_xlfn.VAR.S($G$8:$G$111)</f>
        <v>0.57405269548300741</v>
      </c>
      <c r="AR5" t="s">
        <v>245</v>
      </c>
      <c r="AS5" s="126">
        <f>_xlfn.COVARIANCE.S(AM8:AM111,$G$8:$G$111)/_xlfn.VAR.S($G$8:$G$111)</f>
        <v>1.2348373236373318</v>
      </c>
      <c r="BH5" t="s">
        <v>245</v>
      </c>
      <c r="BI5" s="126">
        <f>_xlfn.COVARIANCE.S(BC8:BC111,$G$8:$G$111)/_xlfn.VAR.S($G$8:$G$111)</f>
        <v>0.58753116480356082</v>
      </c>
      <c r="BX5" t="s">
        <v>245</v>
      </c>
      <c r="BY5" s="126">
        <f>_xlfn.COVARIANCE.S(BS8:BS111,$G$8:$G$111)/_xlfn.VAR.S($G$8:$G$111)</f>
        <v>0.77989076603170682</v>
      </c>
    </row>
    <row r="6" spans="2:77" x14ac:dyDescent="0.25">
      <c r="B6" s="127" t="s">
        <v>246</v>
      </c>
      <c r="C6" s="128" t="s">
        <v>247</v>
      </c>
      <c r="D6" s="128" t="s">
        <v>248</v>
      </c>
      <c r="E6" s="26"/>
      <c r="F6" s="128" t="s">
        <v>247</v>
      </c>
      <c r="G6" s="128" t="s">
        <v>248</v>
      </c>
      <c r="I6" t="s">
        <v>249</v>
      </c>
      <c r="J6" s="126">
        <f>M7</f>
        <v>1.1639114162017081</v>
      </c>
      <c r="V6" s="128" t="s">
        <v>247</v>
      </c>
      <c r="W6" s="128" t="s">
        <v>248</v>
      </c>
      <c r="Y6" t="s">
        <v>249</v>
      </c>
      <c r="Z6" s="126">
        <f>AC7</f>
        <v>0.57405269548300752</v>
      </c>
      <c r="AL6" s="128" t="s">
        <v>247</v>
      </c>
      <c r="AM6" s="128" t="s">
        <v>248</v>
      </c>
      <c r="AO6" t="s">
        <v>249</v>
      </c>
      <c r="AP6" s="126">
        <f>AS7</f>
        <v>1.2348373236373322</v>
      </c>
      <c r="BB6" s="128" t="s">
        <v>247</v>
      </c>
      <c r="BC6" s="128" t="s">
        <v>248</v>
      </c>
      <c r="BE6" t="s">
        <v>249</v>
      </c>
      <c r="BF6" s="126">
        <f>BI7</f>
        <v>0.58753116480356105</v>
      </c>
      <c r="BR6" s="128" t="s">
        <v>247</v>
      </c>
      <c r="BS6" s="128" t="s">
        <v>248</v>
      </c>
      <c r="BU6" t="s">
        <v>249</v>
      </c>
      <c r="BV6" s="126">
        <f>BY7</f>
        <v>0.77989076603170671</v>
      </c>
    </row>
    <row r="7" spans="2:77" x14ac:dyDescent="0.25">
      <c r="B7" s="129">
        <v>44760</v>
      </c>
      <c r="C7" s="136">
        <v>452.09149200000002</v>
      </c>
      <c r="D7" s="26"/>
      <c r="E7" s="26"/>
      <c r="F7" s="38">
        <v>16719.449218999998</v>
      </c>
      <c r="G7" s="26"/>
      <c r="I7" t="s">
        <v>250</v>
      </c>
      <c r="J7" s="48">
        <v>0.75</v>
      </c>
      <c r="L7" t="s">
        <v>251</v>
      </c>
      <c r="M7" s="126">
        <f>M26</f>
        <v>1.1639114162017081</v>
      </c>
      <c r="V7" s="136">
        <v>8691.3974610000005</v>
      </c>
      <c r="W7" s="26"/>
      <c r="Y7" t="s">
        <v>250</v>
      </c>
      <c r="Z7" s="48">
        <v>0.75</v>
      </c>
      <c r="AB7" t="s">
        <v>251</v>
      </c>
      <c r="AC7" s="126">
        <f>AC26</f>
        <v>0.57405269548300752</v>
      </c>
      <c r="AL7" s="136">
        <v>1148.351318</v>
      </c>
      <c r="AM7" s="26"/>
      <c r="AO7" t="s">
        <v>250</v>
      </c>
      <c r="AP7" s="48">
        <v>0.75</v>
      </c>
      <c r="AR7" t="s">
        <v>251</v>
      </c>
      <c r="AS7" s="126">
        <f>AS26</f>
        <v>1.2348373236373322</v>
      </c>
      <c r="BB7" s="136">
        <v>3902.428711</v>
      </c>
      <c r="BC7" s="26"/>
      <c r="BE7" t="s">
        <v>250</v>
      </c>
      <c r="BF7" s="48">
        <v>0.75</v>
      </c>
      <c r="BH7" t="s">
        <v>251</v>
      </c>
      <c r="BI7" s="126">
        <f>BI26</f>
        <v>0.58753116480356105</v>
      </c>
      <c r="BR7" s="136">
        <v>3092.6557619999999</v>
      </c>
      <c r="BS7" s="26"/>
      <c r="BU7" t="s">
        <v>250</v>
      </c>
      <c r="BV7" s="48">
        <v>0.75</v>
      </c>
      <c r="BX7" t="s">
        <v>251</v>
      </c>
      <c r="BY7" s="126">
        <f>BY26</f>
        <v>0.77989076603170671</v>
      </c>
    </row>
    <row r="8" spans="2:77" x14ac:dyDescent="0.25">
      <c r="B8" s="129">
        <v>44767</v>
      </c>
      <c r="C8" s="136">
        <v>446.82421900000003</v>
      </c>
      <c r="D8" s="31">
        <f>C8/C7-1</f>
        <v>-1.1650900521702368E-2</v>
      </c>
      <c r="E8" s="26"/>
      <c r="F8" s="38">
        <v>17158.25</v>
      </c>
      <c r="G8" s="31">
        <f>F8/F7-1</f>
        <v>2.6244930395275645E-2</v>
      </c>
      <c r="V8" s="136">
        <v>8634.9042969999991</v>
      </c>
      <c r="W8" s="31">
        <f>V8/V7-1</f>
        <v>-6.4998942061386122E-3</v>
      </c>
      <c r="AL8" s="136">
        <v>1132.162842</v>
      </c>
      <c r="AM8" s="31">
        <f>AL8/AL7-1</f>
        <v>-1.4097145835295755E-2</v>
      </c>
      <c r="BB8" s="136">
        <v>3767.6315920000002</v>
      </c>
      <c r="BC8" s="31">
        <f>BB8/BB7-1</f>
        <v>-3.4541853031175074E-2</v>
      </c>
      <c r="BR8" s="136">
        <v>3039.4506839999999</v>
      </c>
      <c r="BS8" s="31">
        <f>BR8/BR7-1</f>
        <v>-1.7203685794500601E-2</v>
      </c>
    </row>
    <row r="9" spans="2:77" x14ac:dyDescent="0.25">
      <c r="B9" s="129">
        <v>44774</v>
      </c>
      <c r="C9" s="136">
        <v>462.37762500000002</v>
      </c>
      <c r="D9" s="31">
        <f t="shared" ref="D9:D72" si="0">C9/C8-1</f>
        <v>3.4808780139108819E-2</v>
      </c>
      <c r="E9" s="26"/>
      <c r="F9" s="38">
        <v>17397.5</v>
      </c>
      <c r="G9" s="31">
        <f t="shared" ref="G9:G72" si="1">F9/F8-1</f>
        <v>1.3943729692713402E-2</v>
      </c>
      <c r="I9" t="s">
        <v>252</v>
      </c>
      <c r="J9" s="126">
        <v>1</v>
      </c>
      <c r="L9" t="s">
        <v>253</v>
      </c>
      <c r="V9" s="136">
        <v>8701.4853519999997</v>
      </c>
      <c r="W9" s="31">
        <f t="shared" ref="W9:W72" si="2">V9/V8-1</f>
        <v>7.7106882381003938E-3</v>
      </c>
      <c r="Y9" t="s">
        <v>252</v>
      </c>
      <c r="Z9" s="126">
        <v>1</v>
      </c>
      <c r="AB9" t="s">
        <v>253</v>
      </c>
      <c r="AL9" s="136">
        <v>1201.6319579999999</v>
      </c>
      <c r="AM9" s="31">
        <f t="shared" ref="AM9:AM72" si="3">AL9/AL8-1</f>
        <v>6.1359650240137453E-2</v>
      </c>
      <c r="AO9" t="s">
        <v>252</v>
      </c>
      <c r="AP9" s="126">
        <v>1</v>
      </c>
      <c r="AR9" t="s">
        <v>253</v>
      </c>
      <c r="BB9" s="136">
        <v>3862.5815429999998</v>
      </c>
      <c r="BC9" s="31">
        <f t="shared" ref="BC9:BC72" si="4">BB9/BB8-1</f>
        <v>2.5201495603129453E-2</v>
      </c>
      <c r="BE9" t="s">
        <v>252</v>
      </c>
      <c r="BF9" s="126">
        <v>1</v>
      </c>
      <c r="BH9" t="s">
        <v>253</v>
      </c>
      <c r="BR9" s="136">
        <v>3035.6679690000001</v>
      </c>
      <c r="BS9" s="31">
        <f t="shared" ref="BS9:BS72" si="5">BR9/BR8-1</f>
        <v>-1.244539028026459E-3</v>
      </c>
      <c r="BU9" t="s">
        <v>252</v>
      </c>
      <c r="BV9" s="126">
        <v>1</v>
      </c>
      <c r="BX9" t="s">
        <v>253</v>
      </c>
    </row>
    <row r="10" spans="2:77" ht="15.75" thickBot="1" x14ac:dyDescent="0.3">
      <c r="B10" s="129">
        <v>44781</v>
      </c>
      <c r="C10" s="136">
        <v>474.60162400000002</v>
      </c>
      <c r="D10" s="31">
        <f t="shared" si="0"/>
        <v>2.6437263265063793E-2</v>
      </c>
      <c r="E10" s="26"/>
      <c r="F10" s="38">
        <v>17698.150390999999</v>
      </c>
      <c r="G10" s="31">
        <f t="shared" si="1"/>
        <v>1.7281241040379314E-2</v>
      </c>
      <c r="I10" t="s">
        <v>254</v>
      </c>
      <c r="J10" s="48">
        <v>0.25</v>
      </c>
      <c r="V10" s="136">
        <v>8618.0996090000008</v>
      </c>
      <c r="W10" s="31">
        <f t="shared" si="2"/>
        <v>-9.5829320658262773E-3</v>
      </c>
      <c r="Y10" t="s">
        <v>254</v>
      </c>
      <c r="Z10" s="48">
        <v>0.25</v>
      </c>
      <c r="AL10" s="136">
        <v>1224.5288089999999</v>
      </c>
      <c r="AM10" s="31">
        <f t="shared" si="3"/>
        <v>1.9054795311960193E-2</v>
      </c>
      <c r="AO10" t="s">
        <v>254</v>
      </c>
      <c r="AP10" s="48">
        <v>0.25</v>
      </c>
      <c r="BB10" s="136">
        <v>3886.547607</v>
      </c>
      <c r="BC10" s="31">
        <f t="shared" si="4"/>
        <v>6.2046752238624769E-3</v>
      </c>
      <c r="BE10" t="s">
        <v>254</v>
      </c>
      <c r="BF10" s="48">
        <v>0.25</v>
      </c>
      <c r="BR10" s="136">
        <v>3154.1135250000002</v>
      </c>
      <c r="BS10" s="31">
        <f t="shared" si="5"/>
        <v>3.9017954931025667E-2</v>
      </c>
      <c r="BU10" t="s">
        <v>254</v>
      </c>
      <c r="BV10" s="48">
        <v>0.25</v>
      </c>
    </row>
    <row r="11" spans="2:77" x14ac:dyDescent="0.25">
      <c r="B11" s="129">
        <v>44788</v>
      </c>
      <c r="C11" s="136">
        <v>468.09210200000001</v>
      </c>
      <c r="D11" s="31">
        <f t="shared" si="0"/>
        <v>-1.3715760062380289E-2</v>
      </c>
      <c r="E11" s="26"/>
      <c r="F11" s="38">
        <v>17758.449218999998</v>
      </c>
      <c r="G11" s="31">
        <f t="shared" si="1"/>
        <v>3.4070694771959342E-3</v>
      </c>
      <c r="L11" s="139" t="s">
        <v>255</v>
      </c>
      <c r="M11" s="139"/>
      <c r="V11" s="136">
        <v>8697.1064449999994</v>
      </c>
      <c r="W11" s="31">
        <f t="shared" si="2"/>
        <v>9.1675473230190541E-3</v>
      </c>
      <c r="AB11" s="139" t="s">
        <v>255</v>
      </c>
      <c r="AC11" s="139"/>
      <c r="AL11" s="136">
        <v>1205.0347899999999</v>
      </c>
      <c r="AM11" s="31">
        <f t="shared" si="3"/>
        <v>-1.5919608307067623E-2</v>
      </c>
      <c r="AR11" s="139" t="s">
        <v>255</v>
      </c>
      <c r="AS11" s="139"/>
      <c r="BB11" s="136">
        <v>3921.726807</v>
      </c>
      <c r="BC11" s="31">
        <f t="shared" si="4"/>
        <v>9.0515294182011985E-3</v>
      </c>
      <c r="BH11" s="139" t="s">
        <v>255</v>
      </c>
      <c r="BI11" s="139"/>
      <c r="BR11" s="136">
        <v>3386.7192380000001</v>
      </c>
      <c r="BS11" s="31">
        <f t="shared" si="5"/>
        <v>7.3746778978096561E-2</v>
      </c>
      <c r="BX11" s="139" t="s">
        <v>255</v>
      </c>
      <c r="BY11" s="139"/>
    </row>
    <row r="12" spans="2:77" x14ac:dyDescent="0.25">
      <c r="B12" s="129">
        <v>44795</v>
      </c>
      <c r="C12" s="136">
        <v>462.178833</v>
      </c>
      <c r="D12" s="31">
        <f t="shared" si="0"/>
        <v>-1.263270406557726E-2</v>
      </c>
      <c r="E12" s="26"/>
      <c r="F12" s="38">
        <v>17558.900390999999</v>
      </c>
      <c r="G12" s="31">
        <f t="shared" si="1"/>
        <v>-1.1236838619134604E-2</v>
      </c>
      <c r="I12" s="130" t="s">
        <v>256</v>
      </c>
      <c r="J12" s="131">
        <f>(J6*J7)+(J9*J10)</f>
        <v>1.122933562151281</v>
      </c>
      <c r="L12" t="s">
        <v>257</v>
      </c>
      <c r="M12">
        <v>0.45996508002393194</v>
      </c>
      <c r="V12" s="136">
        <v>8639.2998050000006</v>
      </c>
      <c r="W12" s="31">
        <f t="shared" si="2"/>
        <v>-6.6466520061085888E-3</v>
      </c>
      <c r="Y12" s="130" t="s">
        <v>256</v>
      </c>
      <c r="Z12" s="131">
        <f>(Z6*Z7)+(Z9*Z10)</f>
        <v>0.68053952161225562</v>
      </c>
      <c r="AB12" t="s">
        <v>257</v>
      </c>
      <c r="AC12">
        <v>0.30321237820310815</v>
      </c>
      <c r="AL12" s="136">
        <v>1239.3073730000001</v>
      </c>
      <c r="AM12" s="31">
        <f t="shared" si="3"/>
        <v>2.8441156458229866E-2</v>
      </c>
      <c r="AO12" s="130" t="s">
        <v>256</v>
      </c>
      <c r="AP12" s="131">
        <f>(AP6*AP7)+(AP9*AP10)</f>
        <v>1.1761279927279991</v>
      </c>
      <c r="AR12" t="s">
        <v>257</v>
      </c>
      <c r="AS12">
        <v>0.46700023138463015</v>
      </c>
      <c r="BB12" s="136">
        <v>3902.3325199999999</v>
      </c>
      <c r="BC12" s="31">
        <f t="shared" si="4"/>
        <v>-4.9453437106793396E-3</v>
      </c>
      <c r="BE12" s="130" t="s">
        <v>256</v>
      </c>
      <c r="BF12" s="131">
        <f>(BF6*BF7)+(BF9*BF10)</f>
        <v>0.69064837360267073</v>
      </c>
      <c r="BH12" t="s">
        <v>257</v>
      </c>
      <c r="BI12">
        <v>0.26187420637080461</v>
      </c>
      <c r="BR12" s="136">
        <v>3318.4724120000001</v>
      </c>
      <c r="BS12" s="31">
        <f t="shared" si="5"/>
        <v>-2.015130904098883E-2</v>
      </c>
      <c r="BU12" s="130" t="s">
        <v>256</v>
      </c>
      <c r="BV12" s="131">
        <f>(BV6*BV7)+(BV9*BV10)</f>
        <v>0.83491807452378008</v>
      </c>
      <c r="BX12" t="s">
        <v>257</v>
      </c>
      <c r="BY12">
        <v>0.34028653373632956</v>
      </c>
    </row>
    <row r="13" spans="2:77" x14ac:dyDescent="0.25">
      <c r="B13" s="129">
        <v>44802</v>
      </c>
      <c r="C13" s="136">
        <v>458.89920000000001</v>
      </c>
      <c r="D13" s="31">
        <f t="shared" si="0"/>
        <v>-7.0960259662086189E-3</v>
      </c>
      <c r="E13" s="26"/>
      <c r="F13" s="38">
        <v>17539.449218999998</v>
      </c>
      <c r="G13" s="31">
        <f t="shared" si="1"/>
        <v>-1.1077670905844661E-3</v>
      </c>
      <c r="L13" t="s">
        <v>258</v>
      </c>
      <c r="M13">
        <v>0.21156787484142209</v>
      </c>
      <c r="V13" s="136">
        <v>8836.4443360000005</v>
      </c>
      <c r="W13" s="31">
        <f t="shared" si="2"/>
        <v>2.2819503368305627E-2</v>
      </c>
      <c r="AB13" t="s">
        <v>258</v>
      </c>
      <c r="AC13">
        <v>9.1937746295584696E-2</v>
      </c>
      <c r="AL13" s="136">
        <v>1279.46228</v>
      </c>
      <c r="AM13" s="31">
        <f t="shared" si="3"/>
        <v>3.24010877969656E-2</v>
      </c>
      <c r="AR13" t="s">
        <v>258</v>
      </c>
      <c r="AS13">
        <v>0.21808921611329812</v>
      </c>
      <c r="BB13" s="136">
        <v>3879.7138669999999</v>
      </c>
      <c r="BC13" s="31">
        <f t="shared" si="4"/>
        <v>-5.7961880193643234E-3</v>
      </c>
      <c r="BH13" t="s">
        <v>258</v>
      </c>
      <c r="BI13">
        <v>6.8578099962338754E-2</v>
      </c>
      <c r="BR13" s="136">
        <v>3384.7409670000002</v>
      </c>
      <c r="BS13" s="31">
        <f t="shared" si="5"/>
        <v>1.9969596480707397E-2</v>
      </c>
      <c r="BX13" t="s">
        <v>258</v>
      </c>
      <c r="BY13">
        <v>0.11579492504228617</v>
      </c>
    </row>
    <row r="14" spans="2:77" x14ac:dyDescent="0.25">
      <c r="B14" s="129">
        <v>44809</v>
      </c>
      <c r="C14" s="136">
        <v>443.147064</v>
      </c>
      <c r="D14" s="31">
        <f t="shared" si="0"/>
        <v>-3.4325917325634947E-2</v>
      </c>
      <c r="E14" s="26"/>
      <c r="F14" s="38">
        <v>17833.349609000001</v>
      </c>
      <c r="G14" s="31">
        <f t="shared" si="1"/>
        <v>1.6756534730955508E-2</v>
      </c>
      <c r="L14" t="s">
        <v>259</v>
      </c>
      <c r="M14">
        <v>0.20383814812418111</v>
      </c>
      <c r="V14" s="136">
        <v>8862.5986329999996</v>
      </c>
      <c r="W14" s="31">
        <f t="shared" si="2"/>
        <v>2.9598213948391905E-3</v>
      </c>
      <c r="AB14" t="s">
        <v>259</v>
      </c>
      <c r="AC14">
        <v>8.303517518083553E-2</v>
      </c>
      <c r="AL14" s="136">
        <v>1265.1697999999999</v>
      </c>
      <c r="AM14" s="31">
        <f t="shared" si="3"/>
        <v>-1.1170692738202592E-2</v>
      </c>
      <c r="AR14" t="s">
        <v>259</v>
      </c>
      <c r="AS14">
        <v>0.2104234241144089</v>
      </c>
      <c r="BB14" s="136">
        <v>3704.2514649999998</v>
      </c>
      <c r="BC14" s="31">
        <f t="shared" si="4"/>
        <v>-4.5225603746823939E-2</v>
      </c>
      <c r="BH14" t="s">
        <v>259</v>
      </c>
      <c r="BI14">
        <v>5.9446512707067564E-2</v>
      </c>
      <c r="BR14" s="136">
        <v>3435.2333979999999</v>
      </c>
      <c r="BS14" s="31">
        <f t="shared" si="5"/>
        <v>1.4917664746662229E-2</v>
      </c>
      <c r="BX14" t="s">
        <v>259</v>
      </c>
      <c r="BY14">
        <v>0.10712624783681839</v>
      </c>
    </row>
    <row r="15" spans="2:77" x14ac:dyDescent="0.25">
      <c r="B15" s="129">
        <v>44816</v>
      </c>
      <c r="C15" s="136">
        <v>429.82980300000003</v>
      </c>
      <c r="D15" s="31">
        <f t="shared" si="0"/>
        <v>-3.0051560941854683E-2</v>
      </c>
      <c r="E15" s="26"/>
      <c r="F15" s="38">
        <v>17530.849609000001</v>
      </c>
      <c r="G15" s="31">
        <f t="shared" si="1"/>
        <v>-1.6962601341440453E-2</v>
      </c>
      <c r="L15" t="s">
        <v>260</v>
      </c>
      <c r="M15">
        <v>3.1886317139382357E-2</v>
      </c>
      <c r="V15" s="136">
        <v>9103.9775389999995</v>
      </c>
      <c r="W15" s="31">
        <f t="shared" si="2"/>
        <v>2.7235680638997062E-2</v>
      </c>
      <c r="AB15" t="s">
        <v>260</v>
      </c>
      <c r="AC15">
        <v>2.5602936833959766E-2</v>
      </c>
      <c r="AL15" s="136">
        <v>1215.4379879999999</v>
      </c>
      <c r="AM15" s="31">
        <f t="shared" si="3"/>
        <v>-3.9308409037269176E-2</v>
      </c>
      <c r="AR15" t="s">
        <v>260</v>
      </c>
      <c r="AS15">
        <v>3.3181681686091209E-2</v>
      </c>
      <c r="BB15" s="136">
        <v>3551.1669919999999</v>
      </c>
      <c r="BC15" s="31">
        <f t="shared" si="4"/>
        <v>-4.1326695675613312E-2</v>
      </c>
      <c r="BH15" t="s">
        <v>260</v>
      </c>
      <c r="BI15">
        <v>3.0728300823341156E-2</v>
      </c>
      <c r="BR15" s="136">
        <v>3510.255615</v>
      </c>
      <c r="BS15" s="31">
        <f t="shared" si="5"/>
        <v>2.1839045068576146E-2</v>
      </c>
      <c r="BX15" t="s">
        <v>260</v>
      </c>
      <c r="BY15">
        <v>3.0583885300525734E-2</v>
      </c>
    </row>
    <row r="16" spans="2:77" ht="15.75" thickBot="1" x14ac:dyDescent="0.3">
      <c r="B16" s="129">
        <v>44823</v>
      </c>
      <c r="C16" s="136">
        <v>420.48782299999999</v>
      </c>
      <c r="D16" s="31">
        <f t="shared" si="0"/>
        <v>-2.173413740694019E-2</v>
      </c>
      <c r="E16" s="26"/>
      <c r="F16" s="38">
        <v>17327.349609000001</v>
      </c>
      <c r="G16" s="31">
        <f t="shared" si="1"/>
        <v>-1.1608108251383698E-2</v>
      </c>
      <c r="L16" s="137" t="s">
        <v>261</v>
      </c>
      <c r="M16" s="137">
        <v>104</v>
      </c>
      <c r="V16" s="136">
        <v>9256.34375</v>
      </c>
      <c r="W16" s="31">
        <f t="shared" si="2"/>
        <v>1.6736224397225108E-2</v>
      </c>
      <c r="AB16" s="137" t="s">
        <v>261</v>
      </c>
      <c r="AC16" s="137">
        <v>104</v>
      </c>
      <c r="AL16" s="136">
        <v>1237.0225829999999</v>
      </c>
      <c r="AM16" s="31">
        <f t="shared" si="3"/>
        <v>1.7758697040165305E-2</v>
      </c>
      <c r="AR16" s="137" t="s">
        <v>261</v>
      </c>
      <c r="AS16" s="137">
        <v>104</v>
      </c>
      <c r="BB16" s="136">
        <v>3560.16626</v>
      </c>
      <c r="BC16" s="31">
        <f t="shared" si="4"/>
        <v>2.5341720117002531E-3</v>
      </c>
      <c r="BH16" s="137" t="s">
        <v>261</v>
      </c>
      <c r="BI16" s="137">
        <v>104</v>
      </c>
      <c r="BR16" s="136">
        <v>3648.1831050000001</v>
      </c>
      <c r="BS16" s="31">
        <f t="shared" si="5"/>
        <v>3.9292719712664015E-2</v>
      </c>
      <c r="BX16" s="137" t="s">
        <v>261</v>
      </c>
      <c r="BY16" s="137">
        <v>104</v>
      </c>
    </row>
    <row r="17" spans="2:84" x14ac:dyDescent="0.25">
      <c r="B17" s="129">
        <v>44830</v>
      </c>
      <c r="C17" s="136">
        <v>402.10205100000002</v>
      </c>
      <c r="D17" s="31">
        <f t="shared" si="0"/>
        <v>-4.3724861920674374E-2</v>
      </c>
      <c r="E17" s="26"/>
      <c r="F17" s="38">
        <v>17094.349609000001</v>
      </c>
      <c r="G17" s="31">
        <f t="shared" si="1"/>
        <v>-1.3446949779265527E-2</v>
      </c>
      <c r="V17" s="136">
        <v>8745.8476559999999</v>
      </c>
      <c r="W17" s="31">
        <f t="shared" si="2"/>
        <v>-5.515094380543073E-2</v>
      </c>
      <c r="AL17" s="136">
        <v>1233.036255</v>
      </c>
      <c r="AM17" s="31">
        <f t="shared" si="3"/>
        <v>-3.2225183717603523E-3</v>
      </c>
      <c r="BB17" s="136">
        <v>3395.435547</v>
      </c>
      <c r="BC17" s="31">
        <f t="shared" si="4"/>
        <v>-4.6270511254156932E-2</v>
      </c>
      <c r="BR17" s="136">
        <v>3631.5170899999998</v>
      </c>
      <c r="BS17" s="31">
        <f t="shared" si="5"/>
        <v>-4.5683055154657204E-3</v>
      </c>
    </row>
    <row r="18" spans="2:84" ht="15.75" thickBot="1" x14ac:dyDescent="0.3">
      <c r="B18" s="129">
        <v>44837</v>
      </c>
      <c r="C18" s="136">
        <v>409.60543799999999</v>
      </c>
      <c r="D18" s="31">
        <f t="shared" si="0"/>
        <v>1.8660404694130772E-2</v>
      </c>
      <c r="E18" s="26"/>
      <c r="F18" s="38">
        <v>17314.650390999999</v>
      </c>
      <c r="G18" s="31">
        <f t="shared" si="1"/>
        <v>1.2887345060733635E-2</v>
      </c>
      <c r="L18" t="s">
        <v>262</v>
      </c>
      <c r="V18" s="136">
        <v>8697.2539059999999</v>
      </c>
      <c r="W18" s="31">
        <f t="shared" si="2"/>
        <v>-5.5562081471499658E-3</v>
      </c>
      <c r="AB18" t="s">
        <v>262</v>
      </c>
      <c r="AL18" s="136">
        <v>1204.5</v>
      </c>
      <c r="AM18" s="31">
        <f t="shared" si="3"/>
        <v>-2.3143078627481217E-2</v>
      </c>
      <c r="AR18" t="s">
        <v>262</v>
      </c>
      <c r="BB18" s="136">
        <v>3468.392578</v>
      </c>
      <c r="BC18" s="31">
        <f t="shared" si="4"/>
        <v>2.1486796020752097E-2</v>
      </c>
      <c r="BH18" t="s">
        <v>262</v>
      </c>
      <c r="BR18" s="136">
        <v>3460.3564449999999</v>
      </c>
      <c r="BS18" s="31">
        <f t="shared" si="5"/>
        <v>-4.7131994909598518E-2</v>
      </c>
      <c r="BX18" t="s">
        <v>262</v>
      </c>
    </row>
    <row r="19" spans="2:84" x14ac:dyDescent="0.25">
      <c r="B19" s="129">
        <v>44844</v>
      </c>
      <c r="C19" s="136">
        <v>393.80361900000003</v>
      </c>
      <c r="D19" s="31">
        <f t="shared" si="0"/>
        <v>-3.8578147490317183E-2</v>
      </c>
      <c r="E19" s="26"/>
      <c r="F19" s="38">
        <v>17185.699218999998</v>
      </c>
      <c r="G19" s="31">
        <f t="shared" si="1"/>
        <v>-7.4475180894804094E-3</v>
      </c>
      <c r="L19" s="138"/>
      <c r="M19" s="138" t="s">
        <v>263</v>
      </c>
      <c r="N19" s="138" t="s">
        <v>264</v>
      </c>
      <c r="O19" s="138" t="s">
        <v>265</v>
      </c>
      <c r="P19" s="138" t="s">
        <v>266</v>
      </c>
      <c r="Q19" s="138" t="s">
        <v>267</v>
      </c>
      <c r="V19" s="136">
        <v>8536.9628909999992</v>
      </c>
      <c r="W19" s="31">
        <f t="shared" si="2"/>
        <v>-1.8430071920680691E-2</v>
      </c>
      <c r="AB19" s="138"/>
      <c r="AC19" s="138" t="s">
        <v>263</v>
      </c>
      <c r="AD19" s="138" t="s">
        <v>264</v>
      </c>
      <c r="AE19" s="138" t="s">
        <v>265</v>
      </c>
      <c r="AF19" s="138" t="s">
        <v>266</v>
      </c>
      <c r="AG19" s="138" t="s">
        <v>267</v>
      </c>
      <c r="AL19" s="136">
        <v>1196.187134</v>
      </c>
      <c r="AM19" s="31">
        <f t="shared" si="3"/>
        <v>-6.9015076795350128E-3</v>
      </c>
      <c r="AR19" s="138"/>
      <c r="AS19" s="138" t="s">
        <v>263</v>
      </c>
      <c r="AT19" s="138" t="s">
        <v>264</v>
      </c>
      <c r="AU19" s="138" t="s">
        <v>265</v>
      </c>
      <c r="AV19" s="138" t="s">
        <v>266</v>
      </c>
      <c r="AW19" s="138" t="s">
        <v>267</v>
      </c>
      <c r="BB19" s="136">
        <v>3436.5822750000002</v>
      </c>
      <c r="BC19" s="31">
        <f t="shared" si="4"/>
        <v>-9.1714828366812329E-3</v>
      </c>
      <c r="BH19" s="138"/>
      <c r="BI19" s="138" t="s">
        <v>263</v>
      </c>
      <c r="BJ19" s="138" t="s">
        <v>264</v>
      </c>
      <c r="BK19" s="138" t="s">
        <v>265</v>
      </c>
      <c r="BL19" s="138" t="s">
        <v>266</v>
      </c>
      <c r="BM19" s="138" t="s">
        <v>267</v>
      </c>
      <c r="BR19" s="136">
        <v>3439.2392580000001</v>
      </c>
      <c r="BS19" s="31">
        <f t="shared" si="5"/>
        <v>-6.1026045540808482E-3</v>
      </c>
      <c r="BX19" s="138"/>
      <c r="BY19" s="138" t="s">
        <v>263</v>
      </c>
      <c r="BZ19" s="138" t="s">
        <v>264</v>
      </c>
      <c r="CA19" s="138" t="s">
        <v>265</v>
      </c>
      <c r="CB19" s="138" t="s">
        <v>266</v>
      </c>
      <c r="CC19" s="138" t="s">
        <v>267</v>
      </c>
    </row>
    <row r="20" spans="2:84" x14ac:dyDescent="0.25">
      <c r="B20" s="129">
        <v>44851</v>
      </c>
      <c r="C20" s="136">
        <v>395.592468</v>
      </c>
      <c r="D20" s="31">
        <f t="shared" si="0"/>
        <v>4.5424899967716481E-3</v>
      </c>
      <c r="E20" s="26"/>
      <c r="F20" s="38">
        <v>17576.300781000002</v>
      </c>
      <c r="G20" s="31">
        <f t="shared" si="1"/>
        <v>2.2728290366455628E-2</v>
      </c>
      <c r="L20" t="s">
        <v>268</v>
      </c>
      <c r="M20">
        <v>1</v>
      </c>
      <c r="N20">
        <v>2.7828788898666398E-2</v>
      </c>
      <c r="O20">
        <v>2.7828788898666398E-2</v>
      </c>
      <c r="P20">
        <v>27.37067978994979</v>
      </c>
      <c r="Q20">
        <v>9.0041603583566092E-7</v>
      </c>
      <c r="V20" s="136">
        <v>8622.1611329999996</v>
      </c>
      <c r="W20" s="31">
        <f t="shared" si="2"/>
        <v>9.9799241355282842E-3</v>
      </c>
      <c r="AB20" t="s">
        <v>268</v>
      </c>
      <c r="AC20">
        <v>1</v>
      </c>
      <c r="AD20">
        <v>6.7695214933180259E-3</v>
      </c>
      <c r="AE20">
        <v>6.7695214933180259E-3</v>
      </c>
      <c r="AF20">
        <v>10.327100464636393</v>
      </c>
      <c r="AG20">
        <v>1.7552035361220221E-3</v>
      </c>
      <c r="AL20" s="136">
        <v>1221.903687</v>
      </c>
      <c r="AM20" s="31">
        <f t="shared" si="3"/>
        <v>2.1498770776780418E-2</v>
      </c>
      <c r="AR20" t="s">
        <v>268</v>
      </c>
      <c r="AS20">
        <v>1</v>
      </c>
      <c r="AT20">
        <v>3.1323764199628928E-2</v>
      </c>
      <c r="AU20">
        <v>3.1323764199628928E-2</v>
      </c>
      <c r="AV20">
        <v>28.44966523288123</v>
      </c>
      <c r="AW20">
        <v>5.8129513058240849E-7</v>
      </c>
      <c r="BB20" s="136">
        <v>3531.0026859999998</v>
      </c>
      <c r="BC20" s="31">
        <f t="shared" si="4"/>
        <v>2.7475091077224345E-2</v>
      </c>
      <c r="BH20" t="s">
        <v>268</v>
      </c>
      <c r="BI20">
        <v>1</v>
      </c>
      <c r="BJ20">
        <v>7.0911433790145917E-3</v>
      </c>
      <c r="BK20">
        <v>7.0911433790145917E-3</v>
      </c>
      <c r="BL20">
        <v>7.5099868232384459</v>
      </c>
      <c r="BM20">
        <v>7.2451825936089981E-3</v>
      </c>
      <c r="BR20" s="136">
        <v>3589.8767090000001</v>
      </c>
      <c r="BS20" s="31">
        <f t="shared" si="5"/>
        <v>4.3799642798797223E-2</v>
      </c>
      <c r="BX20" t="s">
        <v>268</v>
      </c>
      <c r="BY20">
        <v>1</v>
      </c>
      <c r="BZ20">
        <v>1.2494589922987326E-2</v>
      </c>
      <c r="CA20">
        <v>1.2494589922987326E-2</v>
      </c>
      <c r="CB20">
        <v>13.357854064429613</v>
      </c>
      <c r="CC20">
        <v>4.0869674259741277E-4</v>
      </c>
    </row>
    <row r="21" spans="2:84" x14ac:dyDescent="0.25">
      <c r="B21" s="129">
        <v>44858</v>
      </c>
      <c r="C21" s="136">
        <v>407.36932400000001</v>
      </c>
      <c r="D21" s="31">
        <f t="shared" si="0"/>
        <v>2.9770172469512302E-2</v>
      </c>
      <c r="E21" s="26"/>
      <c r="F21" s="38">
        <v>17786.800781000002</v>
      </c>
      <c r="G21" s="31">
        <f t="shared" si="1"/>
        <v>1.197635399068453E-2</v>
      </c>
      <c r="L21" t="s">
        <v>269</v>
      </c>
      <c r="M21">
        <v>102</v>
      </c>
      <c r="N21">
        <v>0.10370719651275347</v>
      </c>
      <c r="O21">
        <v>1.0167372207132693E-3</v>
      </c>
      <c r="V21" s="136">
        <v>9404.0527340000008</v>
      </c>
      <c r="W21" s="31">
        <f t="shared" si="2"/>
        <v>9.0683946743633781E-2</v>
      </c>
      <c r="AB21" t="s">
        <v>269</v>
      </c>
      <c r="AC21">
        <v>102</v>
      </c>
      <c r="AD21">
        <v>6.6862058201420826E-2</v>
      </c>
      <c r="AE21">
        <v>6.5551037452373363E-4</v>
      </c>
      <c r="AL21" s="136">
        <v>1275.2814940000001</v>
      </c>
      <c r="AM21" s="31">
        <f t="shared" si="3"/>
        <v>4.3684136129462425E-2</v>
      </c>
      <c r="AR21" t="s">
        <v>269</v>
      </c>
      <c r="AS21">
        <v>102</v>
      </c>
      <c r="AT21">
        <v>0.11230444795074224</v>
      </c>
      <c r="AU21">
        <v>1.1010239995170807E-3</v>
      </c>
      <c r="BB21" s="136">
        <v>3533.0239259999998</v>
      </c>
      <c r="BC21" s="31">
        <f t="shared" si="4"/>
        <v>5.7242663904344404E-4</v>
      </c>
      <c r="BH21" t="s">
        <v>269</v>
      </c>
      <c r="BI21">
        <v>102</v>
      </c>
      <c r="BJ21">
        <v>9.6311304091954375E-2</v>
      </c>
      <c r="BK21">
        <v>9.442284714897488E-4</v>
      </c>
      <c r="BR21" s="136">
        <v>3704.8576659999999</v>
      </c>
      <c r="BS21" s="31">
        <f t="shared" si="5"/>
        <v>3.2029221703279376E-2</v>
      </c>
      <c r="BX21" t="s">
        <v>269</v>
      </c>
      <c r="BY21">
        <v>102</v>
      </c>
      <c r="BZ21">
        <v>9.5408152087722839E-2</v>
      </c>
      <c r="CA21">
        <v>9.3537404007571412E-4</v>
      </c>
    </row>
    <row r="22" spans="2:84" ht="15.75" thickBot="1" x14ac:dyDescent="0.3">
      <c r="B22" s="129">
        <v>44865</v>
      </c>
      <c r="C22" s="136">
        <v>422.72393799999998</v>
      </c>
      <c r="D22" s="31">
        <f t="shared" si="0"/>
        <v>3.7692121363561482E-2</v>
      </c>
      <c r="E22" s="26"/>
      <c r="F22" s="38">
        <v>18117.150390999999</v>
      </c>
      <c r="G22" s="31">
        <f t="shared" si="1"/>
        <v>1.8572739081492262E-2</v>
      </c>
      <c r="L22" s="137" t="s">
        <v>26</v>
      </c>
      <c r="M22" s="137">
        <v>103</v>
      </c>
      <c r="N22" s="137">
        <v>0.13153598541141986</v>
      </c>
      <c r="O22" s="137"/>
      <c r="P22" s="137"/>
      <c r="Q22" s="137"/>
      <c r="V22" s="136">
        <v>9143.4550780000009</v>
      </c>
      <c r="W22" s="31">
        <f t="shared" si="2"/>
        <v>-2.7711207430581419E-2</v>
      </c>
      <c r="AB22" s="137" t="s">
        <v>26</v>
      </c>
      <c r="AC22" s="137">
        <v>103</v>
      </c>
      <c r="AD22" s="137">
        <v>7.3631579694738852E-2</v>
      </c>
      <c r="AE22" s="137"/>
      <c r="AF22" s="137"/>
      <c r="AG22" s="137"/>
      <c r="AL22" s="136">
        <v>1301.192505</v>
      </c>
      <c r="AM22" s="31">
        <f t="shared" si="3"/>
        <v>2.0317875795976992E-2</v>
      </c>
      <c r="AR22" s="137" t="s">
        <v>26</v>
      </c>
      <c r="AS22" s="137">
        <v>103</v>
      </c>
      <c r="AT22" s="137">
        <v>0.14362821215037117</v>
      </c>
      <c r="AU22" s="137"/>
      <c r="AV22" s="137"/>
      <c r="AW22" s="137"/>
      <c r="BB22" s="136">
        <v>3629.6584469999998</v>
      </c>
      <c r="BC22" s="31">
        <f t="shared" si="4"/>
        <v>2.7351787880306677E-2</v>
      </c>
      <c r="BH22" s="137" t="s">
        <v>26</v>
      </c>
      <c r="BI22" s="137">
        <v>103</v>
      </c>
      <c r="BJ22" s="137">
        <v>0.10340244747096897</v>
      </c>
      <c r="BK22" s="137"/>
      <c r="BL22" s="137"/>
      <c r="BM22" s="137"/>
      <c r="BR22" s="136">
        <v>3626.8684079999998</v>
      </c>
      <c r="BS22" s="31">
        <f t="shared" si="5"/>
        <v>-2.1050540946746299E-2</v>
      </c>
      <c r="BX22" s="137" t="s">
        <v>26</v>
      </c>
      <c r="BY22" s="137">
        <v>103</v>
      </c>
      <c r="BZ22" s="137">
        <v>0.10790274201071016</v>
      </c>
      <c r="CA22" s="137"/>
      <c r="CB22" s="137"/>
      <c r="CC22" s="137"/>
    </row>
    <row r="23" spans="2:84" ht="15.75" thickBot="1" x14ac:dyDescent="0.3">
      <c r="B23" s="129">
        <v>44872</v>
      </c>
      <c r="C23" s="136">
        <v>420.88534499999997</v>
      </c>
      <c r="D23" s="31">
        <f t="shared" si="0"/>
        <v>-4.349394095585879E-3</v>
      </c>
      <c r="E23" s="26"/>
      <c r="F23" s="38">
        <v>18349.699218999998</v>
      </c>
      <c r="G23" s="31">
        <f t="shared" si="1"/>
        <v>1.2835839134808014E-2</v>
      </c>
      <c r="V23" s="136">
        <v>9002.8291019999997</v>
      </c>
      <c r="W23" s="31">
        <f t="shared" si="2"/>
        <v>-1.5379960288574135E-2</v>
      </c>
      <c r="AL23" s="136">
        <v>1251.412231</v>
      </c>
      <c r="AM23" s="31">
        <f t="shared" si="3"/>
        <v>-3.8257424484626879E-2</v>
      </c>
      <c r="BB23" s="136">
        <v>3587.8376459999999</v>
      </c>
      <c r="BC23" s="31">
        <f t="shared" si="4"/>
        <v>-1.1521965939953915E-2</v>
      </c>
      <c r="BR23" s="136">
        <v>3481.2258299999999</v>
      </c>
      <c r="BS23" s="31">
        <f t="shared" si="5"/>
        <v>-4.0156565283357759E-2</v>
      </c>
    </row>
    <row r="24" spans="2:84" x14ac:dyDescent="0.25">
      <c r="B24" s="129">
        <v>44879</v>
      </c>
      <c r="C24" s="136">
        <v>421.18350199999998</v>
      </c>
      <c r="D24" s="31">
        <f t="shared" si="0"/>
        <v>7.0840432802432574E-4</v>
      </c>
      <c r="E24" s="26"/>
      <c r="F24" s="38">
        <v>18307.650390999999</v>
      </c>
      <c r="G24" s="31">
        <f t="shared" si="1"/>
        <v>-2.2915268254892762E-3</v>
      </c>
      <c r="L24" s="138"/>
      <c r="M24" s="138" t="s">
        <v>270</v>
      </c>
      <c r="N24" s="138" t="s">
        <v>260</v>
      </c>
      <c r="O24" s="138" t="s">
        <v>271</v>
      </c>
      <c r="P24" s="138" t="s">
        <v>272</v>
      </c>
      <c r="Q24" s="138" t="s">
        <v>273</v>
      </c>
      <c r="R24" s="138" t="s">
        <v>274</v>
      </c>
      <c r="S24" s="138" t="s">
        <v>275</v>
      </c>
      <c r="T24" s="138" t="s">
        <v>276</v>
      </c>
      <c r="V24" s="136">
        <v>8765.5615230000003</v>
      </c>
      <c r="W24" s="31">
        <f t="shared" si="2"/>
        <v>-2.6354779848846599E-2</v>
      </c>
      <c r="AB24" s="138"/>
      <c r="AC24" s="138" t="s">
        <v>270</v>
      </c>
      <c r="AD24" s="138" t="s">
        <v>260</v>
      </c>
      <c r="AE24" s="138" t="s">
        <v>271</v>
      </c>
      <c r="AF24" s="138" t="s">
        <v>272</v>
      </c>
      <c r="AG24" s="138" t="s">
        <v>273</v>
      </c>
      <c r="AH24" s="138" t="s">
        <v>274</v>
      </c>
      <c r="AI24" s="138" t="s">
        <v>275</v>
      </c>
      <c r="AJ24" s="138" t="s">
        <v>276</v>
      </c>
      <c r="AL24" s="136">
        <v>1193.1245120000001</v>
      </c>
      <c r="AM24" s="31">
        <f t="shared" si="3"/>
        <v>-4.6577552589063598E-2</v>
      </c>
      <c r="AR24" s="138"/>
      <c r="AS24" s="138" t="s">
        <v>270</v>
      </c>
      <c r="AT24" s="138" t="s">
        <v>260</v>
      </c>
      <c r="AU24" s="138" t="s">
        <v>271</v>
      </c>
      <c r="AV24" s="138" t="s">
        <v>272</v>
      </c>
      <c r="AW24" s="138" t="s">
        <v>273</v>
      </c>
      <c r="AX24" s="138" t="s">
        <v>274</v>
      </c>
      <c r="AY24" s="138" t="s">
        <v>275</v>
      </c>
      <c r="AZ24" s="138" t="s">
        <v>276</v>
      </c>
      <c r="BB24" s="136">
        <v>3496.6896969999998</v>
      </c>
      <c r="BC24" s="31">
        <f t="shared" si="4"/>
        <v>-2.5404702774558086E-2</v>
      </c>
      <c r="BH24" s="138"/>
      <c r="BI24" s="138" t="s">
        <v>270</v>
      </c>
      <c r="BJ24" s="138" t="s">
        <v>260</v>
      </c>
      <c r="BK24" s="138" t="s">
        <v>271</v>
      </c>
      <c r="BL24" s="138" t="s">
        <v>272</v>
      </c>
      <c r="BM24" s="138" t="s">
        <v>273</v>
      </c>
      <c r="BN24" s="138" t="s">
        <v>274</v>
      </c>
      <c r="BO24" s="138" t="s">
        <v>275</v>
      </c>
      <c r="BP24" s="138" t="s">
        <v>276</v>
      </c>
      <c r="BR24" s="136">
        <v>3353.2385250000002</v>
      </c>
      <c r="BS24" s="31">
        <f t="shared" si="5"/>
        <v>-3.676501073186611E-2</v>
      </c>
      <c r="BX24" s="138"/>
      <c r="BY24" s="138" t="s">
        <v>270</v>
      </c>
      <c r="BZ24" s="138" t="s">
        <v>260</v>
      </c>
      <c r="CA24" s="138" t="s">
        <v>271</v>
      </c>
      <c r="CB24" s="138" t="s">
        <v>272</v>
      </c>
      <c r="CC24" s="138" t="s">
        <v>273</v>
      </c>
      <c r="CD24" s="138" t="s">
        <v>274</v>
      </c>
      <c r="CE24" s="138" t="s">
        <v>275</v>
      </c>
      <c r="CF24" s="138" t="s">
        <v>276</v>
      </c>
    </row>
    <row r="25" spans="2:84" x14ac:dyDescent="0.25">
      <c r="B25" s="129">
        <v>44886</v>
      </c>
      <c r="C25" s="136">
        <v>430.52548200000001</v>
      </c>
      <c r="D25" s="31">
        <f t="shared" si="0"/>
        <v>2.2180308477514954E-2</v>
      </c>
      <c r="E25" s="26"/>
      <c r="F25" s="38">
        <v>18512.75</v>
      </c>
      <c r="G25" s="31">
        <f t="shared" si="1"/>
        <v>1.1202945469224623E-2</v>
      </c>
      <c r="L25" t="s">
        <v>277</v>
      </c>
      <c r="M25">
        <v>4.0463419528359336E-3</v>
      </c>
      <c r="N25">
        <v>3.2403707683880383E-3</v>
      </c>
      <c r="O25">
        <v>1.2487280752902346</v>
      </c>
      <c r="P25">
        <v>0.21462297910172973</v>
      </c>
      <c r="Q25">
        <v>-2.3809181022475005E-3</v>
      </c>
      <c r="R25">
        <v>1.0473602007919369E-2</v>
      </c>
      <c r="S25">
        <v>-2.3809181022475005E-3</v>
      </c>
      <c r="T25">
        <v>1.0473602007919369E-2</v>
      </c>
      <c r="V25" s="136">
        <v>8935.4130860000005</v>
      </c>
      <c r="W25" s="31">
        <f t="shared" si="2"/>
        <v>1.9377145725841594E-2</v>
      </c>
      <c r="AB25" t="s">
        <v>277</v>
      </c>
      <c r="AC25">
        <v>1.7603019260869412E-3</v>
      </c>
      <c r="AD25">
        <v>2.6018372626414768E-3</v>
      </c>
      <c r="AE25">
        <v>0.67656111754653736</v>
      </c>
      <c r="AF25">
        <v>0.50021581698878348</v>
      </c>
      <c r="AG25">
        <v>-3.4004299479146538E-3</v>
      </c>
      <c r="AH25">
        <v>6.9210338000885363E-3</v>
      </c>
      <c r="AI25">
        <v>-3.4004299479146538E-3</v>
      </c>
      <c r="AJ25">
        <v>6.9210338000885363E-3</v>
      </c>
      <c r="AL25" s="136">
        <v>1225.8414310000001</v>
      </c>
      <c r="AM25" s="31">
        <f t="shared" si="3"/>
        <v>2.7421211006014357E-2</v>
      </c>
      <c r="AR25" t="s">
        <v>277</v>
      </c>
      <c r="AS25">
        <v>4.4046530821352887E-3</v>
      </c>
      <c r="AT25">
        <v>3.3720090944202833E-3</v>
      </c>
      <c r="AU25">
        <v>1.3062399770581099</v>
      </c>
      <c r="AV25">
        <v>0.19440891101666036</v>
      </c>
      <c r="AW25">
        <v>-2.2837109684782572E-3</v>
      </c>
      <c r="AX25">
        <v>1.1093017132748835E-2</v>
      </c>
      <c r="AY25">
        <v>-2.2837109684782572E-3</v>
      </c>
      <c r="AZ25">
        <v>1.1093017132748835E-2</v>
      </c>
      <c r="BB25" s="136">
        <v>3503.7158199999999</v>
      </c>
      <c r="BC25" s="31">
        <f t="shared" si="4"/>
        <v>2.0093641726426359E-3</v>
      </c>
      <c r="BH25" t="s">
        <v>277</v>
      </c>
      <c r="BI25">
        <v>7.0512925575216163E-3</v>
      </c>
      <c r="BJ25">
        <v>3.1226901280239057E-3</v>
      </c>
      <c r="BK25">
        <v>2.2580827006308821</v>
      </c>
      <c r="BL25">
        <v>2.6070244499816906E-2</v>
      </c>
      <c r="BM25">
        <v>8.5745149462508347E-4</v>
      </c>
      <c r="BN25">
        <v>1.324513362041815E-2</v>
      </c>
      <c r="BO25">
        <v>8.5745149462508347E-4</v>
      </c>
      <c r="BP25">
        <v>1.324513362041815E-2</v>
      </c>
      <c r="BR25" s="136">
        <v>3376.8283689999998</v>
      </c>
      <c r="BS25" s="31">
        <f t="shared" si="5"/>
        <v>7.0349436296064383E-3</v>
      </c>
      <c r="BX25" t="s">
        <v>277</v>
      </c>
      <c r="BY25">
        <v>2.0011024615215808E-3</v>
      </c>
      <c r="BZ25">
        <v>3.1080142456826809E-3</v>
      </c>
      <c r="CA25">
        <v>0.64385240971829427</v>
      </c>
      <c r="CB25">
        <v>0.52111625275337836</v>
      </c>
      <c r="CC25">
        <v>-4.1636290583359058E-3</v>
      </c>
      <c r="CD25">
        <v>8.1658339813790674E-3</v>
      </c>
      <c r="CE25">
        <v>-4.1636290583359058E-3</v>
      </c>
      <c r="CF25">
        <v>8.1658339813790674E-3</v>
      </c>
    </row>
    <row r="26" spans="2:84" ht="15.75" thickBot="1" x14ac:dyDescent="0.3">
      <c r="B26" s="129">
        <v>44893</v>
      </c>
      <c r="C26" s="136">
        <v>432.711884</v>
      </c>
      <c r="D26" s="31">
        <f t="shared" si="0"/>
        <v>5.078449688606268E-3</v>
      </c>
      <c r="E26" s="26"/>
      <c r="F26" s="38">
        <v>18696.099609000001</v>
      </c>
      <c r="G26" s="31">
        <f t="shared" si="1"/>
        <v>9.9039639707769744E-3</v>
      </c>
      <c r="L26" s="137" t="s">
        <v>278</v>
      </c>
      <c r="M26" s="137">
        <v>1.1639114162017081</v>
      </c>
      <c r="N26" s="137">
        <v>0.22247291026607574</v>
      </c>
      <c r="O26" s="137">
        <v>5.2316995125819128</v>
      </c>
      <c r="P26" s="137">
        <v>9.0041603583564959E-7</v>
      </c>
      <c r="Q26" s="137">
        <v>0.72263745353026154</v>
      </c>
      <c r="R26" s="137">
        <v>1.6051853788731547</v>
      </c>
      <c r="S26" s="137">
        <v>0.72263745353026154</v>
      </c>
      <c r="T26" s="137">
        <v>1.6051853788731547</v>
      </c>
      <c r="V26" s="136">
        <v>8733.6611329999996</v>
      </c>
      <c r="W26" s="31">
        <f t="shared" si="2"/>
        <v>-2.2578917287674805E-2</v>
      </c>
      <c r="AB26" s="137" t="s">
        <v>278</v>
      </c>
      <c r="AC26" s="137">
        <v>0.57405269548300752</v>
      </c>
      <c r="AD26" s="137">
        <v>0.17863335686938059</v>
      </c>
      <c r="AE26" s="137">
        <v>3.2135806298639036</v>
      </c>
      <c r="AF26" s="137">
        <v>1.7552035361219412E-3</v>
      </c>
      <c r="AG26" s="137">
        <v>0.21973427911142007</v>
      </c>
      <c r="AH26" s="137">
        <v>0.92837111185459498</v>
      </c>
      <c r="AI26" s="137">
        <v>0.21973427911142007</v>
      </c>
      <c r="AJ26" s="137">
        <v>0.92837111185459498</v>
      </c>
      <c r="AL26" s="136">
        <v>1229.5361330000001</v>
      </c>
      <c r="AM26" s="31">
        <f t="shared" si="3"/>
        <v>3.0140129926805592E-3</v>
      </c>
      <c r="AR26" s="137" t="s">
        <v>278</v>
      </c>
      <c r="AS26" s="137">
        <v>1.2348373236373322</v>
      </c>
      <c r="AT26" s="137">
        <v>0.23151075302797572</v>
      </c>
      <c r="AU26" s="137">
        <v>5.3338227597925645</v>
      </c>
      <c r="AV26" s="137">
        <v>5.812951305824195E-7</v>
      </c>
      <c r="AW26" s="137">
        <v>0.7756368427000202</v>
      </c>
      <c r="AX26" s="137">
        <v>1.6940378045746443</v>
      </c>
      <c r="AY26" s="137">
        <v>0.7756368427000202</v>
      </c>
      <c r="AZ26" s="137">
        <v>1.6940378045746443</v>
      </c>
      <c r="BB26" s="136">
        <v>3522.0998540000001</v>
      </c>
      <c r="BC26" s="31">
        <f t="shared" si="4"/>
        <v>5.24701058660626E-3</v>
      </c>
      <c r="BH26" s="137" t="s">
        <v>278</v>
      </c>
      <c r="BI26" s="137">
        <v>0.58753116480356105</v>
      </c>
      <c r="BJ26" s="137">
        <v>0.21439335504998921</v>
      </c>
      <c r="BK26" s="137">
        <v>2.7404355170735997</v>
      </c>
      <c r="BL26" s="137">
        <v>7.2451825936089981E-3</v>
      </c>
      <c r="BM26" s="137">
        <v>0.1622829615945191</v>
      </c>
      <c r="BN26" s="137">
        <v>1.0127793680126029</v>
      </c>
      <c r="BO26" s="137">
        <v>0.1622829615945191</v>
      </c>
      <c r="BP26" s="137">
        <v>1.0127793680126029</v>
      </c>
      <c r="BR26" s="136">
        <v>3295.476318</v>
      </c>
      <c r="BS26" s="31">
        <f t="shared" si="5"/>
        <v>-2.4091260233072176E-2</v>
      </c>
      <c r="BX26" s="137" t="s">
        <v>278</v>
      </c>
      <c r="BY26" s="137">
        <v>0.77989076603170671</v>
      </c>
      <c r="BZ26" s="137">
        <v>0.21338575854682759</v>
      </c>
      <c r="CA26" s="137">
        <v>3.6548398137852267</v>
      </c>
      <c r="CB26" s="137">
        <v>4.0869674259740984E-4</v>
      </c>
      <c r="CC26" s="137">
        <v>0.3566411257092304</v>
      </c>
      <c r="CD26" s="137">
        <v>1.2031404063541831</v>
      </c>
      <c r="CE26" s="137">
        <v>0.3566411257092304</v>
      </c>
      <c r="CF26" s="137">
        <v>1.2031404063541831</v>
      </c>
    </row>
    <row r="27" spans="2:84" x14ac:dyDescent="0.25">
      <c r="B27" s="129">
        <v>44900</v>
      </c>
      <c r="C27" s="136">
        <v>410.74832199999997</v>
      </c>
      <c r="D27" s="31">
        <f t="shared" si="0"/>
        <v>-5.0757935735363358E-2</v>
      </c>
      <c r="E27" s="26"/>
      <c r="F27" s="38">
        <v>18496.599609000001</v>
      </c>
      <c r="G27" s="31">
        <f t="shared" si="1"/>
        <v>-1.0670674855838058E-2</v>
      </c>
      <c r="V27" s="136">
        <v>8533.0498050000006</v>
      </c>
      <c r="W27" s="31">
        <f t="shared" si="2"/>
        <v>-2.296990058865378E-2</v>
      </c>
      <c r="AL27" s="136">
        <v>1230.3138429999999</v>
      </c>
      <c r="AM27" s="31">
        <f t="shared" si="3"/>
        <v>6.3252309478878388E-4</v>
      </c>
      <c r="BB27" s="136">
        <v>3481.290039</v>
      </c>
      <c r="BC27" s="31">
        <f t="shared" si="4"/>
        <v>-1.1586785352962981E-2</v>
      </c>
      <c r="BR27" s="136">
        <v>3321.5385740000002</v>
      </c>
      <c r="BS27" s="31">
        <f t="shared" si="5"/>
        <v>7.9084943981078126E-3</v>
      </c>
    </row>
    <row r="28" spans="2:84" x14ac:dyDescent="0.25">
      <c r="B28" s="129">
        <v>44907</v>
      </c>
      <c r="C28" s="136">
        <v>418.99710099999999</v>
      </c>
      <c r="D28" s="31">
        <f t="shared" si="0"/>
        <v>2.0082319411155236E-2</v>
      </c>
      <c r="E28" s="26"/>
      <c r="F28" s="38">
        <v>18269</v>
      </c>
      <c r="G28" s="31">
        <f t="shared" si="1"/>
        <v>-1.2304943276668867E-2</v>
      </c>
      <c r="V28" s="136">
        <v>8406.6884769999997</v>
      </c>
      <c r="W28" s="31">
        <f t="shared" si="2"/>
        <v>-1.480846015055004E-2</v>
      </c>
      <c r="AL28" s="136">
        <v>1216.8964840000001</v>
      </c>
      <c r="AM28" s="31">
        <f t="shared" si="3"/>
        <v>-1.0905639301987291E-2</v>
      </c>
      <c r="BB28" s="136">
        <v>3416.4660640000002</v>
      </c>
      <c r="BC28" s="31">
        <f t="shared" si="4"/>
        <v>-1.8620676322223528E-2</v>
      </c>
      <c r="BR28" s="136">
        <v>3255.5170899999998</v>
      </c>
      <c r="BS28" s="31">
        <f t="shared" si="5"/>
        <v>-1.9876777742940166E-2</v>
      </c>
    </row>
    <row r="29" spans="2:84" x14ac:dyDescent="0.25">
      <c r="B29" s="129">
        <v>44914</v>
      </c>
      <c r="C29" s="136">
        <v>376.01413000000002</v>
      </c>
      <c r="D29" s="31">
        <f t="shared" si="0"/>
        <v>-0.10258536609779545</v>
      </c>
      <c r="E29" s="26"/>
      <c r="F29" s="38">
        <v>17806.800781000002</v>
      </c>
      <c r="G29" s="31">
        <f t="shared" si="1"/>
        <v>-2.529964524604511E-2</v>
      </c>
      <c r="V29" s="136">
        <v>8065.6977539999998</v>
      </c>
      <c r="W29" s="31">
        <f t="shared" si="2"/>
        <v>-4.056183643927358E-2</v>
      </c>
      <c r="AL29" s="136">
        <v>1190.6451420000001</v>
      </c>
      <c r="AM29" s="31">
        <f t="shared" si="3"/>
        <v>-2.1572370653673456E-2</v>
      </c>
      <c r="BB29" s="136">
        <v>3408.9584960000002</v>
      </c>
      <c r="BC29" s="31">
        <f t="shared" si="4"/>
        <v>-2.1974659953771791E-3</v>
      </c>
      <c r="BR29" s="136">
        <v>3079.658203</v>
      </c>
      <c r="BS29" s="31">
        <f t="shared" si="5"/>
        <v>-5.4018726407607298E-2</v>
      </c>
    </row>
    <row r="30" spans="2:84" x14ac:dyDescent="0.25">
      <c r="B30" s="129">
        <v>44921</v>
      </c>
      <c r="C30" s="136">
        <v>385.55487099999999</v>
      </c>
      <c r="D30" s="31">
        <f t="shared" si="0"/>
        <v>2.5373357644830952E-2</v>
      </c>
      <c r="E30" s="26"/>
      <c r="F30" s="38">
        <v>18105.300781000002</v>
      </c>
      <c r="G30" s="31">
        <f t="shared" si="1"/>
        <v>1.6763258244484991E-2</v>
      </c>
      <c r="V30" s="136">
        <v>8316.3388670000004</v>
      </c>
      <c r="W30" s="31">
        <f t="shared" si="2"/>
        <v>3.1074944864590393E-2</v>
      </c>
      <c r="AL30" s="136">
        <v>1214.5629879999999</v>
      </c>
      <c r="AM30" s="31">
        <f t="shared" si="3"/>
        <v>2.0088139745670697E-2</v>
      </c>
      <c r="BB30" s="136">
        <v>3480.4235840000001</v>
      </c>
      <c r="BC30" s="31">
        <f t="shared" si="4"/>
        <v>2.0963906742735405E-2</v>
      </c>
      <c r="BR30" s="136">
        <v>3192.5126949999999</v>
      </c>
      <c r="BS30" s="31">
        <f t="shared" si="5"/>
        <v>3.6645135453689193E-2</v>
      </c>
    </row>
    <row r="31" spans="2:84" x14ac:dyDescent="0.25">
      <c r="B31" s="129">
        <v>44928</v>
      </c>
      <c r="C31" s="136">
        <v>379.641571</v>
      </c>
      <c r="D31" s="31">
        <f t="shared" si="0"/>
        <v>-1.5337116568292508E-2</v>
      </c>
      <c r="E31" s="26"/>
      <c r="F31" s="38">
        <v>17859.449218999998</v>
      </c>
      <c r="G31" s="31">
        <f t="shared" si="1"/>
        <v>-1.3578982474458767E-2</v>
      </c>
      <c r="V31" s="136">
        <v>8304.8964840000008</v>
      </c>
      <c r="W31" s="31">
        <f t="shared" si="2"/>
        <v>-1.3758918657588159E-3</v>
      </c>
      <c r="AL31" s="136">
        <v>1229.827759</v>
      </c>
      <c r="AM31" s="31">
        <f t="shared" si="3"/>
        <v>1.2568118039836262E-2</v>
      </c>
      <c r="BB31" s="136">
        <v>3505.6408689999998</v>
      </c>
      <c r="BC31" s="31">
        <f t="shared" si="4"/>
        <v>7.2454643497783522E-3</v>
      </c>
      <c r="BR31" s="136">
        <v>3215.1132809999999</v>
      </c>
      <c r="BS31" s="31">
        <f t="shared" si="5"/>
        <v>7.0792470255156559E-3</v>
      </c>
    </row>
    <row r="32" spans="2:84" x14ac:dyDescent="0.25">
      <c r="B32" s="129">
        <v>44935</v>
      </c>
      <c r="C32" s="136">
        <v>408.95944200000002</v>
      </c>
      <c r="D32" s="31">
        <f t="shared" si="0"/>
        <v>7.7225133493086462E-2</v>
      </c>
      <c r="E32" s="26"/>
      <c r="F32" s="38">
        <v>17956.599609000001</v>
      </c>
      <c r="G32" s="31">
        <f t="shared" si="1"/>
        <v>5.4397192661825855E-3</v>
      </c>
      <c r="V32" s="136">
        <v>8374.5917969999991</v>
      </c>
      <c r="W32" s="31">
        <f t="shared" si="2"/>
        <v>8.3920748602070994E-3</v>
      </c>
      <c r="AL32" s="136">
        <v>1291.323975</v>
      </c>
      <c r="AM32" s="31">
        <f t="shared" si="3"/>
        <v>5.0003925793644433E-2</v>
      </c>
      <c r="BB32" s="136">
        <v>3470.076904</v>
      </c>
      <c r="BC32" s="31">
        <f t="shared" si="4"/>
        <v>-1.0144782745571068E-2</v>
      </c>
      <c r="BR32" s="136">
        <v>3127.530029</v>
      </c>
      <c r="BS32" s="31">
        <f t="shared" si="5"/>
        <v>-2.7241109206814218E-2</v>
      </c>
    </row>
    <row r="33" spans="2:71" x14ac:dyDescent="0.25">
      <c r="B33" s="129">
        <v>44942</v>
      </c>
      <c r="C33" s="136">
        <v>400.66098</v>
      </c>
      <c r="D33" s="31">
        <f t="shared" si="0"/>
        <v>-2.0291650339253064E-2</v>
      </c>
      <c r="E33" s="26"/>
      <c r="F33" s="38">
        <v>18027.650390999999</v>
      </c>
      <c r="G33" s="31">
        <f t="shared" si="1"/>
        <v>3.9568060516528281E-3</v>
      </c>
      <c r="V33" s="136">
        <v>8361.1171880000002</v>
      </c>
      <c r="W33" s="31">
        <f t="shared" si="2"/>
        <v>-1.6089869603943541E-3</v>
      </c>
      <c r="AL33" s="136">
        <v>1278.2955320000001</v>
      </c>
      <c r="AM33" s="31">
        <f t="shared" si="3"/>
        <v>-1.0089213282050258E-2</v>
      </c>
      <c r="BB33" s="136">
        <v>3438.7475589999999</v>
      </c>
      <c r="BC33" s="31">
        <f t="shared" si="4"/>
        <v>-9.0284295901010836E-3</v>
      </c>
      <c r="BR33" s="136">
        <v>3116.1059570000002</v>
      </c>
      <c r="BS33" s="31">
        <f t="shared" si="5"/>
        <v>-3.6527457431487775E-3</v>
      </c>
    </row>
    <row r="34" spans="2:71" x14ac:dyDescent="0.25">
      <c r="B34" s="129">
        <v>44949</v>
      </c>
      <c r="C34" s="136">
        <v>442.848907</v>
      </c>
      <c r="D34" s="31">
        <f t="shared" si="0"/>
        <v>0.10529582141989469</v>
      </c>
      <c r="E34" s="26"/>
      <c r="F34" s="38">
        <v>17604.349609000001</v>
      </c>
      <c r="G34" s="31">
        <f t="shared" si="1"/>
        <v>-2.3480640727941093E-2</v>
      </c>
      <c r="V34" s="136">
        <v>8656.0419920000004</v>
      </c>
      <c r="W34" s="31">
        <f t="shared" si="2"/>
        <v>3.527337284822174E-2</v>
      </c>
      <c r="AL34" s="136">
        <v>1283.5943600000001</v>
      </c>
      <c r="AM34" s="31">
        <f t="shared" si="3"/>
        <v>4.145229227007885E-3</v>
      </c>
      <c r="BB34" s="136">
        <v>3789.0954590000001</v>
      </c>
      <c r="BC34" s="31">
        <f t="shared" si="4"/>
        <v>0.10188241328825032</v>
      </c>
      <c r="BR34" s="136">
        <v>3135.1457519999999</v>
      </c>
      <c r="BS34" s="31">
        <f t="shared" si="5"/>
        <v>6.1101243868901811E-3</v>
      </c>
    </row>
    <row r="35" spans="2:71" x14ac:dyDescent="0.25">
      <c r="B35" s="129">
        <v>44956</v>
      </c>
      <c r="C35" s="136">
        <v>442.69982900000002</v>
      </c>
      <c r="D35" s="31">
        <f t="shared" si="0"/>
        <v>-3.36634002350511E-4</v>
      </c>
      <c r="E35" s="26"/>
      <c r="F35" s="38">
        <v>17854.050781000002</v>
      </c>
      <c r="G35" s="31">
        <f t="shared" si="1"/>
        <v>1.4184061186352848E-2</v>
      </c>
      <c r="V35" s="136">
        <v>8858.9326170000004</v>
      </c>
      <c r="W35" s="31">
        <f t="shared" si="2"/>
        <v>2.3439191398044734E-2</v>
      </c>
      <c r="AL35" s="136">
        <v>1349.5145259999999</v>
      </c>
      <c r="AM35" s="31">
        <f t="shared" si="3"/>
        <v>5.1355917456664235E-2</v>
      </c>
      <c r="BB35" s="136">
        <v>3708.0534670000002</v>
      </c>
      <c r="BC35" s="31">
        <f t="shared" si="4"/>
        <v>-2.1388215967878543E-2</v>
      </c>
      <c r="BR35" s="136">
        <v>3280.4914549999999</v>
      </c>
      <c r="BS35" s="31">
        <f t="shared" si="5"/>
        <v>4.6360110341689742E-2</v>
      </c>
    </row>
    <row r="36" spans="2:71" x14ac:dyDescent="0.25">
      <c r="B36" s="129">
        <v>44963</v>
      </c>
      <c r="C36" s="136">
        <v>443.09738199999998</v>
      </c>
      <c r="D36" s="31">
        <f t="shared" si="0"/>
        <v>8.9801932134903062E-4</v>
      </c>
      <c r="E36" s="26"/>
      <c r="F36" s="38">
        <v>17856.5</v>
      </c>
      <c r="G36" s="31">
        <f t="shared" si="1"/>
        <v>1.371800175793414E-4</v>
      </c>
      <c r="V36" s="136">
        <v>8729.203125</v>
      </c>
      <c r="W36" s="31">
        <f t="shared" si="2"/>
        <v>-1.4643919037272468E-2</v>
      </c>
      <c r="AL36" s="136">
        <v>1327.5896</v>
      </c>
      <c r="AM36" s="31">
        <f t="shared" si="3"/>
        <v>-1.6246528346001599E-2</v>
      </c>
      <c r="BB36" s="136">
        <v>3687.9370119999999</v>
      </c>
      <c r="BC36" s="31">
        <f t="shared" si="4"/>
        <v>-5.4250714502980246E-3</v>
      </c>
      <c r="BR36" s="136">
        <v>3177.2807619999999</v>
      </c>
      <c r="BS36" s="31">
        <f t="shared" si="5"/>
        <v>-3.1461960628700991E-2</v>
      </c>
    </row>
    <row r="37" spans="2:71" x14ac:dyDescent="0.25">
      <c r="B37" s="129">
        <v>44970</v>
      </c>
      <c r="C37" s="136">
        <v>437.18411300000002</v>
      </c>
      <c r="D37" s="31">
        <f t="shared" si="0"/>
        <v>-1.3345303403304642E-2</v>
      </c>
      <c r="E37" s="26"/>
      <c r="F37" s="38">
        <v>17944.199218999998</v>
      </c>
      <c r="G37" s="31">
        <f t="shared" si="1"/>
        <v>4.9113330719905424E-3</v>
      </c>
      <c r="V37" s="136">
        <v>8725.6376949999994</v>
      </c>
      <c r="W37" s="31">
        <f t="shared" si="2"/>
        <v>-4.0844850886667672E-4</v>
      </c>
      <c r="AL37" s="136">
        <v>1304.3038329999999</v>
      </c>
      <c r="AM37" s="31">
        <f t="shared" si="3"/>
        <v>-1.7539883560401592E-2</v>
      </c>
      <c r="BB37" s="136">
        <v>3748.2373050000001</v>
      </c>
      <c r="BC37" s="31">
        <f t="shared" si="4"/>
        <v>1.6350684082670597E-2</v>
      </c>
      <c r="BR37" s="136">
        <v>3249.1376949999999</v>
      </c>
      <c r="BS37" s="31">
        <f t="shared" si="5"/>
        <v>2.2615858774396758E-2</v>
      </c>
    </row>
    <row r="38" spans="2:71" x14ac:dyDescent="0.25">
      <c r="B38" s="129">
        <v>44977</v>
      </c>
      <c r="C38" s="136">
        <v>425.10913099999999</v>
      </c>
      <c r="D38" s="31">
        <f t="shared" si="0"/>
        <v>-2.7619901183371764E-2</v>
      </c>
      <c r="E38" s="26"/>
      <c r="F38" s="38">
        <v>17465.800781000002</v>
      </c>
      <c r="G38" s="31">
        <f t="shared" si="1"/>
        <v>-2.6660339208308015E-2</v>
      </c>
      <c r="V38" s="136">
        <v>8579.7597659999992</v>
      </c>
      <c r="W38" s="31">
        <f t="shared" si="2"/>
        <v>-1.6718311497575855E-2</v>
      </c>
      <c r="AL38" s="136">
        <v>1244.703491</v>
      </c>
      <c r="AM38" s="31">
        <f t="shared" si="3"/>
        <v>-4.5695136740428466E-2</v>
      </c>
      <c r="BB38" s="136">
        <v>3705.5507809999999</v>
      </c>
      <c r="BC38" s="31">
        <f t="shared" si="4"/>
        <v>-1.1388426219187897E-2</v>
      </c>
      <c r="BR38" s="136">
        <v>3170.6044919999999</v>
      </c>
      <c r="BS38" s="31">
        <f t="shared" si="5"/>
        <v>-2.4170475483649811E-2</v>
      </c>
    </row>
    <row r="39" spans="2:71" x14ac:dyDescent="0.25">
      <c r="B39" s="129">
        <v>44984</v>
      </c>
      <c r="C39" s="136">
        <v>425.357574</v>
      </c>
      <c r="D39" s="31">
        <f t="shared" si="0"/>
        <v>5.8442169758987639E-4</v>
      </c>
      <c r="E39" s="26"/>
      <c r="F39" s="38">
        <v>17594.349609000001</v>
      </c>
      <c r="G39" s="31">
        <f t="shared" si="1"/>
        <v>7.3600305884538031E-3</v>
      </c>
      <c r="V39" s="136">
        <v>8521.0625</v>
      </c>
      <c r="W39" s="31">
        <f t="shared" si="2"/>
        <v>-6.8413647469018901E-3</v>
      </c>
      <c r="AL39" s="136">
        <v>1233.4250489999999</v>
      </c>
      <c r="AM39" s="31">
        <f t="shared" si="3"/>
        <v>-9.0611475596801272E-3</v>
      </c>
      <c r="BB39" s="136">
        <v>3592.0249020000001</v>
      </c>
      <c r="BC39" s="31">
        <f t="shared" si="4"/>
        <v>-3.0636708470464735E-2</v>
      </c>
      <c r="BR39" s="136">
        <v>3093.1591800000001</v>
      </c>
      <c r="BS39" s="31">
        <f t="shared" si="5"/>
        <v>-2.4426039954023926E-2</v>
      </c>
    </row>
    <row r="40" spans="2:71" x14ac:dyDescent="0.25">
      <c r="B40" s="129">
        <v>44991</v>
      </c>
      <c r="C40" s="136">
        <v>433.15911899999998</v>
      </c>
      <c r="D40" s="31">
        <f t="shared" si="0"/>
        <v>1.8341145137337866E-2</v>
      </c>
      <c r="E40" s="26"/>
      <c r="F40" s="38">
        <v>17412.900390999999</v>
      </c>
      <c r="G40" s="31">
        <f t="shared" si="1"/>
        <v>-1.0312925571695164E-2</v>
      </c>
      <c r="V40" s="136">
        <v>8521.359375</v>
      </c>
      <c r="W40" s="31">
        <f t="shared" si="2"/>
        <v>3.4840138773750695E-5</v>
      </c>
      <c r="AL40" s="136">
        <v>1192.686768</v>
      </c>
      <c r="AM40" s="31">
        <f t="shared" si="3"/>
        <v>-3.3028582509353477E-2</v>
      </c>
      <c r="BB40" s="136">
        <v>3678.5527339999999</v>
      </c>
      <c r="BC40" s="31">
        <f t="shared" si="4"/>
        <v>2.4088873089889162E-2</v>
      </c>
      <c r="BR40" s="136">
        <v>3082.0815429999998</v>
      </c>
      <c r="BS40" s="31">
        <f t="shared" si="5"/>
        <v>-3.5813342784383195E-3</v>
      </c>
    </row>
    <row r="41" spans="2:71" x14ac:dyDescent="0.25">
      <c r="B41" s="129">
        <v>44998</v>
      </c>
      <c r="C41" s="136">
        <v>416.413116</v>
      </c>
      <c r="D41" s="31">
        <f t="shared" si="0"/>
        <v>-3.8660164972770583E-2</v>
      </c>
      <c r="E41" s="26"/>
      <c r="F41" s="38">
        <v>17100.050781000002</v>
      </c>
      <c r="G41" s="31">
        <f t="shared" si="1"/>
        <v>-1.7966542217268788E-2</v>
      </c>
      <c r="V41" s="136">
        <v>8239.3134769999997</v>
      </c>
      <c r="W41" s="31">
        <f t="shared" si="2"/>
        <v>-3.3098697706315239E-2</v>
      </c>
      <c r="AL41" s="136">
        <v>1139.017456</v>
      </c>
      <c r="AM41" s="31">
        <f t="shared" si="3"/>
        <v>-4.4998664729044791E-2</v>
      </c>
      <c r="BB41" s="136">
        <v>3671.3342290000001</v>
      </c>
      <c r="BC41" s="31">
        <f t="shared" si="4"/>
        <v>-1.9623220113934581E-3</v>
      </c>
      <c r="BR41" s="136">
        <v>2942.1264649999998</v>
      </c>
      <c r="BS41" s="31">
        <f t="shared" si="5"/>
        <v>-4.5409271639118343E-2</v>
      </c>
    </row>
    <row r="42" spans="2:71" x14ac:dyDescent="0.25">
      <c r="B42" s="129">
        <v>45005</v>
      </c>
      <c r="C42" s="136">
        <v>413.92858899999999</v>
      </c>
      <c r="D42" s="31">
        <f t="shared" si="0"/>
        <v>-5.9664955414132637E-3</v>
      </c>
      <c r="E42" s="26"/>
      <c r="F42" s="38">
        <v>16945.050781000002</v>
      </c>
      <c r="G42" s="31">
        <f t="shared" si="1"/>
        <v>-9.0643005675878907E-3</v>
      </c>
      <c r="V42" s="136">
        <v>8166.0537109999996</v>
      </c>
      <c r="W42" s="31">
        <f t="shared" si="2"/>
        <v>-8.8914891033705645E-3</v>
      </c>
      <c r="AL42" s="136">
        <v>1118.8914789999999</v>
      </c>
      <c r="AM42" s="31">
        <f t="shared" si="3"/>
        <v>-1.7669594872302019E-2</v>
      </c>
      <c r="BB42" s="136">
        <v>3684.3278810000002</v>
      </c>
      <c r="BC42" s="31">
        <f t="shared" si="4"/>
        <v>3.5392179489850406E-3</v>
      </c>
      <c r="BR42" s="136">
        <v>2877.8359380000002</v>
      </c>
      <c r="BS42" s="31">
        <f t="shared" si="5"/>
        <v>-2.1851721115597855E-2</v>
      </c>
    </row>
    <row r="43" spans="2:71" x14ac:dyDescent="0.25">
      <c r="B43" s="129">
        <v>45012</v>
      </c>
      <c r="C43" s="136">
        <v>418.20202599999999</v>
      </c>
      <c r="D43" s="31">
        <f t="shared" si="0"/>
        <v>1.0324092400392226E-2</v>
      </c>
      <c r="E43" s="26"/>
      <c r="F43" s="38">
        <v>17359.75</v>
      </c>
      <c r="G43" s="31">
        <f t="shared" si="1"/>
        <v>2.4473176525678486E-2</v>
      </c>
      <c r="V43" s="136">
        <v>8214.8447269999997</v>
      </c>
      <c r="W43" s="31">
        <f t="shared" si="2"/>
        <v>5.974858570214403E-3</v>
      </c>
      <c r="AL43" s="136">
        <v>1126.572388</v>
      </c>
      <c r="AM43" s="31">
        <f t="shared" si="3"/>
        <v>6.8647488555948488E-3</v>
      </c>
      <c r="BB43" s="136">
        <v>3739.045654</v>
      </c>
      <c r="BC43" s="31">
        <f t="shared" si="4"/>
        <v>1.4851493886355316E-2</v>
      </c>
      <c r="BR43" s="136">
        <v>2916.657471</v>
      </c>
      <c r="BS43" s="31">
        <f t="shared" si="5"/>
        <v>1.3489835361142788E-2</v>
      </c>
    </row>
    <row r="44" spans="2:71" x14ac:dyDescent="0.25">
      <c r="B44" s="129">
        <v>45019</v>
      </c>
      <c r="C44" s="136">
        <v>434.94799799999998</v>
      </c>
      <c r="D44" s="31">
        <f t="shared" si="0"/>
        <v>4.0042780663142929E-2</v>
      </c>
      <c r="E44" s="26"/>
      <c r="F44" s="38">
        <v>17599.150390999999</v>
      </c>
      <c r="G44" s="31">
        <f t="shared" si="1"/>
        <v>1.3790543700226143E-2</v>
      </c>
      <c r="V44" s="136">
        <v>8437.2519530000009</v>
      </c>
      <c r="W44" s="31">
        <f t="shared" si="2"/>
        <v>2.7073819821451739E-2</v>
      </c>
      <c r="AL44" s="136">
        <v>1138.774414</v>
      </c>
      <c r="AM44" s="31">
        <f t="shared" si="3"/>
        <v>1.0831106931053158E-2</v>
      </c>
      <c r="BB44" s="136">
        <v>3882.3129880000001</v>
      </c>
      <c r="BC44" s="31">
        <f t="shared" si="4"/>
        <v>3.8316551135644472E-2</v>
      </c>
      <c r="BR44" s="136">
        <v>2929.366943</v>
      </c>
      <c r="BS44" s="31">
        <f t="shared" si="5"/>
        <v>4.3575469956169677E-3</v>
      </c>
    </row>
    <row r="45" spans="2:71" x14ac:dyDescent="0.25">
      <c r="B45" s="129">
        <v>45026</v>
      </c>
      <c r="C45" s="136">
        <v>466.60134900000003</v>
      </c>
      <c r="D45" s="31">
        <f t="shared" si="0"/>
        <v>7.2775024015629741E-2</v>
      </c>
      <c r="E45" s="26"/>
      <c r="F45" s="38">
        <v>17828</v>
      </c>
      <c r="G45" s="31">
        <f t="shared" si="1"/>
        <v>1.3003446411653519E-2</v>
      </c>
      <c r="V45" s="136">
        <v>8589.9638670000004</v>
      </c>
      <c r="W45" s="31">
        <f t="shared" si="2"/>
        <v>1.8099721905981525E-2</v>
      </c>
      <c r="AL45" s="136">
        <v>1171.151001</v>
      </c>
      <c r="AM45" s="31">
        <f t="shared" si="3"/>
        <v>2.8431080468585224E-2</v>
      </c>
      <c r="BB45" s="136">
        <v>4127.5078130000002</v>
      </c>
      <c r="BC45" s="31">
        <f t="shared" si="4"/>
        <v>6.3156892748699844E-2</v>
      </c>
      <c r="BR45" s="136">
        <v>3177.9731449999999</v>
      </c>
      <c r="BS45" s="31">
        <f t="shared" si="5"/>
        <v>8.4866869476378781E-2</v>
      </c>
    </row>
    <row r="46" spans="2:71" x14ac:dyDescent="0.25">
      <c r="B46" s="129">
        <v>45033</v>
      </c>
      <c r="C46" s="136">
        <v>468.29089399999998</v>
      </c>
      <c r="D46" s="31">
        <f t="shared" si="0"/>
        <v>3.6209603843213589E-3</v>
      </c>
      <c r="E46" s="26"/>
      <c r="F46" s="38">
        <v>17624.050781000002</v>
      </c>
      <c r="G46" s="31">
        <f t="shared" si="1"/>
        <v>-1.1439826060130054E-2</v>
      </c>
      <c r="V46" s="136">
        <v>8478.6621090000008</v>
      </c>
      <c r="W46" s="31">
        <f t="shared" si="2"/>
        <v>-1.2957185818625705E-2</v>
      </c>
      <c r="AL46" s="136">
        <v>1179.123779</v>
      </c>
      <c r="AM46" s="31">
        <f t="shared" si="3"/>
        <v>6.8076430735168891E-3</v>
      </c>
      <c r="BB46" s="136">
        <v>4146.7094729999999</v>
      </c>
      <c r="BC46" s="31">
        <f t="shared" si="4"/>
        <v>4.6521196009665644E-3</v>
      </c>
      <c r="BR46" s="136">
        <v>3165.7578130000002</v>
      </c>
      <c r="BS46" s="31">
        <f t="shared" si="5"/>
        <v>-3.8437492837907206E-3</v>
      </c>
    </row>
    <row r="47" spans="2:71" x14ac:dyDescent="0.25">
      <c r="B47" s="129">
        <v>45040</v>
      </c>
      <c r="C47" s="136">
        <v>481.95599399999998</v>
      </c>
      <c r="D47" s="31">
        <f t="shared" si="0"/>
        <v>2.9180793765338553E-2</v>
      </c>
      <c r="E47" s="26"/>
      <c r="F47" s="38">
        <v>18065</v>
      </c>
      <c r="G47" s="31">
        <f t="shared" si="1"/>
        <v>2.5019742877464557E-2</v>
      </c>
      <c r="V47" s="136">
        <v>8509.4716800000006</v>
      </c>
      <c r="W47" s="31">
        <f t="shared" si="2"/>
        <v>3.6337774290233771E-3</v>
      </c>
      <c r="AL47" s="136">
        <v>1192.88147</v>
      </c>
      <c r="AM47" s="31">
        <f t="shared" si="3"/>
        <v>1.1667724156718906E-2</v>
      </c>
      <c r="BB47" s="136">
        <v>4265.7221680000002</v>
      </c>
      <c r="BC47" s="31">
        <f t="shared" si="4"/>
        <v>2.8700514413877887E-2</v>
      </c>
      <c r="BR47" s="136">
        <v>3265.0620119999999</v>
      </c>
      <c r="BS47" s="31">
        <f t="shared" si="5"/>
        <v>3.1368223618437607E-2</v>
      </c>
    </row>
    <row r="48" spans="2:71" x14ac:dyDescent="0.25">
      <c r="B48" s="129">
        <v>45047</v>
      </c>
      <c r="C48" s="136">
        <v>474.154449</v>
      </c>
      <c r="D48" s="31">
        <f t="shared" si="0"/>
        <v>-1.6187255884610896E-2</v>
      </c>
      <c r="E48" s="26"/>
      <c r="F48" s="38">
        <v>18069</v>
      </c>
      <c r="G48" s="31">
        <f t="shared" si="1"/>
        <v>2.2142264046509652E-4</v>
      </c>
      <c r="V48" s="136">
        <v>8865.2246090000008</v>
      </c>
      <c r="W48" s="31">
        <f t="shared" si="2"/>
        <v>4.1806699919588963E-2</v>
      </c>
      <c r="AL48" s="136">
        <v>1177.616577</v>
      </c>
      <c r="AM48" s="31">
        <f t="shared" si="3"/>
        <v>-1.2796655312283467E-2</v>
      </c>
      <c r="BB48" s="136">
        <v>4295.7036129999997</v>
      </c>
      <c r="BC48" s="31">
        <f t="shared" si="4"/>
        <v>7.0284570394456569E-3</v>
      </c>
      <c r="BR48" s="136">
        <v>3318.4724120000001</v>
      </c>
      <c r="BS48" s="31">
        <f t="shared" si="5"/>
        <v>1.6358157916665172E-2</v>
      </c>
    </row>
    <row r="49" spans="2:71" x14ac:dyDescent="0.25">
      <c r="B49" s="129">
        <v>45054</v>
      </c>
      <c r="C49" s="136">
        <v>512.76458700000001</v>
      </c>
      <c r="D49" s="31">
        <f t="shared" si="0"/>
        <v>8.1429454224102527E-2</v>
      </c>
      <c r="E49" s="26"/>
      <c r="F49" s="38">
        <v>18314.800781000002</v>
      </c>
      <c r="G49" s="31">
        <f t="shared" si="1"/>
        <v>1.3603452376999448E-2</v>
      </c>
      <c r="V49" s="136">
        <v>9208.7412110000005</v>
      </c>
      <c r="W49" s="31">
        <f t="shared" si="2"/>
        <v>3.8748775936400026E-2</v>
      </c>
      <c r="AL49" s="136">
        <v>1240.5714109999999</v>
      </c>
      <c r="AM49" s="31">
        <f t="shared" si="3"/>
        <v>5.3459534478003334E-2</v>
      </c>
      <c r="BB49" s="136">
        <v>4368.6606449999999</v>
      </c>
      <c r="BC49" s="31">
        <f t="shared" si="4"/>
        <v>1.6983721078710268E-2</v>
      </c>
      <c r="BR49" s="136">
        <v>3586.7612300000001</v>
      </c>
      <c r="BS49" s="31">
        <f t="shared" si="5"/>
        <v>8.0847084046814732E-2</v>
      </c>
    </row>
    <row r="50" spans="2:71" x14ac:dyDescent="0.25">
      <c r="B50" s="129">
        <v>45061</v>
      </c>
      <c r="C50" s="136">
        <v>521.70898399999999</v>
      </c>
      <c r="D50" s="31">
        <f t="shared" si="0"/>
        <v>1.7443476454430007E-2</v>
      </c>
      <c r="E50" s="26"/>
      <c r="F50" s="38">
        <v>18203.400390999999</v>
      </c>
      <c r="G50" s="31">
        <f t="shared" si="1"/>
        <v>-6.0825335384249168E-3</v>
      </c>
      <c r="V50" s="136">
        <v>9021.0576170000004</v>
      </c>
      <c r="W50" s="31">
        <f t="shared" si="2"/>
        <v>-2.0381025994715585E-2</v>
      </c>
      <c r="AL50" s="136">
        <v>1225.4526370000001</v>
      </c>
      <c r="AM50" s="31">
        <f t="shared" si="3"/>
        <v>-1.218694374700513E-2</v>
      </c>
      <c r="BB50" s="136">
        <v>4315.0498049999997</v>
      </c>
      <c r="BC50" s="31">
        <f t="shared" si="4"/>
        <v>-1.2271687905390127E-2</v>
      </c>
      <c r="BR50" s="136">
        <v>3531.91626</v>
      </c>
      <c r="BS50" s="31">
        <f t="shared" si="5"/>
        <v>-1.5290945363541808E-2</v>
      </c>
    </row>
    <row r="51" spans="2:71" x14ac:dyDescent="0.25">
      <c r="B51" s="129">
        <v>45068</v>
      </c>
      <c r="C51" s="136">
        <v>515.249146</v>
      </c>
      <c r="D51" s="31">
        <f t="shared" si="0"/>
        <v>-1.2382071611019008E-2</v>
      </c>
      <c r="E51" s="26"/>
      <c r="F51" s="38">
        <v>18499.349609000001</v>
      </c>
      <c r="G51" s="31">
        <f t="shared" si="1"/>
        <v>1.6257908502980811E-2</v>
      </c>
      <c r="V51" s="136">
        <v>9312.3164059999999</v>
      </c>
      <c r="W51" s="31">
        <f t="shared" si="2"/>
        <v>3.2286545698491986E-2</v>
      </c>
      <c r="AL51" s="136">
        <v>1246.3076169999999</v>
      </c>
      <c r="AM51" s="31">
        <f t="shared" si="3"/>
        <v>1.7018185256881369E-2</v>
      </c>
      <c r="BB51" s="136">
        <v>4442.8208009999998</v>
      </c>
      <c r="BC51" s="31">
        <f t="shared" si="4"/>
        <v>2.9610549535708186E-2</v>
      </c>
      <c r="BR51" s="136">
        <v>3650.0625</v>
      </c>
      <c r="BS51" s="31">
        <f t="shared" si="5"/>
        <v>3.3451030914305901E-2</v>
      </c>
    </row>
    <row r="52" spans="2:71" x14ac:dyDescent="0.25">
      <c r="B52" s="129">
        <v>45075</v>
      </c>
      <c r="C52" s="136">
        <v>532.59143100000006</v>
      </c>
      <c r="D52" s="31">
        <f t="shared" si="0"/>
        <v>3.3658056756876276E-2</v>
      </c>
      <c r="E52" s="26"/>
      <c r="F52" s="38">
        <v>18534.099609000001</v>
      </c>
      <c r="G52" s="31">
        <f t="shared" si="1"/>
        <v>1.8784444174779757E-3</v>
      </c>
      <c r="V52" s="136">
        <v>9396.9199219999991</v>
      </c>
      <c r="W52" s="31">
        <f t="shared" si="2"/>
        <v>9.0851204266950703E-3</v>
      </c>
      <c r="AL52" s="136">
        <v>1304.2066649999999</v>
      </c>
      <c r="AM52" s="31">
        <f t="shared" si="3"/>
        <v>4.6456466453578704E-2</v>
      </c>
      <c r="BB52" s="136">
        <v>4493.9775390000004</v>
      </c>
      <c r="BC52" s="31">
        <f t="shared" si="4"/>
        <v>1.1514472514508434E-2</v>
      </c>
      <c r="BR52" s="136">
        <v>3659.0134280000002</v>
      </c>
      <c r="BS52" s="31">
        <f t="shared" si="5"/>
        <v>2.4522670502218347E-3</v>
      </c>
    </row>
    <row r="53" spans="2:71" x14ac:dyDescent="0.25">
      <c r="B53" s="129">
        <v>45082</v>
      </c>
      <c r="C53" s="136">
        <v>558.82843000000003</v>
      </c>
      <c r="D53" s="31">
        <f t="shared" si="0"/>
        <v>4.9262901114907276E-2</v>
      </c>
      <c r="E53" s="26"/>
      <c r="F53" s="38">
        <v>18563.400390999999</v>
      </c>
      <c r="G53" s="31">
        <f t="shared" si="1"/>
        <v>1.5809120819534339E-3</v>
      </c>
      <c r="V53" s="136">
        <v>9538.0419920000004</v>
      </c>
      <c r="W53" s="31">
        <f t="shared" si="2"/>
        <v>1.5017907055864921E-2</v>
      </c>
      <c r="AL53" s="136">
        <v>1332.64563</v>
      </c>
      <c r="AM53" s="31">
        <f t="shared" si="3"/>
        <v>2.1805566374712537E-2</v>
      </c>
      <c r="BB53" s="136">
        <v>4565.4902339999999</v>
      </c>
      <c r="BC53" s="31">
        <f t="shared" si="4"/>
        <v>1.5913006769480376E-2</v>
      </c>
      <c r="BR53" s="136">
        <v>3542.2028810000002</v>
      </c>
      <c r="BS53" s="31">
        <f t="shared" si="5"/>
        <v>-3.1924055294830667E-2</v>
      </c>
    </row>
    <row r="54" spans="2:71" x14ac:dyDescent="0.25">
      <c r="B54" s="129">
        <v>45089</v>
      </c>
      <c r="C54" s="136">
        <v>566.282104</v>
      </c>
      <c r="D54" s="31">
        <f t="shared" si="0"/>
        <v>1.3338036506123974E-2</v>
      </c>
      <c r="E54" s="26"/>
      <c r="F54" s="38">
        <v>18826</v>
      </c>
      <c r="G54" s="31">
        <f t="shared" si="1"/>
        <v>1.4146094113625551E-2</v>
      </c>
      <c r="V54" s="136">
        <v>9514.1669920000004</v>
      </c>
      <c r="W54" s="31">
        <f t="shared" si="2"/>
        <v>-2.5031342931836065E-3</v>
      </c>
      <c r="AL54" s="136">
        <v>1364.9250489999999</v>
      </c>
      <c r="AM54" s="31">
        <f t="shared" si="3"/>
        <v>2.4222057442232492E-2</v>
      </c>
      <c r="BB54" s="136">
        <v>4467.845703</v>
      </c>
      <c r="BC54" s="31">
        <f t="shared" si="4"/>
        <v>-2.1387523791601581E-2</v>
      </c>
      <c r="BR54" s="136">
        <v>3500.265625</v>
      </c>
      <c r="BS54" s="31">
        <f t="shared" si="5"/>
        <v>-1.1839315084109736E-2</v>
      </c>
    </row>
    <row r="55" spans="2:71" x14ac:dyDescent="0.25">
      <c r="B55" s="129">
        <v>45096</v>
      </c>
      <c r="C55" s="136">
        <v>556.19482400000004</v>
      </c>
      <c r="D55" s="31">
        <f t="shared" si="0"/>
        <v>-1.7813171083365109E-2</v>
      </c>
      <c r="E55" s="26"/>
      <c r="F55" s="38">
        <v>18665.5</v>
      </c>
      <c r="G55" s="31">
        <f t="shared" si="1"/>
        <v>-8.5254435355359703E-3</v>
      </c>
      <c r="V55" s="136">
        <v>9240.34375</v>
      </c>
      <c r="W55" s="31">
        <f t="shared" si="2"/>
        <v>-2.8780579763866387E-2</v>
      </c>
      <c r="AL55" s="136">
        <v>1335.173462</v>
      </c>
      <c r="AM55" s="31">
        <f t="shared" si="3"/>
        <v>-2.1797231299841124E-2</v>
      </c>
      <c r="BB55" s="136">
        <v>4449.2216799999997</v>
      </c>
      <c r="BC55" s="31">
        <f t="shared" si="4"/>
        <v>-4.1684570681335131E-3</v>
      </c>
      <c r="BR55" s="136">
        <v>3500.5625</v>
      </c>
      <c r="BS55" s="31">
        <f t="shared" si="5"/>
        <v>8.4814991719417421E-5</v>
      </c>
    </row>
    <row r="56" spans="2:71" x14ac:dyDescent="0.25">
      <c r="B56" s="129">
        <v>45103</v>
      </c>
      <c r="C56" s="136">
        <v>591.873108</v>
      </c>
      <c r="D56" s="31">
        <f t="shared" si="0"/>
        <v>6.4147098211758902E-2</v>
      </c>
      <c r="E56" s="26"/>
      <c r="F56" s="38">
        <v>19189.050781000002</v>
      </c>
      <c r="G56" s="31">
        <f t="shared" si="1"/>
        <v>2.804911633762841E-2</v>
      </c>
      <c r="V56" s="136">
        <v>9697.7890630000002</v>
      </c>
      <c r="W56" s="31">
        <f t="shared" si="2"/>
        <v>4.9505226794187118E-2</v>
      </c>
      <c r="AL56" s="136">
        <v>1413.2955320000001</v>
      </c>
      <c r="AM56" s="31">
        <f t="shared" si="3"/>
        <v>5.8510801947020852E-2</v>
      </c>
      <c r="BB56" s="136">
        <v>4515.5849609999996</v>
      </c>
      <c r="BC56" s="31">
        <f t="shared" si="4"/>
        <v>1.491570566113043E-2</v>
      </c>
      <c r="BR56" s="136">
        <v>3541.0161130000001</v>
      </c>
      <c r="BS56" s="31">
        <f t="shared" si="5"/>
        <v>1.1556317877484013E-2</v>
      </c>
    </row>
    <row r="57" spans="2:71" x14ac:dyDescent="0.25">
      <c r="B57" s="129">
        <v>45110</v>
      </c>
      <c r="C57" s="136">
        <v>614.38330099999996</v>
      </c>
      <c r="D57" s="31">
        <f t="shared" si="0"/>
        <v>3.8032126642928876E-2</v>
      </c>
      <c r="E57" s="26"/>
      <c r="F57" s="38">
        <v>19331.800781000002</v>
      </c>
      <c r="G57" s="31">
        <f t="shared" si="1"/>
        <v>7.4391381642151533E-3</v>
      </c>
      <c r="V57" s="136">
        <v>9758.4189449999994</v>
      </c>
      <c r="W57" s="31">
        <f t="shared" si="2"/>
        <v>6.2519283113013913E-3</v>
      </c>
      <c r="AL57" s="136">
        <v>1520.7803960000001</v>
      </c>
      <c r="AM57" s="31">
        <f t="shared" si="3"/>
        <v>7.6052645442029165E-2</v>
      </c>
      <c r="BB57" s="136">
        <v>4795.029297</v>
      </c>
      <c r="BC57" s="31">
        <f t="shared" si="4"/>
        <v>6.18844155106133E-2</v>
      </c>
      <c r="BR57" s="136">
        <v>3150.0314939999998</v>
      </c>
      <c r="BS57" s="31">
        <f t="shared" si="5"/>
        <v>-0.11041593896299795</v>
      </c>
    </row>
    <row r="58" spans="2:71" x14ac:dyDescent="0.25">
      <c r="B58" s="129">
        <v>45117</v>
      </c>
      <c r="C58" s="136">
        <v>621.04193099999998</v>
      </c>
      <c r="D58" s="31">
        <f t="shared" si="0"/>
        <v>1.0837908499729876E-2</v>
      </c>
      <c r="E58" s="26"/>
      <c r="F58" s="38">
        <v>19564.5</v>
      </c>
      <c r="G58" s="31">
        <f t="shared" si="1"/>
        <v>1.2037120681933855E-2</v>
      </c>
      <c r="V58" s="136">
        <v>9514.1181639999995</v>
      </c>
      <c r="W58" s="31">
        <f t="shared" si="2"/>
        <v>-2.5034873208141351E-2</v>
      </c>
      <c r="AL58" s="136">
        <v>1503.668457</v>
      </c>
      <c r="AM58" s="31">
        <f t="shared" si="3"/>
        <v>-1.1252077581357822E-2</v>
      </c>
      <c r="BB58" s="136">
        <v>4820.4233400000003</v>
      </c>
      <c r="BC58" s="31">
        <f t="shared" si="4"/>
        <v>5.2959098739788768E-3</v>
      </c>
      <c r="BR58" s="136">
        <v>3310.5598140000002</v>
      </c>
      <c r="BS58" s="31">
        <f t="shared" si="5"/>
        <v>5.0960861917020761E-2</v>
      </c>
    </row>
    <row r="59" spans="2:71" x14ac:dyDescent="0.25">
      <c r="B59" s="129">
        <v>45124</v>
      </c>
      <c r="C59" s="136">
        <v>621.88671899999997</v>
      </c>
      <c r="D59" s="31">
        <f t="shared" si="0"/>
        <v>1.36027530160443E-3</v>
      </c>
      <c r="E59" s="26"/>
      <c r="F59" s="38">
        <v>19745</v>
      </c>
      <c r="G59" s="31">
        <f t="shared" si="1"/>
        <v>9.225893838329613E-3</v>
      </c>
      <c r="V59" s="136">
        <v>9678.9658199999994</v>
      </c>
      <c r="W59" s="31">
        <f t="shared" si="2"/>
        <v>1.7326635339022678E-2</v>
      </c>
      <c r="AL59" s="136">
        <v>1512.4259030000001</v>
      </c>
      <c r="AM59" s="31">
        <f t="shared" si="3"/>
        <v>5.8240538060312375E-3</v>
      </c>
      <c r="BB59" s="136">
        <v>4823.498047</v>
      </c>
      <c r="BC59" s="31">
        <f t="shared" si="4"/>
        <v>6.3784999431182321E-4</v>
      </c>
      <c r="BR59" s="136">
        <v>3279.3046880000002</v>
      </c>
      <c r="BS59" s="31">
        <f t="shared" si="5"/>
        <v>-9.4410395087336507E-3</v>
      </c>
    </row>
    <row r="60" spans="2:71" x14ac:dyDescent="0.25">
      <c r="B60" s="129">
        <v>45131</v>
      </c>
      <c r="C60" s="136">
        <v>631.377747</v>
      </c>
      <c r="D60" s="31">
        <f t="shared" si="0"/>
        <v>1.5261666972502086E-2</v>
      </c>
      <c r="E60" s="26"/>
      <c r="F60" s="38">
        <v>19646.050781000002</v>
      </c>
      <c r="G60" s="31">
        <f t="shared" si="1"/>
        <v>-5.0113557356291638E-3</v>
      </c>
      <c r="V60" s="136">
        <v>9580.1455079999996</v>
      </c>
      <c r="W60" s="31">
        <f t="shared" si="2"/>
        <v>-1.0209800699554461E-2</v>
      </c>
      <c r="AL60" s="136">
        <v>1457.1308590000001</v>
      </c>
      <c r="AM60" s="31">
        <f t="shared" si="3"/>
        <v>-3.6560497866585329E-2</v>
      </c>
      <c r="BB60" s="136">
        <v>4853.0576170000004</v>
      </c>
      <c r="BC60" s="31">
        <f t="shared" si="4"/>
        <v>6.128243385189025E-3</v>
      </c>
      <c r="BR60" s="136">
        <v>3318.571289</v>
      </c>
      <c r="BS60" s="31">
        <f t="shared" si="5"/>
        <v>1.1974063021252146E-2</v>
      </c>
    </row>
    <row r="61" spans="2:71" x14ac:dyDescent="0.25">
      <c r="B61" s="129">
        <v>45138</v>
      </c>
      <c r="C61" s="136">
        <v>613.10797100000002</v>
      </c>
      <c r="D61" s="31">
        <f t="shared" si="0"/>
        <v>-2.8936363511081975E-2</v>
      </c>
      <c r="E61" s="26"/>
      <c r="F61" s="38">
        <v>19517</v>
      </c>
      <c r="G61" s="31">
        <f t="shared" si="1"/>
        <v>-6.568789953694365E-3</v>
      </c>
      <c r="V61" s="136">
        <v>9382.1103519999997</v>
      </c>
      <c r="W61" s="31">
        <f t="shared" si="2"/>
        <v>-2.0671414211258954E-2</v>
      </c>
      <c r="AL61" s="136">
        <v>1454.0036620000001</v>
      </c>
      <c r="AM61" s="31">
        <f t="shared" si="3"/>
        <v>-2.1461332595386073E-3</v>
      </c>
      <c r="BB61" s="136">
        <v>4674.0131840000004</v>
      </c>
      <c r="BC61" s="31">
        <f t="shared" si="4"/>
        <v>-3.6893119169411293E-2</v>
      </c>
      <c r="BR61" s="136">
        <v>3322.873779</v>
      </c>
      <c r="BS61" s="31">
        <f t="shared" si="5"/>
        <v>1.296488646864713E-3</v>
      </c>
    </row>
    <row r="62" spans="2:71" x14ac:dyDescent="0.25">
      <c r="B62" s="129">
        <v>45145</v>
      </c>
      <c r="C62" s="136">
        <v>609.91784700000005</v>
      </c>
      <c r="D62" s="31">
        <f t="shared" si="0"/>
        <v>-5.2032009872531315E-3</v>
      </c>
      <c r="E62" s="26"/>
      <c r="F62" s="38">
        <v>19428.300781000002</v>
      </c>
      <c r="G62" s="31">
        <f t="shared" si="1"/>
        <v>-4.5447158374749552E-3</v>
      </c>
      <c r="V62" s="136">
        <v>9356.8496090000008</v>
      </c>
      <c r="W62" s="31">
        <f t="shared" si="2"/>
        <v>-2.692437207862719E-3</v>
      </c>
      <c r="AL62" s="136">
        <v>1535.2089840000001</v>
      </c>
      <c r="AM62" s="31">
        <f t="shared" si="3"/>
        <v>5.5849461815179469E-2</v>
      </c>
      <c r="BB62" s="136">
        <v>4561.9731449999999</v>
      </c>
      <c r="BC62" s="31">
        <f t="shared" si="4"/>
        <v>-2.3970843596148539E-2</v>
      </c>
      <c r="BR62" s="136">
        <v>3352.1999510000001</v>
      </c>
      <c r="BS62" s="31">
        <f t="shared" si="5"/>
        <v>8.8255449801724062E-3</v>
      </c>
    </row>
    <row r="63" spans="2:71" x14ac:dyDescent="0.25">
      <c r="B63" s="129">
        <v>45152</v>
      </c>
      <c r="C63" s="136">
        <v>613.90551800000003</v>
      </c>
      <c r="D63" s="31">
        <f t="shared" si="0"/>
        <v>6.5380460985264843E-3</v>
      </c>
      <c r="E63" s="26"/>
      <c r="F63" s="38">
        <v>19310.150390999999</v>
      </c>
      <c r="G63" s="31">
        <f t="shared" si="1"/>
        <v>-6.0813547891717112E-3</v>
      </c>
      <c r="V63" s="136">
        <v>9456.0498050000006</v>
      </c>
      <c r="W63" s="31">
        <f t="shared" si="2"/>
        <v>1.0601879921697366E-2</v>
      </c>
      <c r="AL63" s="136">
        <v>1541.364014</v>
      </c>
      <c r="AM63" s="31">
        <f t="shared" si="3"/>
        <v>4.009245688468388E-3</v>
      </c>
      <c r="BB63" s="136">
        <v>4578.3403319999998</v>
      </c>
      <c r="BC63" s="31">
        <f t="shared" si="4"/>
        <v>3.5877429523973881E-3</v>
      </c>
      <c r="BR63" s="136">
        <v>3313.032471</v>
      </c>
      <c r="BS63" s="31">
        <f t="shared" si="5"/>
        <v>-1.1684112097285815E-2</v>
      </c>
    </row>
    <row r="64" spans="2:71" x14ac:dyDescent="0.25">
      <c r="B64" s="129">
        <v>45159</v>
      </c>
      <c r="C64" s="136">
        <v>603.23840299999995</v>
      </c>
      <c r="D64" s="31">
        <f t="shared" si="0"/>
        <v>-1.7375825248731602E-2</v>
      </c>
      <c r="E64" s="26"/>
      <c r="F64" s="38">
        <v>19265.800781000002</v>
      </c>
      <c r="G64" s="31">
        <f t="shared" si="1"/>
        <v>-2.2966993576947203E-3</v>
      </c>
      <c r="V64" s="136">
        <v>9505.7001949999994</v>
      </c>
      <c r="W64" s="31">
        <f t="shared" si="2"/>
        <v>5.2506481061198595E-3</v>
      </c>
      <c r="AL64" s="136">
        <v>1509.0010990000001</v>
      </c>
      <c r="AM64" s="31">
        <f t="shared" si="3"/>
        <v>-2.0996282971479818E-2</v>
      </c>
      <c r="BB64" s="136">
        <v>4547.0942379999997</v>
      </c>
      <c r="BC64" s="31">
        <f t="shared" si="4"/>
        <v>-6.8247643762102683E-3</v>
      </c>
      <c r="BR64" s="136">
        <v>3341.1499020000001</v>
      </c>
      <c r="BS64" s="31">
        <f t="shared" si="5"/>
        <v>8.4869168189931621E-3</v>
      </c>
    </row>
    <row r="65" spans="2:71" x14ac:dyDescent="0.25">
      <c r="B65" s="129">
        <v>45166</v>
      </c>
      <c r="C65" s="136">
        <v>609.31970200000001</v>
      </c>
      <c r="D65" s="31">
        <f t="shared" si="0"/>
        <v>1.0081087294437463E-2</v>
      </c>
      <c r="E65" s="26"/>
      <c r="F65" s="38">
        <v>19435.300781000002</v>
      </c>
      <c r="G65" s="31">
        <f t="shared" si="1"/>
        <v>8.797973254616176E-3</v>
      </c>
      <c r="V65" s="136">
        <v>10331.25</v>
      </c>
      <c r="W65" s="31">
        <f t="shared" si="2"/>
        <v>8.68478689696357E-2</v>
      </c>
      <c r="AL65" s="136">
        <v>1580.3782960000001</v>
      </c>
      <c r="AM65" s="31">
        <f t="shared" si="3"/>
        <v>4.7300957598573667E-2</v>
      </c>
      <c r="BB65" s="136">
        <v>4630.814453</v>
      </c>
      <c r="BC65" s="31">
        <f t="shared" si="4"/>
        <v>1.8411805565926365E-2</v>
      </c>
      <c r="BR65" s="136">
        <v>3400.3999020000001</v>
      </c>
      <c r="BS65" s="31">
        <f t="shared" si="5"/>
        <v>1.7733415661635776E-2</v>
      </c>
    </row>
    <row r="66" spans="2:71" x14ac:dyDescent="0.25">
      <c r="B66" s="129">
        <v>45173</v>
      </c>
      <c r="C66" s="136">
        <v>625.32031300000006</v>
      </c>
      <c r="D66" s="31">
        <f t="shared" si="0"/>
        <v>2.625979587970062E-2</v>
      </c>
      <c r="E66" s="26"/>
      <c r="F66" s="38">
        <v>19819.949218999998</v>
      </c>
      <c r="G66" s="31">
        <f t="shared" si="1"/>
        <v>1.9791226404688889E-2</v>
      </c>
      <c r="V66" s="136">
        <v>10332</v>
      </c>
      <c r="W66" s="31">
        <f t="shared" si="2"/>
        <v>7.2595281306764292E-5</v>
      </c>
      <c r="AL66" s="136">
        <v>1556.1557620000001</v>
      </c>
      <c r="AM66" s="31">
        <f t="shared" si="3"/>
        <v>-1.5327047999398768E-2</v>
      </c>
      <c r="BB66" s="136">
        <v>4721.1791990000002</v>
      </c>
      <c r="BC66" s="31">
        <f t="shared" si="4"/>
        <v>1.9513791130512326E-2</v>
      </c>
      <c r="BR66" s="136">
        <v>3370.8999020000001</v>
      </c>
      <c r="BS66" s="31">
        <f t="shared" si="5"/>
        <v>-8.6754501970927045E-3</v>
      </c>
    </row>
    <row r="67" spans="2:71" x14ac:dyDescent="0.25">
      <c r="B67" s="129">
        <v>45180</v>
      </c>
      <c r="C67" s="136">
        <v>632.298767</v>
      </c>
      <c r="D67" s="31">
        <f t="shared" si="0"/>
        <v>1.115980698998964E-2</v>
      </c>
      <c r="E67" s="26"/>
      <c r="F67" s="38">
        <v>20192.349609000001</v>
      </c>
      <c r="G67" s="31">
        <f t="shared" si="1"/>
        <v>1.8789169734249711E-2</v>
      </c>
      <c r="V67" s="136">
        <v>10525.25</v>
      </c>
      <c r="W67" s="31">
        <f t="shared" si="2"/>
        <v>1.8704026325977452E-2</v>
      </c>
      <c r="AL67" s="136">
        <v>1589.4617920000001</v>
      </c>
      <c r="AM67" s="31">
        <f t="shared" si="3"/>
        <v>2.140276109455419E-2</v>
      </c>
      <c r="BB67" s="136">
        <v>5089.1391599999997</v>
      </c>
      <c r="BC67" s="31">
        <f t="shared" si="4"/>
        <v>7.7938147545413505E-2</v>
      </c>
      <c r="BR67" s="136">
        <v>3427.1999510000001</v>
      </c>
      <c r="BS67" s="31">
        <f t="shared" si="5"/>
        <v>1.6701786062112589E-2</v>
      </c>
    </row>
    <row r="68" spans="2:71" x14ac:dyDescent="0.25">
      <c r="B68" s="129">
        <v>45187</v>
      </c>
      <c r="C68" s="136">
        <v>618.54125999999997</v>
      </c>
      <c r="D68" s="31">
        <f t="shared" si="0"/>
        <v>-2.1757921599742769E-2</v>
      </c>
      <c r="E68" s="26"/>
      <c r="F68" s="38">
        <v>19674.25</v>
      </c>
      <c r="G68" s="31">
        <f t="shared" si="1"/>
        <v>-2.5658213087251469E-2</v>
      </c>
      <c r="V68" s="136">
        <v>10535.150390999999</v>
      </c>
      <c r="W68" s="31">
        <f t="shared" si="2"/>
        <v>9.4063238402886107E-4</v>
      </c>
      <c r="AL68" s="136">
        <v>1595.4678960000001</v>
      </c>
      <c r="AM68" s="31">
        <f t="shared" si="3"/>
        <v>3.778702973691983E-3</v>
      </c>
      <c r="BB68" s="136">
        <v>4960.732422</v>
      </c>
      <c r="BC68" s="31">
        <f t="shared" si="4"/>
        <v>-2.5231524225012514E-2</v>
      </c>
      <c r="BR68" s="136">
        <v>3409.4499510000001</v>
      </c>
      <c r="BS68" s="31">
        <f t="shared" si="5"/>
        <v>-5.1791550693798261E-3</v>
      </c>
    </row>
    <row r="69" spans="2:71" x14ac:dyDescent="0.25">
      <c r="B69" s="129">
        <v>45194</v>
      </c>
      <c r="C69" s="136">
        <v>628.26122999999995</v>
      </c>
      <c r="D69" s="31">
        <f t="shared" si="0"/>
        <v>1.5714343777163631E-2</v>
      </c>
      <c r="E69" s="26"/>
      <c r="F69" s="38">
        <v>19638.300781000002</v>
      </c>
      <c r="G69" s="31">
        <f t="shared" si="1"/>
        <v>-1.8272218254824502E-3</v>
      </c>
      <c r="V69" s="136">
        <v>10610.599609000001</v>
      </c>
      <c r="W69" s="31">
        <f t="shared" si="2"/>
        <v>7.1616650166148599E-3</v>
      </c>
      <c r="AL69" s="136">
        <v>1542.952393</v>
      </c>
      <c r="AM69" s="31">
        <f t="shared" si="3"/>
        <v>-3.2915424454269315E-2</v>
      </c>
      <c r="BB69" s="136">
        <v>5022.8779299999997</v>
      </c>
      <c r="BC69" s="31">
        <f t="shared" si="4"/>
        <v>1.2527486409949162E-2</v>
      </c>
      <c r="BR69" s="136">
        <v>3446.9499510000001</v>
      </c>
      <c r="BS69" s="31">
        <f t="shared" si="5"/>
        <v>1.0998841613440113E-2</v>
      </c>
    </row>
    <row r="70" spans="2:71" x14ac:dyDescent="0.25">
      <c r="B70" s="129">
        <v>45201</v>
      </c>
      <c r="C70" s="136">
        <v>620.53509499999996</v>
      </c>
      <c r="D70" s="31">
        <f t="shared" si="0"/>
        <v>-1.2297647270069545E-2</v>
      </c>
      <c r="E70" s="26"/>
      <c r="F70" s="38">
        <v>19653.5</v>
      </c>
      <c r="G70" s="31">
        <f t="shared" si="1"/>
        <v>7.7395794928980521E-4</v>
      </c>
      <c r="V70" s="136">
        <v>10302.049805000001</v>
      </c>
      <c r="W70" s="31">
        <f t="shared" si="2"/>
        <v>-2.907939375436297E-2</v>
      </c>
      <c r="AL70" s="136">
        <v>1537.5916749999999</v>
      </c>
      <c r="AM70" s="31">
        <f t="shared" si="3"/>
        <v>-3.474324952811525E-3</v>
      </c>
      <c r="BB70" s="136">
        <v>4974.1733400000003</v>
      </c>
      <c r="BC70" s="31">
        <f t="shared" si="4"/>
        <v>-9.6965505988315659E-3</v>
      </c>
      <c r="BR70" s="136">
        <v>3450.3999020000001</v>
      </c>
      <c r="BS70" s="31">
        <f t="shared" si="5"/>
        <v>1.0008706389830202E-3</v>
      </c>
    </row>
    <row r="71" spans="2:71" x14ac:dyDescent="0.25">
      <c r="B71" s="129">
        <v>45208</v>
      </c>
      <c r="C71" s="136">
        <v>665.04766800000004</v>
      </c>
      <c r="D71" s="31">
        <f t="shared" si="0"/>
        <v>7.1732563329073518E-2</v>
      </c>
      <c r="E71" s="26"/>
      <c r="F71" s="38">
        <v>19751.050781000002</v>
      </c>
      <c r="G71" s="31">
        <f t="shared" si="1"/>
        <v>4.96353224616497E-3</v>
      </c>
      <c r="V71" s="136">
        <v>10727.549805000001</v>
      </c>
      <c r="W71" s="31">
        <f t="shared" si="2"/>
        <v>4.1302460001065855E-2</v>
      </c>
      <c r="AL71" s="136">
        <v>1551.0927730000001</v>
      </c>
      <c r="AM71" s="31">
        <f t="shared" si="3"/>
        <v>8.7806783943469302E-3</v>
      </c>
      <c r="BB71" s="136">
        <v>5011.6684569999998</v>
      </c>
      <c r="BC71" s="31">
        <f t="shared" si="4"/>
        <v>7.5379594632301039E-3</v>
      </c>
      <c r="BR71" s="136">
        <v>3476.3999020000001</v>
      </c>
      <c r="BS71" s="31">
        <f t="shared" si="5"/>
        <v>7.535358433359951E-3</v>
      </c>
    </row>
    <row r="72" spans="2:71" x14ac:dyDescent="0.25">
      <c r="B72" s="129">
        <v>45215</v>
      </c>
      <c r="C72" s="136">
        <v>661.15972899999997</v>
      </c>
      <c r="D72" s="31">
        <f t="shared" si="0"/>
        <v>-5.8461057561366436E-3</v>
      </c>
      <c r="E72" s="26"/>
      <c r="F72" s="38">
        <v>19542.650390999999</v>
      </c>
      <c r="G72" s="31">
        <f t="shared" si="1"/>
        <v>-1.0551357105540893E-2</v>
      </c>
      <c r="V72" s="136">
        <v>10725.650390999999</v>
      </c>
      <c r="W72" s="31">
        <f t="shared" si="2"/>
        <v>-1.7705944363144432E-4</v>
      </c>
      <c r="AL72" s="136">
        <v>1546.9233400000001</v>
      </c>
      <c r="AM72" s="31">
        <f t="shared" si="3"/>
        <v>-2.6880616508423438E-3</v>
      </c>
      <c r="BB72" s="136">
        <v>5445.0463870000003</v>
      </c>
      <c r="BC72" s="31">
        <f t="shared" si="4"/>
        <v>8.6473782876575589E-2</v>
      </c>
      <c r="BR72" s="136">
        <v>3480.8999020000001</v>
      </c>
      <c r="BS72" s="31">
        <f t="shared" si="5"/>
        <v>1.2944425632421819E-3</v>
      </c>
    </row>
    <row r="73" spans="2:71" x14ac:dyDescent="0.25">
      <c r="B73" s="129">
        <v>45222</v>
      </c>
      <c r="C73" s="136">
        <v>639.07781999999997</v>
      </c>
      <c r="D73" s="31">
        <f t="shared" ref="D73:D111" si="6">C73/C72-1</f>
        <v>-3.3398750757852036E-2</v>
      </c>
      <c r="E73" s="26"/>
      <c r="F73" s="38">
        <v>19047.25</v>
      </c>
      <c r="G73" s="31">
        <f t="shared" ref="G73:G111" si="7">F73/F72-1</f>
        <v>-2.5349703396840506E-2</v>
      </c>
      <c r="V73" s="136">
        <v>10560.700194999999</v>
      </c>
      <c r="W73" s="31">
        <f t="shared" ref="W73:W111" si="8">V73/V72-1</f>
        <v>-1.537903903136828E-2</v>
      </c>
      <c r="AL73" s="136">
        <v>1499.818237</v>
      </c>
      <c r="AM73" s="31">
        <f t="shared" ref="AM73:AM111" si="9">AL73/AL72-1</f>
        <v>-3.0450832165994757E-2</v>
      </c>
      <c r="BB73" s="136">
        <v>5330.2294920000004</v>
      </c>
      <c r="BC73" s="31">
        <f t="shared" ref="BC73:BC111" si="10">BB73/BB72-1</f>
        <v>-2.1086486108571001E-2</v>
      </c>
      <c r="BR73" s="136">
        <v>3394.8500979999999</v>
      </c>
      <c r="BS73" s="31">
        <f t="shared" ref="BS73:BS111" si="11">BR73/BR72-1</f>
        <v>-2.4720562619614306E-2</v>
      </c>
    </row>
    <row r="74" spans="2:71" x14ac:dyDescent="0.25">
      <c r="B74" s="129">
        <v>45229</v>
      </c>
      <c r="C74" s="136">
        <v>645.50799600000005</v>
      </c>
      <c r="D74" s="31">
        <f t="shared" si="6"/>
        <v>1.0061647891332015E-2</v>
      </c>
      <c r="E74" s="26"/>
      <c r="F74" s="38">
        <v>19230.599609000001</v>
      </c>
      <c r="G74" s="31">
        <f t="shared" si="7"/>
        <v>9.6260409770438926E-3</v>
      </c>
      <c r="V74" s="136">
        <v>10276.299805000001</v>
      </c>
      <c r="W74" s="31">
        <f t="shared" si="8"/>
        <v>-2.6930069479166652E-2</v>
      </c>
      <c r="AL74" s="136">
        <v>1458.3220209999999</v>
      </c>
      <c r="AM74" s="31">
        <f t="shared" si="9"/>
        <v>-2.7667496618125176E-2</v>
      </c>
      <c r="BB74" s="136">
        <v>5325.6669920000004</v>
      </c>
      <c r="BC74" s="31">
        <f t="shared" si="10"/>
        <v>-8.5596689726918918E-4</v>
      </c>
      <c r="BR74" s="136">
        <v>3428</v>
      </c>
      <c r="BS74" s="31">
        <f t="shared" si="11"/>
        <v>9.7647616369069823E-3</v>
      </c>
    </row>
    <row r="75" spans="2:71" x14ac:dyDescent="0.25">
      <c r="B75" s="129">
        <v>45236</v>
      </c>
      <c r="C75" s="136">
        <v>649.04705799999999</v>
      </c>
      <c r="D75" s="31">
        <f t="shared" si="6"/>
        <v>5.4825997848675367E-3</v>
      </c>
      <c r="E75" s="26"/>
      <c r="F75" s="38">
        <v>19425.349609000001</v>
      </c>
      <c r="G75" s="31">
        <f t="shared" si="7"/>
        <v>1.0127089324289962E-2</v>
      </c>
      <c r="V75" s="136">
        <v>10388.799805000001</v>
      </c>
      <c r="W75" s="31">
        <f t="shared" si="8"/>
        <v>1.0947520229534602E-2</v>
      </c>
      <c r="AL75" s="136">
        <v>1513.0214840000001</v>
      </c>
      <c r="AM75" s="31">
        <f t="shared" si="9"/>
        <v>3.7508494154461003E-2</v>
      </c>
      <c r="BB75" s="136">
        <v>5348.5805659999996</v>
      </c>
      <c r="BC75" s="31">
        <f t="shared" si="10"/>
        <v>4.3024796770843032E-3</v>
      </c>
      <c r="BR75" s="136">
        <v>3540.75</v>
      </c>
      <c r="BS75" s="31">
        <f t="shared" si="11"/>
        <v>3.2890898483080466E-2</v>
      </c>
    </row>
    <row r="76" spans="2:71" x14ac:dyDescent="0.25">
      <c r="B76" s="129">
        <v>45243</v>
      </c>
      <c r="C76" s="136">
        <v>679.45324700000003</v>
      </c>
      <c r="D76" s="31">
        <f t="shared" si="6"/>
        <v>4.684743367252131E-2</v>
      </c>
      <c r="E76" s="26"/>
      <c r="F76" s="38">
        <v>19731.800781000002</v>
      </c>
      <c r="G76" s="31">
        <f t="shared" si="7"/>
        <v>1.5775838178892609E-2</v>
      </c>
      <c r="V76" s="136">
        <v>10523.5</v>
      </c>
      <c r="W76" s="31">
        <f t="shared" si="8"/>
        <v>1.2965905352721352E-2</v>
      </c>
      <c r="AL76" s="136">
        <v>1573.0322269999999</v>
      </c>
      <c r="AM76" s="31">
        <f t="shared" si="9"/>
        <v>3.9662849228914165E-2</v>
      </c>
      <c r="BB76" s="136">
        <v>5586.1000979999999</v>
      </c>
      <c r="BC76" s="31">
        <f t="shared" si="10"/>
        <v>4.4407956292155548E-2</v>
      </c>
      <c r="BR76" s="136">
        <v>3865.3000489999999</v>
      </c>
      <c r="BS76" s="31">
        <f t="shared" si="11"/>
        <v>9.166138501729848E-2</v>
      </c>
    </row>
    <row r="77" spans="2:71" x14ac:dyDescent="0.25">
      <c r="B77" s="129">
        <v>45250</v>
      </c>
      <c r="C77" s="136">
        <v>671.62744099999998</v>
      </c>
      <c r="D77" s="31">
        <f t="shared" si="6"/>
        <v>-1.1517799104726389E-2</v>
      </c>
      <c r="E77" s="26"/>
      <c r="F77" s="38">
        <v>19794.699218999998</v>
      </c>
      <c r="G77" s="31">
        <f t="shared" si="7"/>
        <v>3.1876684088845142E-3</v>
      </c>
      <c r="V77" s="136">
        <v>10515.650390999999</v>
      </c>
      <c r="W77" s="31">
        <f t="shared" si="8"/>
        <v>-7.4591238656351866E-4</v>
      </c>
      <c r="AL77" s="136">
        <v>1541.910034</v>
      </c>
      <c r="AM77" s="31">
        <f t="shared" si="9"/>
        <v>-1.9784841318448043E-2</v>
      </c>
      <c r="BB77" s="136">
        <v>5882.4912109999996</v>
      </c>
      <c r="BC77" s="31">
        <f t="shared" si="10"/>
        <v>5.3058682766196297E-2</v>
      </c>
      <c r="BR77" s="136">
        <v>3849.0500489999999</v>
      </c>
      <c r="BS77" s="31">
        <f t="shared" si="11"/>
        <v>-4.2040720756475469E-3</v>
      </c>
    </row>
    <row r="78" spans="2:71" x14ac:dyDescent="0.25">
      <c r="B78" s="129">
        <v>45257</v>
      </c>
      <c r="C78" s="136">
        <v>703.27972399999999</v>
      </c>
      <c r="D78" s="31">
        <f t="shared" si="6"/>
        <v>4.7127739380142364E-2</v>
      </c>
      <c r="E78" s="26"/>
      <c r="F78" s="38">
        <v>20267.900390999999</v>
      </c>
      <c r="G78" s="31">
        <f t="shared" si="7"/>
        <v>2.390544896715574E-2</v>
      </c>
      <c r="V78" s="136">
        <v>10585.700194999999</v>
      </c>
      <c r="W78" s="31">
        <f t="shared" si="8"/>
        <v>6.6614808780589563E-3</v>
      </c>
      <c r="AL78" s="136">
        <v>1613.684448</v>
      </c>
      <c r="AM78" s="31">
        <f t="shared" si="9"/>
        <v>4.6549028424053951E-2</v>
      </c>
      <c r="BB78" s="136">
        <v>5997.3081050000001</v>
      </c>
      <c r="BC78" s="31">
        <f t="shared" si="10"/>
        <v>1.9518413182717298E-2</v>
      </c>
      <c r="BR78" s="136">
        <v>3891.1999510000001</v>
      </c>
      <c r="BS78" s="31">
        <f t="shared" si="11"/>
        <v>1.0950728481940786E-2</v>
      </c>
    </row>
    <row r="79" spans="2:71" x14ac:dyDescent="0.25">
      <c r="B79" s="129">
        <v>45264</v>
      </c>
      <c r="C79" s="136">
        <v>712.35174600000005</v>
      </c>
      <c r="D79" s="31">
        <f t="shared" si="6"/>
        <v>1.2899592708860874E-2</v>
      </c>
      <c r="E79" s="26"/>
      <c r="F79" s="38">
        <v>20969.400390999999</v>
      </c>
      <c r="G79" s="31">
        <f t="shared" si="7"/>
        <v>3.4611379889724736E-2</v>
      </c>
      <c r="V79" s="136">
        <v>10618.549805000001</v>
      </c>
      <c r="W79" s="31">
        <f t="shared" si="8"/>
        <v>3.1032061549898238E-3</v>
      </c>
      <c r="AL79" s="136">
        <v>1656.4216309999999</v>
      </c>
      <c r="AM79" s="31">
        <f t="shared" si="9"/>
        <v>2.6484225619803459E-2</v>
      </c>
      <c r="BB79" s="136">
        <v>6026.7192379999997</v>
      </c>
      <c r="BC79" s="31">
        <f t="shared" si="10"/>
        <v>4.9040557005033403E-3</v>
      </c>
      <c r="BR79" s="136">
        <v>4055</v>
      </c>
      <c r="BS79" s="31">
        <f t="shared" si="11"/>
        <v>4.2094996675229979E-2</v>
      </c>
    </row>
    <row r="80" spans="2:71" x14ac:dyDescent="0.25">
      <c r="B80" s="129">
        <v>45271</v>
      </c>
      <c r="C80" s="136">
        <v>730.14685099999997</v>
      </c>
      <c r="D80" s="31">
        <f t="shared" si="6"/>
        <v>2.49807838612357E-2</v>
      </c>
      <c r="E80" s="26"/>
      <c r="F80" s="38">
        <v>21456.650390999999</v>
      </c>
      <c r="G80" s="31">
        <f t="shared" si="7"/>
        <v>2.3236239039487572E-2</v>
      </c>
      <c r="V80" s="136">
        <v>10286.400390999999</v>
      </c>
      <c r="W80" s="31">
        <f t="shared" si="8"/>
        <v>-3.1280110758966417E-2</v>
      </c>
      <c r="AL80" s="136">
        <v>1712.411499</v>
      </c>
      <c r="AM80" s="31">
        <f t="shared" si="9"/>
        <v>3.3801700576802096E-2</v>
      </c>
      <c r="BB80" s="136">
        <v>6224.6108400000003</v>
      </c>
      <c r="BC80" s="31">
        <f t="shared" si="10"/>
        <v>3.2835709477263109E-2</v>
      </c>
      <c r="BR80" s="136">
        <v>4059.8999020000001</v>
      </c>
      <c r="BS80" s="31">
        <f t="shared" si="11"/>
        <v>1.2083605425401434E-3</v>
      </c>
    </row>
    <row r="81" spans="2:71" x14ac:dyDescent="0.25">
      <c r="B81" s="129">
        <v>45278</v>
      </c>
      <c r="C81" s="136">
        <v>722.47051999999996</v>
      </c>
      <c r="D81" s="31">
        <f t="shared" si="6"/>
        <v>-1.0513406980371953E-2</v>
      </c>
      <c r="E81" s="26"/>
      <c r="F81" s="38">
        <v>21349.400390999999</v>
      </c>
      <c r="G81" s="31">
        <f t="shared" si="7"/>
        <v>-4.9984502727874469E-3</v>
      </c>
      <c r="V81" s="136">
        <v>10217.150390999999</v>
      </c>
      <c r="W81" s="31">
        <f t="shared" si="8"/>
        <v>-6.7321898203175357E-3</v>
      </c>
      <c r="AL81" s="136">
        <v>1622.37085</v>
      </c>
      <c r="AM81" s="31">
        <f t="shared" si="9"/>
        <v>-5.2581198533519058E-2</v>
      </c>
      <c r="BB81" s="136">
        <v>6320.7294920000004</v>
      </c>
      <c r="BC81" s="31">
        <f t="shared" si="10"/>
        <v>1.544171265813632E-2</v>
      </c>
      <c r="BR81" s="136">
        <v>4006.0500489999999</v>
      </c>
      <c r="BS81" s="31">
        <f t="shared" si="11"/>
        <v>-1.3263837606802165E-2</v>
      </c>
    </row>
    <row r="82" spans="2:71" x14ac:dyDescent="0.25">
      <c r="B82" s="129">
        <v>45285</v>
      </c>
      <c r="C82" s="136">
        <v>777.55053699999996</v>
      </c>
      <c r="D82" s="31">
        <f t="shared" si="6"/>
        <v>7.6238428385977608E-2</v>
      </c>
      <c r="E82" s="26"/>
      <c r="F82" s="38">
        <v>21731.400390999999</v>
      </c>
      <c r="G82" s="31">
        <f t="shared" si="7"/>
        <v>1.7892774176507364E-2</v>
      </c>
      <c r="V82" s="136">
        <v>10302.349609000001</v>
      </c>
      <c r="W82" s="31">
        <f t="shared" si="8"/>
        <v>8.3388434876177087E-3</v>
      </c>
      <c r="AL82" s="136">
        <v>1716.8292240000001</v>
      </c>
      <c r="AM82" s="31">
        <f t="shared" si="9"/>
        <v>5.822243046341713E-2</v>
      </c>
      <c r="BB82" s="136">
        <v>6742.4521480000003</v>
      </c>
      <c r="BC82" s="31">
        <f t="shared" si="10"/>
        <v>6.6720567069634029E-2</v>
      </c>
      <c r="BR82" s="136">
        <v>4143.5</v>
      </c>
      <c r="BS82" s="31">
        <f t="shared" si="11"/>
        <v>3.4310592558450592E-2</v>
      </c>
    </row>
    <row r="83" spans="2:71" x14ac:dyDescent="0.25">
      <c r="B83" s="129">
        <v>45292</v>
      </c>
      <c r="C83" s="136">
        <v>788.51672399999995</v>
      </c>
      <c r="D83" s="31">
        <f t="shared" si="6"/>
        <v>1.4103503860096955E-2</v>
      </c>
      <c r="E83" s="26"/>
      <c r="F83" s="38">
        <v>21710.800781000002</v>
      </c>
      <c r="G83" s="31">
        <f t="shared" si="7"/>
        <v>-9.4791912299074799E-4</v>
      </c>
      <c r="V83" s="136">
        <v>10017</v>
      </c>
      <c r="W83" s="31">
        <f t="shared" si="8"/>
        <v>-2.7697527246670295E-2</v>
      </c>
      <c r="AL83" s="136">
        <v>1630.0645750000001</v>
      </c>
      <c r="AM83" s="31">
        <f t="shared" si="9"/>
        <v>-5.0537728381538805E-2</v>
      </c>
      <c r="BB83" s="136">
        <v>6922.2407229999999</v>
      </c>
      <c r="BC83" s="31">
        <f t="shared" si="10"/>
        <v>2.6665161435862839E-2</v>
      </c>
      <c r="BR83" s="136">
        <v>3877.0500489999999</v>
      </c>
      <c r="BS83" s="31">
        <f t="shared" si="11"/>
        <v>-6.4305526969952953E-2</v>
      </c>
    </row>
    <row r="84" spans="2:71" x14ac:dyDescent="0.25">
      <c r="B84" s="129">
        <v>45299</v>
      </c>
      <c r="C84" s="136">
        <v>813.93823199999997</v>
      </c>
      <c r="D84" s="31">
        <f t="shared" si="6"/>
        <v>3.2239656086229029E-2</v>
      </c>
      <c r="E84" s="26"/>
      <c r="F84" s="38">
        <v>21894.550781000002</v>
      </c>
      <c r="G84" s="31">
        <f t="shared" si="7"/>
        <v>8.4635293674109047E-3</v>
      </c>
      <c r="V84" s="136">
        <v>9965.6503909999992</v>
      </c>
      <c r="W84" s="31">
        <f t="shared" si="8"/>
        <v>-5.1262462813218557E-3</v>
      </c>
      <c r="AL84" s="136">
        <v>1612.6420900000001</v>
      </c>
      <c r="AM84" s="31">
        <f t="shared" si="9"/>
        <v>-1.0688217673830547E-2</v>
      </c>
      <c r="BB84" s="136">
        <v>7243.0834960000002</v>
      </c>
      <c r="BC84" s="31">
        <f t="shared" si="10"/>
        <v>4.6349554405694215E-2</v>
      </c>
      <c r="BR84" s="136">
        <v>3870.8500979999999</v>
      </c>
      <c r="BS84" s="31">
        <f t="shared" si="11"/>
        <v>-1.5991413372646868E-3</v>
      </c>
    </row>
    <row r="85" spans="2:71" x14ac:dyDescent="0.25">
      <c r="B85" s="129">
        <v>45306</v>
      </c>
      <c r="C85" s="136">
        <v>821.01641800000004</v>
      </c>
      <c r="D85" s="31">
        <f t="shared" si="6"/>
        <v>8.6962200836881998E-3</v>
      </c>
      <c r="E85" s="26"/>
      <c r="F85" s="38">
        <v>21622.400390999999</v>
      </c>
      <c r="G85" s="31">
        <f t="shared" si="7"/>
        <v>-1.2430051327482539E-2</v>
      </c>
      <c r="V85" s="136">
        <v>10037.700194999999</v>
      </c>
      <c r="W85" s="31">
        <f t="shared" si="8"/>
        <v>7.2298145302256422E-3</v>
      </c>
      <c r="AL85" s="136">
        <v>1643.5161129999999</v>
      </c>
      <c r="AM85" s="31">
        <f t="shared" si="9"/>
        <v>1.9144993914923747E-2</v>
      </c>
      <c r="BB85" s="136">
        <v>7079.0166019999997</v>
      </c>
      <c r="BC85" s="31">
        <f t="shared" si="10"/>
        <v>-2.2651525982077425E-2</v>
      </c>
      <c r="BR85" s="136">
        <v>3699.4499510000001</v>
      </c>
      <c r="BS85" s="31">
        <f t="shared" si="11"/>
        <v>-4.4279717028711363E-2</v>
      </c>
    </row>
    <row r="86" spans="2:71" x14ac:dyDescent="0.25">
      <c r="B86" s="129">
        <v>45313</v>
      </c>
      <c r="C86" s="136">
        <v>809.35235599999999</v>
      </c>
      <c r="D86" s="31">
        <f t="shared" si="6"/>
        <v>-1.420685597057092E-2</v>
      </c>
      <c r="E86" s="26"/>
      <c r="F86" s="38">
        <v>21352.599609000001</v>
      </c>
      <c r="G86" s="31">
        <f t="shared" si="7"/>
        <v>-1.2477836739731241E-2</v>
      </c>
      <c r="V86" s="136">
        <v>9881</v>
      </c>
      <c r="W86" s="31">
        <f t="shared" si="8"/>
        <v>-1.5611165103143421E-2</v>
      </c>
      <c r="AL86" s="136">
        <v>1623.6118160000001</v>
      </c>
      <c r="AM86" s="31">
        <f t="shared" si="9"/>
        <v>-1.2110801252606773E-2</v>
      </c>
      <c r="BB86" s="136">
        <v>7536.2504879999997</v>
      </c>
      <c r="BC86" s="31">
        <f t="shared" si="10"/>
        <v>6.4590028771908781E-2</v>
      </c>
      <c r="BR86" s="136">
        <v>3616.4499510000001</v>
      </c>
      <c r="BS86" s="31">
        <f t="shared" si="11"/>
        <v>-2.2435767776116111E-2</v>
      </c>
    </row>
    <row r="87" spans="2:71" x14ac:dyDescent="0.25">
      <c r="B87" s="129">
        <v>45320</v>
      </c>
      <c r="C87" s="136">
        <v>876.04656999999997</v>
      </c>
      <c r="D87" s="31">
        <f t="shared" si="6"/>
        <v>8.2404423123715542E-2</v>
      </c>
      <c r="E87" s="26"/>
      <c r="F87" s="38">
        <v>21853.800781000002</v>
      </c>
      <c r="G87" s="31">
        <f t="shared" si="7"/>
        <v>2.3472606669810325E-2</v>
      </c>
      <c r="V87" s="136">
        <v>10655.450194999999</v>
      </c>
      <c r="W87" s="31">
        <f t="shared" si="8"/>
        <v>7.8377714300172041E-2</v>
      </c>
      <c r="AL87" s="136">
        <v>1648.6782229999999</v>
      </c>
      <c r="AM87" s="31">
        <f t="shared" si="9"/>
        <v>1.5438669978242947E-2</v>
      </c>
      <c r="BB87" s="136">
        <v>7675.8164059999999</v>
      </c>
      <c r="BC87" s="31">
        <f t="shared" si="10"/>
        <v>1.8519278017925744E-2</v>
      </c>
      <c r="BR87" s="136">
        <v>3825.5500489999999</v>
      </c>
      <c r="BS87" s="31">
        <f t="shared" si="11"/>
        <v>5.7819159903534922E-2</v>
      </c>
    </row>
    <row r="88" spans="2:71" x14ac:dyDescent="0.25">
      <c r="B88" s="129">
        <v>45327</v>
      </c>
      <c r="C88" s="136">
        <v>912.18505900000002</v>
      </c>
      <c r="D88" s="31">
        <f t="shared" si="6"/>
        <v>4.1251789844916731E-2</v>
      </c>
      <c r="E88" s="26"/>
      <c r="F88" s="38">
        <v>21782.5</v>
      </c>
      <c r="G88" s="31">
        <f t="shared" si="7"/>
        <v>-3.2626261085894059E-3</v>
      </c>
      <c r="V88" s="136">
        <v>10732.849609000001</v>
      </c>
      <c r="W88" s="31">
        <f t="shared" si="8"/>
        <v>7.2638333044172665E-3</v>
      </c>
      <c r="AL88" s="136">
        <v>1634.4326169999999</v>
      </c>
      <c r="AM88" s="31">
        <f t="shared" si="9"/>
        <v>-8.6406224096767792E-3</v>
      </c>
      <c r="BB88" s="136">
        <v>7722.0903319999998</v>
      </c>
      <c r="BC88" s="31">
        <f t="shared" si="10"/>
        <v>6.0285347580524284E-3</v>
      </c>
      <c r="BR88" s="136">
        <v>3840.9499510000001</v>
      </c>
      <c r="BS88" s="31">
        <f t="shared" si="11"/>
        <v>4.0255392826518133E-3</v>
      </c>
    </row>
    <row r="89" spans="2:71" x14ac:dyDescent="0.25">
      <c r="B89" s="129">
        <v>45334</v>
      </c>
      <c r="C89" s="136">
        <v>935.71246299999996</v>
      </c>
      <c r="D89" s="31">
        <f t="shared" si="6"/>
        <v>2.5792358434145291E-2</v>
      </c>
      <c r="E89" s="26"/>
      <c r="F89" s="38">
        <v>22040.699218999998</v>
      </c>
      <c r="G89" s="31">
        <f t="shared" si="7"/>
        <v>1.1853516308963474E-2</v>
      </c>
      <c r="V89" s="136">
        <v>11380.400390999999</v>
      </c>
      <c r="W89" s="31">
        <f t="shared" si="8"/>
        <v>6.0333537279512184E-2</v>
      </c>
      <c r="AL89" s="136">
        <v>1822.207764</v>
      </c>
      <c r="AM89" s="31">
        <f t="shared" si="9"/>
        <v>0.1148870531870938</v>
      </c>
      <c r="BB89" s="136">
        <v>8257.9355469999991</v>
      </c>
      <c r="BC89" s="31">
        <f t="shared" si="10"/>
        <v>6.9391212995719709E-2</v>
      </c>
      <c r="BR89" s="136">
        <v>3928.6499020000001</v>
      </c>
      <c r="BS89" s="31">
        <f t="shared" si="11"/>
        <v>2.2832880438123704E-2</v>
      </c>
    </row>
    <row r="90" spans="2:71" x14ac:dyDescent="0.25">
      <c r="B90" s="129">
        <v>45341</v>
      </c>
      <c r="C90" s="136">
        <v>934.51617399999998</v>
      </c>
      <c r="D90" s="31">
        <f t="shared" si="6"/>
        <v>-1.2784792842926995E-3</v>
      </c>
      <c r="E90" s="26"/>
      <c r="F90" s="38">
        <v>22212.699218999998</v>
      </c>
      <c r="G90" s="31">
        <f t="shared" si="7"/>
        <v>7.803745166656384E-3</v>
      </c>
      <c r="V90" s="136">
        <v>11535.599609000001</v>
      </c>
      <c r="W90" s="31">
        <f t="shared" si="8"/>
        <v>1.3637412803396476E-2</v>
      </c>
      <c r="AL90" s="136">
        <v>1915.9213870000001</v>
      </c>
      <c r="AM90" s="31">
        <f t="shared" si="9"/>
        <v>5.1428615798609911E-2</v>
      </c>
      <c r="BB90" s="136">
        <v>8368.9335940000001</v>
      </c>
      <c r="BC90" s="31">
        <f t="shared" si="10"/>
        <v>1.344137967271064E-2</v>
      </c>
      <c r="BR90" s="136">
        <v>3927.0500489999999</v>
      </c>
      <c r="BS90" s="31">
        <f t="shared" si="11"/>
        <v>-4.0722717470587089E-4</v>
      </c>
    </row>
    <row r="91" spans="2:71" x14ac:dyDescent="0.25">
      <c r="B91" s="129">
        <v>45348</v>
      </c>
      <c r="C91" s="136">
        <v>974.39312700000005</v>
      </c>
      <c r="D91" s="31">
        <f t="shared" si="6"/>
        <v>4.2671228288446938E-2</v>
      </c>
      <c r="E91" s="26"/>
      <c r="F91" s="38">
        <v>22338.75</v>
      </c>
      <c r="G91" s="31">
        <f t="shared" si="7"/>
        <v>5.6747169606556902E-3</v>
      </c>
      <c r="V91" s="136">
        <v>11620.950194999999</v>
      </c>
      <c r="W91" s="31">
        <f t="shared" si="8"/>
        <v>7.3988859611084923E-3</v>
      </c>
      <c r="AL91" s="136">
        <v>1958.6088870000001</v>
      </c>
      <c r="AM91" s="31">
        <f t="shared" si="9"/>
        <v>2.2280402677085309E-2</v>
      </c>
      <c r="BB91" s="136">
        <v>7975.2329099999997</v>
      </c>
      <c r="BC91" s="31">
        <f t="shared" si="10"/>
        <v>-4.7043112432181178E-2</v>
      </c>
      <c r="BR91" s="136">
        <v>3843.5500489999999</v>
      </c>
      <c r="BS91" s="31">
        <f t="shared" si="11"/>
        <v>-2.126277968401824E-2</v>
      </c>
    </row>
    <row r="92" spans="2:71" x14ac:dyDescent="0.25">
      <c r="B92" s="129">
        <v>45355</v>
      </c>
      <c r="C92" s="136">
        <v>1036.1026609999999</v>
      </c>
      <c r="D92" s="31">
        <f t="shared" si="6"/>
        <v>6.3331249256646238E-2</v>
      </c>
      <c r="E92" s="26"/>
      <c r="F92" s="38">
        <v>22493.550781000002</v>
      </c>
      <c r="G92" s="31">
        <f t="shared" si="7"/>
        <v>6.9296975435062524E-3</v>
      </c>
      <c r="V92" s="136">
        <v>11510.049805000001</v>
      </c>
      <c r="W92" s="31">
        <f t="shared" si="8"/>
        <v>-9.5431430424436359E-3</v>
      </c>
      <c r="AL92" s="136">
        <v>1883.7570800000001</v>
      </c>
      <c r="AM92" s="31">
        <f t="shared" si="9"/>
        <v>-3.8216821896815967E-2</v>
      </c>
      <c r="BB92" s="136">
        <v>8807.46875</v>
      </c>
      <c r="BC92" s="31">
        <f t="shared" si="10"/>
        <v>0.10435254360489887</v>
      </c>
      <c r="BR92" s="136">
        <v>3785.25</v>
      </c>
      <c r="BS92" s="31">
        <f t="shared" si="11"/>
        <v>-1.5168281473313505E-2</v>
      </c>
    </row>
    <row r="93" spans="2:71" x14ac:dyDescent="0.25">
      <c r="B93" s="129">
        <v>45362</v>
      </c>
      <c r="C93" s="136">
        <v>942.94012499999997</v>
      </c>
      <c r="D93" s="31">
        <f t="shared" si="6"/>
        <v>-8.99163176649731E-2</v>
      </c>
      <c r="E93" s="26"/>
      <c r="F93" s="38">
        <v>22023.349609000001</v>
      </c>
      <c r="G93" s="31">
        <f t="shared" si="7"/>
        <v>-2.0903821569921877E-2</v>
      </c>
      <c r="V93" s="136">
        <v>11476.650390999999</v>
      </c>
      <c r="W93" s="31">
        <f t="shared" si="8"/>
        <v>-2.9017610319542753E-3</v>
      </c>
      <c r="AL93" s="136">
        <v>1786.419678</v>
      </c>
      <c r="AM93" s="31">
        <f t="shared" si="9"/>
        <v>-5.1671950185848914E-2</v>
      </c>
      <c r="BB93" s="136">
        <v>8283.3789059999999</v>
      </c>
      <c r="BC93" s="31">
        <f t="shared" si="10"/>
        <v>-5.9505160776187838E-2</v>
      </c>
      <c r="BR93" s="136">
        <v>3745.6499020000001</v>
      </c>
      <c r="BS93" s="31">
        <f t="shared" si="11"/>
        <v>-1.0461686282279836E-2</v>
      </c>
    </row>
    <row r="94" spans="2:71" x14ac:dyDescent="0.25">
      <c r="B94" s="129">
        <v>45369</v>
      </c>
      <c r="C94" s="136">
        <v>976.785706</v>
      </c>
      <c r="D94" s="31">
        <f t="shared" si="6"/>
        <v>3.5893669282553997E-2</v>
      </c>
      <c r="E94" s="26"/>
      <c r="F94" s="38">
        <v>22096.75</v>
      </c>
      <c r="G94" s="31">
        <f t="shared" si="7"/>
        <v>3.3328441087818739E-3</v>
      </c>
      <c r="V94" s="136">
        <v>12337.700194999999</v>
      </c>
      <c r="W94" s="31">
        <f t="shared" si="8"/>
        <v>7.5026229314716808E-2</v>
      </c>
      <c r="AL94" s="136">
        <v>1865.143311</v>
      </c>
      <c r="AM94" s="31">
        <f t="shared" si="9"/>
        <v>4.4067826821150957E-2</v>
      </c>
      <c r="BB94" s="136">
        <v>8873.1357420000004</v>
      </c>
      <c r="BC94" s="31">
        <f t="shared" si="10"/>
        <v>7.1197616660130691E-2</v>
      </c>
      <c r="BR94" s="136">
        <v>3988.3999020000001</v>
      </c>
      <c r="BS94" s="31">
        <f t="shared" si="11"/>
        <v>6.480851290196199E-2</v>
      </c>
    </row>
    <row r="95" spans="2:71" x14ac:dyDescent="0.25">
      <c r="B95" s="129">
        <v>45376</v>
      </c>
      <c r="C95" s="136">
        <v>989.74572799999999</v>
      </c>
      <c r="D95" s="31">
        <f t="shared" si="6"/>
        <v>1.3268029948013904E-2</v>
      </c>
      <c r="E95" s="26"/>
      <c r="F95" s="38">
        <v>22326.900390999999</v>
      </c>
      <c r="G95" s="31">
        <f t="shared" si="7"/>
        <v>1.0415576544061889E-2</v>
      </c>
      <c r="V95" s="136">
        <v>12600.349609000001</v>
      </c>
      <c r="W95" s="31">
        <f t="shared" si="8"/>
        <v>2.1288360865377776E-2</v>
      </c>
      <c r="AL95" s="136">
        <v>1907.384033</v>
      </c>
      <c r="AM95" s="31">
        <f t="shared" si="9"/>
        <v>2.2647440414298448E-2</v>
      </c>
      <c r="BB95" s="136">
        <v>9074.4003909999992</v>
      </c>
      <c r="BC95" s="31">
        <f t="shared" si="10"/>
        <v>2.2682471546934035E-2</v>
      </c>
      <c r="BR95" s="136">
        <v>4019.3000489999999</v>
      </c>
      <c r="BS95" s="31">
        <f t="shared" si="11"/>
        <v>7.7475047034538669E-3</v>
      </c>
    </row>
    <row r="96" spans="2:71" x14ac:dyDescent="0.25">
      <c r="B96" s="129">
        <v>45383</v>
      </c>
      <c r="C96" s="136">
        <v>1004.001709</v>
      </c>
      <c r="D96" s="31">
        <f t="shared" si="6"/>
        <v>1.4403680255137274E-2</v>
      </c>
      <c r="E96" s="26"/>
      <c r="F96" s="38">
        <v>22513.699218999998</v>
      </c>
      <c r="G96" s="31">
        <f t="shared" si="7"/>
        <v>8.3665365424077098E-3</v>
      </c>
      <c r="V96" s="136">
        <v>12421.599609000001</v>
      </c>
      <c r="W96" s="31">
        <f t="shared" si="8"/>
        <v>-1.4186114317996767E-2</v>
      </c>
      <c r="AL96" s="136">
        <v>1998.665649</v>
      </c>
      <c r="AM96" s="31">
        <f t="shared" si="9"/>
        <v>4.785696766918468E-2</v>
      </c>
      <c r="BB96" s="136">
        <v>8936.8671880000002</v>
      </c>
      <c r="BC96" s="31">
        <f t="shared" si="10"/>
        <v>-1.5156175292463936E-2</v>
      </c>
      <c r="BR96" s="136">
        <v>4031.25</v>
      </c>
      <c r="BS96" s="31">
        <f t="shared" si="11"/>
        <v>2.9731423019720982E-3</v>
      </c>
    </row>
    <row r="97" spans="2:71" x14ac:dyDescent="0.25">
      <c r="B97" s="129">
        <v>45390</v>
      </c>
      <c r="C97" s="136">
        <v>1015.366638</v>
      </c>
      <c r="D97" s="31">
        <f t="shared" si="6"/>
        <v>1.1319631130229491E-2</v>
      </c>
      <c r="E97" s="26"/>
      <c r="F97" s="38">
        <v>22519.400390999999</v>
      </c>
      <c r="G97" s="31">
        <f t="shared" si="7"/>
        <v>2.5323124132303754E-4</v>
      </c>
      <c r="V97" s="136">
        <v>12266.549805000001</v>
      </c>
      <c r="W97" s="31">
        <f t="shared" si="8"/>
        <v>-1.2482273530025845E-2</v>
      </c>
      <c r="AL97" s="136">
        <v>2055.8964839999999</v>
      </c>
      <c r="AM97" s="31">
        <f t="shared" si="9"/>
        <v>2.8634521751366604E-2</v>
      </c>
      <c r="BB97" s="136">
        <v>8991.7705079999996</v>
      </c>
      <c r="BC97" s="31">
        <f t="shared" si="10"/>
        <v>6.1434637938584391E-3</v>
      </c>
      <c r="BR97" s="136">
        <v>4302.25</v>
      </c>
      <c r="BS97" s="31">
        <f t="shared" si="11"/>
        <v>6.7224806201550358E-2</v>
      </c>
    </row>
    <row r="98" spans="2:71" x14ac:dyDescent="0.25">
      <c r="B98" s="129">
        <v>45397</v>
      </c>
      <c r="C98" s="136">
        <v>960.23681599999998</v>
      </c>
      <c r="D98" s="31">
        <f t="shared" si="6"/>
        <v>-5.4295482968192643E-2</v>
      </c>
      <c r="E98" s="26"/>
      <c r="F98" s="38">
        <v>22147</v>
      </c>
      <c r="G98" s="31">
        <f t="shared" si="7"/>
        <v>-1.6536869744934735E-2</v>
      </c>
      <c r="V98" s="136">
        <v>12710.950194999999</v>
      </c>
      <c r="W98" s="31">
        <f t="shared" si="8"/>
        <v>3.6228637804809338E-2</v>
      </c>
      <c r="AL98" s="136">
        <v>2067.7595209999999</v>
      </c>
      <c r="AM98" s="31">
        <f t="shared" si="9"/>
        <v>5.7702501523417826E-3</v>
      </c>
      <c r="BB98" s="136">
        <v>8733.5205079999996</v>
      </c>
      <c r="BC98" s="31">
        <f t="shared" si="10"/>
        <v>-2.8720706313649202E-2</v>
      </c>
      <c r="BR98" s="136">
        <v>4344.1499020000001</v>
      </c>
      <c r="BS98" s="31">
        <f t="shared" si="11"/>
        <v>9.7390672322621441E-3</v>
      </c>
    </row>
    <row r="99" spans="2:71" x14ac:dyDescent="0.25">
      <c r="B99" s="129">
        <v>45404</v>
      </c>
      <c r="C99" s="136">
        <v>996.42511000000002</v>
      </c>
      <c r="D99" s="31">
        <f t="shared" si="6"/>
        <v>3.7686842867312054E-2</v>
      </c>
      <c r="E99" s="26"/>
      <c r="F99" s="38">
        <v>22419.949218999998</v>
      </c>
      <c r="G99" s="31">
        <f t="shared" si="7"/>
        <v>1.2324433060911133E-2</v>
      </c>
      <c r="V99" s="136">
        <v>12703.349609000001</v>
      </c>
      <c r="W99" s="31">
        <f t="shared" si="8"/>
        <v>-5.9795576911225723E-4</v>
      </c>
      <c r="AL99" s="136">
        <v>2030.0360109999999</v>
      </c>
      <c r="AM99" s="31">
        <f t="shared" si="9"/>
        <v>-1.8243664031954876E-2</v>
      </c>
      <c r="BB99" s="136">
        <v>8901.9511719999991</v>
      </c>
      <c r="BC99" s="31">
        <f t="shared" si="10"/>
        <v>1.9285540561302383E-2</v>
      </c>
      <c r="BR99" s="136">
        <v>4601</v>
      </c>
      <c r="BS99" s="31">
        <f t="shared" si="11"/>
        <v>5.9125514495194764E-2</v>
      </c>
    </row>
    <row r="100" spans="2:71" x14ac:dyDescent="0.25">
      <c r="B100" s="129">
        <v>45411</v>
      </c>
      <c r="C100" s="136">
        <v>1010.282349</v>
      </c>
      <c r="D100" s="31">
        <f t="shared" si="6"/>
        <v>1.3906954833765584E-2</v>
      </c>
      <c r="E100" s="26"/>
      <c r="F100" s="38">
        <v>22475.849609000001</v>
      </c>
      <c r="G100" s="31">
        <f t="shared" si="7"/>
        <v>2.4933325875970969E-3</v>
      </c>
      <c r="V100" s="136">
        <v>12492.150390999999</v>
      </c>
      <c r="W100" s="31">
        <f t="shared" si="8"/>
        <v>-1.6625474737023027E-2</v>
      </c>
      <c r="AL100" s="136">
        <v>2177.0593260000001</v>
      </c>
      <c r="AM100" s="31">
        <f t="shared" si="9"/>
        <v>7.2423993566289591E-2</v>
      </c>
      <c r="BB100" s="136">
        <v>9032.1923829999996</v>
      </c>
      <c r="BC100" s="31">
        <f t="shared" si="10"/>
        <v>1.4630636417065412E-2</v>
      </c>
      <c r="BR100" s="136">
        <v>4599.25</v>
      </c>
      <c r="BS100" s="31">
        <f t="shared" si="11"/>
        <v>-3.8035209737008469E-4</v>
      </c>
    </row>
    <row r="101" spans="2:71" x14ac:dyDescent="0.25">
      <c r="B101" s="129">
        <v>45418</v>
      </c>
      <c r="C101" s="136">
        <v>1043.4300539999999</v>
      </c>
      <c r="D101" s="31">
        <f t="shared" si="6"/>
        <v>3.2810337657398714E-2</v>
      </c>
      <c r="E101" s="26"/>
      <c r="F101" s="38">
        <v>22055.199218999998</v>
      </c>
      <c r="G101" s="31">
        <f t="shared" si="7"/>
        <v>-1.8715661357315838E-2</v>
      </c>
      <c r="V101" s="136">
        <v>12675.5</v>
      </c>
      <c r="W101" s="31">
        <f t="shared" si="8"/>
        <v>1.4677185533412684E-2</v>
      </c>
      <c r="AL101" s="136">
        <v>2177.1091310000002</v>
      </c>
      <c r="AM101" s="31">
        <f t="shared" si="9"/>
        <v>2.2877190072545517E-5</v>
      </c>
      <c r="BB101" s="136">
        <v>8909.390625</v>
      </c>
      <c r="BC101" s="31">
        <f t="shared" si="10"/>
        <v>-1.3596007789994813E-2</v>
      </c>
      <c r="BR101" s="136">
        <v>4657.8500979999999</v>
      </c>
      <c r="BS101" s="31">
        <f t="shared" si="11"/>
        <v>1.2741229113442332E-2</v>
      </c>
    </row>
    <row r="102" spans="2:71" x14ac:dyDescent="0.25">
      <c r="B102" s="129">
        <v>45425</v>
      </c>
      <c r="C102" s="136">
        <v>951.01525900000001</v>
      </c>
      <c r="D102" s="31">
        <f t="shared" si="6"/>
        <v>-8.8568270240757196E-2</v>
      </c>
      <c r="E102" s="26"/>
      <c r="F102" s="38">
        <v>22466.099609000001</v>
      </c>
      <c r="G102" s="31">
        <f t="shared" si="7"/>
        <v>1.8630545383875763E-2</v>
      </c>
      <c r="V102" s="136">
        <v>12600.150390999999</v>
      </c>
      <c r="W102" s="31">
        <f t="shared" si="8"/>
        <v>-5.9445078300659482E-3</v>
      </c>
      <c r="AL102" s="136">
        <v>2485.5009770000001</v>
      </c>
      <c r="AM102" s="31">
        <f t="shared" si="9"/>
        <v>0.14165199236399695</v>
      </c>
      <c r="BB102" s="136">
        <v>8709.9121090000008</v>
      </c>
      <c r="BC102" s="31">
        <f t="shared" si="10"/>
        <v>-2.2389692448803067E-2</v>
      </c>
      <c r="BR102" s="136">
        <v>4684.3999020000001</v>
      </c>
      <c r="BS102" s="31">
        <f t="shared" si="11"/>
        <v>5.7000125468615881E-3</v>
      </c>
    </row>
    <row r="103" spans="2:71" x14ac:dyDescent="0.25">
      <c r="B103" s="129">
        <v>45432</v>
      </c>
      <c r="C103" s="136">
        <v>957.59491000000003</v>
      </c>
      <c r="D103" s="31">
        <f t="shared" si="6"/>
        <v>6.9185546054419955E-3</v>
      </c>
      <c r="E103" s="26"/>
      <c r="F103" s="38">
        <v>22957.099609000001</v>
      </c>
      <c r="G103" s="31">
        <f t="shared" si="7"/>
        <v>2.1855151029567477E-2</v>
      </c>
      <c r="V103" s="136">
        <v>13000.450194999999</v>
      </c>
      <c r="W103" s="31">
        <f t="shared" si="8"/>
        <v>3.1769446520727662E-2</v>
      </c>
      <c r="AL103" s="136">
        <v>2560.9982909999999</v>
      </c>
      <c r="AM103" s="31">
        <f t="shared" si="9"/>
        <v>3.0375089247047793E-2</v>
      </c>
      <c r="BB103" s="136">
        <v>8876.0615230000003</v>
      </c>
      <c r="BC103" s="31">
        <f t="shared" si="10"/>
        <v>1.9075900183690209E-2</v>
      </c>
      <c r="BR103" s="136">
        <v>4880.9501950000003</v>
      </c>
      <c r="BS103" s="31">
        <f t="shared" si="11"/>
        <v>4.1958478591053616E-2</v>
      </c>
    </row>
    <row r="104" spans="2:71" x14ac:dyDescent="0.25">
      <c r="B104" s="129">
        <v>45439</v>
      </c>
      <c r="C104" s="136">
        <v>920.16046100000005</v>
      </c>
      <c r="D104" s="31">
        <f t="shared" si="6"/>
        <v>-3.9092155366615255E-2</v>
      </c>
      <c r="E104" s="26"/>
      <c r="F104" s="38">
        <v>22530.699218999998</v>
      </c>
      <c r="G104" s="31">
        <f t="shared" si="7"/>
        <v>-1.8573791866671074E-2</v>
      </c>
      <c r="V104" s="136">
        <v>12399.299805000001</v>
      </c>
      <c r="W104" s="31">
        <f t="shared" si="8"/>
        <v>-4.6240736357822665E-2</v>
      </c>
      <c r="AL104" s="136">
        <v>2488.032471</v>
      </c>
      <c r="AM104" s="31">
        <f t="shared" si="9"/>
        <v>-2.84911630969924E-2</v>
      </c>
      <c r="BB104" s="136">
        <v>9011.5107420000004</v>
      </c>
      <c r="BC104" s="31">
        <f t="shared" si="10"/>
        <v>1.5260058602457605E-2</v>
      </c>
      <c r="BR104" s="136">
        <v>4733.4501950000003</v>
      </c>
      <c r="BS104" s="31">
        <f t="shared" si="11"/>
        <v>-3.021952572904707E-2</v>
      </c>
    </row>
    <row r="105" spans="2:71" x14ac:dyDescent="0.25">
      <c r="B105" s="129">
        <v>45446</v>
      </c>
      <c r="C105" s="136">
        <v>967.51434300000005</v>
      </c>
      <c r="D105" s="31">
        <f t="shared" si="6"/>
        <v>5.1462635058821649E-2</v>
      </c>
      <c r="E105" s="26"/>
      <c r="F105" s="38">
        <v>23290.150390999999</v>
      </c>
      <c r="G105" s="31">
        <f t="shared" si="7"/>
        <v>3.3707394724774575E-2</v>
      </c>
      <c r="V105" s="136">
        <v>12810.900390999999</v>
      </c>
      <c r="W105" s="31">
        <f t="shared" si="8"/>
        <v>3.3195470105015223E-2</v>
      </c>
      <c r="AL105" s="136">
        <v>2836.6796880000002</v>
      </c>
      <c r="AM105" s="31">
        <f t="shared" si="9"/>
        <v>0.14012968924793423</v>
      </c>
      <c r="BB105" s="136">
        <v>9647.1445309999999</v>
      </c>
      <c r="BC105" s="31">
        <f t="shared" si="10"/>
        <v>7.0535763336273538E-2</v>
      </c>
      <c r="BR105" s="136">
        <v>4762</v>
      </c>
      <c r="BS105" s="31">
        <f t="shared" si="11"/>
        <v>6.0315000314479228E-3</v>
      </c>
    </row>
    <row r="106" spans="2:71" x14ac:dyDescent="0.25">
      <c r="B106" s="129">
        <v>45453</v>
      </c>
      <c r="C106" s="136">
        <v>990.34387200000003</v>
      </c>
      <c r="D106" s="31">
        <f t="shared" si="6"/>
        <v>2.359606259604563E-2</v>
      </c>
      <c r="E106" s="26"/>
      <c r="F106" s="38">
        <v>23465.599609000001</v>
      </c>
      <c r="G106" s="31">
        <f t="shared" si="7"/>
        <v>7.5331938632650086E-3</v>
      </c>
      <c r="V106" s="136">
        <v>12845.200194999999</v>
      </c>
      <c r="W106" s="31">
        <f t="shared" si="8"/>
        <v>2.677392138970669E-3</v>
      </c>
      <c r="AL106" s="136">
        <v>2907.3125</v>
      </c>
      <c r="AM106" s="31">
        <f t="shared" si="9"/>
        <v>2.4899819425787673E-2</v>
      </c>
      <c r="BB106" s="136">
        <v>9881.4404300000006</v>
      </c>
      <c r="BC106" s="31">
        <f t="shared" si="10"/>
        <v>2.4286554248992287E-2</v>
      </c>
      <c r="BR106" s="136">
        <v>4935.1000979999999</v>
      </c>
      <c r="BS106" s="31">
        <f t="shared" si="11"/>
        <v>3.6350293574128445E-2</v>
      </c>
    </row>
    <row r="107" spans="2:71" x14ac:dyDescent="0.25">
      <c r="B107" s="129">
        <v>45460</v>
      </c>
      <c r="C107" s="136">
        <v>961.79998799999998</v>
      </c>
      <c r="D107" s="31">
        <f t="shared" si="6"/>
        <v>-2.8822194802251566E-2</v>
      </c>
      <c r="E107" s="26"/>
      <c r="F107" s="38">
        <v>23501.099609000001</v>
      </c>
      <c r="G107" s="31">
        <f t="shared" si="7"/>
        <v>1.5128528821561904E-3</v>
      </c>
      <c r="V107" s="136">
        <v>12201.5</v>
      </c>
      <c r="W107" s="31">
        <f t="shared" si="8"/>
        <v>-5.0112118552310347E-2</v>
      </c>
      <c r="AL107" s="136">
        <v>2819.306885</v>
      </c>
      <c r="AM107" s="31">
        <f t="shared" si="9"/>
        <v>-3.0270435324719958E-2</v>
      </c>
      <c r="BB107" s="136">
        <v>9602.25</v>
      </c>
      <c r="BC107" s="31">
        <f t="shared" si="10"/>
        <v>-2.825402146354894E-2</v>
      </c>
      <c r="BR107" s="136">
        <v>4845.5</v>
      </c>
      <c r="BS107" s="31">
        <f t="shared" si="11"/>
        <v>-1.815567997016132E-2</v>
      </c>
    </row>
    <row r="108" spans="2:71" x14ac:dyDescent="0.25">
      <c r="B108" s="129">
        <v>45467</v>
      </c>
      <c r="C108" s="136">
        <v>989.75</v>
      </c>
      <c r="D108" s="31">
        <f t="shared" si="6"/>
        <v>2.9060108493160097E-2</v>
      </c>
      <c r="E108" s="26"/>
      <c r="F108" s="38">
        <v>24010.599609000001</v>
      </c>
      <c r="G108" s="31">
        <f t="shared" si="7"/>
        <v>2.1679836623682114E-2</v>
      </c>
      <c r="V108" s="136">
        <v>12033.849609000001</v>
      </c>
      <c r="W108" s="31">
        <f t="shared" si="8"/>
        <v>-1.3740145965659867E-2</v>
      </c>
      <c r="AL108" s="136">
        <v>2845.8127439999998</v>
      </c>
      <c r="AM108" s="31">
        <f t="shared" si="9"/>
        <v>9.4015515448222509E-3</v>
      </c>
      <c r="BB108" s="136">
        <v>9501.6503909999992</v>
      </c>
      <c r="BC108" s="31">
        <f t="shared" si="10"/>
        <v>-1.0476670467859162E-2</v>
      </c>
      <c r="BR108" s="136">
        <v>4672.9501950000003</v>
      </c>
      <c r="BS108" s="31">
        <f t="shared" si="11"/>
        <v>-3.5610319884428754E-2</v>
      </c>
    </row>
    <row r="109" spans="2:71" x14ac:dyDescent="0.25">
      <c r="B109" s="129">
        <v>45474</v>
      </c>
      <c r="C109" s="136">
        <v>993.65002400000003</v>
      </c>
      <c r="D109" s="31">
        <f t="shared" si="6"/>
        <v>3.9404132356655186E-3</v>
      </c>
      <c r="E109" s="26"/>
      <c r="F109" s="38">
        <v>24323.849609000001</v>
      </c>
      <c r="G109" s="31">
        <f t="shared" si="7"/>
        <v>1.3046321420585594E-2</v>
      </c>
      <c r="V109" s="136">
        <v>12104.049805000001</v>
      </c>
      <c r="W109" s="31">
        <f t="shared" si="8"/>
        <v>5.8335610200328514E-3</v>
      </c>
      <c r="AL109" s="136">
        <v>2859.6613769999999</v>
      </c>
      <c r="AM109" s="31">
        <f t="shared" si="9"/>
        <v>4.8663191312210419E-3</v>
      </c>
      <c r="BB109" s="136">
        <v>9635.7998050000006</v>
      </c>
      <c r="BC109" s="31">
        <f t="shared" si="10"/>
        <v>1.4118538199118458E-2</v>
      </c>
      <c r="BR109" s="136">
        <v>4737.2998049999997</v>
      </c>
      <c r="BS109" s="31">
        <f t="shared" si="11"/>
        <v>1.377066035688812E-2</v>
      </c>
    </row>
    <row r="110" spans="2:71" x14ac:dyDescent="0.25">
      <c r="B110" s="129">
        <v>45481</v>
      </c>
      <c r="C110" s="136">
        <v>1016.75</v>
      </c>
      <c r="D110" s="31">
        <f t="shared" si="6"/>
        <v>2.3247597687372501E-2</v>
      </c>
      <c r="E110" s="26"/>
      <c r="F110" s="38">
        <v>24502.150390999999</v>
      </c>
      <c r="G110" s="31">
        <f t="shared" si="7"/>
        <v>7.3302863184134814E-3</v>
      </c>
      <c r="V110" s="136">
        <v>12562.5</v>
      </c>
      <c r="W110" s="31">
        <f t="shared" si="8"/>
        <v>3.7875769051331831E-2</v>
      </c>
      <c r="AL110" s="136">
        <v>2703.9499510000001</v>
      </c>
      <c r="AM110" s="31">
        <f t="shared" si="9"/>
        <v>-5.4451001524996268E-2</v>
      </c>
      <c r="BB110" s="136">
        <v>9430.75</v>
      </c>
      <c r="BC110" s="31">
        <f t="shared" si="10"/>
        <v>-2.1279998458830662E-2</v>
      </c>
      <c r="BR110" s="136">
        <v>4860.7001950000003</v>
      </c>
      <c r="BS110" s="31">
        <f t="shared" si="11"/>
        <v>2.6048676478055643E-2</v>
      </c>
    </row>
    <row r="111" spans="2:71" x14ac:dyDescent="0.25">
      <c r="B111" s="129">
        <v>45488</v>
      </c>
      <c r="C111" s="136">
        <v>1021.150024</v>
      </c>
      <c r="D111" s="31">
        <f t="shared" si="6"/>
        <v>4.3275377428080297E-3</v>
      </c>
      <c r="E111" s="26"/>
      <c r="F111" s="38">
        <v>24613</v>
      </c>
      <c r="G111" s="31">
        <f t="shared" si="7"/>
        <v>4.5240767537169102E-3</v>
      </c>
      <c r="V111" s="136">
        <v>12639.549805000001</v>
      </c>
      <c r="W111" s="31">
        <f t="shared" si="8"/>
        <v>6.1333178109452824E-3</v>
      </c>
      <c r="AL111" s="136">
        <v>2756.75</v>
      </c>
      <c r="AM111" s="31">
        <f t="shared" si="9"/>
        <v>1.952700677040009E-2</v>
      </c>
      <c r="BB111" s="136">
        <v>9718.3496090000008</v>
      </c>
      <c r="BC111" s="31">
        <f t="shared" si="10"/>
        <v>3.049594242239495E-2</v>
      </c>
      <c r="BR111" s="136">
        <v>4916.1000979999999</v>
      </c>
      <c r="BS111" s="31">
        <f t="shared" si="11"/>
        <v>1.1397514921201557E-2</v>
      </c>
    </row>
  </sheetData>
  <mergeCells count="11">
    <mergeCell ref="AL4:AM4"/>
    <mergeCell ref="B4:D4"/>
    <mergeCell ref="F4:G4"/>
    <mergeCell ref="I4:J4"/>
    <mergeCell ref="V4:W4"/>
    <mergeCell ref="Y4:Z4"/>
    <mergeCell ref="AO4:AP4"/>
    <mergeCell ref="BB4:BC4"/>
    <mergeCell ref="BE4:BF4"/>
    <mergeCell ref="BR4:BS4"/>
    <mergeCell ref="BU4:BV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73A-E85C-4755-AEC8-B554885635CF}">
  <dimension ref="B2:F7"/>
  <sheetViews>
    <sheetView showGridLines="0" workbookViewId="0">
      <selection activeCell="C3" sqref="C3"/>
    </sheetView>
  </sheetViews>
  <sheetFormatPr defaultRowHeight="15" x14ac:dyDescent="0.25"/>
  <cols>
    <col min="1" max="1" width="1.85546875" customWidth="1"/>
    <col min="17" max="17" width="8" customWidth="1"/>
    <col min="18" max="18" width="17.7109375" bestFit="1" customWidth="1"/>
    <col min="19" max="19" width="8" bestFit="1" customWidth="1"/>
    <col min="20" max="20" width="14.140625" bestFit="1" customWidth="1"/>
    <col min="21" max="21" width="10.7109375" bestFit="1" customWidth="1"/>
  </cols>
  <sheetData>
    <row r="2" spans="2:6" x14ac:dyDescent="0.25">
      <c r="B2" t="s">
        <v>279</v>
      </c>
      <c r="C2" t="s">
        <v>280</v>
      </c>
      <c r="D2" t="s">
        <v>281</v>
      </c>
      <c r="E2" t="s">
        <v>282</v>
      </c>
      <c r="F2" t="s">
        <v>283</v>
      </c>
    </row>
    <row r="3" spans="2:6" x14ac:dyDescent="0.25">
      <c r="B3">
        <v>1</v>
      </c>
      <c r="C3" t="s">
        <v>290</v>
      </c>
      <c r="D3">
        <v>12635</v>
      </c>
      <c r="E3">
        <v>397247.65</v>
      </c>
      <c r="F3">
        <v>118.6</v>
      </c>
    </row>
    <row r="4" spans="2:6" x14ac:dyDescent="0.25">
      <c r="B4">
        <v>2</v>
      </c>
      <c r="C4" t="s">
        <v>291</v>
      </c>
      <c r="D4">
        <v>1025.0999999999999</v>
      </c>
      <c r="E4">
        <v>376292.75</v>
      </c>
      <c r="F4">
        <v>107262.5</v>
      </c>
    </row>
    <row r="5" spans="2:6" x14ac:dyDescent="0.25">
      <c r="B5">
        <v>3</v>
      </c>
      <c r="C5" t="s">
        <v>292</v>
      </c>
      <c r="D5">
        <v>2819.95</v>
      </c>
      <c r="E5">
        <v>350668.9</v>
      </c>
      <c r="F5">
        <v>108647.25</v>
      </c>
    </row>
    <row r="6" spans="2:6" x14ac:dyDescent="0.25">
      <c r="B6">
        <v>4</v>
      </c>
      <c r="C6" t="s">
        <v>293</v>
      </c>
      <c r="D6">
        <v>9625.7000000000007</v>
      </c>
      <c r="E6">
        <v>268730.05</v>
      </c>
      <c r="F6">
        <v>1911.74</v>
      </c>
    </row>
    <row r="7" spans="2:6" x14ac:dyDescent="0.25">
      <c r="B7">
        <v>5</v>
      </c>
      <c r="C7" t="s">
        <v>294</v>
      </c>
      <c r="D7">
        <v>4930</v>
      </c>
      <c r="E7">
        <v>135087.1</v>
      </c>
      <c r="F7">
        <v>419.44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771C-86E3-4C6A-AC71-7E8B3BBD8ADC}">
  <dimension ref="B3:G29"/>
  <sheetViews>
    <sheetView showGridLines="0" workbookViewId="0">
      <selection activeCell="N9" sqref="N9"/>
    </sheetView>
  </sheetViews>
  <sheetFormatPr defaultRowHeight="15" x14ac:dyDescent="0.25"/>
  <cols>
    <col min="1" max="1" width="1.85546875" customWidth="1"/>
    <col min="2" max="2" width="10.5703125" customWidth="1"/>
    <col min="3" max="3" width="14.7109375" customWidth="1"/>
    <col min="6" max="6" width="19" bestFit="1" customWidth="1"/>
  </cols>
  <sheetData>
    <row r="3" spans="2:7" x14ac:dyDescent="0.25">
      <c r="B3" s="168" t="s">
        <v>284</v>
      </c>
      <c r="C3" s="168"/>
    </row>
    <row r="5" spans="2:7" x14ac:dyDescent="0.25">
      <c r="B5" s="132" t="s">
        <v>191</v>
      </c>
      <c r="C5" s="133" t="s">
        <v>285</v>
      </c>
    </row>
    <row r="6" spans="2:7" x14ac:dyDescent="0.25">
      <c r="B6" s="20">
        <v>2000</v>
      </c>
      <c r="C6" s="31">
        <v>-0.14649999999999999</v>
      </c>
      <c r="F6" t="s">
        <v>286</v>
      </c>
      <c r="G6" s="5">
        <f>AVERAGE(C6:C29)</f>
        <v>0.15609166666666666</v>
      </c>
    </row>
    <row r="7" spans="2:7" x14ac:dyDescent="0.25">
      <c r="B7" s="20">
        <v>2001</v>
      </c>
      <c r="C7" s="31">
        <v>-0.1618</v>
      </c>
      <c r="F7" t="s">
        <v>287</v>
      </c>
      <c r="G7" s="60">
        <v>1.2500000000000001E-2</v>
      </c>
    </row>
    <row r="8" spans="2:7" x14ac:dyDescent="0.25">
      <c r="B8" s="20">
        <v>2002</v>
      </c>
      <c r="C8" s="31">
        <v>3.2500000000000001E-2</v>
      </c>
      <c r="F8" s="134" t="s">
        <v>288</v>
      </c>
      <c r="G8" s="135">
        <f>SUM(G6:G7)</f>
        <v>0.16859166666666667</v>
      </c>
    </row>
    <row r="9" spans="2:7" x14ac:dyDescent="0.25">
      <c r="B9" s="20">
        <v>2003</v>
      </c>
      <c r="C9" s="31">
        <v>0.71900000000000008</v>
      </c>
    </row>
    <row r="10" spans="2:7" x14ac:dyDescent="0.25">
      <c r="B10" s="20">
        <v>2004</v>
      </c>
      <c r="C10" s="31">
        <v>0.10679999999999999</v>
      </c>
    </row>
    <row r="11" spans="2:7" x14ac:dyDescent="0.25">
      <c r="B11" s="20">
        <v>2005</v>
      </c>
      <c r="C11" s="31">
        <v>0.36340000000000006</v>
      </c>
    </row>
    <row r="12" spans="2:7" x14ac:dyDescent="0.25">
      <c r="B12" s="20">
        <v>2006</v>
      </c>
      <c r="C12" s="31">
        <v>0.39829999999999999</v>
      </c>
    </row>
    <row r="13" spans="2:7" x14ac:dyDescent="0.25">
      <c r="B13" s="20">
        <v>2007</v>
      </c>
      <c r="C13" s="31">
        <v>0.54770000000000008</v>
      </c>
    </row>
    <row r="14" spans="2:7" x14ac:dyDescent="0.25">
      <c r="B14" s="20">
        <v>2008</v>
      </c>
      <c r="C14" s="31">
        <v>-0.51790000000000003</v>
      </c>
    </row>
    <row r="15" spans="2:7" x14ac:dyDescent="0.25">
      <c r="B15" s="20">
        <v>2009</v>
      </c>
      <c r="C15" s="31">
        <v>0.75760000000000005</v>
      </c>
    </row>
    <row r="16" spans="2:7" x14ac:dyDescent="0.25">
      <c r="B16" s="20">
        <v>2010</v>
      </c>
      <c r="C16" s="31">
        <v>0.17949999999999999</v>
      </c>
    </row>
    <row r="17" spans="2:3" x14ac:dyDescent="0.25">
      <c r="B17" s="20">
        <v>2011</v>
      </c>
      <c r="C17" s="31">
        <v>-0.2462</v>
      </c>
    </row>
    <row r="18" spans="2:3" x14ac:dyDescent="0.25">
      <c r="B18" s="20">
        <v>2012</v>
      </c>
      <c r="C18" s="31">
        <v>0.27699999999999997</v>
      </c>
    </row>
    <row r="19" spans="2:3" x14ac:dyDescent="0.25">
      <c r="B19" s="20">
        <v>2013</v>
      </c>
      <c r="C19" s="31">
        <v>6.7599999999999993E-2</v>
      </c>
    </row>
    <row r="20" spans="2:3" x14ac:dyDescent="0.25">
      <c r="B20" s="20">
        <v>2014</v>
      </c>
      <c r="C20" s="31">
        <v>0.31390000000000001</v>
      </c>
    </row>
    <row r="21" spans="2:3" x14ac:dyDescent="0.25">
      <c r="B21" s="20">
        <v>2015</v>
      </c>
      <c r="C21" s="31">
        <v>-4.0599999999999997E-2</v>
      </c>
    </row>
    <row r="22" spans="2:3" x14ac:dyDescent="0.25">
      <c r="B22" s="20">
        <v>2016</v>
      </c>
      <c r="C22" s="31">
        <v>3.0099999999999998E-2</v>
      </c>
    </row>
    <row r="23" spans="2:3" x14ac:dyDescent="0.25">
      <c r="B23" s="20">
        <v>2017</v>
      </c>
      <c r="C23" s="31">
        <v>0.28649999999999998</v>
      </c>
    </row>
    <row r="24" spans="2:3" x14ac:dyDescent="0.25">
      <c r="B24" s="20">
        <v>2018</v>
      </c>
      <c r="C24" s="31">
        <v>3.15E-2</v>
      </c>
    </row>
    <row r="25" spans="2:3" x14ac:dyDescent="0.25">
      <c r="B25" s="20">
        <v>2019</v>
      </c>
      <c r="C25" s="31">
        <v>0.1202</v>
      </c>
    </row>
    <row r="26" spans="2:3" x14ac:dyDescent="0.25">
      <c r="B26" s="20">
        <v>2020</v>
      </c>
      <c r="C26" s="31">
        <v>0.14899999999999999</v>
      </c>
    </row>
    <row r="27" spans="2:3" x14ac:dyDescent="0.25">
      <c r="B27" s="20">
        <v>2021</v>
      </c>
      <c r="C27" s="31">
        <v>0.2412</v>
      </c>
    </row>
    <row r="28" spans="2:3" x14ac:dyDescent="0.25">
      <c r="B28" s="20">
        <v>2022</v>
      </c>
      <c r="C28" s="31">
        <v>4.3200000000000002E-2</v>
      </c>
    </row>
    <row r="29" spans="2:3" x14ac:dyDescent="0.25">
      <c r="B29" s="20">
        <v>2023</v>
      </c>
      <c r="C29" s="31">
        <v>0.19420000000000001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Financials&gt;&gt;</vt:lpstr>
      <vt:lpstr>HistoricalFS</vt:lpstr>
      <vt:lpstr>Ratio Analysis</vt:lpstr>
      <vt:lpstr>Forecasting</vt:lpstr>
      <vt:lpstr>Common Size Statement</vt:lpstr>
      <vt:lpstr>DCF&gt;&gt;</vt:lpstr>
      <vt:lpstr>WACC</vt:lpstr>
      <vt:lpstr>Intrinsic Growth</vt:lpstr>
      <vt:lpstr>DCF</vt:lpstr>
      <vt:lpstr>Data&gt;&gt;</vt:lpstr>
      <vt:lpstr>Raw FS</vt:lpstr>
      <vt:lpstr>Profit &amp; Loss</vt:lpstr>
      <vt:lpstr>Quarters</vt:lpstr>
      <vt:lpstr>Balance Sheet</vt:lpstr>
      <vt:lpstr>Cash Flow</vt:lpstr>
      <vt:lpstr>Customization</vt:lpstr>
      <vt:lpstr>Data Sheet</vt:lpstr>
      <vt:lpstr>Beta</vt:lpstr>
      <vt:lpstr>Beta - Comps</vt:lpstr>
      <vt:lpstr>Rm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Nishant Sethi</cp:lastModifiedBy>
  <cp:lastPrinted>2024-07-19T03:30:42Z</cp:lastPrinted>
  <dcterms:created xsi:type="dcterms:W3CDTF">2012-08-17T09:55:37Z</dcterms:created>
  <dcterms:modified xsi:type="dcterms:W3CDTF">2024-07-19T03:30:54Z</dcterms:modified>
</cp:coreProperties>
</file>