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hidden" name="CALCULATOR" sheetId="2" r:id="rId5"/>
    <sheet state="visible" name="DEV" sheetId="3" r:id="rId6"/>
    <sheet state="visible" name="CML_DEV" sheetId="4" r:id="rId7"/>
    <sheet state="visible" name="PROD" sheetId="5" r:id="rId8"/>
    <sheet state="visible" name="CML_PROD" sheetId="6" r:id="rId9"/>
    <sheet state="visible" name="DEV - 50%" sheetId="7" r:id="rId10"/>
    <sheet state="visible" name="PROD-50%" sheetId="8" r:id="rId11"/>
    <sheet state="visible" name="CCU Calc" sheetId="9" r:id="rId12"/>
    <sheet state="hidden" name="CCUs" sheetId="10" r:id="rId13"/>
    <sheet state="visible" name="Resources" sheetId="11" r:id="rId14"/>
    <sheet state="visible" name="Architecture" sheetId="12" r:id="rId15"/>
    <sheet state="visible" name="Sizing" sheetId="13" r:id="rId16"/>
    <sheet state="hidden" name="ECSresource" sheetId="14" r:id="rId17"/>
    <sheet state="hidden" name="source" sheetId="15" r:id="rId18"/>
  </sheets>
  <definedNames/>
  <calcPr/>
  <extLst>
    <ext uri="GoogleSheetsCustomDataVersion2">
      <go:sheetsCustomData xmlns:go="http://customooxmlschemas.google.com/" r:id="rId19" roundtripDataChecksum="8fiKxFfz2pCCoeSG98ImCPQz8EdlF4kerg9ajItLCy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ID#AAABNtSgncw
    (2024-05-16 13:23:44)
Select 1 for non-HA.
Select 3 for HA.</t>
      </text>
    </comment>
  </commentList>
  <extLst>
    <ext uri="GoogleSheetsCustomDataVersion2">
      <go:sheetsCustomData xmlns:go="http://customooxmlschemas.google.com/" r:id="rId1" roundtripDataSignature="AMtx7mj3vci52PLLcYnh1gv79Rpp2ftf7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ID#AAABNtSgnc8
    (2024-05-16 13:23:44)
Select 1 for non-HA.
Select 3 for HA.</t>
      </text>
    </comment>
  </commentList>
  <extLst>
    <ext uri="GoogleSheetsCustomDataVersion2">
      <go:sheetsCustomData xmlns:go="http://customooxmlschemas.google.com/" r:id="rId1" roundtripDataSignature="AMtx7mhNnRwmZcnGUKwjlPoH5qqgx5d2z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ID#AAABNtSgnc4
    (2024-05-16 13:23:44)
Select 1 for non-HA.
Select 3 for HA.</t>
      </text>
    </comment>
  </commentList>
  <extLst>
    <ext uri="GoogleSheetsCustomDataVersion2">
      <go:sheetsCustomData xmlns:go="http://customooxmlschemas.google.com/" r:id="rId1" roundtripDataSignature="AMtx7mhVWGIFYmCSEixrWRxki4f6O3e20g=="/>
    </ext>
  </extLst>
</comments>
</file>

<file path=xl/sharedStrings.xml><?xml version="1.0" encoding="utf-8"?>
<sst xmlns="http://schemas.openxmlformats.org/spreadsheetml/2006/main" count="1621" uniqueCount="509">
  <si>
    <t>CDP Private Cloud Data Services Sizing Calculator</t>
  </si>
  <si>
    <t>Data Services Version: 1.5.2</t>
  </si>
  <si>
    <t>Updated: 13 Dec 2023</t>
  </si>
  <si>
    <t>Contact: dennislee@cloudera.com</t>
  </si>
  <si>
    <t>Note:</t>
  </si>
  <si>
    <t xml:space="preserve">1. Do not share the entire sheet with customer/partner. </t>
  </si>
  <si>
    <r>
      <rPr>
        <rFont val="Arial"/>
        <color theme="1"/>
        <sz val="11.0"/>
      </rPr>
      <t xml:space="preserve">2. Please make a copy of this Google spreadsheet into your own Google folder prior to entering the fields in the </t>
    </r>
    <r>
      <rPr>
        <rFont val="Arial"/>
        <b/>
        <color theme="1"/>
        <sz val="11.0"/>
      </rPr>
      <t>CALCULATOR</t>
    </r>
    <r>
      <rPr>
        <rFont val="Arial"/>
        <color theme="1"/>
        <sz val="11.0"/>
      </rPr>
      <t xml:space="preserve"> tab.</t>
    </r>
  </si>
  <si>
    <t>3. This calculator is built based on the specific version of CDP Private Cloud Data Services as indicated above. Do not use this calculator for other software version.</t>
  </si>
  <si>
    <r>
      <rPr>
        <rFont val="Arial"/>
        <color theme="1"/>
        <sz val="11.0"/>
      </rPr>
      <t xml:space="preserve">4. You may capture the screenshot of the Hardware Dimensioning Output table in the </t>
    </r>
    <r>
      <rPr>
        <rFont val="Arial"/>
        <b/>
        <color theme="1"/>
        <sz val="11.0"/>
      </rPr>
      <t>CALCULATOR</t>
    </r>
    <r>
      <rPr>
        <rFont val="Arial"/>
        <color theme="1"/>
        <sz val="11.0"/>
      </rPr>
      <t xml:space="preserve"> tab and send it to customer/partner as a reference. </t>
    </r>
  </si>
  <si>
    <r>
      <rPr>
        <rFont val="Arial"/>
        <color theme="1"/>
        <sz val="11.0"/>
      </rPr>
      <t xml:space="preserve">5. In the </t>
    </r>
    <r>
      <rPr>
        <rFont val="Arial"/>
        <b/>
        <color theme="1"/>
        <sz val="11.0"/>
      </rPr>
      <t>CALCULATOR</t>
    </r>
    <r>
      <rPr>
        <rFont val="Arial"/>
        <color theme="1"/>
        <sz val="11.0"/>
      </rPr>
      <t xml:space="preserve"> tab, fill in the yellow/green cell only. Green-coloured cell is a </t>
    </r>
    <r>
      <rPr>
        <rFont val="Arial"/>
        <b/>
        <color theme="1"/>
        <sz val="11.0"/>
      </rPr>
      <t>mandatory</t>
    </r>
    <r>
      <rPr>
        <rFont val="Arial"/>
        <color theme="1"/>
        <sz val="11.0"/>
      </rPr>
      <t xml:space="preserve"> field. Yellow-coloured cell will turn into Green-coloured cell automatically when other factors are triggered. If a cell turns into orange colour, it means some input(s) is beyond the capacity of the CPU/memory of the worker node. </t>
    </r>
  </si>
  <si>
    <r>
      <rPr>
        <rFont val="Arial"/>
        <color theme="1"/>
        <sz val="11.0"/>
      </rPr>
      <t xml:space="preserve">6. In the </t>
    </r>
    <r>
      <rPr>
        <rFont val="Arial"/>
        <b/>
        <color theme="1"/>
        <sz val="11.0"/>
      </rPr>
      <t>CALCULATOR</t>
    </r>
    <r>
      <rPr>
        <rFont val="Arial"/>
        <color theme="1"/>
        <sz val="11.0"/>
      </rPr>
      <t xml:space="preserve"> tab, the sizing output will be generated for Openshift and ECS platforms. You may use either table for your need.</t>
    </r>
  </si>
  <si>
    <t>7. Enter the CPU/memory metrics based on the input requirements or make your own estimation.</t>
  </si>
  <si>
    <r>
      <rPr>
        <rFont val="Arial"/>
        <color theme="1"/>
        <sz val="11.0"/>
      </rPr>
      <t xml:space="preserve">8. The sizing for Openshift Master, Infra, Installer, and OCS/ODF node must be provided by Red Hat. OCS/ODF block storage in the hardware dimensioning output is of </t>
    </r>
    <r>
      <rPr>
        <rFont val="Arial"/>
        <b/>
        <color theme="1"/>
        <sz val="11.0"/>
      </rPr>
      <t>usable capacity</t>
    </r>
    <r>
      <rPr>
        <rFont val="Arial"/>
        <color theme="1"/>
        <sz val="11.0"/>
      </rPr>
      <t xml:space="preserve"> prior to applying replication.</t>
    </r>
  </si>
  <si>
    <t>9. CML can use either external or internal NFS. External NFS is recommended for production environment.</t>
  </si>
  <si>
    <r>
      <rPr>
        <rFont val="Arial"/>
        <color theme="1"/>
        <sz val="11.0"/>
      </rPr>
      <t xml:space="preserve">10. If CML workspace </t>
    </r>
    <r>
      <rPr>
        <rFont val="Arial"/>
        <b/>
        <color theme="1"/>
        <sz val="11.0"/>
      </rPr>
      <t>backup</t>
    </r>
    <r>
      <rPr>
        <rFont val="Arial"/>
        <color theme="1"/>
        <sz val="11.0"/>
      </rPr>
      <t xml:space="preserve"> is to be created, multiply the number of CML workspace by 2.</t>
    </r>
  </si>
  <si>
    <t>11. CDW in ECS: The scheduler will check the node with available CPU and memory to provision CDW executor pods. If a node does not have local disk mountpoint, it will create a directory on the / directory of the OS. The scheduler will not look for node with available CPU, memory and PV together as the provisioning criterias holistically.</t>
  </si>
  <si>
    <r>
      <rPr>
        <rFont val="Arial"/>
        <color theme="1"/>
        <sz val="11.0"/>
      </rPr>
      <t xml:space="preserve">12. CDE sizing methodology is based on number of </t>
    </r>
    <r>
      <rPr>
        <rFont val="Arial"/>
        <b/>
        <color theme="1"/>
        <sz val="11.0"/>
      </rPr>
      <t>concurrent</t>
    </r>
    <r>
      <rPr>
        <rFont val="Arial"/>
        <color theme="1"/>
        <sz val="11.0"/>
      </rPr>
      <t xml:space="preserve"> Spark jobs. 1 Spark job is comprised of 1 driver and its associated number of executors. 
      Example: 1 job with 1 CPU driver, 2 executors (1 CPU cores) is amounted to 3 CPU.
      Example: 2 jobs with 2 CPU driver, 2 executors (1 CPU cores) is amounted to 8 CPU.
      Example: 1 job with 1 CPU driver, 2 executors (3 CPU cores) is amounted to 7 CPU.</t>
    </r>
  </si>
  <si>
    <t>13. CDW in Openshift: The scheduler will check the node with available CPU, memory and local PV (local storage operator) as the criterias to provision CDW executor pods. If a node doesn't have available local PV despite having sufficient CPU/memory, that node is not qualified as the host of the executor pod. If CML, CDE and CDW are in the scope, CDW must be provisioned before other data services.</t>
  </si>
  <si>
    <t xml:space="preserve">14. In this calc, CDW sizing formula is on incremental basis. If require 2 VW with 2 executors in each VW, enter 4 executors in the field. This calc will not multiply 2 (VW) with 2 (executors), thereby please enter 4 executors as the total quantity of executors needed in the entire cluster. </t>
  </si>
  <si>
    <t>Data Services</t>
  </si>
  <si>
    <t>Description</t>
  </si>
  <si>
    <t>Quantity</t>
  </si>
  <si>
    <t>Hardware Dimensioning Output:</t>
  </si>
  <si>
    <t>Environment</t>
  </si>
  <si>
    <t>Min: 1</t>
  </si>
  <si>
    <t>ECS</t>
  </si>
  <si>
    <t>Nodes</t>
  </si>
  <si>
    <t>Resource</t>
  </si>
  <si>
    <t>Value</t>
  </si>
  <si>
    <t>Metric</t>
  </si>
  <si>
    <t>Remark</t>
  </si>
  <si>
    <t>Embedded Database (GB)</t>
  </si>
  <si>
    <t>Recommend: 200</t>
  </si>
  <si>
    <t>Master/Server</t>
  </si>
  <si>
    <t>CPU cores</t>
  </si>
  <si>
    <t>Each node.</t>
  </si>
  <si>
    <t>CDW</t>
  </si>
  <si>
    <t>RAM</t>
  </si>
  <si>
    <t>GB</t>
  </si>
  <si>
    <t>Data Catalog</t>
  </si>
  <si>
    <t>OS Disk</t>
  </si>
  <si>
    <t>Each node. SSD/NVMe is required. If RAID 1, deploy 2 disks.</t>
  </si>
  <si>
    <t xml:space="preserve">Hive Virtual Warehouse </t>
  </si>
  <si>
    <t>Longhorn Disk</t>
  </si>
  <si>
    <t>Each node. SSD/NVMe is recommended.</t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</si>
  <si>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</si>
  <si>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t>Worker/Agent</t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</si>
  <si>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</si>
  <si>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t xml:space="preserve">Impala Virtual Warehouse </t>
  </si>
  <si>
    <t>Each node. SSD/NVMe is recommended. If RAID 1, deploy 2 disks.</t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</si>
  <si>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</si>
  <si>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t>Each node. SSD/NVMe is recommended. Use Logical Volume Manager (LVM).</t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</si>
  <si>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</si>
  <si>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t>Default: 3</t>
  </si>
  <si>
    <t>CDW Local Disk</t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</si>
  <si>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</si>
  <si>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t>Default: 25</t>
  </si>
  <si>
    <t>External NFS</t>
  </si>
  <si>
    <t>CML only. Minimum size.</t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</si>
  <si>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</si>
  <si>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</si>
  <si>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</si>
  <si>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t>Default: 1</t>
  </si>
  <si>
    <t>Openshift 4</t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</si>
  <si>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</si>
  <si>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t>Worker</t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</si>
  <si>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</si>
  <si>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</si>
  <si>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t>Default: 14</t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</si>
  <si>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</si>
  <si>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t>Default: 128</t>
  </si>
  <si>
    <t>CDW 100GB Disk</t>
  </si>
  <si>
    <t>unit</t>
  </si>
  <si>
    <t>Each node. SSD/NVMe is required.</t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</si>
  <si>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</si>
  <si>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</si>
  <si>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t>CDW 630GB Disk</t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</si>
  <si>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</si>
  <si>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t>CML only.</t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</si>
  <si>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</si>
  <si>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t>OCS/ODF</t>
  </si>
  <si>
    <t>Usable Capacity (before applying replication)</t>
  </si>
  <si>
    <t>Data Viz (small) 2 CPU, 8GB</t>
  </si>
  <si>
    <t>Data Viz (medium) 4 CPU, 16GB</t>
  </si>
  <si>
    <t>CCU:</t>
  </si>
  <si>
    <t>Data Viz (large) 6 CPU, 24GB</t>
  </si>
  <si>
    <t>Total</t>
  </si>
  <si>
    <t>CPU</t>
  </si>
  <si>
    <t>Memory</t>
  </si>
  <si>
    <t>CDE</t>
  </si>
  <si>
    <t>Service</t>
  </si>
  <si>
    <t>OCP</t>
  </si>
  <si>
    <t>Virtual Cluster</t>
  </si>
  <si>
    <t>Quantity of Job(s)</t>
  </si>
  <si>
    <t>Quantity of Executor(s)</t>
  </si>
  <si>
    <t>Job Driver CPU</t>
  </si>
  <si>
    <t>Job Driver Mem (GB)</t>
  </si>
  <si>
    <t>Job Executor CPU</t>
  </si>
  <si>
    <t>Job Executor Mem (GB)</t>
  </si>
  <si>
    <t>CML</t>
  </si>
  <si>
    <t>Workspace</t>
  </si>
  <si>
    <t>XSmall Session (2 CPU, 4 GB)</t>
  </si>
  <si>
    <t>Small Session (4 CPU, 8 GB)</t>
  </si>
  <si>
    <t>Medium Session (6 CPU, 16 GB)</t>
  </si>
  <si>
    <t>NFS (GB) - Initial size per workspace</t>
  </si>
  <si>
    <t>Min: 100</t>
  </si>
  <si>
    <t>External NFS?</t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</si>
  <si>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</si>
  <si>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t>Backup Workspace (Quantity)</t>
  </si>
  <si>
    <t>Min: 0</t>
  </si>
  <si>
    <t>Model Registry</t>
  </si>
  <si>
    <t>Tick to use</t>
  </si>
  <si>
    <t>DRS (Control Plane Backup)</t>
  </si>
  <si>
    <t>Number of CP Backup(s)</t>
  </si>
  <si>
    <t>Summary:</t>
  </si>
  <si>
    <t>K8s Storage</t>
  </si>
  <si>
    <t>CDP (excludes K8s) Overhead</t>
  </si>
  <si>
    <t>CDW Data Catalog</t>
  </si>
  <si>
    <t>CDW Hive</t>
  </si>
  <si>
    <t>CDW Impala</t>
  </si>
  <si>
    <t>CDW Data Viz</t>
  </si>
  <si>
    <t>Backup</t>
  </si>
  <si>
    <t>Total:</t>
  </si>
  <si>
    <t>CDW Local Disk (G)</t>
  </si>
  <si>
    <t>Units</t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</si>
  <si>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</si>
  <si>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</si>
  <si>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</si>
  <si>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</si>
  <si>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</si>
  <si>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</si>
  <si>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</si>
  <si>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</si>
  <si>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</si>
  <si>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</si>
  <si>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</si>
  <si>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</si>
  <si>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</si>
  <si>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</si>
  <si>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</si>
  <si>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</si>
  <si>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</si>
  <si>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</si>
  <si>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</si>
  <si>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</si>
  <si>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</si>
  <si>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</si>
  <si>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</si>
  <si>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</si>
  <si>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</si>
  <si>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</si>
  <si>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</si>
  <si>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</si>
  <si>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</si>
  <si>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</si>
  <si>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</si>
  <si>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</si>
  <si>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</si>
  <si>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</si>
  <si>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</si>
  <si>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</si>
  <si>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</si>
  <si>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</si>
  <si>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</si>
  <si>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</si>
  <si>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</si>
  <si>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</si>
  <si>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</si>
  <si>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</si>
  <si>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</si>
  <si>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</si>
  <si>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</si>
  <si>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</si>
  <si>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</si>
  <si>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</si>
  <si>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</si>
  <si>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</si>
  <si>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</si>
  <si>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</si>
  <si>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</si>
  <si>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</si>
  <si>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</si>
  <si>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</si>
  <si>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</si>
  <si>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</si>
  <si>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</si>
  <si>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</si>
  <si>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</si>
  <si>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</si>
  <si>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</si>
  <si>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</si>
  <si>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</si>
  <si>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</si>
  <si>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</si>
  <si>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</si>
  <si>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</si>
  <si>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</si>
  <si>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</si>
  <si>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</si>
  <si>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</si>
  <si>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</si>
  <si>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</si>
  <si>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</si>
  <si>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</si>
  <si>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</si>
  <si>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</si>
  <si>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</si>
  <si>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</si>
  <si>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</si>
  <si>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</si>
  <si>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r>
      <rPr>
        <rFont val="Arial"/>
        <color theme="1"/>
      </rPr>
      <t xml:space="preserve">Hive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</si>
  <si>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Hive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</si>
  <si>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</si>
  <si>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</si>
  <si>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</si>
  <si>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</si>
  <si>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</si>
  <si>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</si>
  <si>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9900FF"/>
      </rPr>
      <t>LITE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</si>
  <si>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</si>
  <si>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</si>
  <si>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Executor Mem (GB)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</si>
  <si>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(Quantity)</t>
    </r>
  </si>
  <si>
    <r>
      <rPr>
        <rFont val="Arial"/>
        <color theme="1"/>
      </rPr>
      <t xml:space="preserve">Default is </t>
    </r>
    <r>
      <rPr>
        <rFont val="Arial"/>
        <b/>
        <color theme="1"/>
      </rPr>
      <t>2</t>
    </r>
    <r>
      <rPr>
        <rFont val="Arial"/>
        <color theme="1"/>
      </rPr>
      <t xml:space="preserve">. Put </t>
    </r>
    <r>
      <rPr>
        <rFont val="Arial"/>
        <b/>
        <color theme="1"/>
      </rPr>
      <t xml:space="preserve">1 </t>
    </r>
    <r>
      <rPr>
        <rFont val="Arial"/>
        <color theme="1"/>
      </rPr>
      <t>if non-HA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</si>
  <si>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CPU cores</t>
    </r>
  </si>
  <si>
    <r>
      <rPr>
        <rFont val="Arial"/>
        <color theme="1"/>
      </rPr>
      <t xml:space="preserve">Impala </t>
    </r>
    <r>
      <rPr>
        <rFont val="Arial"/>
        <b/>
        <color rgb="FFFF0000"/>
      </rPr>
      <t>PROD</t>
    </r>
    <r>
      <rPr>
        <rFont val="Arial"/>
        <color theme="1"/>
      </rPr>
      <t xml:space="preserve"> Coordinator Mem (GB)</t>
    </r>
  </si>
  <si>
    <r>
      <rPr>
        <rFont val="Arial"/>
        <color theme="1"/>
      </rPr>
      <t xml:space="preserve">Untick if use </t>
    </r>
    <r>
      <rPr>
        <rFont val="Arial"/>
        <b/>
        <color theme="1"/>
      </rPr>
      <t>internal</t>
    </r>
    <r>
      <rPr>
        <rFont val="Arial"/>
        <color theme="1"/>
      </rPr>
      <t xml:space="preserve"> NFS</t>
    </r>
  </si>
  <si>
    <t>Pre-prod</t>
  </si>
  <si>
    <t>Cores</t>
  </si>
  <si>
    <t>CCU</t>
  </si>
  <si>
    <t>Master – 8 Cores, 32 GB</t>
  </si>
  <si>
    <t>Worker1 – 20 Cores, 96 GB (No GPUs)</t>
  </si>
  <si>
    <t>Worker1 – 8 Cores, 100 GB</t>
  </si>
  <si>
    <t>Worker2 – 72 Cores, 256 GB, 2 GPUs</t>
  </si>
  <si>
    <t>Worker3 – 72 Cores, 256 GB, 2 GPUs</t>
  </si>
  <si>
    <t xml:space="preserve">CML - dev </t>
  </si>
  <si>
    <t>3 node</t>
  </si>
  <si>
    <t>CML - prod</t>
  </si>
  <si>
    <t>10 nodes</t>
  </si>
  <si>
    <t>GPU</t>
  </si>
  <si>
    <t>CML. + CDE - Prod</t>
  </si>
  <si>
    <t>6 nodes</t>
  </si>
  <si>
    <t>CML. + CDE - Dev</t>
  </si>
  <si>
    <t>12 nodes</t>
  </si>
  <si>
    <t>100% Estimates</t>
  </si>
  <si>
    <t>CML. + CDE + CDW - Prod</t>
  </si>
  <si>
    <t>52 nodes</t>
  </si>
  <si>
    <t>30 nodes</t>
  </si>
  <si>
    <t xml:space="preserve">NIFI </t>
  </si>
  <si>
    <t>24 cores + 48 GB RAM</t>
  </si>
  <si>
    <t xml:space="preserve">CCU calc </t>
  </si>
  <si>
    <t>50 % Estimates</t>
  </si>
  <si>
    <t>33 nodes</t>
  </si>
  <si>
    <t>19 nodes</t>
  </si>
  <si>
    <t>Total Cores</t>
  </si>
  <si>
    <t>Total Memory (GB)</t>
  </si>
  <si>
    <t>Option 1</t>
  </si>
  <si>
    <t>Based on initial hardware specification</t>
  </si>
  <si>
    <t>Option 2</t>
  </si>
  <si>
    <t>Increased memory capacity with reduced cpu capacity</t>
  </si>
  <si>
    <t>Option 3</t>
  </si>
  <si>
    <t>Includes additional memory for Spark workloads</t>
  </si>
  <si>
    <t>Components</t>
  </si>
  <si>
    <t>CPU (Cores)</t>
  </si>
  <si>
    <t>RAM (GB)</t>
  </si>
  <si>
    <t>CDW Disk (GB)</t>
  </si>
  <si>
    <t>OCS/Longhorn Block (GB)</t>
  </si>
  <si>
    <t>External NFS (GB)</t>
  </si>
  <si>
    <t>Each Openshift Worker (excluding OCS)</t>
  </si>
  <si>
    <t>Overhead</t>
  </si>
  <si>
    <t>Each ECS Worker</t>
  </si>
  <si>
    <t>kube-system, k8s-dashboard, longhorn-system, etc</t>
  </si>
  <si>
    <t>Longhorn consumes 5 CPU in each node.</t>
  </si>
  <si>
    <t>CDP</t>
  </si>
  <si>
    <t>cdp, cdp-drs, infra-prometheus, yunikorn, k8tz, observability, pod-reaper</t>
  </si>
  <si>
    <t>including 10G disk for embedded vault</t>
  </si>
  <si>
    <t>Environment-monitoring</t>
  </si>
  <si>
    <t>1 workspace</t>
  </si>
  <si>
    <t>https://docs.cloudera.com/cdp-private-cloud-data-services/1.5.0/installation-ecs/topics/cdppvc-installation-standalone-cml-requirements.html</t>
  </si>
  <si>
    <t>Xsmall session</t>
  </si>
  <si>
    <t>Small session</t>
  </si>
  <si>
    <t>Medium session</t>
  </si>
  <si>
    <t>Model registry</t>
  </si>
  <si>
    <t>Data Catalog + Log Router</t>
  </si>
  <si>
    <t>LITE Hive (executor+coordinator)</t>
  </si>
  <si>
    <t>1 executor=1 coordinator</t>
  </si>
  <si>
    <t>LITE Hive (overhead)</t>
  </si>
  <si>
    <t>PROD Hive (executor+coordinator)</t>
  </si>
  <si>
    <t>https://docs.cloudera.com/cdp-private-cloud-data-services/1.5.0/installation/topics/dw-private-cloud-redhat-openshift-requirements-install.html</t>
  </si>
  <si>
    <t>PROD Hive (overhead)</t>
  </si>
  <si>
    <t>LITE Impala w/o HA (executor)</t>
  </si>
  <si>
    <t>user-defined</t>
  </si>
  <si>
    <t>LITE Impala w/o HA (coordinator)</t>
  </si>
  <si>
    <t>LITE Impala w/o HA (overhead)</t>
  </si>
  <si>
    <t>PROD Impala w/o HA (executor)</t>
  </si>
  <si>
    <t>PROD Impala w/o HA (coordinator)</t>
  </si>
  <si>
    <t>PROD Impala w/o HA (overhead)</t>
  </si>
  <si>
    <t>DataViz</t>
  </si>
  <si>
    <t>https://docs.cloudera.com/cdp-private-cloud-data-services/1.5.0/installation-ecs/topics/cdppvc-installation-standalone-cde-requirements.html</t>
  </si>
  <si>
    <t>Job: Driver</t>
  </si>
  <si>
    <t>Job: Executor</t>
  </si>
  <si>
    <t>AH - Prod</t>
  </si>
  <si>
    <t>Primary DC / PROD</t>
  </si>
  <si>
    <t>CH - Dev</t>
  </si>
  <si>
    <t>Secondary DC</t>
  </si>
  <si>
    <t xml:space="preserve">POC </t>
  </si>
  <si>
    <t>Small Cluster - 5 nodes</t>
  </si>
  <si>
    <t xml:space="preserve">Sandbox, DR, Bckup </t>
  </si>
  <si>
    <t>each 10 nodes</t>
  </si>
  <si>
    <t>Number of Nodes [Including Master]</t>
  </si>
  <si>
    <t xml:space="preserve">Data Nodes </t>
  </si>
  <si>
    <t xml:space="preserve">Total </t>
  </si>
  <si>
    <t>107 Nodes</t>
  </si>
  <si>
    <t xml:space="preserve">Master </t>
  </si>
  <si>
    <t xml:space="preserve">Edge </t>
  </si>
  <si>
    <t>CDSW</t>
  </si>
  <si>
    <t>KMS</t>
  </si>
  <si>
    <t>KTS</t>
  </si>
  <si>
    <t>Informatica  BDM</t>
  </si>
  <si>
    <t>HDFS</t>
  </si>
  <si>
    <t>221 TB / 402 TB</t>
  </si>
  <si>
    <t xml:space="preserve">Kafka </t>
  </si>
  <si>
    <t>5 Broker</t>
  </si>
  <si>
    <t xml:space="preserve">Kudu </t>
  </si>
  <si>
    <t>29 DN are assigned to Kudu Tablest</t>
  </si>
  <si>
    <t>Configured - 20 TB post replication</t>
  </si>
  <si>
    <t xml:space="preserve">Growth </t>
  </si>
  <si>
    <t>20 percent every year</t>
  </si>
  <si>
    <t>HDFS Max</t>
  </si>
  <si>
    <t>3 - 4 years</t>
  </si>
  <si>
    <t>80 TB - 7 Nodes</t>
  </si>
  <si>
    <t>Kafka - 5 Brokers</t>
  </si>
  <si>
    <t>Kudu  - 10 Nodes</t>
  </si>
  <si>
    <t>Kudu</t>
  </si>
  <si>
    <t>5 tablet server</t>
  </si>
  <si>
    <t>40 TB Post replication</t>
  </si>
  <si>
    <t>5000 Tablets</t>
  </si>
  <si>
    <t xml:space="preserve">29 tablet store - </t>
  </si>
  <si>
    <t xml:space="preserve">DS </t>
  </si>
  <si>
    <t>20 nodes [AH an CH]</t>
  </si>
  <si>
    <t>CML in CH - devleopment team is using - 1 or 2 users</t>
  </si>
  <si>
    <t xml:space="preserve">CDW  + CDE - Not even configured </t>
  </si>
  <si>
    <t xml:space="preserve">VCI most users - Credit </t>
  </si>
  <si>
    <t>[root@ecs-m-01 ~]# ./checkresource.sh cdp</t>
  </si>
  <si>
    <t>(worker only)</t>
  </si>
  <si>
    <t>Sum of all CPU requests: 4527 m</t>
  </si>
  <si>
    <t>Sum of all Memory requests: 19056 MiB</t>
  </si>
  <si>
    <t>Sum of all PVC requests: 94 GiB</t>
  </si>
  <si>
    <t>[root@ecs-m-01 ~]# ./checkresource.sh cdp-drs</t>
  </si>
  <si>
    <t>Sum of all CPU requests: 50 m</t>
  </si>
  <si>
    <t>Sum of all Memory requests: 500 MiB</t>
  </si>
  <si>
    <t>Sum of all PVC requests: 0 GiB</t>
  </si>
  <si>
    <t>[root@ecs-m-01 ~]# ./checkresource.sh cdp-services</t>
  </si>
  <si>
    <t>Sum of all CPU requests: 0 m</t>
  </si>
  <si>
    <t>Sum of all Memory requests: 0 MiB</t>
  </si>
  <si>
    <t>[root@ecs-m-01 ~]# ./checkresource.sh default</t>
  </si>
  <si>
    <t>[root@ecs-m-01 ~]# ./checkresource.sh dlee-43db5c54-log-router</t>
  </si>
  <si>
    <t>[root@ecs-m-01 ~]# ./checkresource.sh dlee-43db5c54-monitoring-platform</t>
  </si>
  <si>
    <t>Sum of all CPU requests: 2141 m</t>
  </si>
  <si>
    <t>Sum of all Memory requests: 20073 MiB</t>
  </si>
  <si>
    <t>Sum of all PVC requests: 64 GiB</t>
  </si>
  <si>
    <t>[root@ecs-m-01 ~]# ./checkresource.sh ecs-webhooks</t>
  </si>
  <si>
    <t>(master only)</t>
  </si>
  <si>
    <t>[root@ecs-m-01 ~]# ./checkresource.sh infra-prometheus</t>
  </si>
  <si>
    <t>(daemonset)</t>
  </si>
  <si>
    <t>Sum of all CPU requests: 470 m</t>
  </si>
  <si>
    <t>Sum of all Memory requests: 1100 MiB</t>
  </si>
  <si>
    <t>Sum of all PVC requests: 10 GiB</t>
  </si>
  <si>
    <t>[root@ecs-m-01 ~]# ./checkresource.sh kube-node-lease</t>
  </si>
  <si>
    <t>[root@ecs-m-01 ~]# ./checkresource.sh kube-public</t>
  </si>
  <si>
    <t>[root@ecs-m-01 ~]# ./checkresource.sh kube-system</t>
  </si>
  <si>
    <t>(mixed)</t>
  </si>
  <si>
    <t>Sum of all CPU requests: 3075 m</t>
  </si>
  <si>
    <t>Sum of all Memory requests: 2770 MiB</t>
  </si>
  <si>
    <t>[root@ecs-m-01 ~]# ./checkresource.sh kubernetes-dashboard</t>
  </si>
  <si>
    <t>Sum of all CPU requests: 100 m</t>
  </si>
  <si>
    <t>Sum of all Memory requests: 200 MiB</t>
  </si>
  <si>
    <t>[root@ecs-m-01 ~]# ./checkresource.sh liftie-nnx84jyf-ns</t>
  </si>
  <si>
    <t>[root@ecs-m-01 ~]# ./checkresource.sh local-path-storage</t>
  </si>
  <si>
    <t>[root@ecs-m-01 ~]# ./checkresource.sh longhorn-system</t>
  </si>
  <si>
    <t>Sum of all CPU requests: 19200 m</t>
  </si>
  <si>
    <t>[root@ecs-m-01 ~]# ./checkresource.sh model-registryb0e753ef-c37</t>
  </si>
  <si>
    <t>[root@ecs-m-01 ~]# ./checkresource.sh pod-reaper</t>
  </si>
  <si>
    <t>[root@ecs-m-01 ~]# ./checkresource.sh shared-services</t>
  </si>
  <si>
    <t>[root@ecs-m-01 ~]# ./checkresource.sh vault-system</t>
  </si>
  <si>
    <t>(master nodes)</t>
  </si>
  <si>
    <t>[root@ecs-m-01 ~]# ./checkresource.sh yunikorn</t>
  </si>
  <si>
    <t>Sum of all CPU requests: 400 m</t>
  </si>
  <si>
    <t>Sum of all Memory requests: 1600 MiB</t>
  </si>
  <si>
    <t>[root@ecs-m-01 ~]# ./checkresource.sh warehouse-dlee</t>
  </si>
  <si>
    <t>Sum of all CPU requests: 6000 m</t>
  </si>
  <si>
    <t>Sum of all Memory requests: 16000 MiB</t>
  </si>
  <si>
    <t>[root@ecs-m-01 ~]# ./checkresource.sh impala-prod</t>
  </si>
  <si>
    <t>Sum of all CPU requests: 32300 m</t>
  </si>
  <si>
    <t>Sum of all Memory requests: 248608 MiB</t>
  </si>
  <si>
    <t>Sum of all PVC requests: 1116 GiB</t>
  </si>
  <si>
    <t>[root@ecs-m-01 ~]# ./checkresource.sh compute-prod</t>
  </si>
  <si>
    <t>Sum of all CPU requests: 18250 m</t>
  </si>
  <si>
    <t>Sum of all Memory requests: 146248 MiB</t>
  </si>
  <si>
    <t>Sum of all PVC requests: 600 GiB</t>
  </si>
  <si>
    <t>[root@ecs-m-01 ~]# ./checkresource.sh compute-hivelite</t>
  </si>
  <si>
    <t>Sum of all CPU requests: 6750 m</t>
  </si>
  <si>
    <t>Sum of all Memory requests: 78664 MiB</t>
  </si>
  <si>
    <t>Sum of all PVC requests: 100 GiB</t>
  </si>
  <si>
    <t>[root@ecs-m-01 ~]# ./checkresource.sh impala-impalalite</t>
  </si>
  <si>
    <t>Sum of all CPU requests: 8800 m</t>
  </si>
  <si>
    <t>Sum of all Memory requests: 84256 MiB</t>
  </si>
  <si>
    <t>Sum of all PVC requests: 188 GiB</t>
  </si>
  <si>
    <t>Viz</t>
  </si>
  <si>
    <t>[root@ecs-m-01 ~]# ./checkresource.sh viz-small</t>
  </si>
  <si>
    <t>Sum of all CPU requests: 2100 m</t>
  </si>
  <si>
    <t>Sum of all Memory requests: 8320 MiB</t>
  </si>
  <si>
    <t>[root@ecs-m-01 ~]# ./checkresource.sh viz-med</t>
  </si>
  <si>
    <t>Sum of all CPU requests: 4100 m</t>
  </si>
  <si>
    <t>Sum of all Memory requests: 16512 MiB</t>
  </si>
  <si>
    <t>[root@ecs-m-01 ~]# ./checkresource.sh viz-prod</t>
  </si>
  <si>
    <t>Sum of all CPU requests: 6100 m</t>
  </si>
  <si>
    <t>Sum of all Memory requests: 24704 MiB</t>
  </si>
  <si>
    <t>[root@ecs-m-01 ~]# ./checkresource.sh dex-base-nhgtx2n8</t>
  </si>
  <si>
    <t>Sum of all CPU requests: 8350 m</t>
  </si>
  <si>
    <t>Sum of all Memory requests: 15418 MiB</t>
  </si>
  <si>
    <t>Sum of all PVC requests: 110 GiB</t>
  </si>
  <si>
    <t>[root@ecs-m-01 ~]# ./checkresource.sh dex-app-tvcw4zrc</t>
  </si>
  <si>
    <t>Sum of all CPU requests: 5850 m</t>
  </si>
  <si>
    <t>Sum of all Memory requests: 16660 MiB</t>
  </si>
  <si>
    <t>Sum of all PVC requests: 400 GiB</t>
  </si>
  <si>
    <t>[root@ecs-m-01 ~]# oc -n dex-app-tvcw4zrc get pvc</t>
  </si>
  <si>
    <t>NAME  STATUS  VOLUME  CAPACITY  ACCESS MODES  STORAGECLASS  AGE</t>
  </si>
  <si>
    <t>dex-app-tvcw4zrc-airflow-dags Bound pvc-c3c39203-a243-41bc-adec-e997c814c454  100Gi RWX longhorn  7d1h</t>
  </si>
  <si>
    <t>dex-app-tvcw4zrc-airflow-logs Bound pvc-63573cc2-5984-47df-be0e-d1f4e370c6c1  100Gi RWX longhorn  7d1h</t>
  </si>
  <si>
    <t>dex-app-tvcw4zrc-livystate-pvc  Bound pvc-3c0b9018-f4fd-46c4-9c95-57b244100d6f  100Gi RWX longhorn  7d1h</t>
  </si>
  <si>
    <t>dex-app-tvcw4zrc-storage-pvc  Bound pvc-1b0fe2cf-3cda-418c-b119-a2c64c98ffbe  100Gi RWX longhorn  7d1h</t>
  </si>
  <si>
    <t>[root@ecs-m-01 ~]# oc -n dex-base-nhgtx2n8 get pvc</t>
  </si>
  <si>
    <t>dex-base-db-pvc Bound pvc-dd8bdb17-d6f3-4635-b572-d9541aa63fc1  100Gi RWO longhorn  7d2h</t>
  </si>
  <si>
    <t>dex-base-grafana  Bound pvc-dd0ce12d-16ce-4a98-b239-d63ebc229efd  10Gi  RWO longhorn  7d2h</t>
  </si>
  <si>
    <t>[root@ecs-m-01 ~]# ./checkresource.sh myws</t>
  </si>
  <si>
    <t>Sum of all CPU requests: 4650 m</t>
  </si>
  <si>
    <t>Sum of all Memory requests: 18646 MiB</t>
  </si>
  <si>
    <t>Sum of all PVC requests: 351 GiB</t>
  </si>
  <si>
    <t>[root@ecs-m-01 ~]# oc -n myws get pvc</t>
  </si>
  <si>
    <t>NAME STATUS  VOLUME  CAPACITY  ACCESS MODES  STORAGECLASS  AGE</t>
  </si>
  <si>
    <t>livelog-data-livelog-0 Bound pvc-05c1fa01-c320-4d4a-a8f6-560930cdf561  100Gi RWO longhorn  3h</t>
  </si>
  <si>
    <t>model-metrics-data-model-metrics-db-0  Bound pvc-69d59090-4f7e-4a45-9619-ccf411715e77  50Gi  RWO longhorn  3h</t>
  </si>
  <si>
    <t>persist-dir-secret-generator-0 Bound pvc-1334f7b8-e28d-413f-9e7a-ac3b4b833b83  10Mi  RWO longhorn  3h</t>
  </si>
  <si>
    <t>postgres-data-versioned-db-0 Bound pvc-76d8c90f-06e1-45e0-9069-1ddccad70c16  50Gi  RWO longhorn  3h</t>
  </si>
  <si>
    <t>projects-pvc Bound pvc-60bd32a7-c794-488f-970b-338203aa07b8  49Gi  RWX longhorn  3h</t>
  </si>
  <si>
    <t>s2i-git-server-repos-s2i-git-server-0  Bound pvc-b2963a77-95ea-45f6-94c5-0bd15d65e45e  100Gi RWO longhorn  3h</t>
  </si>
  <si>
    <t>s2i-queue-pvc  Bound pvc-bf295e19-e826-4099-b23d-69ecaab63cfb  2Gi RWO longhorn  3h</t>
  </si>
  <si>
    <t>Sum of all CPU requests: 1000 m</t>
  </si>
  <si>
    <t>Sum of all Memory requests: 4450 MiB</t>
  </si>
  <si>
    <t>Sum of all PVC requests: 50 GiB</t>
  </si>
  <si>
    <t>[root@ecs-m-01 ~]# ./check_resource.sh cdp</t>
  </si>
  <si>
    <t>[root@ecs-m-01 ~]# ./check_resource.sh default</t>
  </si>
  <si>
    <t>[root@ecs-m-01 ~]# ./check_resource.sh cmltest1</t>
  </si>
  <si>
    <t>Sum of all CPU requests: 13427 m</t>
  </si>
  <si>
    <t>Sum of all CPU requests: 7790 m</t>
  </si>
  <si>
    <t>Sum of all Memory requests: 30644 MiB</t>
  </si>
  <si>
    <t>Sum of all Memory requests: 22260 MiB</t>
  </si>
  <si>
    <t>Sum of all PVC requests: 74 GiB</t>
  </si>
  <si>
    <t>Sum of all PVC requests: 158 GiB</t>
  </si>
  <si>
    <t>[root@ecs-m-01 ~]# ./check_resource.sh cdp-drs</t>
  </si>
  <si>
    <t>[root@ecs-m-01 ~]# ./check_resource.sh ecs-webhooks</t>
  </si>
  <si>
    <t>After CML cumulative backup:</t>
  </si>
  <si>
    <t>[root@ecs-m-01 ~]# ./check_resource.sh cdp-services</t>
  </si>
  <si>
    <t>[root@ecs-m-01 ~]# ./check_resource.sh kube-node-lease</t>
  </si>
  <si>
    <t>Sum of all PVC requests: 316 GiB</t>
  </si>
  <si>
    <t>[root@ecs-m-01 ~]# ./check_resource.sh dex-base-scmff695</t>
  </si>
  <si>
    <t>Sum of all CPU requests: 8250 m</t>
  </si>
  <si>
    <t>[root@ecs-m-01 ~]# ./check_resource.sh infra-prometheus</t>
  </si>
  <si>
    <t>[root@ecs-m-01 ~]# ./check_resource.sh kube-public</t>
  </si>
  <si>
    <t>Sum of all Memory requests: 16082 MiB</t>
  </si>
  <si>
    <t>Sum of all PVC requests: 30 GiB</t>
  </si>
  <si>
    <t>[root@ecs-m-01 ~]# ./check_resource.sh dex-app-hd88jlpb</t>
  </si>
  <si>
    <t>[root@ecs-m-01 ~]# ./check_resource.sh yunikorn</t>
  </si>
  <si>
    <t>[root@ecs-m-01 ~]# ./check_resource.sh kube-system</t>
  </si>
  <si>
    <t>Sum of all CPU requests: 6550 m</t>
  </si>
  <si>
    <t>Sum of all Memory requests: 17556 MiB</t>
  </si>
  <si>
    <t>[root@ecs-m-01 ~]# ./check_resource.sh kubernetes-dashboard</t>
  </si>
  <si>
    <t>[root@ecs-m-01 ~]# ./check_resource.sh dlee22-688c03af-log-router</t>
  </si>
  <si>
    <t>Sum of all CPU requests: 300 m</t>
  </si>
  <si>
    <t>Sum of all Memory requests: 384 MiB</t>
  </si>
  <si>
    <t>[root@ecs-m-01 ~]# ./check_resource.sh liftie-swhc3m3x-ns</t>
  </si>
  <si>
    <t>[root@ecs-m-01 ~]# ./check_resource.sh warehouse-dlee22</t>
  </si>
  <si>
    <t>Sum of all CPU requests: 6500 m</t>
  </si>
  <si>
    <t>Sum of all Memory requests: 16640 MiB</t>
  </si>
  <si>
    <t>[root@ecs-m-01 ~]# ./check_resource.sh k8tz</t>
  </si>
  <si>
    <t>[root@ecs-m-01 ~]# ./check_resource.sh local-path-storage</t>
  </si>
  <si>
    <t>Sum of all Memory requests: 128 MiB</t>
  </si>
  <si>
    <t>[root@ecs-m-01 ~]# ./check_resource.sh compute-hive1</t>
  </si>
  <si>
    <t>Sum of all CPU requests: 12750 m</t>
  </si>
  <si>
    <t>[root@ecs-m-01 ~]# ./check_resource.sh observability</t>
  </si>
  <si>
    <t>[root@ecs-m-01 ~]# ./check_resource.sh longhorn-system</t>
  </si>
  <si>
    <t>Sum of all Memory requests: 133192 MiB</t>
  </si>
  <si>
    <t>Sum of all CPU requests: 800 m</t>
  </si>
  <si>
    <t>Sum of all PVC requests: 200 GiB</t>
  </si>
  <si>
    <t>Sum of all Memory requests: 632 MiB</t>
  </si>
  <si>
    <t>[root@ecs-m-01 ~]# ./check_resource.sh impala-impala1</t>
  </si>
  <si>
    <t>[root@ecs-m-01 ~]# ./check_resource.sh pod-reaper</t>
  </si>
  <si>
    <t>Sum of all CPU requests: 13550 m</t>
  </si>
  <si>
    <t>Sum of all Memory requests: 135104 MiB</t>
  </si>
  <si>
    <t>Sum of all Memory requests: 1280 MiB</t>
  </si>
  <si>
    <t>Sum of all PVC requests: 376 GiB</t>
  </si>
  <si>
    <t>[root@ecs-m-01 ~]# ./check_resource.sh vault-system</t>
  </si>
  <si>
    <t>Sum of all CPU requests: 32250 m</t>
  </si>
  <si>
    <t>Sum of all Memory requests: 268360 MiB</t>
  </si>
  <si>
    <t>Sum of all PVC requests: 1200 GiB</t>
  </si>
  <si>
    <t>[root@ecs-m-01 ~]# ./check_resource.sh dlee22-688c03af-monitoring-platform</t>
  </si>
  <si>
    <t>Sum of all CPU requests: 3141 m</t>
  </si>
  <si>
    <t>Sum of all Memory requests: 21353 MiB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</si>
</sst>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20">
    <font>
      <sz val="10.0"/>
      <color rgb="FF000000"/>
      <name val="Arial"/>
      <scheme val="minor"/>
    </font>
    <font>
      <b/>
      <sz val="18.0"/>
      <color rgb="FFFF6D01"/>
      <name val="Arial"/>
    </font>
    <font>
      <b/>
      <sz val="12.0"/>
      <color rgb="FFFF6D01"/>
      <name val="Arial"/>
    </font>
    <font>
      <b/>
      <sz val="11.0"/>
      <color rgb="FF666666"/>
      <name val="Arial"/>
    </font>
    <font>
      <sz val="11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b/>
      <color theme="1"/>
      <name val="Arial"/>
    </font>
    <font/>
    <font>
      <sz val="9.0"/>
      <color rgb="FF000000"/>
      <name val="Arial"/>
    </font>
    <font>
      <b/>
      <sz val="9.0"/>
      <color theme="1"/>
      <name val="Arial"/>
    </font>
    <font>
      <b/>
      <u/>
      <color rgb="FF222222"/>
      <name val="Arial"/>
    </font>
    <font>
      <color theme="1"/>
      <name val="Arial"/>
      <scheme val="minor"/>
    </font>
    <font>
      <u/>
      <color rgb="FF222222"/>
      <name val="Arial"/>
    </font>
    <font>
      <sz val="9.0"/>
      <color rgb="FF000000"/>
      <name val="&quot;Google Sans Mono&quot;"/>
    </font>
    <font>
      <u/>
      <color rgb="FF0000FF"/>
      <name val="Arial"/>
    </font>
    <font>
      <color rgb="FF000000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21FF80"/>
        <bgColor rgb="FF21FF80"/>
      </patternFill>
    </fill>
  </fills>
  <borders count="11">
    <border/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</border>
    <border>
      <right style="thin">
        <color rgb="FF434343"/>
      </right>
      <top style="thin">
        <color rgb="FF434343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1" fillId="2" fontId="5" numFmtId="0" xfId="0" applyBorder="1" applyFill="1" applyFont="1"/>
    <xf borderId="1" fillId="2" fontId="5" numFmtId="0" xfId="0" applyAlignment="1" applyBorder="1" applyFont="1">
      <alignment horizontal="center"/>
    </xf>
    <xf borderId="0" fillId="0" fontId="6" numFmtId="0" xfId="0" applyFont="1"/>
    <xf borderId="2" fillId="0" fontId="7" numFmtId="0" xfId="0" applyBorder="1" applyFont="1"/>
    <xf borderId="2" fillId="0" fontId="7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/>
    </xf>
    <xf borderId="1" fillId="0" fontId="8" numFmtId="0" xfId="0" applyAlignment="1" applyBorder="1" applyFont="1">
      <alignment vertical="top"/>
    </xf>
    <xf borderId="1" fillId="3" fontId="8" numFmtId="0" xfId="0" applyAlignment="1" applyBorder="1" applyFont="1">
      <alignment horizontal="center" vertical="top"/>
    </xf>
    <xf borderId="3" fillId="0" fontId="8" numFmtId="0" xfId="0" applyAlignment="1" applyBorder="1" applyFont="1">
      <alignment horizontal="center"/>
    </xf>
    <xf borderId="3" fillId="3" fontId="8" numFmtId="0" xfId="0" applyAlignment="1" applyBorder="1" applyFont="1">
      <alignment horizontal="center"/>
    </xf>
    <xf borderId="3" fillId="4" fontId="7" numFmtId="0" xfId="0" applyAlignment="1" applyBorder="1" applyFill="1" applyFont="1">
      <alignment vertical="top"/>
    </xf>
    <xf borderId="3" fillId="0" fontId="8" numFmtId="0" xfId="0" applyBorder="1" applyFont="1"/>
    <xf borderId="4" fillId="5" fontId="9" numFmtId="0" xfId="0" applyAlignment="1" applyBorder="1" applyFill="1" applyFont="1">
      <alignment vertical="bottom"/>
    </xf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3" fillId="0" fontId="8" numFmtId="1" xfId="0" applyAlignment="1" applyBorder="1" applyFont="1" applyNumberFormat="1">
      <alignment horizontal="center"/>
    </xf>
    <xf borderId="0" fillId="0" fontId="7" numFmtId="1" xfId="0" applyAlignment="1" applyFont="1" applyNumberFormat="1">
      <alignment horizontal="center" vertical="top"/>
    </xf>
    <xf borderId="0" fillId="0" fontId="7" numFmtId="0" xfId="0" applyAlignment="1" applyFont="1">
      <alignment horizontal="center"/>
    </xf>
    <xf borderId="9" fillId="2" fontId="5" numFmtId="0" xfId="0" applyBorder="1" applyFont="1"/>
    <xf borderId="2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0" fillId="0" fontId="7" numFmtId="0" xfId="0" applyFont="1"/>
    <xf borderId="0" fillId="0" fontId="9" numFmtId="0" xfId="0" applyFont="1"/>
    <xf borderId="0" fillId="6" fontId="11" numFmtId="0" xfId="0" applyFill="1" applyFont="1"/>
    <xf borderId="2" fillId="0" fontId="7" numFmtId="0" xfId="0" applyAlignment="1" applyBorder="1" applyFont="1">
      <alignment vertical="bottom"/>
    </xf>
    <xf borderId="6" fillId="0" fontId="7" numFmtId="0" xfId="0" applyAlignment="1" applyBorder="1" applyFont="1">
      <alignment horizontal="center" vertical="bottom"/>
    </xf>
    <xf borderId="6" fillId="3" fontId="7" numFmtId="0" xfId="0" applyAlignment="1" applyBorder="1" applyFont="1">
      <alignment horizontal="center" vertical="bottom"/>
    </xf>
    <xf borderId="2" fillId="0" fontId="12" numFmtId="0" xfId="0" applyBorder="1" applyFont="1"/>
    <xf borderId="2" fillId="0" fontId="9" numFmtId="0" xfId="0" applyBorder="1" applyFont="1"/>
    <xf borderId="2" fillId="0" fontId="7" numFmtId="4" xfId="0" applyBorder="1" applyFont="1" applyNumberFormat="1"/>
    <xf borderId="2" fillId="0" fontId="7" numFmtId="0" xfId="0" applyAlignment="1" applyBorder="1" applyFont="1">
      <alignment horizontal="left"/>
    </xf>
    <xf borderId="2" fillId="3" fontId="7" numFmtId="0" xfId="0" applyAlignment="1" applyBorder="1" applyFont="1">
      <alignment horizontal="center" readingOrder="0"/>
    </xf>
    <xf borderId="3" fillId="3" fontId="8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/>
    </xf>
    <xf borderId="0" fillId="6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6" fontId="15" numFmtId="0" xfId="0" applyAlignment="1" applyFont="1">
      <alignment readingOrder="0"/>
    </xf>
    <xf borderId="0" fillId="0" fontId="14" numFmtId="0" xfId="0" applyFont="1"/>
    <xf borderId="3" fillId="0" fontId="8" numFmtId="0" xfId="0" applyAlignment="1" applyBorder="1" applyFont="1">
      <alignment readingOrder="0"/>
    </xf>
    <xf borderId="0" fillId="6" fontId="16" numFmtId="0" xfId="0" applyFont="1"/>
    <xf borderId="2" fillId="2" fontId="9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7" fontId="18" numFmtId="0" xfId="0" applyFill="1" applyFont="1"/>
    <xf borderId="0" fillId="6" fontId="19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7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9582150</xdr:colOff>
      <xdr:row>16</xdr:row>
      <xdr:rowOff>19050</xdr:rowOff>
    </xdr:from>
    <xdr:ext cx="1628775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152400</xdr:rowOff>
    </xdr:from>
    <xdr:ext cx="6877050" cy="26193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1</xdr:row>
      <xdr:rowOff>152400</xdr:rowOff>
    </xdr:from>
    <xdr:ext cx="6877050" cy="29718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93</xdr:row>
      <xdr:rowOff>76200</xdr:rowOff>
    </xdr:from>
    <xdr:ext cx="3924300" cy="1295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80</xdr:row>
      <xdr:rowOff>209550</xdr:rowOff>
    </xdr:from>
    <xdr:ext cx="2647950" cy="12192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80</xdr:row>
      <xdr:rowOff>171450</xdr:rowOff>
    </xdr:from>
    <xdr:ext cx="3790950" cy="11811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93</xdr:row>
      <xdr:rowOff>76200</xdr:rowOff>
    </xdr:from>
    <xdr:ext cx="4191000" cy="12954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80</xdr:row>
      <xdr:rowOff>171450</xdr:rowOff>
    </xdr:from>
    <xdr:ext cx="3429000" cy="24098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88</xdr:row>
      <xdr:rowOff>161925</xdr:rowOff>
    </xdr:from>
    <xdr:ext cx="3095625" cy="10001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94</xdr:row>
      <xdr:rowOff>104775</xdr:rowOff>
    </xdr:from>
    <xdr:ext cx="3143250" cy="10668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cloudera.com/cdp-private-cloud-data-services/1.5.0/installation-ecs/topics/cdppvc-installation-standalone-cml-requirements.html" TargetMode="External"/><Relationship Id="rId2" Type="http://schemas.openxmlformats.org/officeDocument/2006/relationships/hyperlink" Target="https://docs.cloudera.com/cdp-private-cloud-data-services/1.5.0/installation/topics/dw-private-cloud-redhat-openshift-requirements-install.html" TargetMode="External"/><Relationship Id="rId3" Type="http://schemas.openxmlformats.org/officeDocument/2006/relationships/hyperlink" Target="https://docs.cloudera.com/cdp-private-cloud-data-services/1.5.0/installation/topics/dw-private-cloud-redhat-openshift-requirements-install.html" TargetMode="External"/><Relationship Id="rId4" Type="http://schemas.openxmlformats.org/officeDocument/2006/relationships/hyperlink" Target="https://docs.cloudera.com/cdp-private-cloud-data-services/1.5.0/installation/topics/dw-private-cloud-redhat-openshift-requirements-install.html" TargetMode="External"/><Relationship Id="rId5" Type="http://schemas.openxmlformats.org/officeDocument/2006/relationships/hyperlink" Target="https://docs.cloudera.com/cdp-private-cloud-data-services/1.5.0/installation-ecs/topics/cdppvc-installation-standalone-cde-requirements.html" TargetMode="External"/><Relationship Id="rId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83.0"/>
    <col customWidth="1" min="3" max="6" width="12.63"/>
  </cols>
  <sheetData>
    <row r="1" ht="15.75" customHeight="1">
      <c r="B1" s="1" t="s">
        <v>0</v>
      </c>
    </row>
    <row r="2" ht="15.75" customHeight="1">
      <c r="B2" s="2" t="s">
        <v>1</v>
      </c>
      <c r="C2" s="2"/>
    </row>
    <row r="3" ht="15.75" customHeight="1">
      <c r="B3" s="2" t="s">
        <v>2</v>
      </c>
      <c r="C3" s="3"/>
    </row>
    <row r="4" ht="15.75" customHeight="1">
      <c r="B4" s="2" t="s">
        <v>3</v>
      </c>
      <c r="C4" s="4"/>
    </row>
    <row r="5" ht="15.75" customHeight="1">
      <c r="B5" s="5" t="s">
        <v>4</v>
      </c>
    </row>
    <row r="6" ht="15.75" customHeight="1">
      <c r="B6" s="6" t="s">
        <v>5</v>
      </c>
    </row>
    <row r="7" ht="15.75" customHeight="1">
      <c r="B7" s="7" t="s">
        <v>6</v>
      </c>
    </row>
    <row r="8" ht="15.75" customHeight="1">
      <c r="B8" s="7" t="s">
        <v>7</v>
      </c>
    </row>
    <row r="9" ht="15.75" customHeight="1">
      <c r="B9" s="7" t="s">
        <v>8</v>
      </c>
    </row>
    <row r="10" ht="15.75" customHeight="1">
      <c r="B10" s="8" t="s">
        <v>9</v>
      </c>
    </row>
    <row r="11" ht="15.75" customHeight="1">
      <c r="B11" s="7" t="s">
        <v>10</v>
      </c>
    </row>
    <row r="12" ht="15.75" customHeight="1">
      <c r="B12" s="6" t="s">
        <v>11</v>
      </c>
    </row>
    <row r="13" ht="15.75" customHeight="1">
      <c r="B13" s="6" t="s">
        <v>12</v>
      </c>
    </row>
    <row r="14" ht="15.75" customHeight="1">
      <c r="B14" s="6" t="s">
        <v>13</v>
      </c>
    </row>
    <row r="15" ht="15.75" customHeight="1">
      <c r="B15" s="6" t="s">
        <v>14</v>
      </c>
    </row>
    <row r="16" ht="15.75" customHeight="1">
      <c r="B16" s="8" t="s">
        <v>15</v>
      </c>
    </row>
    <row r="17" ht="15.75" customHeight="1">
      <c r="B17" s="6" t="s">
        <v>16</v>
      </c>
    </row>
    <row r="18" ht="15.75" customHeight="1">
      <c r="B18" s="8" t="s">
        <v>17</v>
      </c>
    </row>
    <row r="19" ht="15.75" customHeight="1">
      <c r="B19" s="8" t="s">
        <v>18</v>
      </c>
    </row>
    <row r="20" ht="15.75" customHeight="1">
      <c r="B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41.0"/>
    <col customWidth="1" min="3" max="3" width="11.0"/>
    <col customWidth="1" min="4" max="4" width="17.25"/>
    <col customWidth="1" min="5" max="5" width="5.0"/>
    <col customWidth="1" min="6" max="6" width="12.63"/>
  </cols>
  <sheetData>
    <row r="1" ht="15.75" customHeight="1">
      <c r="A1" s="30"/>
      <c r="B1" s="30" t="s">
        <v>20</v>
      </c>
      <c r="C1" s="30" t="s">
        <v>254</v>
      </c>
      <c r="D1" s="30" t="s">
        <v>255</v>
      </c>
      <c r="E1" s="30" t="s">
        <v>229</v>
      </c>
    </row>
    <row r="2" ht="15.75" customHeight="1">
      <c r="A2" s="12" t="s">
        <v>256</v>
      </c>
      <c r="B2" s="12" t="s">
        <v>257</v>
      </c>
      <c r="C2" s="12">
        <f>PROD!G25</f>
        <v>1568</v>
      </c>
      <c r="D2" s="12">
        <f>PROD!H25</f>
        <v>6208</v>
      </c>
      <c r="E2" s="12">
        <f t="shared" ref="E2:E4" si="2">ROUNDUP((C2/6)+(D2/12))</f>
        <v>779</v>
      </c>
    </row>
    <row r="3" ht="15.75" customHeight="1">
      <c r="A3" s="12" t="s">
        <v>258</v>
      </c>
      <c r="B3" s="12" t="s">
        <v>259</v>
      </c>
      <c r="C3" s="12" t="str">
        <f t="shared" ref="C3:D3" si="1">'PROD-2'!G25</f>
        <v>#REF!</v>
      </c>
      <c r="D3" s="12" t="str">
        <f t="shared" si="1"/>
        <v>#REF!</v>
      </c>
      <c r="E3" s="12" t="str">
        <f t="shared" si="2"/>
        <v>#REF!</v>
      </c>
    </row>
    <row r="4" ht="15.75" customHeight="1">
      <c r="A4" s="12" t="s">
        <v>260</v>
      </c>
      <c r="B4" s="12" t="s">
        <v>261</v>
      </c>
      <c r="C4" s="12" t="str">
        <f t="shared" ref="C4:D4" si="3">'PROD-3'!G25</f>
        <v>#REF!</v>
      </c>
      <c r="D4" s="12" t="str">
        <f t="shared" si="3"/>
        <v>#REF!</v>
      </c>
      <c r="E4" s="12" t="str">
        <f t="shared" si="2"/>
        <v>#REF!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0"/>
    <col customWidth="1" min="2" max="2" width="12.88"/>
    <col customWidth="1" min="3" max="3" width="10.75"/>
    <col customWidth="1" min="4" max="4" width="13.38"/>
    <col customWidth="1" min="5" max="5" width="21.88"/>
    <col customWidth="1" min="6" max="6" width="17.38"/>
    <col customWidth="1" min="8" max="8" width="26.88"/>
  </cols>
  <sheetData>
    <row r="1" ht="15.75" customHeight="1">
      <c r="A1" s="51" t="s">
        <v>262</v>
      </c>
      <c r="B1" s="51" t="s">
        <v>263</v>
      </c>
      <c r="C1" s="51" t="s">
        <v>264</v>
      </c>
      <c r="D1" s="51" t="s">
        <v>265</v>
      </c>
      <c r="E1" s="51" t="s">
        <v>266</v>
      </c>
      <c r="F1" s="51" t="s">
        <v>267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3" t="s">
        <v>268</v>
      </c>
      <c r="B2" s="54"/>
      <c r="C2" s="54"/>
      <c r="D2" s="54"/>
      <c r="E2" s="54"/>
      <c r="F2" s="54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">
        <v>269</v>
      </c>
      <c r="B3" s="55">
        <v>4.0</v>
      </c>
      <c r="C3" s="55">
        <v>16.0</v>
      </c>
      <c r="D3" s="56"/>
      <c r="E3" s="56"/>
      <c r="F3" s="56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3" t="s">
        <v>270</v>
      </c>
      <c r="B4" s="54"/>
      <c r="C4" s="54"/>
      <c r="D4" s="54"/>
      <c r="E4" s="54"/>
      <c r="F4" s="54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">
        <v>271</v>
      </c>
      <c r="B5" s="55">
        <f>0.8+5+0.1+1</f>
        <v>6.9</v>
      </c>
      <c r="C5" s="55">
        <v>16.0</v>
      </c>
      <c r="D5" s="56"/>
      <c r="E5" s="56"/>
      <c r="F5" s="56"/>
      <c r="G5" s="52" t="s">
        <v>272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3" t="s">
        <v>273</v>
      </c>
      <c r="B6" s="54"/>
      <c r="C6" s="54"/>
      <c r="D6" s="54"/>
      <c r="E6" s="54"/>
      <c r="F6" s="54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">
        <v>274</v>
      </c>
      <c r="B7" s="55">
        <f>14+0.1+0.5+0.4+0.1+0.8+1</f>
        <v>16.9</v>
      </c>
      <c r="C7" s="55">
        <f>31+0.5+1.1+1.8+0.2+0.7+1.3</f>
        <v>36.6</v>
      </c>
      <c r="D7" s="56"/>
      <c r="E7" s="55">
        <v>244.0</v>
      </c>
      <c r="F7" s="56"/>
      <c r="G7" s="52" t="s">
        <v>275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">
        <v>276</v>
      </c>
      <c r="B8" s="55">
        <v>3.2</v>
      </c>
      <c r="C8" s="55">
        <v>22.0</v>
      </c>
      <c r="D8" s="56"/>
      <c r="E8" s="55">
        <v>64.0</v>
      </c>
      <c r="F8" s="56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3" t="s">
        <v>99</v>
      </c>
      <c r="B9" s="54"/>
      <c r="C9" s="54"/>
      <c r="D9" s="54"/>
      <c r="E9" s="54"/>
      <c r="F9" s="54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">
        <v>277</v>
      </c>
      <c r="B10" s="55">
        <v>9.0</v>
      </c>
      <c r="C10" s="55">
        <v>24.0</v>
      </c>
      <c r="D10" s="56"/>
      <c r="E10" s="55">
        <v>155.0</v>
      </c>
      <c r="F10" s="55">
        <v>1000.0</v>
      </c>
      <c r="G10" s="57" t="s">
        <v>278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">
        <v>279</v>
      </c>
      <c r="B11" s="55">
        <v>2.0</v>
      </c>
      <c r="C11" s="55">
        <v>4.0</v>
      </c>
      <c r="D11" s="56"/>
      <c r="E11" s="56"/>
      <c r="F11" s="56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">
        <v>280</v>
      </c>
      <c r="B12" s="55">
        <v>4.0</v>
      </c>
      <c r="C12" s="55">
        <v>8.0</v>
      </c>
      <c r="D12" s="56"/>
      <c r="E12" s="56"/>
      <c r="F12" s="56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">
        <v>281</v>
      </c>
      <c r="B13" s="55">
        <v>6.0</v>
      </c>
      <c r="C13" s="55">
        <v>16.0</v>
      </c>
      <c r="D13" s="56"/>
      <c r="E13" s="56"/>
      <c r="F13" s="56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">
        <v>282</v>
      </c>
      <c r="B14" s="55">
        <v>1.0</v>
      </c>
      <c r="C14" s="55">
        <v>5.0</v>
      </c>
      <c r="D14" s="56"/>
      <c r="E14" s="55">
        <v>250.0</v>
      </c>
      <c r="F14" s="56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3" t="s">
        <v>36</v>
      </c>
      <c r="B15" s="54"/>
      <c r="C15" s="54"/>
      <c r="D15" s="54"/>
      <c r="E15" s="54"/>
      <c r="F15" s="54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">
        <v>283</v>
      </c>
      <c r="B16" s="55">
        <f>7.5+0.3</f>
        <v>7.8</v>
      </c>
      <c r="C16" s="55">
        <f>20+0.4</f>
        <v>20.4</v>
      </c>
      <c r="D16" s="56"/>
      <c r="E16" s="56"/>
      <c r="F16" s="56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">
        <v>284</v>
      </c>
      <c r="B17" s="55">
        <v>5.0</v>
      </c>
      <c r="C17" s="55">
        <v>54.0</v>
      </c>
      <c r="D17" s="55">
        <v>100.0</v>
      </c>
      <c r="E17" s="56"/>
      <c r="F17" s="56"/>
      <c r="G17" s="52" t="s">
        <v>285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">
        <v>286</v>
      </c>
      <c r="B18" s="55">
        <v>3.0</v>
      </c>
      <c r="C18" s="55">
        <v>30.0</v>
      </c>
      <c r="D18" s="56"/>
      <c r="E18" s="56"/>
      <c r="F18" s="56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">
        <v>287</v>
      </c>
      <c r="B19" s="55">
        <f>12+1</f>
        <v>13</v>
      </c>
      <c r="C19" s="55">
        <f>120+5</f>
        <v>125</v>
      </c>
      <c r="D19" s="55">
        <v>630.0</v>
      </c>
      <c r="E19" s="56"/>
      <c r="F19" s="56"/>
      <c r="G19" s="57" t="s">
        <v>288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">
        <v>289</v>
      </c>
      <c r="B20" s="55">
        <v>7.0</v>
      </c>
      <c r="C20" s="55">
        <v>30.0</v>
      </c>
      <c r="D20" s="56"/>
      <c r="E20" s="56"/>
      <c r="F20" s="56"/>
      <c r="G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">
        <v>290</v>
      </c>
      <c r="B21" s="55" t="s">
        <v>291</v>
      </c>
      <c r="C21" s="55" t="s">
        <v>291</v>
      </c>
      <c r="D21" s="55">
        <v>100.0</v>
      </c>
      <c r="E21" s="56"/>
      <c r="F21" s="56"/>
      <c r="G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">
        <v>292</v>
      </c>
      <c r="B22" s="55" t="s">
        <v>291</v>
      </c>
      <c r="C22" s="55" t="s">
        <v>291</v>
      </c>
      <c r="D22" s="55">
        <v>100.0</v>
      </c>
      <c r="E22" s="56"/>
      <c r="F22" s="56"/>
      <c r="G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">
        <v>293</v>
      </c>
      <c r="B23" s="55">
        <v>4.0</v>
      </c>
      <c r="C23" s="55">
        <v>30.0</v>
      </c>
      <c r="D23" s="56"/>
      <c r="E23" s="56"/>
      <c r="F23" s="56"/>
      <c r="G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">
        <v>294</v>
      </c>
      <c r="B24" s="55">
        <v>14.0</v>
      </c>
      <c r="C24" s="55">
        <v>117.0</v>
      </c>
      <c r="D24" s="55">
        <v>600.0</v>
      </c>
      <c r="E24" s="56"/>
      <c r="F24" s="56"/>
      <c r="G24" s="57" t="s">
        <v>288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">
        <v>295</v>
      </c>
      <c r="B25" s="55">
        <v>15.0</v>
      </c>
      <c r="C25" s="55">
        <v>114.0</v>
      </c>
      <c r="D25" s="55">
        <v>600.0</v>
      </c>
      <c r="E25" s="56"/>
      <c r="F25" s="56"/>
      <c r="G25" s="57" t="s">
        <v>288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">
        <v>296</v>
      </c>
      <c r="B26" s="55">
        <v>6.0</v>
      </c>
      <c r="C26" s="55">
        <v>40.0</v>
      </c>
      <c r="D26" s="56"/>
      <c r="E26" s="56"/>
      <c r="F26" s="56"/>
      <c r="G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">
        <v>297</v>
      </c>
      <c r="B27" s="55">
        <v>2.1</v>
      </c>
      <c r="C27" s="55">
        <v>8.5</v>
      </c>
      <c r="D27" s="56"/>
      <c r="E27" s="56"/>
      <c r="F27" s="56"/>
      <c r="G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">
        <v>297</v>
      </c>
      <c r="B28" s="55">
        <v>4.2</v>
      </c>
      <c r="C28" s="55">
        <v>16.5</v>
      </c>
      <c r="D28" s="56"/>
      <c r="E28" s="56"/>
      <c r="F28" s="56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">
        <v>297</v>
      </c>
      <c r="B29" s="55">
        <v>6.1</v>
      </c>
      <c r="C29" s="55">
        <v>24.5</v>
      </c>
      <c r="D29" s="56"/>
      <c r="E29" s="56"/>
      <c r="F29" s="56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3" t="s">
        <v>89</v>
      </c>
      <c r="B30" s="54"/>
      <c r="C30" s="54"/>
      <c r="D30" s="54"/>
      <c r="E30" s="54"/>
      <c r="F30" s="54"/>
      <c r="G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">
        <v>90</v>
      </c>
      <c r="B31" s="55">
        <v>9.0</v>
      </c>
      <c r="C31" s="55">
        <v>24.0</v>
      </c>
      <c r="D31" s="56"/>
      <c r="E31" s="55">
        <v>110.0</v>
      </c>
      <c r="F31" s="56"/>
      <c r="G31" s="57" t="s">
        <v>298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">
        <v>92</v>
      </c>
      <c r="B32" s="55">
        <v>8.0</v>
      </c>
      <c r="C32" s="55">
        <v>24.0</v>
      </c>
      <c r="D32" s="56"/>
      <c r="E32" s="55">
        <v>400.0</v>
      </c>
      <c r="F32" s="56"/>
      <c r="G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">
        <v>299</v>
      </c>
      <c r="B33" s="55" t="s">
        <v>291</v>
      </c>
      <c r="C33" s="55" t="s">
        <v>291</v>
      </c>
      <c r="D33" s="56"/>
      <c r="E33" s="56"/>
      <c r="F33" s="56"/>
      <c r="G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">
        <v>300</v>
      </c>
      <c r="B34" s="55" t="s">
        <v>291</v>
      </c>
      <c r="C34" s="55" t="s">
        <v>291</v>
      </c>
      <c r="D34" s="56"/>
      <c r="E34" s="56"/>
      <c r="F34" s="56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0"/>
    <hyperlink r:id="rId2" ref="G19"/>
    <hyperlink r:id="rId3" ref="G24"/>
    <hyperlink r:id="rId4" ref="G25"/>
    <hyperlink r:id="rId5" ref="G31"/>
  </hyperlinks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48.38"/>
    <col customWidth="1" min="7" max="7" width="22.5"/>
  </cols>
  <sheetData>
    <row r="1">
      <c r="A1" s="46" t="s">
        <v>301</v>
      </c>
      <c r="B1" s="46" t="s">
        <v>302</v>
      </c>
      <c r="D1" s="46" t="s">
        <v>303</v>
      </c>
      <c r="E1" s="46" t="s">
        <v>304</v>
      </c>
      <c r="G1" s="46" t="s">
        <v>305</v>
      </c>
      <c r="H1" s="46" t="s">
        <v>306</v>
      </c>
    </row>
    <row r="2">
      <c r="A2" s="46"/>
      <c r="B2" s="46"/>
      <c r="G2" s="46" t="s">
        <v>307</v>
      </c>
      <c r="H2" s="46" t="s">
        <v>308</v>
      </c>
    </row>
    <row r="3">
      <c r="A3" s="46" t="s">
        <v>309</v>
      </c>
      <c r="B3" s="46">
        <v>43.0</v>
      </c>
      <c r="D3" s="46">
        <v>29.0</v>
      </c>
    </row>
    <row r="4">
      <c r="A4" s="46" t="s">
        <v>310</v>
      </c>
      <c r="B4" s="46">
        <v>29.0</v>
      </c>
      <c r="D4" s="46">
        <v>17.0</v>
      </c>
      <c r="G4" s="46" t="s">
        <v>311</v>
      </c>
      <c r="H4" s="46" t="s">
        <v>312</v>
      </c>
    </row>
    <row r="5">
      <c r="A5" s="46" t="s">
        <v>313</v>
      </c>
      <c r="B5" s="46">
        <v>3.0</v>
      </c>
      <c r="D5" s="46">
        <v>3.0</v>
      </c>
    </row>
    <row r="6">
      <c r="A6" s="46" t="s">
        <v>314</v>
      </c>
      <c r="B6" s="46">
        <v>1.0</v>
      </c>
      <c r="D6" s="46">
        <v>1.0</v>
      </c>
    </row>
    <row r="7">
      <c r="A7" s="46" t="s">
        <v>315</v>
      </c>
      <c r="B7" s="46">
        <v>4.0</v>
      </c>
      <c r="D7" s="46">
        <v>2.0</v>
      </c>
    </row>
    <row r="8">
      <c r="A8" s="46" t="s">
        <v>316</v>
      </c>
      <c r="B8" s="46">
        <v>2.0</v>
      </c>
      <c r="D8" s="46">
        <v>2.0</v>
      </c>
    </row>
    <row r="9">
      <c r="A9" s="46" t="s">
        <v>317</v>
      </c>
      <c r="B9" s="46">
        <v>2.0</v>
      </c>
      <c r="D9" s="46">
        <v>2.0</v>
      </c>
    </row>
    <row r="10">
      <c r="A10" s="46" t="s">
        <v>318</v>
      </c>
      <c r="B10" s="46">
        <v>2.0</v>
      </c>
      <c r="D10" s="46">
        <v>2.0</v>
      </c>
    </row>
    <row r="12">
      <c r="A12" s="46" t="s">
        <v>319</v>
      </c>
      <c r="B12" s="46" t="s">
        <v>320</v>
      </c>
    </row>
    <row r="13">
      <c r="A13" s="46" t="s">
        <v>321</v>
      </c>
      <c r="B13" s="46" t="s">
        <v>322</v>
      </c>
    </row>
    <row r="14">
      <c r="A14" s="46" t="s">
        <v>323</v>
      </c>
      <c r="B14" s="46" t="s">
        <v>324</v>
      </c>
    </row>
    <row r="15">
      <c r="B15" s="46" t="s">
        <v>325</v>
      </c>
    </row>
    <row r="17">
      <c r="A17" s="46" t="s">
        <v>326</v>
      </c>
      <c r="B17" s="46" t="s">
        <v>327</v>
      </c>
    </row>
    <row r="18">
      <c r="A18" s="46" t="s">
        <v>328</v>
      </c>
      <c r="B18" s="46" t="s">
        <v>329</v>
      </c>
    </row>
    <row r="21">
      <c r="B21" s="46" t="s">
        <v>330</v>
      </c>
    </row>
    <row r="22">
      <c r="B22" s="46" t="s">
        <v>331</v>
      </c>
    </row>
    <row r="23">
      <c r="B23" s="46" t="s">
        <v>332</v>
      </c>
    </row>
    <row r="24">
      <c r="A24" s="46" t="s">
        <v>333</v>
      </c>
      <c r="B24" s="46" t="s">
        <v>334</v>
      </c>
    </row>
    <row r="25">
      <c r="B25" s="46" t="s">
        <v>335</v>
      </c>
    </row>
    <row r="26">
      <c r="B26" s="46" t="s">
        <v>336</v>
      </c>
    </row>
    <row r="28">
      <c r="B28" s="46" t="s">
        <v>337</v>
      </c>
    </row>
    <row r="30">
      <c r="A30" s="46" t="s">
        <v>338</v>
      </c>
      <c r="B30" s="46" t="s">
        <v>339</v>
      </c>
    </row>
    <row r="31">
      <c r="B31" s="46" t="s">
        <v>340</v>
      </c>
    </row>
    <row r="32">
      <c r="B32" s="46" t="s">
        <v>341</v>
      </c>
    </row>
    <row r="34">
      <c r="A34" s="46" t="s">
        <v>315</v>
      </c>
      <c r="B34" s="46" t="s">
        <v>342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8.0"/>
    <col customWidth="1" min="2" max="6" width="12.63"/>
  </cols>
  <sheetData>
    <row r="1" ht="15.75" customHeight="1">
      <c r="A1" s="58" t="s">
        <v>343</v>
      </c>
      <c r="B1" s="59" t="s">
        <v>344</v>
      </c>
    </row>
    <row r="2" ht="15.75" customHeight="1">
      <c r="A2" s="58" t="s">
        <v>345</v>
      </c>
    </row>
    <row r="3" ht="15.75" customHeight="1">
      <c r="A3" s="58" t="s">
        <v>346</v>
      </c>
    </row>
    <row r="4" ht="15.75" customHeight="1">
      <c r="A4" s="58" t="s">
        <v>347</v>
      </c>
    </row>
    <row r="5" ht="15.75" customHeight="1">
      <c r="A5" s="58" t="s">
        <v>348</v>
      </c>
      <c r="B5" s="59" t="s">
        <v>344</v>
      </c>
    </row>
    <row r="6" ht="15.75" customHeight="1">
      <c r="A6" s="58" t="s">
        <v>349</v>
      </c>
    </row>
    <row r="7" ht="15.75" customHeight="1">
      <c r="A7" s="58" t="s">
        <v>350</v>
      </c>
    </row>
    <row r="8" ht="15.75" customHeight="1">
      <c r="A8" s="58" t="s">
        <v>351</v>
      </c>
    </row>
    <row r="9" ht="15.75" customHeight="1">
      <c r="A9" s="58" t="s">
        <v>352</v>
      </c>
    </row>
    <row r="10" ht="15.75" customHeight="1">
      <c r="A10" s="58" t="s">
        <v>353</v>
      </c>
    </row>
    <row r="11" ht="15.75" customHeight="1">
      <c r="A11" s="58" t="s">
        <v>354</v>
      </c>
    </row>
    <row r="12" ht="15.75" customHeight="1">
      <c r="A12" s="58" t="s">
        <v>351</v>
      </c>
    </row>
    <row r="13" ht="15.75" customHeight="1">
      <c r="A13" s="58" t="s">
        <v>355</v>
      </c>
    </row>
    <row r="14" ht="15.75" customHeight="1">
      <c r="A14" s="58" t="s">
        <v>353</v>
      </c>
    </row>
    <row r="15" ht="15.75" customHeight="1">
      <c r="A15" s="58" t="s">
        <v>354</v>
      </c>
    </row>
    <row r="16" ht="15.75" customHeight="1">
      <c r="A16" s="58" t="s">
        <v>351</v>
      </c>
    </row>
    <row r="17" ht="15.75" customHeight="1">
      <c r="A17" s="58" t="s">
        <v>356</v>
      </c>
      <c r="B17" s="59" t="s">
        <v>344</v>
      </c>
    </row>
    <row r="18" ht="15.75" customHeight="1">
      <c r="A18" s="58" t="s">
        <v>353</v>
      </c>
    </row>
    <row r="19" ht="15.75" customHeight="1">
      <c r="A19" s="58" t="s">
        <v>354</v>
      </c>
    </row>
    <row r="20" ht="15.75" customHeight="1">
      <c r="A20" s="58" t="s">
        <v>351</v>
      </c>
    </row>
    <row r="21" ht="15.75" customHeight="1">
      <c r="A21" s="58" t="s">
        <v>357</v>
      </c>
      <c r="B21" s="59" t="s">
        <v>344</v>
      </c>
    </row>
    <row r="22" ht="15.75" customHeight="1">
      <c r="A22" s="58" t="s">
        <v>358</v>
      </c>
    </row>
    <row r="23" ht="15.75" customHeight="1">
      <c r="A23" s="58" t="s">
        <v>359</v>
      </c>
    </row>
    <row r="24" ht="15.75" customHeight="1">
      <c r="A24" s="58" t="s">
        <v>360</v>
      </c>
    </row>
    <row r="25" ht="15.75" customHeight="1">
      <c r="A25" s="58" t="s">
        <v>361</v>
      </c>
      <c r="B25" s="59" t="s">
        <v>362</v>
      </c>
    </row>
    <row r="26" ht="15.75" customHeight="1">
      <c r="A26" s="58" t="s">
        <v>353</v>
      </c>
    </row>
    <row r="27" ht="15.75" customHeight="1">
      <c r="A27" s="58" t="s">
        <v>354</v>
      </c>
    </row>
    <row r="28" ht="15.75" customHeight="1">
      <c r="A28" s="58" t="s">
        <v>351</v>
      </c>
    </row>
    <row r="29" ht="15.75" customHeight="1">
      <c r="A29" s="58" t="s">
        <v>363</v>
      </c>
      <c r="B29" s="59" t="s">
        <v>364</v>
      </c>
    </row>
    <row r="30" ht="15.75" customHeight="1">
      <c r="A30" s="58" t="s">
        <v>365</v>
      </c>
    </row>
    <row r="31" ht="15.75" customHeight="1">
      <c r="A31" s="58" t="s">
        <v>366</v>
      </c>
    </row>
    <row r="32" ht="15.75" customHeight="1">
      <c r="A32" s="58" t="s">
        <v>367</v>
      </c>
    </row>
    <row r="33" ht="15.75" customHeight="1">
      <c r="A33" s="58" t="s">
        <v>368</v>
      </c>
    </row>
    <row r="34" ht="15.75" customHeight="1">
      <c r="A34" s="58" t="s">
        <v>353</v>
      </c>
    </row>
    <row r="35" ht="15.75" customHeight="1">
      <c r="A35" s="58" t="s">
        <v>354</v>
      </c>
    </row>
    <row r="36" ht="15.75" customHeight="1">
      <c r="A36" s="58" t="s">
        <v>351</v>
      </c>
    </row>
    <row r="37" ht="15.75" customHeight="1">
      <c r="A37" s="58" t="s">
        <v>369</v>
      </c>
    </row>
    <row r="38" ht="15.75" customHeight="1">
      <c r="A38" s="58" t="s">
        <v>353</v>
      </c>
    </row>
    <row r="39" ht="15.75" customHeight="1">
      <c r="A39" s="58" t="s">
        <v>354</v>
      </c>
    </row>
    <row r="40" ht="15.75" customHeight="1">
      <c r="A40" s="58" t="s">
        <v>351</v>
      </c>
    </row>
    <row r="41" ht="15.75" customHeight="1">
      <c r="A41" s="58" t="s">
        <v>370</v>
      </c>
      <c r="B41" s="59" t="s">
        <v>371</v>
      </c>
    </row>
    <row r="42" ht="15.75" customHeight="1">
      <c r="A42" s="58" t="s">
        <v>372</v>
      </c>
    </row>
    <row r="43" ht="15.75" customHeight="1">
      <c r="A43" s="58" t="s">
        <v>373</v>
      </c>
    </row>
    <row r="44" ht="15.75" customHeight="1">
      <c r="A44" s="58" t="s">
        <v>351</v>
      </c>
    </row>
    <row r="45" ht="15.75" customHeight="1">
      <c r="A45" s="58" t="s">
        <v>374</v>
      </c>
    </row>
    <row r="46" ht="15.75" customHeight="1">
      <c r="A46" s="58" t="s">
        <v>375</v>
      </c>
    </row>
    <row r="47" ht="15.75" customHeight="1">
      <c r="A47" s="58" t="s">
        <v>376</v>
      </c>
    </row>
    <row r="48" ht="15.75" customHeight="1">
      <c r="A48" s="58" t="s">
        <v>351</v>
      </c>
    </row>
    <row r="49" ht="15.75" customHeight="1">
      <c r="A49" s="58" t="s">
        <v>377</v>
      </c>
    </row>
    <row r="50" ht="15.75" customHeight="1">
      <c r="A50" s="58" t="s">
        <v>353</v>
      </c>
    </row>
    <row r="51" ht="15.75" customHeight="1">
      <c r="A51" s="58" t="s">
        <v>354</v>
      </c>
    </row>
    <row r="52" ht="15.75" customHeight="1">
      <c r="A52" s="58" t="s">
        <v>351</v>
      </c>
    </row>
    <row r="53" ht="15.75" customHeight="1">
      <c r="A53" s="58" t="s">
        <v>378</v>
      </c>
    </row>
    <row r="54" ht="15.75" customHeight="1">
      <c r="A54" s="58" t="s">
        <v>353</v>
      </c>
    </row>
    <row r="55" ht="15.75" customHeight="1">
      <c r="A55" s="58" t="s">
        <v>354</v>
      </c>
    </row>
    <row r="56" ht="15.75" customHeight="1">
      <c r="A56" s="58" t="s">
        <v>351</v>
      </c>
    </row>
    <row r="57" ht="15.75" customHeight="1">
      <c r="A57" s="58" t="s">
        <v>379</v>
      </c>
      <c r="B57" s="59" t="s">
        <v>364</v>
      </c>
    </row>
    <row r="58" ht="15.75" customHeight="1">
      <c r="A58" s="58" t="s">
        <v>380</v>
      </c>
    </row>
    <row r="59" ht="15.75" customHeight="1">
      <c r="A59" s="58" t="s">
        <v>354</v>
      </c>
    </row>
    <row r="60" ht="15.75" customHeight="1">
      <c r="A60" s="58" t="s">
        <v>351</v>
      </c>
    </row>
    <row r="61" ht="15.75" customHeight="1">
      <c r="A61" s="58" t="s">
        <v>381</v>
      </c>
    </row>
    <row r="62" ht="15.75" customHeight="1">
      <c r="A62" s="58" t="s">
        <v>353</v>
      </c>
    </row>
    <row r="63" ht="15.75" customHeight="1">
      <c r="A63" s="58" t="s">
        <v>354</v>
      </c>
    </row>
    <row r="64" ht="15.75" customHeight="1">
      <c r="A64" s="58" t="s">
        <v>351</v>
      </c>
    </row>
    <row r="65" ht="15.75" customHeight="1">
      <c r="A65" s="58" t="s">
        <v>382</v>
      </c>
    </row>
    <row r="66" ht="15.75" customHeight="1">
      <c r="A66" s="58" t="s">
        <v>353</v>
      </c>
    </row>
    <row r="67" ht="15.75" customHeight="1">
      <c r="A67" s="58" t="s">
        <v>354</v>
      </c>
    </row>
    <row r="68" ht="15.75" customHeight="1">
      <c r="A68" s="58" t="s">
        <v>351</v>
      </c>
    </row>
    <row r="69" ht="15.75" customHeight="1">
      <c r="A69" s="58" t="s">
        <v>383</v>
      </c>
    </row>
    <row r="70" ht="15.75" customHeight="1">
      <c r="A70" s="58" t="s">
        <v>353</v>
      </c>
    </row>
    <row r="71" ht="15.75" customHeight="1">
      <c r="A71" s="58" t="s">
        <v>354</v>
      </c>
    </row>
    <row r="72" ht="15.75" customHeight="1">
      <c r="A72" s="58" t="s">
        <v>351</v>
      </c>
    </row>
    <row r="73" ht="15.75" customHeight="1">
      <c r="A73" s="58" t="s">
        <v>384</v>
      </c>
      <c r="B73" s="59" t="s">
        <v>385</v>
      </c>
    </row>
    <row r="74" ht="15.75" customHeight="1">
      <c r="A74" s="58" t="s">
        <v>353</v>
      </c>
    </row>
    <row r="75" ht="15.75" customHeight="1">
      <c r="A75" s="58" t="s">
        <v>354</v>
      </c>
    </row>
    <row r="76" ht="15.75" customHeight="1">
      <c r="A76" s="58" t="s">
        <v>367</v>
      </c>
    </row>
    <row r="77" ht="15.75" customHeight="1">
      <c r="A77" s="58" t="s">
        <v>386</v>
      </c>
      <c r="B77" s="59" t="s">
        <v>362</v>
      </c>
    </row>
    <row r="78" ht="15.75" customHeight="1">
      <c r="A78" s="58" t="s">
        <v>387</v>
      </c>
    </row>
    <row r="79" ht="15.75" customHeight="1">
      <c r="A79" s="58" t="s">
        <v>388</v>
      </c>
    </row>
    <row r="80" ht="15.75" customHeight="1">
      <c r="A80" s="58" t="s">
        <v>351</v>
      </c>
    </row>
    <row r="81" ht="15.75" customHeight="1">
      <c r="A81" s="33" t="s">
        <v>36</v>
      </c>
      <c r="B81" s="59" t="s">
        <v>344</v>
      </c>
    </row>
    <row r="82" ht="15.75" customHeight="1">
      <c r="A82" s="58" t="s">
        <v>389</v>
      </c>
    </row>
    <row r="83" ht="15.75" customHeight="1">
      <c r="A83" s="58" t="s">
        <v>390</v>
      </c>
    </row>
    <row r="84" ht="15.75" customHeight="1">
      <c r="A84" s="58" t="s">
        <v>391</v>
      </c>
    </row>
    <row r="85" ht="15.75" customHeight="1">
      <c r="A85" s="58" t="s">
        <v>351</v>
      </c>
    </row>
    <row r="86" ht="15.75" customHeight="1">
      <c r="A86" s="58" t="s">
        <v>392</v>
      </c>
    </row>
    <row r="87" ht="15.75" customHeight="1">
      <c r="A87" s="58" t="s">
        <v>393</v>
      </c>
    </row>
    <row r="88" ht="15.75" customHeight="1">
      <c r="A88" s="58" t="s">
        <v>394</v>
      </c>
    </row>
    <row r="89" ht="15.75" customHeight="1">
      <c r="A89" s="58" t="s">
        <v>395</v>
      </c>
    </row>
    <row r="90" ht="15.75" customHeight="1">
      <c r="A90" s="58" t="s">
        <v>396</v>
      </c>
    </row>
    <row r="91" ht="15.75" customHeight="1">
      <c r="A91" s="58" t="s">
        <v>397</v>
      </c>
    </row>
    <row r="92" ht="15.75" customHeight="1">
      <c r="A92" s="58" t="s">
        <v>398</v>
      </c>
    </row>
    <row r="93" ht="15.75" customHeight="1">
      <c r="A93" s="58" t="s">
        <v>399</v>
      </c>
    </row>
    <row r="94" ht="15.75" customHeight="1">
      <c r="A94" s="58" t="s">
        <v>400</v>
      </c>
    </row>
    <row r="95" ht="15.75" customHeight="1">
      <c r="A95" s="58" t="s">
        <v>401</v>
      </c>
    </row>
    <row r="96" ht="15.75" customHeight="1">
      <c r="A96" s="58" t="s">
        <v>402</v>
      </c>
    </row>
    <row r="97" ht="15.75" customHeight="1">
      <c r="A97" s="58" t="s">
        <v>403</v>
      </c>
    </row>
    <row r="98" ht="15.75" customHeight="1">
      <c r="A98" s="58" t="s">
        <v>404</v>
      </c>
    </row>
    <row r="99" ht="15.75" customHeight="1">
      <c r="A99" s="58" t="s">
        <v>405</v>
      </c>
    </row>
    <row r="100" ht="15.75" customHeight="1">
      <c r="A100" s="58" t="s">
        <v>406</v>
      </c>
    </row>
    <row r="101" ht="15.75" customHeight="1">
      <c r="A101" s="58" t="s">
        <v>407</v>
      </c>
    </row>
    <row r="102" ht="15.75" customHeight="1">
      <c r="A102" s="59" t="s">
        <v>408</v>
      </c>
    </row>
    <row r="103" ht="15.75" customHeight="1">
      <c r="A103" s="58" t="s">
        <v>409</v>
      </c>
    </row>
    <row r="104" ht="15.75" customHeight="1">
      <c r="A104" s="58" t="s">
        <v>410</v>
      </c>
    </row>
    <row r="105" ht="15.75" customHeight="1">
      <c r="A105" s="58" t="s">
        <v>411</v>
      </c>
    </row>
    <row r="106" ht="15.75" customHeight="1">
      <c r="A106" s="58" t="s">
        <v>351</v>
      </c>
    </row>
    <row r="107" ht="15.75" customHeight="1">
      <c r="A107" s="58" t="s">
        <v>412</v>
      </c>
    </row>
    <row r="108" ht="15.75" customHeight="1">
      <c r="A108" s="58" t="s">
        <v>413</v>
      </c>
    </row>
    <row r="109" ht="15.75" customHeight="1">
      <c r="A109" s="58" t="s">
        <v>414</v>
      </c>
    </row>
    <row r="110" ht="15.75" customHeight="1">
      <c r="A110" s="58" t="s">
        <v>351</v>
      </c>
    </row>
    <row r="111" ht="15.75" customHeight="1">
      <c r="A111" s="58" t="s">
        <v>415</v>
      </c>
    </row>
    <row r="112" ht="15.75" customHeight="1">
      <c r="A112" s="58" t="s">
        <v>416</v>
      </c>
    </row>
    <row r="113" ht="15.75" customHeight="1">
      <c r="A113" s="58" t="s">
        <v>417</v>
      </c>
    </row>
    <row r="114" ht="15.75" customHeight="1">
      <c r="A114" s="58" t="s">
        <v>351</v>
      </c>
    </row>
    <row r="115" ht="15.75" customHeight="1">
      <c r="A115" s="59" t="s">
        <v>89</v>
      </c>
      <c r="B115" s="59" t="s">
        <v>344</v>
      </c>
    </row>
    <row r="116" ht="15.75" customHeight="1">
      <c r="A116" s="58" t="s">
        <v>418</v>
      </c>
    </row>
    <row r="117" ht="15.75" customHeight="1">
      <c r="A117" s="58" t="s">
        <v>419</v>
      </c>
    </row>
    <row r="118" ht="15.75" customHeight="1">
      <c r="A118" s="58" t="s">
        <v>420</v>
      </c>
    </row>
    <row r="119" ht="15.75" customHeight="1">
      <c r="A119" s="58" t="s">
        <v>421</v>
      </c>
    </row>
    <row r="120" ht="15.75" customHeight="1">
      <c r="A120" s="58" t="s">
        <v>422</v>
      </c>
    </row>
    <row r="121" ht="15.75" customHeight="1">
      <c r="A121" s="58" t="s">
        <v>423</v>
      </c>
    </row>
    <row r="122" ht="15.75" customHeight="1">
      <c r="A122" s="58" t="s">
        <v>424</v>
      </c>
    </row>
    <row r="123" ht="15.75" customHeight="1">
      <c r="A123" s="58" t="s">
        <v>425</v>
      </c>
    </row>
    <row r="124" ht="15.75" customHeight="1">
      <c r="A124" s="58" t="s">
        <v>426</v>
      </c>
    </row>
    <row r="125" ht="15.75" customHeight="1">
      <c r="A125" s="58" t="s">
        <v>427</v>
      </c>
    </row>
    <row r="126" ht="15.75" customHeight="1">
      <c r="A126" s="58" t="s">
        <v>428</v>
      </c>
    </row>
    <row r="127" ht="15.75" customHeight="1">
      <c r="A127" s="58" t="s">
        <v>429</v>
      </c>
    </row>
    <row r="128" ht="15.75" customHeight="1">
      <c r="A128" s="58" t="s">
        <v>430</v>
      </c>
    </row>
    <row r="129" ht="15.75" customHeight="1">
      <c r="A129" s="58" t="s">
        <v>431</v>
      </c>
    </row>
    <row r="130" ht="15.75" customHeight="1">
      <c r="A130" s="58" t="s">
        <v>432</v>
      </c>
    </row>
    <row r="131" ht="15.75" customHeight="1">
      <c r="A131" s="58" t="s">
        <v>427</v>
      </c>
    </row>
    <row r="132" ht="15.75" customHeight="1">
      <c r="A132" s="58" t="s">
        <v>433</v>
      </c>
    </row>
    <row r="133" ht="15.75" customHeight="1">
      <c r="A133" s="58" t="s">
        <v>434</v>
      </c>
    </row>
    <row r="134" ht="15.75" customHeight="1">
      <c r="A134" s="59" t="s">
        <v>99</v>
      </c>
      <c r="B134" s="59" t="s">
        <v>344</v>
      </c>
    </row>
    <row r="135" ht="15.75" customHeight="1">
      <c r="A135" s="58" t="s">
        <v>435</v>
      </c>
    </row>
    <row r="136" ht="15.75" customHeight="1">
      <c r="A136" s="58" t="s">
        <v>436</v>
      </c>
    </row>
    <row r="137" ht="15.75" customHeight="1">
      <c r="A137" s="58" t="s">
        <v>437</v>
      </c>
    </row>
    <row r="138" ht="15.75" customHeight="1">
      <c r="A138" s="58" t="s">
        <v>438</v>
      </c>
    </row>
    <row r="139" ht="15.75" customHeight="1">
      <c r="A139" s="58" t="s">
        <v>439</v>
      </c>
    </row>
    <row r="140" ht="15.75" customHeight="1">
      <c r="A140" s="58" t="s">
        <v>440</v>
      </c>
    </row>
    <row r="141" ht="15.75" customHeight="1">
      <c r="A141" s="58" t="s">
        <v>441</v>
      </c>
    </row>
    <row r="142" ht="15.75" customHeight="1">
      <c r="A142" s="58" t="s">
        <v>442</v>
      </c>
    </row>
    <row r="143" ht="15.75" customHeight="1">
      <c r="A143" s="58" t="s">
        <v>443</v>
      </c>
    </row>
    <row r="144" ht="15.75" customHeight="1">
      <c r="A144" s="58" t="s">
        <v>444</v>
      </c>
    </row>
    <row r="145" ht="15.75" customHeight="1">
      <c r="A145" s="58" t="s">
        <v>445</v>
      </c>
    </row>
    <row r="146" ht="15.75" customHeight="1">
      <c r="A146" s="58" t="s">
        <v>446</v>
      </c>
    </row>
    <row r="147" ht="15.75" customHeight="1">
      <c r="A147" s="58" t="s">
        <v>447</v>
      </c>
    </row>
    <row r="148" ht="15.75" customHeight="1">
      <c r="A148" s="58" t="s">
        <v>381</v>
      </c>
    </row>
    <row r="149" ht="15.75" customHeight="1">
      <c r="A149" s="58" t="s">
        <v>448</v>
      </c>
    </row>
    <row r="150" ht="15.75" customHeight="1">
      <c r="A150" s="58" t="s">
        <v>449</v>
      </c>
    </row>
    <row r="151" ht="15.75" customHeight="1">
      <c r="A151" s="58" t="s">
        <v>450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9.0"/>
    <col customWidth="1" min="2" max="2" width="2.5"/>
    <col customWidth="1" min="3" max="3" width="57.63"/>
    <col customWidth="1" min="4" max="4" width="2.25"/>
    <col customWidth="1" min="5" max="5" width="91.63"/>
    <col customWidth="1" min="6" max="6" width="12.63"/>
  </cols>
  <sheetData>
    <row r="1" ht="15.75" customHeight="1">
      <c r="A1" s="58" t="s">
        <v>451</v>
      </c>
      <c r="C1" s="58" t="s">
        <v>452</v>
      </c>
      <c r="E1" s="58" t="s">
        <v>453</v>
      </c>
    </row>
    <row r="2" ht="15.75" customHeight="1">
      <c r="A2" s="58" t="s">
        <v>454</v>
      </c>
      <c r="C2" s="58" t="s">
        <v>353</v>
      </c>
      <c r="E2" s="58" t="s">
        <v>455</v>
      </c>
    </row>
    <row r="3" ht="15.75" customHeight="1">
      <c r="A3" s="58" t="s">
        <v>456</v>
      </c>
      <c r="C3" s="58" t="s">
        <v>354</v>
      </c>
      <c r="E3" s="58" t="s">
        <v>457</v>
      </c>
    </row>
    <row r="4" ht="15.75" customHeight="1">
      <c r="A4" s="58" t="s">
        <v>458</v>
      </c>
      <c r="C4" s="58" t="s">
        <v>351</v>
      </c>
      <c r="E4" s="58" t="s">
        <v>459</v>
      </c>
    </row>
    <row r="5" ht="15.75" customHeight="1">
      <c r="A5" s="58" t="s">
        <v>460</v>
      </c>
      <c r="C5" s="58" t="s">
        <v>461</v>
      </c>
      <c r="E5" s="32" t="s">
        <v>462</v>
      </c>
    </row>
    <row r="6" ht="15.75" customHeight="1">
      <c r="A6" s="58" t="s">
        <v>349</v>
      </c>
      <c r="C6" s="58" t="s">
        <v>353</v>
      </c>
      <c r="E6" s="58" t="s">
        <v>453</v>
      </c>
    </row>
    <row r="7" ht="15.75" customHeight="1">
      <c r="A7" s="58" t="s">
        <v>350</v>
      </c>
      <c r="C7" s="58" t="s">
        <v>354</v>
      </c>
      <c r="E7" s="58" t="s">
        <v>455</v>
      </c>
    </row>
    <row r="8" ht="15.75" customHeight="1">
      <c r="A8" s="58" t="s">
        <v>351</v>
      </c>
      <c r="C8" s="58" t="s">
        <v>351</v>
      </c>
      <c r="E8" s="58" t="s">
        <v>457</v>
      </c>
    </row>
    <row r="9" ht="15.75" customHeight="1">
      <c r="A9" s="58" t="s">
        <v>463</v>
      </c>
      <c r="C9" s="58" t="s">
        <v>464</v>
      </c>
      <c r="E9" s="58" t="s">
        <v>465</v>
      </c>
    </row>
    <row r="10" ht="15.75" customHeight="1">
      <c r="A10" s="58" t="s">
        <v>353</v>
      </c>
      <c r="C10" s="58" t="s">
        <v>353</v>
      </c>
    </row>
    <row r="11" ht="15.75" customHeight="1">
      <c r="A11" s="58" t="s">
        <v>354</v>
      </c>
      <c r="C11" s="58" t="s">
        <v>354</v>
      </c>
      <c r="E11" s="58" t="s">
        <v>466</v>
      </c>
    </row>
    <row r="12" ht="15.75" customHeight="1">
      <c r="A12" s="58" t="s">
        <v>351</v>
      </c>
      <c r="C12" s="58" t="s">
        <v>351</v>
      </c>
      <c r="E12" s="58" t="s">
        <v>467</v>
      </c>
    </row>
    <row r="13" ht="15.75" customHeight="1">
      <c r="A13" s="58" t="s">
        <v>468</v>
      </c>
      <c r="C13" s="58" t="s">
        <v>469</v>
      </c>
      <c r="E13" s="58" t="s">
        <v>470</v>
      </c>
    </row>
    <row r="14" ht="15.75" customHeight="1">
      <c r="A14" s="58" t="s">
        <v>365</v>
      </c>
      <c r="C14" s="58" t="s">
        <v>353</v>
      </c>
      <c r="E14" s="58" t="s">
        <v>421</v>
      </c>
    </row>
    <row r="15" ht="15.75" customHeight="1">
      <c r="A15" s="58" t="s">
        <v>366</v>
      </c>
      <c r="C15" s="58" t="s">
        <v>354</v>
      </c>
    </row>
    <row r="16" ht="15.75" customHeight="1">
      <c r="A16" s="58" t="s">
        <v>471</v>
      </c>
      <c r="C16" s="58" t="s">
        <v>351</v>
      </c>
      <c r="E16" s="58" t="s">
        <v>472</v>
      </c>
    </row>
    <row r="17" ht="15.75" customHeight="1">
      <c r="A17" s="58" t="s">
        <v>473</v>
      </c>
      <c r="C17" s="58" t="s">
        <v>474</v>
      </c>
      <c r="E17" s="58" t="s">
        <v>475</v>
      </c>
    </row>
    <row r="18" ht="15.75" customHeight="1">
      <c r="A18" s="58" t="s">
        <v>387</v>
      </c>
      <c r="C18" s="58" t="s">
        <v>372</v>
      </c>
      <c r="E18" s="58" t="s">
        <v>476</v>
      </c>
    </row>
    <row r="19" ht="15.75" customHeight="1">
      <c r="A19" s="58" t="s">
        <v>388</v>
      </c>
      <c r="C19" s="58" t="s">
        <v>373</v>
      </c>
      <c r="E19" s="58" t="s">
        <v>425</v>
      </c>
    </row>
    <row r="20" ht="15.75" customHeight="1">
      <c r="A20" s="58" t="s">
        <v>351</v>
      </c>
      <c r="C20" s="58" t="s">
        <v>351</v>
      </c>
    </row>
    <row r="21" ht="15.75" customHeight="1">
      <c r="A21" s="58" t="s">
        <v>452</v>
      </c>
      <c r="C21" s="58" t="s">
        <v>477</v>
      </c>
      <c r="E21" s="58" t="s">
        <v>478</v>
      </c>
    </row>
    <row r="22" ht="15.75" customHeight="1">
      <c r="A22" s="58" t="s">
        <v>353</v>
      </c>
      <c r="C22" s="58" t="s">
        <v>375</v>
      </c>
      <c r="E22" s="58" t="s">
        <v>479</v>
      </c>
    </row>
    <row r="23" ht="15.75" customHeight="1">
      <c r="A23" s="58" t="s">
        <v>354</v>
      </c>
      <c r="C23" s="58" t="s">
        <v>376</v>
      </c>
      <c r="E23" s="58" t="s">
        <v>480</v>
      </c>
    </row>
    <row r="24" ht="15.75" customHeight="1">
      <c r="A24" s="58" t="s">
        <v>351</v>
      </c>
      <c r="C24" s="58" t="s">
        <v>351</v>
      </c>
      <c r="E24" s="58" t="s">
        <v>351</v>
      </c>
    </row>
    <row r="25" ht="15.75" customHeight="1">
      <c r="A25" s="58" t="s">
        <v>461</v>
      </c>
      <c r="C25" s="58" t="s">
        <v>481</v>
      </c>
    </row>
    <row r="26" ht="15.75" customHeight="1">
      <c r="A26" s="58" t="s">
        <v>353</v>
      </c>
      <c r="C26" s="58" t="s">
        <v>353</v>
      </c>
      <c r="E26" s="58" t="s">
        <v>482</v>
      </c>
    </row>
    <row r="27" ht="15.75" customHeight="1">
      <c r="A27" s="58" t="s">
        <v>354</v>
      </c>
      <c r="C27" s="58" t="s">
        <v>354</v>
      </c>
      <c r="E27" s="58" t="s">
        <v>483</v>
      </c>
    </row>
    <row r="28" ht="15.75" customHeight="1">
      <c r="A28" s="58" t="s">
        <v>351</v>
      </c>
      <c r="C28" s="58" t="s">
        <v>351</v>
      </c>
      <c r="E28" s="58" t="s">
        <v>484</v>
      </c>
    </row>
    <row r="29" ht="15.75" customHeight="1">
      <c r="A29" s="58" t="s">
        <v>485</v>
      </c>
      <c r="C29" s="58" t="s">
        <v>486</v>
      </c>
      <c r="E29" s="58" t="s">
        <v>351</v>
      </c>
    </row>
    <row r="30" ht="15.75" customHeight="1">
      <c r="A30" s="58" t="s">
        <v>375</v>
      </c>
      <c r="C30" s="58" t="s">
        <v>353</v>
      </c>
    </row>
    <row r="31" ht="15.75" customHeight="1">
      <c r="A31" s="58" t="s">
        <v>487</v>
      </c>
      <c r="C31" s="58" t="s">
        <v>354</v>
      </c>
      <c r="E31" s="58" t="s">
        <v>488</v>
      </c>
    </row>
    <row r="32" ht="15.75" customHeight="1">
      <c r="A32" s="58" t="s">
        <v>351</v>
      </c>
      <c r="C32" s="58" t="s">
        <v>351</v>
      </c>
      <c r="E32" s="58" t="s">
        <v>489</v>
      </c>
    </row>
    <row r="33" ht="15.75" customHeight="1">
      <c r="A33" s="58" t="s">
        <v>490</v>
      </c>
      <c r="C33" s="58" t="s">
        <v>491</v>
      </c>
      <c r="E33" s="58" t="s">
        <v>492</v>
      </c>
    </row>
    <row r="34" ht="15.75" customHeight="1">
      <c r="A34" s="58" t="s">
        <v>493</v>
      </c>
      <c r="C34" s="58" t="s">
        <v>380</v>
      </c>
      <c r="E34" s="58" t="s">
        <v>494</v>
      </c>
    </row>
    <row r="35" ht="15.75" customHeight="1">
      <c r="A35" s="58" t="s">
        <v>495</v>
      </c>
      <c r="C35" s="58" t="s">
        <v>354</v>
      </c>
    </row>
    <row r="36" ht="15.75" customHeight="1">
      <c r="A36" s="58" t="s">
        <v>351</v>
      </c>
      <c r="C36" s="58" t="s">
        <v>351</v>
      </c>
      <c r="E36" s="58" t="s">
        <v>496</v>
      </c>
    </row>
    <row r="37" ht="15.75" customHeight="1">
      <c r="A37" s="58" t="s">
        <v>497</v>
      </c>
      <c r="E37" s="58" t="s">
        <v>498</v>
      </c>
    </row>
    <row r="38" ht="15.75" customHeight="1">
      <c r="A38" s="58" t="s">
        <v>448</v>
      </c>
      <c r="E38" s="58" t="s">
        <v>499</v>
      </c>
    </row>
    <row r="39" ht="15.75" customHeight="1">
      <c r="A39" s="58" t="s">
        <v>500</v>
      </c>
      <c r="E39" s="58" t="s">
        <v>501</v>
      </c>
    </row>
    <row r="40" ht="15.75" customHeight="1">
      <c r="A40" s="58" t="s">
        <v>351</v>
      </c>
    </row>
    <row r="41" ht="15.75" customHeight="1">
      <c r="A41" s="58" t="s">
        <v>502</v>
      </c>
      <c r="E41" s="58" t="s">
        <v>488</v>
      </c>
    </row>
    <row r="42" ht="15.75" customHeight="1">
      <c r="A42" s="58" t="s">
        <v>353</v>
      </c>
      <c r="E42" s="58" t="s">
        <v>503</v>
      </c>
    </row>
    <row r="43" ht="15.75" customHeight="1">
      <c r="A43" s="58" t="s">
        <v>354</v>
      </c>
      <c r="E43" s="58" t="s">
        <v>504</v>
      </c>
    </row>
    <row r="44" ht="15.75" customHeight="1">
      <c r="A44" s="58" t="s">
        <v>367</v>
      </c>
      <c r="E44" s="58" t="s">
        <v>505</v>
      </c>
    </row>
    <row r="45" ht="15.75" customHeight="1">
      <c r="A45" s="58" t="s">
        <v>506</v>
      </c>
    </row>
    <row r="46" ht="15.75" customHeight="1">
      <c r="A46" s="58" t="s">
        <v>507</v>
      </c>
    </row>
    <row r="47" ht="15.75" customHeight="1">
      <c r="A47" s="58" t="s">
        <v>508</v>
      </c>
    </row>
    <row r="48" ht="15.75" customHeight="1">
      <c r="A48" s="58" t="s">
        <v>360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/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3.0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14"/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381</v>
      </c>
      <c r="J6" s="17" t="s">
        <v>38</v>
      </c>
      <c r="K6" s="20" t="s">
        <v>44</v>
      </c>
    </row>
    <row r="7" ht="15.75" customHeight="1">
      <c r="B7" s="12" t="s">
        <v>45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1</v>
      </c>
      <c r="H7" s="17" t="s">
        <v>34</v>
      </c>
      <c r="I7" s="18">
        <v>32.0</v>
      </c>
      <c r="J7" s="19"/>
      <c r="K7" s="20" t="s">
        <v>35</v>
      </c>
    </row>
    <row r="8" ht="15.75" customHeight="1">
      <c r="B8" s="12" t="s">
        <v>47</v>
      </c>
      <c r="C8" s="13" t="s">
        <v>24</v>
      </c>
      <c r="D8" s="14"/>
      <c r="F8" s="24"/>
      <c r="H8" s="17" t="s">
        <v>37</v>
      </c>
      <c r="I8" s="18">
        <v>128.0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14"/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50</v>
      </c>
      <c r="C10" s="13" t="s">
        <v>24</v>
      </c>
      <c r="D10" s="14"/>
      <c r="F10" s="24"/>
      <c r="H10" s="17" t="s">
        <v>43</v>
      </c>
      <c r="I10" s="26">
        <f>(($E$55*2)/($G$3+$G$7))*1.5</f>
        <v>381</v>
      </c>
      <c r="J10" s="17" t="s">
        <v>38</v>
      </c>
      <c r="K10" s="20" t="s">
        <v>51</v>
      </c>
    </row>
    <row r="11" ht="15.75" customHeight="1">
      <c r="B11" s="12" t="s">
        <v>52</v>
      </c>
      <c r="C11" s="13" t="s">
        <v>53</v>
      </c>
      <c r="D11" s="14">
        <v>3.0</v>
      </c>
      <c r="F11" s="25"/>
      <c r="H11" s="17" t="s">
        <v>54</v>
      </c>
      <c r="I11" s="17">
        <f>(ROUNDUP($C$58/$G$15)*$B$58)+(ROUNDUP($C$57/$G$15)*$B$57)</f>
        <v>0</v>
      </c>
      <c r="J11" s="17" t="s">
        <v>38</v>
      </c>
      <c r="K11" s="20" t="s">
        <v>51</v>
      </c>
    </row>
    <row r="12" ht="15.75" customHeight="1">
      <c r="B12" s="12" t="s">
        <v>55</v>
      </c>
      <c r="C12" s="13" t="s">
        <v>56</v>
      </c>
      <c r="D12" s="14">
        <v>25.0</v>
      </c>
      <c r="F12" s="20" t="s">
        <v>57</v>
      </c>
      <c r="G12" s="19"/>
      <c r="H12" s="19"/>
      <c r="I12" s="17">
        <f>IF($D$40=TRUE,$D$39*$D$35,0)</f>
        <v>0</v>
      </c>
      <c r="J12" s="17" t="s">
        <v>38</v>
      </c>
      <c r="K12" s="20" t="s">
        <v>58</v>
      </c>
    </row>
    <row r="13" ht="15.75" customHeight="1">
      <c r="B13" s="12" t="s">
        <v>59</v>
      </c>
      <c r="C13" s="13" t="s">
        <v>60</v>
      </c>
      <c r="D13" s="14">
        <v>2.0</v>
      </c>
      <c r="J13" s="28"/>
    </row>
    <row r="14" ht="15.75" customHeight="1">
      <c r="B14" s="12" t="s">
        <v>61</v>
      </c>
      <c r="C14" s="13" t="s">
        <v>62</v>
      </c>
      <c r="D14" s="14">
        <v>1.0</v>
      </c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64</v>
      </c>
      <c r="C15" s="13" t="s">
        <v>56</v>
      </c>
      <c r="D15" s="14">
        <v>25.0</v>
      </c>
      <c r="F15" s="15" t="s">
        <v>65</v>
      </c>
      <c r="G15" s="27">
        <f>roundup(max(($C$55/($I$15-Resources!$B$3)),$D$55/($I$16-Resources!$C$3)/0.85))</f>
        <v>1</v>
      </c>
      <c r="H15" s="17" t="s">
        <v>34</v>
      </c>
      <c r="I15" s="18">
        <v>32.0</v>
      </c>
      <c r="J15" s="19"/>
      <c r="K15" s="20" t="s">
        <v>35</v>
      </c>
    </row>
    <row r="16" ht="15.75" customHeight="1">
      <c r="B16" s="12" t="s">
        <v>66</v>
      </c>
      <c r="C16" s="13" t="s">
        <v>24</v>
      </c>
      <c r="D16" s="14"/>
      <c r="F16" s="24"/>
      <c r="H16" s="17" t="s">
        <v>37</v>
      </c>
      <c r="I16" s="18">
        <v>128.0</v>
      </c>
      <c r="J16" s="17" t="s">
        <v>38</v>
      </c>
      <c r="K16" s="20" t="s">
        <v>35</v>
      </c>
    </row>
    <row r="17" ht="15.75" customHeight="1">
      <c r="B17" s="12" t="s">
        <v>67</v>
      </c>
      <c r="C17" s="13" t="s">
        <v>68</v>
      </c>
      <c r="D17" s="14">
        <v>14.0</v>
      </c>
      <c r="F17" s="24"/>
      <c r="H17" s="19"/>
      <c r="I17" s="19"/>
      <c r="J17" s="19"/>
      <c r="K17" s="19"/>
    </row>
    <row r="18" ht="15.75" customHeight="1">
      <c r="B18" s="12" t="s">
        <v>69</v>
      </c>
      <c r="C18" s="13" t="s">
        <v>70</v>
      </c>
      <c r="D18" s="14">
        <v>128.0</v>
      </c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74</v>
      </c>
      <c r="C19" s="13" t="s">
        <v>75</v>
      </c>
      <c r="D19" s="14">
        <v>1.0</v>
      </c>
      <c r="F19" s="25"/>
      <c r="H19" s="17" t="s">
        <v>76</v>
      </c>
      <c r="I19" s="17">
        <f>ROUNDUP($C$58/$G$15)</f>
        <v>0</v>
      </c>
      <c r="J19" s="17" t="s">
        <v>72</v>
      </c>
      <c r="K19" s="20" t="s">
        <v>73</v>
      </c>
    </row>
    <row r="20" ht="15.75" customHeight="1">
      <c r="B20" s="12" t="s">
        <v>77</v>
      </c>
      <c r="C20" s="13" t="s">
        <v>68</v>
      </c>
      <c r="D20" s="14">
        <v>14.0</v>
      </c>
      <c r="F20" s="20" t="s">
        <v>57</v>
      </c>
      <c r="G20" s="19"/>
      <c r="H20" s="19"/>
      <c r="I20" s="17">
        <f>IF($D$40=TRUE,$D$39*$D$35,0)</f>
        <v>0</v>
      </c>
      <c r="J20" s="17" t="s">
        <v>38</v>
      </c>
      <c r="K20" s="20" t="s">
        <v>78</v>
      </c>
    </row>
    <row r="21" ht="15.75" customHeight="1">
      <c r="B21" s="12" t="s">
        <v>79</v>
      </c>
      <c r="C21" s="13" t="s">
        <v>70</v>
      </c>
      <c r="D21" s="14">
        <v>128.0</v>
      </c>
      <c r="F21" s="20" t="s">
        <v>80</v>
      </c>
      <c r="G21" s="19"/>
      <c r="H21" s="19"/>
      <c r="I21" s="26">
        <f>($E$55*1.3)</f>
        <v>660.4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14"/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14"/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128</v>
      </c>
      <c r="H25" s="20">
        <f>($G$3*$I$4)+($G$7*$I$8)</f>
        <v>320</v>
      </c>
    </row>
    <row r="26" ht="15.75" customHeight="1">
      <c r="B26" s="12" t="s">
        <v>90</v>
      </c>
      <c r="C26" s="13" t="s">
        <v>24</v>
      </c>
      <c r="D26" s="14"/>
      <c r="F26" s="20" t="s">
        <v>91</v>
      </c>
      <c r="G26" s="20">
        <f>($G$15*$I$15)</f>
        <v>32</v>
      </c>
      <c r="H26" s="20">
        <f>($G$15*$I$16)</f>
        <v>128</v>
      </c>
    </row>
    <row r="27" ht="15.75" customHeight="1">
      <c r="B27" s="12" t="s">
        <v>92</v>
      </c>
      <c r="C27" s="13" t="s">
        <v>24</v>
      </c>
      <c r="D27" s="14"/>
    </row>
    <row r="28" ht="15.75" customHeight="1">
      <c r="B28" s="12" t="s">
        <v>93</v>
      </c>
      <c r="C28" s="13" t="s">
        <v>24</v>
      </c>
      <c r="D28" s="14"/>
    </row>
    <row r="29" ht="15.75" customHeight="1">
      <c r="B29" s="12" t="s">
        <v>94</v>
      </c>
      <c r="C29" s="13" t="s">
        <v>24</v>
      </c>
      <c r="D29" s="14"/>
    </row>
    <row r="30" ht="15.75" customHeight="1">
      <c r="B30" s="12" t="s">
        <v>95</v>
      </c>
      <c r="C30" s="13" t="s">
        <v>24</v>
      </c>
      <c r="D30" s="14"/>
    </row>
    <row r="31" ht="15.75" customHeight="1">
      <c r="B31" s="12" t="s">
        <v>96</v>
      </c>
      <c r="C31" s="13" t="s">
        <v>24</v>
      </c>
      <c r="D31" s="14"/>
    </row>
    <row r="32" ht="15.75" customHeight="1">
      <c r="B32" s="12" t="s">
        <v>97</v>
      </c>
      <c r="C32" s="13" t="s">
        <v>24</v>
      </c>
      <c r="D32" s="14"/>
    </row>
    <row r="33" ht="15.75" customHeight="1">
      <c r="B33" s="12" t="s">
        <v>98</v>
      </c>
      <c r="C33" s="13" t="s">
        <v>24</v>
      </c>
      <c r="D33" s="14"/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/>
    </row>
    <row r="36" ht="15.75" customHeight="1">
      <c r="B36" s="12" t="s">
        <v>101</v>
      </c>
      <c r="C36" s="13" t="s">
        <v>24</v>
      </c>
      <c r="D36" s="14"/>
    </row>
    <row r="37" ht="15.75" customHeight="1">
      <c r="B37" s="12" t="s">
        <v>102</v>
      </c>
      <c r="C37" s="13" t="s">
        <v>24</v>
      </c>
      <c r="D37" s="14"/>
    </row>
    <row r="38" ht="15.75" customHeight="1">
      <c r="B38" s="12" t="s">
        <v>103</v>
      </c>
      <c r="C38" s="13" t="s">
        <v>24</v>
      </c>
      <c r="D38" s="14"/>
    </row>
    <row r="39" ht="15.75" customHeight="1">
      <c r="B39" s="35" t="s">
        <v>104</v>
      </c>
      <c r="C39" s="36" t="s">
        <v>105</v>
      </c>
      <c r="D39" s="37">
        <v>100.0</v>
      </c>
    </row>
    <row r="40" ht="15.75" customHeight="1">
      <c r="B40" s="12" t="s">
        <v>106</v>
      </c>
      <c r="C40" s="13" t="s">
        <v>107</v>
      </c>
      <c r="D40" s="14" t="b">
        <v>0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customHeight="1">
      <c r="B48" s="12" t="s">
        <v>117</v>
      </c>
      <c r="C48" s="12">
        <f>(Resources!$B$16*$D$5)</f>
        <v>0</v>
      </c>
      <c r="D48" s="12">
        <f>(Resources!$C$16*$D$5)</f>
        <v>0</v>
      </c>
      <c r="E48" s="19"/>
    </row>
    <row r="49" ht="15.75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customHeight="1">
      <c r="B50" s="12" t="s">
        <v>119</v>
      </c>
      <c r="C50" s="12">
        <f>IF($D$10,$D$10*$D$11,0)+IF($D$10,$D$13*$D$14,0)+($D$9*Resources!$B$26)+IF($D$16,$D$16*$D$17,0)+IF($D$16,$D$19*$D$20,0)</f>
        <v>0</v>
      </c>
      <c r="D50" s="12">
        <f>IF($D$10,$D$10*$D$12,0)+IF($D$10,$D$13*$D$15,0)+($D$9*Resources!$C$26)+IF($D$16,$D$16*$D$18,0)+IF($D$16,$D$19*$D$21,0)</f>
        <v>0</v>
      </c>
      <c r="E50" s="19"/>
    </row>
    <row r="51" ht="15.75" customHeight="1">
      <c r="B51" s="12" t="s">
        <v>120</v>
      </c>
      <c r="C51" s="12">
        <f>(Resources!$B$27*$D$22)+(Resources!$B$28*$D$23)+(Resources!$B$29*$D$24)</f>
        <v>0</v>
      </c>
      <c r="D51" s="12">
        <f>(Resources!$C$27*$D$22)+(Resources!$C$28*$D$23)+(Resources!$C$29*$D$24)</f>
        <v>0</v>
      </c>
      <c r="E51" s="19"/>
    </row>
    <row r="52" ht="15.75" customHeight="1">
      <c r="B52" s="12" t="s">
        <v>89</v>
      </c>
      <c r="C52" s="12">
        <f>(Resources!$B$31*$D$26)+(Resources!$B$32*$D$27)+($D$28*$D$29*$D$32)+($D$30*$D$28)</f>
        <v>0</v>
      </c>
      <c r="D52" s="12">
        <f>if($D$33,(($D$28*$D$29*($D$33+2))),0)+if($D$31,(($D$31*$D$28)+($D$28*2)),0)+(Resources!$C$31*$D$26)+(Resources!$C$32*$D$27)</f>
        <v>0</v>
      </c>
      <c r="E52" s="12">
        <f>(Resources!$E$31*$D$26)+(Resources!$E$32*$D$27)</f>
        <v>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0</v>
      </c>
      <c r="D53" s="12">
        <f>(Resources!$C$10*$D$35)+(Resources!$C$11*$D$36)+(Resources!$C$12*$D$37)+(Resources!$C$13*$D$38)+if($D$42=TRUE,Resources!$C$14,0)</f>
        <v>0</v>
      </c>
      <c r="E53" s="12">
        <f>((Resources!$E$10*$D$35)+if($D$35,(IF($D$40=TRUE,0,$D$39*$D$35)),0))+if($D$42=TRUE,Resources!$E$14,0)</f>
        <v>0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20.1</v>
      </c>
      <c r="D55" s="40">
        <f t="shared" si="1"/>
        <v>58.6</v>
      </c>
      <c r="E55" s="40">
        <f>(sum($E$47:$E$53))</f>
        <v>508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0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>
        <v>1.0</v>
      </c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>
        <v>1.0</v>
      </c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234.6</v>
      </c>
      <c r="J6" s="17" t="s">
        <v>38</v>
      </c>
      <c r="K6" s="20" t="s">
        <v>44</v>
      </c>
    </row>
    <row r="7" ht="15.75" customHeight="1">
      <c r="B7" s="12" t="s">
        <v>125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14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126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>
        <v>1.0</v>
      </c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127</v>
      </c>
      <c r="C10" s="13" t="s">
        <v>24</v>
      </c>
      <c r="D10" s="14"/>
      <c r="F10" s="24"/>
      <c r="H10" s="17" t="s">
        <v>43</v>
      </c>
      <c r="I10" s="26">
        <f>(($E$55*2)/($G$3+$G$7))*1.5</f>
        <v>234.6</v>
      </c>
      <c r="J10" s="17" t="s">
        <v>38</v>
      </c>
      <c r="K10" s="20" t="s">
        <v>51</v>
      </c>
    </row>
    <row r="11" ht="15.75" customHeight="1">
      <c r="B11" s="12" t="s">
        <v>128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630</v>
      </c>
      <c r="J11" s="17" t="s">
        <v>38</v>
      </c>
      <c r="K11" s="20" t="s">
        <v>51</v>
      </c>
    </row>
    <row r="12" ht="15.75" customHeight="1">
      <c r="B12" s="12" t="s">
        <v>129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100</v>
      </c>
      <c r="J12" s="17" t="s">
        <v>38</v>
      </c>
      <c r="K12" s="20" t="s">
        <v>58</v>
      </c>
    </row>
    <row r="13" ht="15.75" customHeight="1">
      <c r="B13" s="12" t="s">
        <v>130</v>
      </c>
      <c r="C13" s="13" t="s">
        <v>131</v>
      </c>
      <c r="D13" s="14"/>
      <c r="J13" s="28"/>
    </row>
    <row r="14" ht="15.75" customHeight="1">
      <c r="B14" s="12" t="s">
        <v>132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133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30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134</v>
      </c>
      <c r="C16" s="13" t="s">
        <v>24</v>
      </c>
      <c r="D16" s="42">
        <v>15.0</v>
      </c>
      <c r="F16" s="24"/>
      <c r="H16" s="17" t="s">
        <v>37</v>
      </c>
      <c r="I16" s="18">
        <v>128.0</v>
      </c>
      <c r="J16" s="17" t="s">
        <v>38</v>
      </c>
      <c r="K16" s="20" t="s">
        <v>35</v>
      </c>
    </row>
    <row r="17" ht="15.75" customHeight="1">
      <c r="B17" s="12" t="s">
        <v>135</v>
      </c>
      <c r="C17" s="13" t="s">
        <v>68</v>
      </c>
      <c r="D17" s="42">
        <v>14.0</v>
      </c>
      <c r="F17" s="24"/>
      <c r="H17" s="19"/>
      <c r="I17" s="19"/>
      <c r="J17" s="19"/>
      <c r="K17" s="19"/>
    </row>
    <row r="18" ht="15.75" customHeight="1">
      <c r="B18" s="12" t="s">
        <v>136</v>
      </c>
      <c r="C18" s="13" t="s">
        <v>70</v>
      </c>
      <c r="D18" s="42">
        <v>128.0</v>
      </c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137</v>
      </c>
      <c r="C19" s="13" t="s">
        <v>138</v>
      </c>
      <c r="D19" s="42">
        <v>2.0</v>
      </c>
      <c r="F19" s="25"/>
      <c r="H19" s="17" t="s">
        <v>76</v>
      </c>
      <c r="I19" s="17">
        <f>ROUNDUP($C$58/$G$15)</f>
        <v>1</v>
      </c>
      <c r="J19" s="17" t="s">
        <v>72</v>
      </c>
      <c r="K19" s="20" t="s">
        <v>73</v>
      </c>
    </row>
    <row r="20" ht="15.75" customHeight="1">
      <c r="B20" s="12" t="s">
        <v>139</v>
      </c>
      <c r="C20" s="13" t="s">
        <v>68</v>
      </c>
      <c r="D20" s="42">
        <v>14.0</v>
      </c>
      <c r="F20" s="20" t="s">
        <v>57</v>
      </c>
      <c r="G20" s="19"/>
      <c r="H20" s="19"/>
      <c r="I20" s="17">
        <f>IF($D$40=TRUE,$D$39*$D$35,0)</f>
        <v>100</v>
      </c>
      <c r="J20" s="17" t="s">
        <v>38</v>
      </c>
      <c r="K20" s="20" t="s">
        <v>78</v>
      </c>
    </row>
    <row r="21" ht="15.75" customHeight="1">
      <c r="B21" s="12" t="s">
        <v>140</v>
      </c>
      <c r="C21" s="13" t="s">
        <v>70</v>
      </c>
      <c r="D21" s="42">
        <v>128.0</v>
      </c>
      <c r="F21" s="20" t="s">
        <v>80</v>
      </c>
      <c r="G21" s="19"/>
      <c r="H21" s="19"/>
      <c r="I21" s="26">
        <f>($E$55*1.3)</f>
        <v>1524.9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42">
        <v>1.0</v>
      </c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14"/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928</v>
      </c>
      <c r="H25" s="20">
        <f>($G$3*$I$4)+($G$7*$I$8)</f>
        <v>3648</v>
      </c>
    </row>
    <row r="26" ht="15.75" customHeight="1">
      <c r="B26" s="12" t="s">
        <v>90</v>
      </c>
      <c r="C26" s="13" t="s">
        <v>24</v>
      </c>
      <c r="D26" s="42">
        <v>1.0</v>
      </c>
      <c r="F26" s="20" t="s">
        <v>91</v>
      </c>
      <c r="G26" s="20">
        <f>($G$15*$I$15)</f>
        <v>960</v>
      </c>
      <c r="H26" s="20">
        <f>($G$15*$I$16)</f>
        <v>3840</v>
      </c>
    </row>
    <row r="27" ht="15.75" customHeight="1">
      <c r="B27" s="12" t="s">
        <v>92</v>
      </c>
      <c r="C27" s="13" t="s">
        <v>24</v>
      </c>
      <c r="D27" s="42">
        <v>1.0</v>
      </c>
    </row>
    <row r="28" ht="15.75" customHeight="1">
      <c r="B28" s="12" t="s">
        <v>93</v>
      </c>
      <c r="C28" s="13" t="s">
        <v>24</v>
      </c>
      <c r="D28" s="42">
        <v>7.0</v>
      </c>
    </row>
    <row r="29" ht="15.75" customHeight="1">
      <c r="B29" s="12" t="s">
        <v>94</v>
      </c>
      <c r="C29" s="13" t="s">
        <v>24</v>
      </c>
      <c r="D29" s="42">
        <v>2.0</v>
      </c>
    </row>
    <row r="30" ht="15.75" customHeight="1">
      <c r="B30" s="12" t="s">
        <v>95</v>
      </c>
      <c r="C30" s="13" t="s">
        <v>24</v>
      </c>
      <c r="D30" s="42">
        <v>2.0</v>
      </c>
    </row>
    <row r="31" ht="15.75" customHeight="1">
      <c r="B31" s="12" t="s">
        <v>96</v>
      </c>
      <c r="C31" s="13" t="s">
        <v>24</v>
      </c>
      <c r="D31" s="42">
        <v>4.0</v>
      </c>
    </row>
    <row r="32" ht="15.75" customHeight="1">
      <c r="B32" s="12" t="s">
        <v>97</v>
      </c>
      <c r="C32" s="13" t="s">
        <v>24</v>
      </c>
      <c r="D32" s="42">
        <v>2.0</v>
      </c>
    </row>
    <row r="33" ht="15.75" customHeight="1">
      <c r="B33" s="12" t="s">
        <v>98</v>
      </c>
      <c r="C33" s="13" t="s">
        <v>24</v>
      </c>
      <c r="D33" s="42">
        <v>20.0</v>
      </c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42">
        <v>2.0</v>
      </c>
    </row>
    <row r="37" ht="15.75" customHeight="1">
      <c r="B37" s="12" t="s">
        <v>102</v>
      </c>
      <c r="C37" s="13" t="s">
        <v>24</v>
      </c>
      <c r="D37" s="42">
        <v>2.0</v>
      </c>
    </row>
    <row r="38" ht="15.75" customHeight="1">
      <c r="B38" s="12" t="s">
        <v>103</v>
      </c>
      <c r="C38" s="13" t="s">
        <v>24</v>
      </c>
      <c r="D38" s="42">
        <v>3.0</v>
      </c>
    </row>
    <row r="39" ht="15.75" customHeight="1">
      <c r="B39" s="35" t="s">
        <v>104</v>
      </c>
      <c r="C39" s="36" t="s">
        <v>105</v>
      </c>
      <c r="D39" s="37">
        <v>100.0</v>
      </c>
    </row>
    <row r="40" ht="15.75" customHeight="1">
      <c r="B40" s="12" t="s">
        <v>106</v>
      </c>
      <c r="C40" s="13" t="s">
        <v>141</v>
      </c>
      <c r="D40" s="14" t="b">
        <v>1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customHeight="1">
      <c r="B48" s="12" t="s">
        <v>117</v>
      </c>
      <c r="C48" s="12">
        <f>(Resources!$B$16*$D$5)</f>
        <v>7.8</v>
      </c>
      <c r="D48" s="12">
        <f>(Resources!$C$16*$D$5)</f>
        <v>20.4</v>
      </c>
      <c r="E48" s="19"/>
    </row>
    <row r="49" ht="15.75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customHeight="1">
      <c r="B50" s="12" t="s">
        <v>119</v>
      </c>
      <c r="C50" s="12">
        <f>IF($D$10,$D$10*$D$11,0)+IF($D$10,$D$13*$D$14,0)+($D$9*Resources!$B$26)+IF($D$16,$D$16*$D$17,0)+IF($D$16,$D$19*$D$20,0)</f>
        <v>244</v>
      </c>
      <c r="D50" s="12">
        <f>IF($D$10,$D$10*$D$12,0)+IF($D$10,$D$13*$D$15,0)+($D$9*Resources!$C$26)+IF($D$16,$D$16*$D$18,0)+IF($D$16,$D$19*$D$21,0)</f>
        <v>2216</v>
      </c>
      <c r="E50" s="19"/>
    </row>
    <row r="51" ht="15.75" customHeight="1">
      <c r="B51" s="12" t="s">
        <v>120</v>
      </c>
      <c r="C51" s="12">
        <f>(Resources!$B$27*$D$22)+(Resources!$B$28*$D$23)+(Resources!$B$29*$D$24)</f>
        <v>2.1</v>
      </c>
      <c r="D51" s="12">
        <f>(Resources!$C$27*$D$22)+(Resources!$C$28*$D$23)+(Resources!$C$29*$D$24)</f>
        <v>8.5</v>
      </c>
      <c r="E51" s="19"/>
    </row>
    <row r="52" ht="15.75" customHeight="1">
      <c r="B52" s="12" t="s">
        <v>89</v>
      </c>
      <c r="C52" s="12">
        <f>(Resources!$B$31*$D$26)+(Resources!$B$32*$D$27)+($D$28*$D$29*$D$32)+($D$30*$D$28)</f>
        <v>59</v>
      </c>
      <c r="D52" s="12">
        <f>if($D$33,(($D$28*$D$29*($D$33+2))),0)+if($D$31,(($D$31*$D$28)+($D$28*2)),0)+(Resources!$C$31*$D$26)+(Resources!$C$32*$D$27)</f>
        <v>398</v>
      </c>
      <c r="E52" s="12">
        <f>(Resources!$E$31*$D$26)+(Resources!$E$32*$D$27)</f>
        <v>510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39</v>
      </c>
      <c r="D53" s="12">
        <f>(Resources!$C$10*$D$35)+(Resources!$C$11*$D$36)+(Resources!$C$12*$D$37)+(Resources!$C$13*$D$38)+if($D$42=TRUE,Resources!$C$14,0)</f>
        <v>96</v>
      </c>
      <c r="E53" s="12">
        <f>((Resources!$E$10*$D$35)+if($D$35,(IF($D$40=TRUE,0,$D$39*$D$35)),0))+if($D$42=TRUE,Resources!$E$14,0)</f>
        <v>155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372</v>
      </c>
      <c r="D55" s="40">
        <f t="shared" si="1"/>
        <v>2797.5</v>
      </c>
      <c r="E55" s="40">
        <f>(sum($E$47:$E$53))</f>
        <v>1173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17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>
        <v>1.0</v>
      </c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/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663</v>
      </c>
      <c r="J6" s="17" t="s">
        <v>38</v>
      </c>
      <c r="K6" s="20" t="s">
        <v>44</v>
      </c>
    </row>
    <row r="7" ht="15.75" customHeight="1">
      <c r="B7" s="12" t="s">
        <v>142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2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143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/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144</v>
      </c>
      <c r="C10" s="13" t="s">
        <v>24</v>
      </c>
      <c r="D10" s="14"/>
      <c r="F10" s="24"/>
      <c r="H10" s="17" t="s">
        <v>43</v>
      </c>
      <c r="I10" s="26">
        <f>(($E$55*2)/($G$3+$G$7))*1.5</f>
        <v>663</v>
      </c>
      <c r="J10" s="17" t="s">
        <v>38</v>
      </c>
      <c r="K10" s="20" t="s">
        <v>51</v>
      </c>
    </row>
    <row r="11" ht="15.75" customHeight="1">
      <c r="B11" s="12" t="s">
        <v>145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0</v>
      </c>
      <c r="J11" s="17" t="s">
        <v>38</v>
      </c>
      <c r="K11" s="20" t="s">
        <v>51</v>
      </c>
    </row>
    <row r="12" ht="15.75" customHeight="1">
      <c r="B12" s="12" t="s">
        <v>146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100</v>
      </c>
      <c r="J12" s="17" t="s">
        <v>38</v>
      </c>
      <c r="K12" s="20" t="s">
        <v>58</v>
      </c>
    </row>
    <row r="13" ht="15.75" customHeight="1">
      <c r="B13" s="12" t="s">
        <v>147</v>
      </c>
      <c r="C13" s="13" t="s">
        <v>148</v>
      </c>
      <c r="D13" s="14"/>
      <c r="J13" s="28"/>
    </row>
    <row r="14" ht="15.75" customHeight="1">
      <c r="B14" s="12" t="s">
        <v>149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150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3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151</v>
      </c>
      <c r="C16" s="13" t="s">
        <v>24</v>
      </c>
      <c r="D16" s="42"/>
      <c r="F16" s="24"/>
      <c r="H16" s="17" t="s">
        <v>37</v>
      </c>
      <c r="I16" s="18">
        <v>128.0</v>
      </c>
      <c r="J16" s="17" t="s">
        <v>38</v>
      </c>
      <c r="K16" s="20" t="s">
        <v>35</v>
      </c>
    </row>
    <row r="17" ht="15.75" customHeight="1">
      <c r="B17" s="12" t="s">
        <v>152</v>
      </c>
      <c r="C17" s="13" t="s">
        <v>68</v>
      </c>
      <c r="D17" s="42"/>
      <c r="F17" s="24"/>
      <c r="H17" s="19"/>
      <c r="I17" s="19"/>
      <c r="J17" s="19"/>
      <c r="K17" s="19"/>
    </row>
    <row r="18" ht="15.75" customHeight="1">
      <c r="B18" s="12" t="s">
        <v>153</v>
      </c>
      <c r="C18" s="13" t="s">
        <v>70</v>
      </c>
      <c r="D18" s="42"/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154</v>
      </c>
      <c r="C19" s="13" t="s">
        <v>155</v>
      </c>
      <c r="D19" s="42"/>
      <c r="F19" s="25"/>
      <c r="H19" s="17" t="s">
        <v>76</v>
      </c>
      <c r="I19" s="17">
        <f>ROUNDUP($C$58/$G$15)</f>
        <v>0</v>
      </c>
      <c r="J19" s="17" t="s">
        <v>72</v>
      </c>
      <c r="K19" s="20" t="s">
        <v>73</v>
      </c>
    </row>
    <row r="20" ht="15.75" customHeight="1">
      <c r="B20" s="12" t="s">
        <v>156</v>
      </c>
      <c r="C20" s="13" t="s">
        <v>68</v>
      </c>
      <c r="D20" s="42"/>
      <c r="F20" s="20" t="s">
        <v>57</v>
      </c>
      <c r="G20" s="19"/>
      <c r="H20" s="19"/>
      <c r="I20" s="17">
        <f>IF($D$40=TRUE,$D$39*$D$35,0)</f>
        <v>100</v>
      </c>
      <c r="J20" s="17" t="s">
        <v>38</v>
      </c>
      <c r="K20" s="20" t="s">
        <v>78</v>
      </c>
    </row>
    <row r="21" ht="15.75" customHeight="1">
      <c r="B21" s="12" t="s">
        <v>157</v>
      </c>
      <c r="C21" s="13" t="s">
        <v>70</v>
      </c>
      <c r="D21" s="42"/>
      <c r="F21" s="20" t="s">
        <v>80</v>
      </c>
      <c r="G21" s="19"/>
      <c r="H21" s="19"/>
      <c r="I21" s="26">
        <f>($E$55*1.3)</f>
        <v>861.9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42"/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14"/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160</v>
      </c>
      <c r="H25" s="20">
        <f>($G$3*$I$4)+($G$7*$I$8)</f>
        <v>576</v>
      </c>
    </row>
    <row r="26" ht="15.75" customHeight="1">
      <c r="B26" s="12" t="s">
        <v>90</v>
      </c>
      <c r="C26" s="13" t="s">
        <v>24</v>
      </c>
      <c r="D26" s="42"/>
      <c r="F26" s="20" t="s">
        <v>91</v>
      </c>
      <c r="G26" s="20">
        <f>($G$15*$I$15)</f>
        <v>96</v>
      </c>
      <c r="H26" s="20">
        <f>($G$15*$I$16)</f>
        <v>384</v>
      </c>
    </row>
    <row r="27" ht="15.75" customHeight="1">
      <c r="B27" s="12" t="s">
        <v>92</v>
      </c>
      <c r="C27" s="13" t="s">
        <v>24</v>
      </c>
      <c r="D27" s="42"/>
    </row>
    <row r="28" ht="15.75" customHeight="1">
      <c r="B28" s="12" t="s">
        <v>93</v>
      </c>
      <c r="C28" s="13" t="s">
        <v>24</v>
      </c>
      <c r="D28" s="42"/>
    </row>
    <row r="29" ht="15.75" customHeight="1">
      <c r="B29" s="12" t="s">
        <v>94</v>
      </c>
      <c r="C29" s="13" t="s">
        <v>24</v>
      </c>
      <c r="D29" s="42"/>
    </row>
    <row r="30" ht="15.75" customHeight="1">
      <c r="B30" s="12" t="s">
        <v>95</v>
      </c>
      <c r="C30" s="13" t="s">
        <v>24</v>
      </c>
      <c r="D30" s="42"/>
    </row>
    <row r="31" ht="15.75" customHeight="1">
      <c r="B31" s="12" t="s">
        <v>96</v>
      </c>
      <c r="C31" s="13" t="s">
        <v>24</v>
      </c>
      <c r="D31" s="42"/>
    </row>
    <row r="32" ht="15.75" customHeight="1">
      <c r="B32" s="12" t="s">
        <v>97</v>
      </c>
      <c r="C32" s="13" t="s">
        <v>24</v>
      </c>
      <c r="D32" s="42"/>
    </row>
    <row r="33" ht="15.75" customHeight="1">
      <c r="B33" s="12" t="s">
        <v>98</v>
      </c>
      <c r="C33" s="13" t="s">
        <v>24</v>
      </c>
      <c r="D33" s="42"/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42">
        <v>2.0</v>
      </c>
    </row>
    <row r="37" ht="15.75" customHeight="1">
      <c r="B37" s="12" t="s">
        <v>102</v>
      </c>
      <c r="C37" s="13" t="s">
        <v>24</v>
      </c>
      <c r="D37" s="42">
        <v>2.0</v>
      </c>
    </row>
    <row r="38" ht="15.75" customHeight="1">
      <c r="B38" s="12" t="s">
        <v>103</v>
      </c>
      <c r="C38" s="13" t="s">
        <v>24</v>
      </c>
      <c r="D38" s="42">
        <v>3.0</v>
      </c>
    </row>
    <row r="39" ht="15.75" customHeight="1">
      <c r="B39" s="35" t="s">
        <v>104</v>
      </c>
      <c r="C39" s="36" t="s">
        <v>105</v>
      </c>
      <c r="D39" s="37">
        <v>100.0</v>
      </c>
    </row>
    <row r="40" ht="15.75" customHeight="1">
      <c r="B40" s="12" t="s">
        <v>106</v>
      </c>
      <c r="C40" s="13" t="s">
        <v>158</v>
      </c>
      <c r="D40" s="14" t="b">
        <v>1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hidden="1" customHeight="1">
      <c r="B48" s="12" t="s">
        <v>117</v>
      </c>
      <c r="C48" s="12">
        <f>(Resources!$B$16*$D$5)</f>
        <v>0</v>
      </c>
      <c r="D48" s="12">
        <f>(Resources!$C$16*$D$5)</f>
        <v>0</v>
      </c>
      <c r="E48" s="19"/>
    </row>
    <row r="49" ht="15.75" hidden="1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hidden="1" customHeight="1">
      <c r="B50" s="12" t="s">
        <v>119</v>
      </c>
      <c r="C50" s="12">
        <f>IF($D$10,$D$10*$D$11,0)+IF($D$10,$D$13*$D$14,0)+($D$9*Resources!$B$26)+IF($D$16,$D$16*$D$17,0)+IF($D$16,$D$19*$D$20,0)</f>
        <v>0</v>
      </c>
      <c r="D50" s="12">
        <f>IF($D$10,$D$10*$D$12,0)+IF($D$10,$D$13*$D$15,0)+($D$9*Resources!$C$26)+IF($D$16,$D$16*$D$18,0)+IF($D$16,$D$19*$D$21,0)</f>
        <v>0</v>
      </c>
      <c r="E50" s="19"/>
    </row>
    <row r="51" ht="15.75" hidden="1" customHeight="1">
      <c r="B51" s="12" t="s">
        <v>120</v>
      </c>
      <c r="C51" s="12">
        <f>(Resources!$B$27*$D$22)+(Resources!$B$28*$D$23)+(Resources!$B$29*$D$24)</f>
        <v>0</v>
      </c>
      <c r="D51" s="12">
        <f>(Resources!$C$27*$D$22)+(Resources!$C$28*$D$23)+(Resources!$C$29*$D$24)</f>
        <v>0</v>
      </c>
      <c r="E51" s="19"/>
    </row>
    <row r="52" ht="15.75" hidden="1" customHeight="1">
      <c r="B52" s="12" t="s">
        <v>89</v>
      </c>
      <c r="C52" s="12">
        <f>(Resources!$B$31*$D$26)+(Resources!$B$32*$D$27)+($D$28*$D$29*$D$32)+($D$30*$D$28)</f>
        <v>0</v>
      </c>
      <c r="D52" s="12">
        <f>if($D$33,(($D$28*$D$29*($D$33+2))),0)+if($D$31,(($D$31*$D$28)+($D$28*2)),0)+(Resources!$C$31*$D$26)+(Resources!$C$32*$D$27)</f>
        <v>0</v>
      </c>
      <c r="E52" s="12">
        <f>(Resources!$E$31*$D$26)+(Resources!$E$32*$D$27)</f>
        <v>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39</v>
      </c>
      <c r="D53" s="12">
        <f>(Resources!$C$10*$D$35)+(Resources!$C$11*$D$36)+(Resources!$C$12*$D$37)+(Resources!$C$13*$D$38)+if($D$42=TRUE,Resources!$C$14,0)</f>
        <v>96</v>
      </c>
      <c r="E53" s="12">
        <f>((Resources!$E$10*$D$35)+if($D$35,(IF($D$40=TRUE,0,$D$39*$D$35)),0))+if($D$42=TRUE,Resources!$E$14,0)</f>
        <v>155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59.1</v>
      </c>
      <c r="D55" s="40">
        <f t="shared" si="1"/>
        <v>154.6</v>
      </c>
      <c r="E55" s="40">
        <f>(sum($E$47:$E$53))</f>
        <v>663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0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/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>
        <v>1.0</v>
      </c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320.76</v>
      </c>
      <c r="J6" s="17" t="s">
        <v>38</v>
      </c>
      <c r="K6" s="20" t="s">
        <v>44</v>
      </c>
    </row>
    <row r="7" ht="15.75" customHeight="1">
      <c r="B7" s="12" t="s">
        <v>159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24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160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>
        <v>1.0</v>
      </c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161</v>
      </c>
      <c r="C10" s="13" t="s">
        <v>24</v>
      </c>
      <c r="D10" s="14"/>
      <c r="F10" s="24"/>
      <c r="H10" s="17" t="s">
        <v>43</v>
      </c>
      <c r="I10" s="26">
        <f>(($E$55*2)/($G$3+$G$7))*1.5</f>
        <v>320.76</v>
      </c>
      <c r="J10" s="17" t="s">
        <v>38</v>
      </c>
      <c r="K10" s="20" t="s">
        <v>51</v>
      </c>
    </row>
    <row r="11" ht="15.75" customHeight="1">
      <c r="B11" s="12" t="s">
        <v>162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630</v>
      </c>
      <c r="J11" s="17" t="s">
        <v>38</v>
      </c>
      <c r="K11" s="20" t="s">
        <v>51</v>
      </c>
    </row>
    <row r="12" ht="15.75" customHeight="1">
      <c r="B12" s="12" t="s">
        <v>163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0</v>
      </c>
      <c r="J12" s="17" t="s">
        <v>38</v>
      </c>
      <c r="K12" s="20" t="s">
        <v>58</v>
      </c>
    </row>
    <row r="13" ht="15.75" customHeight="1">
      <c r="B13" s="12" t="s">
        <v>164</v>
      </c>
      <c r="C13" s="13" t="s">
        <v>165</v>
      </c>
      <c r="D13" s="14"/>
      <c r="J13" s="28"/>
    </row>
    <row r="14" ht="15.75" customHeight="1">
      <c r="B14" s="12" t="s">
        <v>166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167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52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168</v>
      </c>
      <c r="C16" s="13" t="s">
        <v>24</v>
      </c>
      <c r="D16" s="42">
        <v>27.0</v>
      </c>
      <c r="F16" s="24"/>
      <c r="H16" s="17" t="s">
        <v>37</v>
      </c>
      <c r="I16" s="43">
        <v>128.0</v>
      </c>
      <c r="J16" s="17" t="s">
        <v>38</v>
      </c>
      <c r="K16" s="20" t="s">
        <v>35</v>
      </c>
    </row>
    <row r="17" ht="15.75" customHeight="1">
      <c r="B17" s="44" t="s">
        <v>169</v>
      </c>
      <c r="C17" s="13" t="s">
        <v>68</v>
      </c>
      <c r="D17" s="42">
        <v>14.0</v>
      </c>
      <c r="F17" s="24"/>
      <c r="H17" s="19"/>
      <c r="I17" s="19"/>
      <c r="J17" s="19"/>
      <c r="K17" s="19"/>
    </row>
    <row r="18" ht="15.75" customHeight="1">
      <c r="B18" s="12" t="s">
        <v>170</v>
      </c>
      <c r="C18" s="13" t="s">
        <v>70</v>
      </c>
      <c r="D18" s="42">
        <v>128.0</v>
      </c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171</v>
      </c>
      <c r="C19" s="13" t="s">
        <v>172</v>
      </c>
      <c r="D19" s="42">
        <v>2.0</v>
      </c>
      <c r="F19" s="25"/>
      <c r="H19" s="17" t="s">
        <v>76</v>
      </c>
      <c r="I19" s="17">
        <f>ROUNDUP($C$58/$G$15)</f>
        <v>1</v>
      </c>
      <c r="J19" s="17" t="s">
        <v>72</v>
      </c>
      <c r="K19" s="20" t="s">
        <v>73</v>
      </c>
    </row>
    <row r="20" ht="15.75" customHeight="1">
      <c r="B20" s="12" t="s">
        <v>173</v>
      </c>
      <c r="C20" s="13" t="s">
        <v>68</v>
      </c>
      <c r="D20" s="42">
        <v>14.0</v>
      </c>
      <c r="F20" s="20" t="s">
        <v>57</v>
      </c>
      <c r="G20" s="19"/>
      <c r="H20" s="19"/>
      <c r="I20" s="17">
        <f>IF($D$40=TRUE,$D$39*$D$35,0)</f>
        <v>0</v>
      </c>
      <c r="J20" s="17" t="s">
        <v>38</v>
      </c>
      <c r="K20" s="20" t="s">
        <v>78</v>
      </c>
    </row>
    <row r="21" ht="15.75" customHeight="1">
      <c r="B21" s="12" t="s">
        <v>174</v>
      </c>
      <c r="C21" s="13" t="s">
        <v>70</v>
      </c>
      <c r="D21" s="42">
        <v>128.0</v>
      </c>
      <c r="F21" s="20" t="s">
        <v>80</v>
      </c>
      <c r="G21" s="19"/>
      <c r="H21" s="19"/>
      <c r="I21" s="26">
        <f>($E$55*1.3)</f>
        <v>3474.9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14"/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42">
        <v>1.0</v>
      </c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1568</v>
      </c>
      <c r="H25" s="20">
        <f>($G$3*$I$4)+($G$7*$I$8)</f>
        <v>6208</v>
      </c>
    </row>
    <row r="26" ht="15.75" customHeight="1">
      <c r="B26" s="12" t="s">
        <v>90</v>
      </c>
      <c r="C26" s="13" t="s">
        <v>24</v>
      </c>
      <c r="D26" s="42">
        <v>1.0</v>
      </c>
      <c r="F26" s="20" t="s">
        <v>91</v>
      </c>
      <c r="G26" s="20">
        <f>($G$15*$I$15)</f>
        <v>1664</v>
      </c>
      <c r="H26" s="20">
        <f>($G$15*$I$16)</f>
        <v>6656</v>
      </c>
    </row>
    <row r="27" ht="15.75" customHeight="1">
      <c r="B27" s="12" t="s">
        <v>92</v>
      </c>
      <c r="C27" s="13" t="s">
        <v>24</v>
      </c>
      <c r="D27" s="42">
        <v>1.0</v>
      </c>
    </row>
    <row r="28" ht="15.75" customHeight="1">
      <c r="B28" s="12" t="s">
        <v>93</v>
      </c>
      <c r="C28" s="13" t="s">
        <v>24</v>
      </c>
      <c r="D28" s="42">
        <v>7.0</v>
      </c>
    </row>
    <row r="29" ht="15.75" customHeight="1">
      <c r="B29" s="12" t="s">
        <v>94</v>
      </c>
      <c r="C29" s="13" t="s">
        <v>24</v>
      </c>
      <c r="D29" s="42">
        <v>2.0</v>
      </c>
    </row>
    <row r="30" ht="15.75" customHeight="1">
      <c r="B30" s="12" t="s">
        <v>95</v>
      </c>
      <c r="C30" s="13" t="s">
        <v>24</v>
      </c>
      <c r="D30" s="42">
        <v>2.0</v>
      </c>
    </row>
    <row r="31" ht="15.75" customHeight="1">
      <c r="B31" s="12" t="s">
        <v>96</v>
      </c>
      <c r="C31" s="13" t="s">
        <v>24</v>
      </c>
      <c r="D31" s="42">
        <v>4.0</v>
      </c>
    </row>
    <row r="32" ht="15.75" customHeight="1">
      <c r="B32" s="12" t="s">
        <v>97</v>
      </c>
      <c r="C32" s="13" t="s">
        <v>24</v>
      </c>
      <c r="D32" s="42">
        <v>2.0</v>
      </c>
    </row>
    <row r="33" ht="15.75" customHeight="1">
      <c r="B33" s="12" t="s">
        <v>98</v>
      </c>
      <c r="C33" s="13" t="s">
        <v>24</v>
      </c>
      <c r="D33" s="42">
        <v>20.0</v>
      </c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14"/>
    </row>
    <row r="37" ht="15.75" customHeight="1">
      <c r="B37" s="12" t="s">
        <v>102</v>
      </c>
      <c r="C37" s="13" t="s">
        <v>24</v>
      </c>
      <c r="D37" s="42">
        <v>14.0</v>
      </c>
    </row>
    <row r="38" ht="15.75" customHeight="1">
      <c r="B38" s="12" t="s">
        <v>103</v>
      </c>
      <c r="C38" s="13" t="s">
        <v>24</v>
      </c>
      <c r="D38" s="42">
        <v>30.0</v>
      </c>
    </row>
    <row r="39" ht="15.75" customHeight="1">
      <c r="B39" s="35" t="s">
        <v>104</v>
      </c>
      <c r="C39" s="36" t="s">
        <v>105</v>
      </c>
      <c r="D39" s="37">
        <v>1500.0</v>
      </c>
    </row>
    <row r="40" ht="15.75" customHeight="1">
      <c r="B40" s="12" t="s">
        <v>106</v>
      </c>
      <c r="C40" s="13" t="s">
        <v>175</v>
      </c>
      <c r="D40" s="14" t="b">
        <v>0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customHeight="1">
      <c r="B48" s="12" t="s">
        <v>117</v>
      </c>
      <c r="C48" s="12">
        <f>(Resources!$B$16*$D$5)</f>
        <v>7.8</v>
      </c>
      <c r="D48" s="12">
        <f>(Resources!$C$16*$D$5)</f>
        <v>20.4</v>
      </c>
      <c r="E48" s="19"/>
    </row>
    <row r="49" ht="15.75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customHeight="1">
      <c r="B50" s="12" t="s">
        <v>119</v>
      </c>
      <c r="C50" s="12">
        <f>IF($D$10,$D$10*$D$11,0)+IF($D$10,$D$13*$D$14,0)+($D$9*Resources!$B$26)+IF($D$16,$D$16*$D$17,0)+IF($D$16,$D$19*$D$20,0)</f>
        <v>412</v>
      </c>
      <c r="D50" s="12">
        <f>IF($D$10,$D$10*$D$12,0)+IF($D$10,$D$13*$D$15,0)+($D$9*Resources!$C$26)+IF($D$16,$D$16*$D$18,0)+IF($D$16,$D$19*$D$21,0)</f>
        <v>3752</v>
      </c>
      <c r="E50" s="19"/>
    </row>
    <row r="51" ht="15.75" customHeight="1">
      <c r="B51" s="12" t="s">
        <v>120</v>
      </c>
      <c r="C51" s="12">
        <f>(Resources!$B$27*$D$22)+(Resources!$B$28*$D$23)+(Resources!$B$29*$D$24)</f>
        <v>4.2</v>
      </c>
      <c r="D51" s="12">
        <f>(Resources!$C$27*$D$22)+(Resources!$C$28*$D$23)+(Resources!$C$29*$D$24)</f>
        <v>16.5</v>
      </c>
      <c r="E51" s="19"/>
    </row>
    <row r="52" ht="15.75" customHeight="1">
      <c r="B52" s="12" t="s">
        <v>89</v>
      </c>
      <c r="C52" s="12">
        <f>(Resources!$B$31*$D$26)+(Resources!$B$32*$D$27)+($D$28*$D$29*$D$32)+($D$30*$D$28)</f>
        <v>59</v>
      </c>
      <c r="D52" s="12">
        <f>if($D$33,(($D$28*$D$29*($D$33+2))),0)+if($D$31,(($D$31*$D$28)+($D$28*2)),0)+(Resources!$C$31*$D$26)+(Resources!$C$32*$D$27)</f>
        <v>398</v>
      </c>
      <c r="E52" s="12">
        <f>(Resources!$E$31*$D$26)+(Resources!$E$32*$D$27)</f>
        <v>510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245</v>
      </c>
      <c r="D53" s="12">
        <f>(Resources!$C$10*$D$35)+(Resources!$C$11*$D$36)+(Resources!$C$12*$D$37)+(Resources!$C$13*$D$38)+if($D$42=TRUE,Resources!$C$14,0)</f>
        <v>616</v>
      </c>
      <c r="E53" s="12">
        <f>((Resources!$E$10*$D$35)+if($D$35,(IF($D$40=TRUE,0,$D$39*$D$35)),0))+if($D$42=TRUE,Resources!$E$14,0)</f>
        <v>1655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748.1</v>
      </c>
      <c r="D55" s="40">
        <f t="shared" si="1"/>
        <v>4861.5</v>
      </c>
      <c r="E55" s="40">
        <f>(sum($E$47:$E$53))</f>
        <v>2673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29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/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/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1081.5</v>
      </c>
      <c r="J6" s="17" t="s">
        <v>38</v>
      </c>
      <c r="K6" s="20" t="s">
        <v>44</v>
      </c>
    </row>
    <row r="7" ht="15.75" customHeight="1">
      <c r="B7" s="12" t="s">
        <v>176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5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177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/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178</v>
      </c>
      <c r="C10" s="13" t="s">
        <v>24</v>
      </c>
      <c r="D10" s="14"/>
      <c r="F10" s="24"/>
      <c r="H10" s="17" t="s">
        <v>43</v>
      </c>
      <c r="I10" s="26">
        <f>(($E$55*2)/($G$3+$G$7))*1.5</f>
        <v>1081.5</v>
      </c>
      <c r="J10" s="17" t="s">
        <v>38</v>
      </c>
      <c r="K10" s="20" t="s">
        <v>51</v>
      </c>
    </row>
    <row r="11" ht="15.75" customHeight="1">
      <c r="B11" s="12" t="s">
        <v>179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0</v>
      </c>
      <c r="J11" s="17" t="s">
        <v>38</v>
      </c>
      <c r="K11" s="20" t="s">
        <v>51</v>
      </c>
    </row>
    <row r="12" ht="15.75" customHeight="1">
      <c r="B12" s="12" t="s">
        <v>180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0</v>
      </c>
      <c r="J12" s="17" t="s">
        <v>38</v>
      </c>
      <c r="K12" s="20" t="s">
        <v>58</v>
      </c>
    </row>
    <row r="13" ht="15.75" customHeight="1">
      <c r="B13" s="12" t="s">
        <v>181</v>
      </c>
      <c r="C13" s="13" t="s">
        <v>182</v>
      </c>
      <c r="D13" s="14"/>
      <c r="J13" s="28"/>
    </row>
    <row r="14" ht="15.75" customHeight="1">
      <c r="B14" s="12" t="s">
        <v>183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184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10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185</v>
      </c>
      <c r="C16" s="13" t="s">
        <v>24</v>
      </c>
      <c r="D16" s="42"/>
      <c r="F16" s="24"/>
      <c r="H16" s="17" t="s">
        <v>37</v>
      </c>
      <c r="I16" s="43">
        <v>256.0</v>
      </c>
      <c r="J16" s="17" t="s">
        <v>38</v>
      </c>
      <c r="K16" s="20" t="s">
        <v>35</v>
      </c>
    </row>
    <row r="17" ht="15.75" customHeight="1">
      <c r="B17" s="44" t="s">
        <v>186</v>
      </c>
      <c r="C17" s="13" t="s">
        <v>68</v>
      </c>
      <c r="D17" s="42"/>
      <c r="F17" s="24"/>
      <c r="H17" s="19"/>
      <c r="I17" s="19"/>
      <c r="J17" s="19"/>
      <c r="K17" s="19"/>
    </row>
    <row r="18" ht="15.75" customHeight="1">
      <c r="B18" s="12" t="s">
        <v>187</v>
      </c>
      <c r="C18" s="13" t="s">
        <v>70</v>
      </c>
      <c r="D18" s="42"/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188</v>
      </c>
      <c r="C19" s="13" t="s">
        <v>189</v>
      </c>
      <c r="D19" s="42"/>
      <c r="F19" s="25"/>
      <c r="H19" s="17" t="s">
        <v>76</v>
      </c>
      <c r="I19" s="17">
        <f>ROUNDUP($C$58/$G$15)</f>
        <v>0</v>
      </c>
      <c r="J19" s="17" t="s">
        <v>72</v>
      </c>
      <c r="K19" s="20" t="s">
        <v>73</v>
      </c>
    </row>
    <row r="20" ht="15.75" customHeight="1">
      <c r="B20" s="12" t="s">
        <v>190</v>
      </c>
      <c r="C20" s="13" t="s">
        <v>68</v>
      </c>
      <c r="D20" s="42"/>
      <c r="F20" s="20" t="s">
        <v>57</v>
      </c>
      <c r="G20" s="19"/>
      <c r="H20" s="19"/>
      <c r="I20" s="17">
        <f>IF($D$40=TRUE,$D$39*$D$35,0)</f>
        <v>0</v>
      </c>
      <c r="J20" s="17" t="s">
        <v>38</v>
      </c>
      <c r="K20" s="20" t="s">
        <v>78</v>
      </c>
    </row>
    <row r="21" ht="15.75" customHeight="1">
      <c r="B21" s="12" t="s">
        <v>191</v>
      </c>
      <c r="C21" s="13" t="s">
        <v>70</v>
      </c>
      <c r="D21" s="42"/>
      <c r="F21" s="20" t="s">
        <v>80</v>
      </c>
      <c r="G21" s="19"/>
      <c r="H21" s="19"/>
      <c r="I21" s="26">
        <f>($E$55*1.3)</f>
        <v>2811.9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14"/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42"/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352</v>
      </c>
      <c r="H25" s="20">
        <f>($G$3*$I$4)+($G$7*$I$8)</f>
        <v>1344</v>
      </c>
    </row>
    <row r="26" ht="15.75" customHeight="1">
      <c r="B26" s="12" t="s">
        <v>90</v>
      </c>
      <c r="C26" s="13" t="s">
        <v>24</v>
      </c>
      <c r="D26" s="42"/>
      <c r="F26" s="20" t="s">
        <v>91</v>
      </c>
      <c r="G26" s="20">
        <f>($G$15*$I$15)</f>
        <v>320</v>
      </c>
      <c r="H26" s="20">
        <f>($G$15*$I$16)</f>
        <v>2560</v>
      </c>
    </row>
    <row r="27" ht="15.75" customHeight="1">
      <c r="B27" s="12" t="s">
        <v>92</v>
      </c>
      <c r="C27" s="13" t="s">
        <v>24</v>
      </c>
      <c r="D27" s="42"/>
    </row>
    <row r="28" ht="15.75" customHeight="1">
      <c r="B28" s="12" t="s">
        <v>93</v>
      </c>
      <c r="C28" s="13" t="s">
        <v>24</v>
      </c>
      <c r="D28" s="42"/>
    </row>
    <row r="29" ht="15.75" customHeight="1">
      <c r="B29" s="12" t="s">
        <v>94</v>
      </c>
      <c r="C29" s="13" t="s">
        <v>24</v>
      </c>
      <c r="D29" s="42"/>
    </row>
    <row r="30" ht="15.75" customHeight="1">
      <c r="B30" s="12" t="s">
        <v>95</v>
      </c>
      <c r="C30" s="13" t="s">
        <v>24</v>
      </c>
      <c r="D30" s="42"/>
    </row>
    <row r="31" ht="15.75" customHeight="1">
      <c r="B31" s="12" t="s">
        <v>96</v>
      </c>
      <c r="C31" s="13" t="s">
        <v>24</v>
      </c>
      <c r="D31" s="42"/>
    </row>
    <row r="32" ht="15.75" customHeight="1">
      <c r="B32" s="12" t="s">
        <v>97</v>
      </c>
      <c r="C32" s="13" t="s">
        <v>24</v>
      </c>
      <c r="D32" s="42"/>
    </row>
    <row r="33" ht="15.75" customHeight="1">
      <c r="B33" s="12" t="s">
        <v>98</v>
      </c>
      <c r="C33" s="13" t="s">
        <v>24</v>
      </c>
      <c r="D33" s="42"/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14"/>
    </row>
    <row r="37" ht="15.75" customHeight="1">
      <c r="B37" s="12" t="s">
        <v>102</v>
      </c>
      <c r="C37" s="13" t="s">
        <v>24</v>
      </c>
      <c r="D37" s="42">
        <v>14.0</v>
      </c>
    </row>
    <row r="38" ht="15.75" customHeight="1">
      <c r="B38" s="12" t="s">
        <v>103</v>
      </c>
      <c r="C38" s="13" t="s">
        <v>24</v>
      </c>
      <c r="D38" s="42">
        <v>30.0</v>
      </c>
    </row>
    <row r="39" ht="15.75" customHeight="1">
      <c r="B39" s="35" t="s">
        <v>104</v>
      </c>
      <c r="C39" s="36" t="s">
        <v>105</v>
      </c>
      <c r="D39" s="37">
        <v>1500.0</v>
      </c>
    </row>
    <row r="40" ht="15.75" customHeight="1">
      <c r="B40" s="12" t="s">
        <v>106</v>
      </c>
      <c r="C40" s="13" t="s">
        <v>192</v>
      </c>
      <c r="D40" s="14" t="b">
        <v>0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hidden="1" customHeight="1">
      <c r="B48" s="12" t="s">
        <v>117</v>
      </c>
      <c r="C48" s="12">
        <f>(Resources!$B$16*$D$5)</f>
        <v>0</v>
      </c>
      <c r="D48" s="12">
        <f>(Resources!$C$16*$D$5)</f>
        <v>0</v>
      </c>
      <c r="E48" s="19"/>
    </row>
    <row r="49" ht="15.75" hidden="1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hidden="1" customHeight="1">
      <c r="B50" s="12" t="s">
        <v>119</v>
      </c>
      <c r="C50" s="12">
        <f>IF($D$10,$D$10*$D$11,0)+IF($D$10,$D$13*$D$14,0)+($D$9*Resources!$B$26)+IF($D$16,$D$16*$D$17,0)+IF($D$16,$D$19*$D$20,0)</f>
        <v>0</v>
      </c>
      <c r="D50" s="12">
        <f>IF($D$10,$D$10*$D$12,0)+IF($D$10,$D$13*$D$15,0)+($D$9*Resources!$C$26)+IF($D$16,$D$16*$D$18,0)+IF($D$16,$D$19*$D$21,0)</f>
        <v>0</v>
      </c>
      <c r="E50" s="19"/>
    </row>
    <row r="51" ht="15.75" hidden="1" customHeight="1">
      <c r="B51" s="12" t="s">
        <v>120</v>
      </c>
      <c r="C51" s="12">
        <f>(Resources!$B$27*$D$22)+(Resources!$B$28*$D$23)+(Resources!$B$29*$D$24)</f>
        <v>0</v>
      </c>
      <c r="D51" s="12">
        <f>(Resources!$C$27*$D$22)+(Resources!$C$28*$D$23)+(Resources!$C$29*$D$24)</f>
        <v>0</v>
      </c>
      <c r="E51" s="19"/>
    </row>
    <row r="52" ht="15.75" hidden="1" customHeight="1">
      <c r="B52" s="12" t="s">
        <v>89</v>
      </c>
      <c r="C52" s="12">
        <f>(Resources!$B$31*$D$26)+(Resources!$B$32*$D$27)+($D$28*$D$29*$D$32)+($D$30*$D$28)</f>
        <v>0</v>
      </c>
      <c r="D52" s="12">
        <f>if($D$33,(($D$28*$D$29*($D$33+2))),0)+if($D$31,(($D$31*$D$28)+($D$28*2)),0)+(Resources!$C$31*$D$26)+(Resources!$C$32*$D$27)</f>
        <v>0</v>
      </c>
      <c r="E52" s="12">
        <f>(Resources!$E$31*$D$26)+(Resources!$E$32*$D$27)</f>
        <v>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245</v>
      </c>
      <c r="D53" s="12">
        <f>(Resources!$C$10*$D$35)+(Resources!$C$11*$D$36)+(Resources!$C$12*$D$37)+(Resources!$C$13*$D$38)+if($D$42=TRUE,Resources!$C$14,0)</f>
        <v>616</v>
      </c>
      <c r="E53" s="12">
        <f>((Resources!$E$10*$D$35)+if($D$35,(IF($D$40=TRUE,0,$D$39*$D$35)),0))+if($D$42=TRUE,Resources!$E$14,0)</f>
        <v>1655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265.1</v>
      </c>
      <c r="D55" s="40">
        <f t="shared" si="1"/>
        <v>674.6</v>
      </c>
      <c r="E55" s="40">
        <f>(sum($E$47:$E$53))</f>
        <v>2163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0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>
        <v>1.0</v>
      </c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>
        <v>1.0</v>
      </c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351.9</v>
      </c>
      <c r="J6" s="17" t="s">
        <v>38</v>
      </c>
      <c r="K6" s="20" t="s">
        <v>44</v>
      </c>
    </row>
    <row r="7" ht="15.75" customHeight="1">
      <c r="B7" s="12" t="s">
        <v>193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9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194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>
        <v>1.0</v>
      </c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195</v>
      </c>
      <c r="C10" s="13" t="s">
        <v>24</v>
      </c>
      <c r="D10" s="14"/>
      <c r="F10" s="24"/>
      <c r="H10" s="17" t="s">
        <v>43</v>
      </c>
      <c r="I10" s="26">
        <f>(($E$55*2)/($G$3+$G$7))*1.5</f>
        <v>351.9</v>
      </c>
      <c r="J10" s="17" t="s">
        <v>38</v>
      </c>
      <c r="K10" s="20" t="s">
        <v>51</v>
      </c>
    </row>
    <row r="11" ht="15.75" customHeight="1">
      <c r="B11" s="12" t="s">
        <v>196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630</v>
      </c>
      <c r="J11" s="17" t="s">
        <v>38</v>
      </c>
      <c r="K11" s="20" t="s">
        <v>51</v>
      </c>
    </row>
    <row r="12" ht="15.75" customHeight="1">
      <c r="B12" s="12" t="s">
        <v>197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100</v>
      </c>
      <c r="J12" s="17" t="s">
        <v>38</v>
      </c>
      <c r="K12" s="20" t="s">
        <v>58</v>
      </c>
    </row>
    <row r="13" ht="15.75" customHeight="1">
      <c r="B13" s="12" t="s">
        <v>198</v>
      </c>
      <c r="C13" s="13" t="s">
        <v>199</v>
      </c>
      <c r="D13" s="14"/>
      <c r="J13" s="28"/>
    </row>
    <row r="14" ht="15.75" customHeight="1">
      <c r="B14" s="12" t="s">
        <v>200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201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19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202</v>
      </c>
      <c r="C16" s="13" t="s">
        <v>24</v>
      </c>
      <c r="D16" s="42">
        <v>7.0</v>
      </c>
      <c r="F16" s="24"/>
      <c r="H16" s="17" t="s">
        <v>37</v>
      </c>
      <c r="I16" s="18">
        <v>128.0</v>
      </c>
      <c r="J16" s="17" t="s">
        <v>38</v>
      </c>
      <c r="K16" s="20" t="s">
        <v>35</v>
      </c>
    </row>
    <row r="17" ht="15.75" customHeight="1">
      <c r="B17" s="12" t="s">
        <v>203</v>
      </c>
      <c r="C17" s="13" t="s">
        <v>68</v>
      </c>
      <c r="D17" s="42">
        <v>14.0</v>
      </c>
      <c r="F17" s="24"/>
      <c r="H17" s="19"/>
      <c r="I17" s="19"/>
      <c r="J17" s="19"/>
      <c r="K17" s="19"/>
    </row>
    <row r="18" ht="15.75" customHeight="1">
      <c r="B18" s="12" t="s">
        <v>204</v>
      </c>
      <c r="C18" s="13" t="s">
        <v>70</v>
      </c>
      <c r="D18" s="42">
        <v>128.0</v>
      </c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205</v>
      </c>
      <c r="C19" s="13" t="s">
        <v>206</v>
      </c>
      <c r="D19" s="42">
        <v>2.0</v>
      </c>
      <c r="F19" s="25"/>
      <c r="H19" s="17" t="s">
        <v>76</v>
      </c>
      <c r="I19" s="17">
        <f>ROUNDUP($C$58/$G$15)</f>
        <v>1</v>
      </c>
      <c r="J19" s="17" t="s">
        <v>72</v>
      </c>
      <c r="K19" s="20" t="s">
        <v>73</v>
      </c>
    </row>
    <row r="20" ht="15.75" customHeight="1">
      <c r="B20" s="12" t="s">
        <v>207</v>
      </c>
      <c r="C20" s="13" t="s">
        <v>68</v>
      </c>
      <c r="D20" s="42">
        <v>14.0</v>
      </c>
      <c r="F20" s="20" t="s">
        <v>57</v>
      </c>
      <c r="G20" s="19"/>
      <c r="H20" s="19"/>
      <c r="I20" s="17">
        <f>IF($D$40=TRUE,$D$39*$D$35,0)</f>
        <v>100</v>
      </c>
      <c r="J20" s="17" t="s">
        <v>38</v>
      </c>
      <c r="K20" s="20" t="s">
        <v>78</v>
      </c>
    </row>
    <row r="21" ht="15.75" customHeight="1">
      <c r="B21" s="12" t="s">
        <v>208</v>
      </c>
      <c r="C21" s="13" t="s">
        <v>70</v>
      </c>
      <c r="D21" s="42">
        <v>128.0</v>
      </c>
      <c r="F21" s="20" t="s">
        <v>80</v>
      </c>
      <c r="G21" s="19"/>
      <c r="H21" s="19"/>
      <c r="I21" s="26">
        <f>($E$55*1.3)</f>
        <v>1524.9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42">
        <v>1.0</v>
      </c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14"/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608</v>
      </c>
      <c r="H25" s="20">
        <f>($G$3*$I$4)+($G$7*$I$8)</f>
        <v>2368</v>
      </c>
    </row>
    <row r="26" ht="15.75" customHeight="1">
      <c r="B26" s="12" t="s">
        <v>90</v>
      </c>
      <c r="C26" s="13" t="s">
        <v>24</v>
      </c>
      <c r="D26" s="42">
        <v>1.0</v>
      </c>
      <c r="F26" s="20" t="s">
        <v>91</v>
      </c>
      <c r="G26" s="20">
        <f>($G$15*$I$15)</f>
        <v>608</v>
      </c>
      <c r="H26" s="20">
        <f>($G$15*$I$16)</f>
        <v>2432</v>
      </c>
    </row>
    <row r="27" ht="15.75" customHeight="1">
      <c r="B27" s="12" t="s">
        <v>92</v>
      </c>
      <c r="C27" s="13" t="s">
        <v>24</v>
      </c>
      <c r="D27" s="42">
        <v>1.0</v>
      </c>
    </row>
    <row r="28" ht="15.75" customHeight="1">
      <c r="B28" s="12" t="s">
        <v>93</v>
      </c>
      <c r="C28" s="13" t="s">
        <v>24</v>
      </c>
      <c r="D28" s="42">
        <v>7.0</v>
      </c>
    </row>
    <row r="29" ht="15.75" customHeight="1">
      <c r="B29" s="12" t="s">
        <v>94</v>
      </c>
      <c r="C29" s="13" t="s">
        <v>24</v>
      </c>
      <c r="D29" s="42">
        <v>2.0</v>
      </c>
    </row>
    <row r="30" ht="15.75" customHeight="1">
      <c r="B30" s="12" t="s">
        <v>95</v>
      </c>
      <c r="C30" s="13" t="s">
        <v>24</v>
      </c>
      <c r="D30" s="42">
        <v>2.0</v>
      </c>
    </row>
    <row r="31" ht="15.75" customHeight="1">
      <c r="B31" s="12" t="s">
        <v>96</v>
      </c>
      <c r="C31" s="13" t="s">
        <v>24</v>
      </c>
      <c r="D31" s="42">
        <v>4.0</v>
      </c>
    </row>
    <row r="32" ht="15.75" customHeight="1">
      <c r="B32" s="12" t="s">
        <v>97</v>
      </c>
      <c r="C32" s="13" t="s">
        <v>24</v>
      </c>
      <c r="D32" s="42">
        <v>2.0</v>
      </c>
    </row>
    <row r="33" ht="15.75" customHeight="1">
      <c r="B33" s="12" t="s">
        <v>98</v>
      </c>
      <c r="C33" s="13" t="s">
        <v>24</v>
      </c>
      <c r="D33" s="42">
        <v>20.0</v>
      </c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42">
        <v>2.0</v>
      </c>
    </row>
    <row r="37" ht="15.75" customHeight="1">
      <c r="B37" s="12" t="s">
        <v>102</v>
      </c>
      <c r="C37" s="13" t="s">
        <v>24</v>
      </c>
      <c r="D37" s="42">
        <v>2.0</v>
      </c>
    </row>
    <row r="38" ht="15.75" customHeight="1">
      <c r="B38" s="12" t="s">
        <v>103</v>
      </c>
      <c r="C38" s="13" t="s">
        <v>24</v>
      </c>
      <c r="D38" s="42">
        <v>3.0</v>
      </c>
    </row>
    <row r="39" ht="15.75" customHeight="1">
      <c r="B39" s="35" t="s">
        <v>104</v>
      </c>
      <c r="C39" s="36" t="s">
        <v>105</v>
      </c>
      <c r="D39" s="37">
        <v>100.0</v>
      </c>
    </row>
    <row r="40" ht="15.75" customHeight="1">
      <c r="B40" s="12" t="s">
        <v>106</v>
      </c>
      <c r="C40" s="13" t="s">
        <v>209</v>
      </c>
      <c r="D40" s="14" t="b">
        <v>1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customHeight="1">
      <c r="B48" s="12" t="s">
        <v>117</v>
      </c>
      <c r="C48" s="12">
        <f>(Resources!$B$16*$D$5)</f>
        <v>7.8</v>
      </c>
      <c r="D48" s="12">
        <f>(Resources!$C$16*$D$5)</f>
        <v>20.4</v>
      </c>
      <c r="E48" s="19"/>
    </row>
    <row r="49" ht="15.75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customHeight="1">
      <c r="B50" s="12" t="s">
        <v>119</v>
      </c>
      <c r="C50" s="12">
        <f>IF($D$10,$D$10*$D$11,0)+IF($D$10,$D$13*$D$14,0)+($D$9*Resources!$B$26)+IF($D$16,$D$16*$D$17,0)+IF($D$16,$D$19*$D$20,0)</f>
        <v>132</v>
      </c>
      <c r="D50" s="12">
        <f>IF($D$10,$D$10*$D$12,0)+IF($D$10,$D$13*$D$15,0)+($D$9*Resources!$C$26)+IF($D$16,$D$16*$D$18,0)+IF($D$16,$D$19*$D$21,0)</f>
        <v>1192</v>
      </c>
      <c r="E50" s="19"/>
    </row>
    <row r="51" ht="15.75" customHeight="1">
      <c r="B51" s="12" t="s">
        <v>120</v>
      </c>
      <c r="C51" s="12">
        <f>(Resources!$B$27*$D$22)+(Resources!$B$28*$D$23)+(Resources!$B$29*$D$24)</f>
        <v>2.1</v>
      </c>
      <c r="D51" s="12">
        <f>(Resources!$C$27*$D$22)+(Resources!$C$28*$D$23)+(Resources!$C$29*$D$24)</f>
        <v>8.5</v>
      </c>
      <c r="E51" s="19"/>
    </row>
    <row r="52" ht="15.75" customHeight="1">
      <c r="B52" s="12" t="s">
        <v>89</v>
      </c>
      <c r="C52" s="12">
        <f>(Resources!$B$31*$D$26)+(Resources!$B$32*$D$27)+($D$28*$D$29*$D$32)+($D$30*$D$28)</f>
        <v>59</v>
      </c>
      <c r="D52" s="12">
        <f>if($D$33,(($D$28*$D$29*($D$33+2))),0)+if($D$31,(($D$31*$D$28)+($D$28*2)),0)+(Resources!$C$31*$D$26)+(Resources!$C$32*$D$27)</f>
        <v>398</v>
      </c>
      <c r="E52" s="12">
        <f>(Resources!$E$31*$D$26)+(Resources!$E$32*$D$27)</f>
        <v>510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39</v>
      </c>
      <c r="D53" s="12">
        <f>(Resources!$C$10*$D$35)+(Resources!$C$11*$D$36)+(Resources!$C$12*$D$37)+(Resources!$C$13*$D$38)+if($D$42=TRUE,Resources!$C$14,0)</f>
        <v>96</v>
      </c>
      <c r="E53" s="12">
        <f>((Resources!$E$10*$D$35)+if($D$35,(IF($D$40=TRUE,0,$D$39*$D$35)),0))+if($D$42=TRUE,Resources!$E$14,0)</f>
        <v>155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260</v>
      </c>
      <c r="D55" s="40">
        <f t="shared" si="1"/>
        <v>1773.5</v>
      </c>
      <c r="E55" s="40">
        <f>(sum($E$47:$E$53))</f>
        <v>1173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9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8.63"/>
    <col customWidth="1" min="3" max="3" width="21.5"/>
    <col customWidth="1" min="4" max="4" width="9.13"/>
    <col customWidth="1" min="5" max="5" width="10.25"/>
    <col customWidth="1" min="6" max="6" width="12.5"/>
    <col customWidth="1" min="7" max="7" width="11.13"/>
    <col customWidth="1" min="8" max="8" width="15.25"/>
    <col customWidth="1" min="9" max="9" width="11.5"/>
    <col customWidth="1" min="10" max="10" width="6.88"/>
    <col customWidth="1" min="11" max="11" width="65.0"/>
    <col customWidth="1" min="12" max="12" width="6.63"/>
  </cols>
  <sheetData>
    <row r="1" ht="15.75" customHeight="1">
      <c r="A1" s="6"/>
      <c r="B1" s="9" t="s">
        <v>19</v>
      </c>
      <c r="C1" s="10" t="s">
        <v>20</v>
      </c>
      <c r="D1" s="10" t="s">
        <v>21</v>
      </c>
      <c r="E1" s="6"/>
      <c r="F1" s="11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B2" s="12" t="s">
        <v>23</v>
      </c>
      <c r="C2" s="13" t="s">
        <v>24</v>
      </c>
      <c r="D2" s="14">
        <v>1.0</v>
      </c>
      <c r="F2" s="9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</row>
    <row r="3" ht="15.75" customHeight="1">
      <c r="B3" s="12" t="s">
        <v>31</v>
      </c>
      <c r="C3" s="13" t="s">
        <v>32</v>
      </c>
      <c r="D3" s="14">
        <v>200.0</v>
      </c>
      <c r="F3" s="15" t="s">
        <v>33</v>
      </c>
      <c r="G3" s="16">
        <v>1.0</v>
      </c>
      <c r="H3" s="17" t="s">
        <v>34</v>
      </c>
      <c r="I3" s="18">
        <v>32.0</v>
      </c>
      <c r="J3" s="19"/>
      <c r="K3" s="20" t="s">
        <v>35</v>
      </c>
    </row>
    <row r="4" ht="15.75" customHeight="1">
      <c r="B4" s="21" t="s">
        <v>36</v>
      </c>
      <c r="C4" s="22"/>
      <c r="D4" s="23"/>
      <c r="F4" s="24"/>
      <c r="G4" s="24"/>
      <c r="H4" s="17" t="s">
        <v>37</v>
      </c>
      <c r="I4" s="18">
        <v>64.0</v>
      </c>
      <c r="J4" s="17" t="s">
        <v>38</v>
      </c>
      <c r="K4" s="20" t="s">
        <v>35</v>
      </c>
    </row>
    <row r="5" ht="15.75" customHeight="1">
      <c r="B5" s="12" t="s">
        <v>39</v>
      </c>
      <c r="C5" s="13" t="s">
        <v>24</v>
      </c>
      <c r="D5" s="42">
        <v>1.0</v>
      </c>
      <c r="F5" s="24"/>
      <c r="G5" s="24"/>
      <c r="H5" s="17" t="s">
        <v>40</v>
      </c>
      <c r="I5" s="18">
        <v>1000.0</v>
      </c>
      <c r="J5" s="17" t="s">
        <v>38</v>
      </c>
      <c r="K5" s="20" t="s">
        <v>41</v>
      </c>
    </row>
    <row r="6" ht="15.75" customHeight="1">
      <c r="B6" s="12" t="s">
        <v>42</v>
      </c>
      <c r="C6" s="13" t="s">
        <v>24</v>
      </c>
      <c r="D6" s="14"/>
      <c r="F6" s="25"/>
      <c r="G6" s="25"/>
      <c r="H6" s="17" t="s">
        <v>43</v>
      </c>
      <c r="I6" s="26">
        <f>(($E$55*2)/($G$3+$G$7))*1.5</f>
        <v>471.7058824</v>
      </c>
      <c r="J6" s="17" t="s">
        <v>38</v>
      </c>
      <c r="K6" s="20" t="s">
        <v>44</v>
      </c>
    </row>
    <row r="7" ht="15.75" customHeight="1">
      <c r="B7" s="12" t="s">
        <v>210</v>
      </c>
      <c r="C7" s="13" t="s">
        <v>24</v>
      </c>
      <c r="D7" s="14"/>
      <c r="F7" s="15" t="s">
        <v>46</v>
      </c>
      <c r="G7" s="27">
        <f>roundup(max(($C$55/($I$7-Resources!$B$5)),$D$55/($I$8-Resources!$C$5)/0.85))</f>
        <v>16</v>
      </c>
      <c r="H7" s="17" t="s">
        <v>34</v>
      </c>
      <c r="I7" s="18">
        <v>64.0</v>
      </c>
      <c r="J7" s="19"/>
      <c r="K7" s="20" t="s">
        <v>35</v>
      </c>
    </row>
    <row r="8" ht="15.75" customHeight="1">
      <c r="B8" s="12" t="s">
        <v>211</v>
      </c>
      <c r="C8" s="13" t="s">
        <v>24</v>
      </c>
      <c r="D8" s="14"/>
      <c r="F8" s="24"/>
      <c r="H8" s="17" t="s">
        <v>37</v>
      </c>
      <c r="I8" s="18">
        <v>256.0</v>
      </c>
      <c r="J8" s="17" t="s">
        <v>38</v>
      </c>
      <c r="K8" s="20" t="s">
        <v>35</v>
      </c>
    </row>
    <row r="9" ht="15.75" customHeight="1">
      <c r="B9" s="12" t="s">
        <v>48</v>
      </c>
      <c r="C9" s="13" t="s">
        <v>24</v>
      </c>
      <c r="D9" s="42">
        <v>1.0</v>
      </c>
      <c r="F9" s="24"/>
      <c r="H9" s="17" t="s">
        <v>40</v>
      </c>
      <c r="I9" s="18">
        <v>1000.0</v>
      </c>
      <c r="J9" s="17" t="s">
        <v>38</v>
      </c>
      <c r="K9" s="20" t="s">
        <v>49</v>
      </c>
    </row>
    <row r="10" ht="15.75" customHeight="1">
      <c r="B10" s="12" t="s">
        <v>212</v>
      </c>
      <c r="C10" s="13" t="s">
        <v>24</v>
      </c>
      <c r="D10" s="14"/>
      <c r="F10" s="24"/>
      <c r="H10" s="17" t="s">
        <v>43</v>
      </c>
      <c r="I10" s="26">
        <f>(($E$55*2)/($G$3+$G$7))*1.5</f>
        <v>471.7058824</v>
      </c>
      <c r="J10" s="17" t="s">
        <v>38</v>
      </c>
      <c r="K10" s="20" t="s">
        <v>51</v>
      </c>
    </row>
    <row r="11" ht="15.75" customHeight="1">
      <c r="B11" s="12" t="s">
        <v>213</v>
      </c>
      <c r="C11" s="13" t="s">
        <v>53</v>
      </c>
      <c r="D11" s="14"/>
      <c r="F11" s="25"/>
      <c r="H11" s="17" t="s">
        <v>54</v>
      </c>
      <c r="I11" s="17">
        <f>(ROUNDUP($C$58/$G$15)*$B$58)+(ROUNDUP($C$57/$G$15)*$B$57)</f>
        <v>630</v>
      </c>
      <c r="J11" s="17" t="s">
        <v>38</v>
      </c>
      <c r="K11" s="20" t="s">
        <v>51</v>
      </c>
    </row>
    <row r="12" ht="15.75" customHeight="1">
      <c r="B12" s="12" t="s">
        <v>214</v>
      </c>
      <c r="C12" s="13" t="s">
        <v>56</v>
      </c>
      <c r="D12" s="14"/>
      <c r="F12" s="20" t="s">
        <v>57</v>
      </c>
      <c r="G12" s="19"/>
      <c r="H12" s="19"/>
      <c r="I12" s="17">
        <f>IF($D$40=TRUE,$D$39*$D$35,0)</f>
        <v>0</v>
      </c>
      <c r="J12" s="17" t="s">
        <v>38</v>
      </c>
      <c r="K12" s="20" t="s">
        <v>58</v>
      </c>
    </row>
    <row r="13" ht="15.75" customHeight="1">
      <c r="B13" s="12" t="s">
        <v>215</v>
      </c>
      <c r="C13" s="13" t="s">
        <v>216</v>
      </c>
      <c r="D13" s="14"/>
      <c r="J13" s="28"/>
    </row>
    <row r="14" ht="15.75" customHeight="1">
      <c r="B14" s="12" t="s">
        <v>217</v>
      </c>
      <c r="C14" s="13" t="s">
        <v>62</v>
      </c>
      <c r="D14" s="14"/>
      <c r="F14" s="29" t="s">
        <v>63</v>
      </c>
      <c r="G14" s="30" t="s">
        <v>26</v>
      </c>
      <c r="H14" s="31" t="s">
        <v>27</v>
      </c>
      <c r="I14" s="10" t="s">
        <v>28</v>
      </c>
      <c r="J14" s="9" t="s">
        <v>29</v>
      </c>
      <c r="K14" s="9" t="s">
        <v>30</v>
      </c>
    </row>
    <row r="15" ht="15.75" customHeight="1">
      <c r="B15" s="12" t="s">
        <v>218</v>
      </c>
      <c r="C15" s="13" t="s">
        <v>56</v>
      </c>
      <c r="D15" s="14"/>
      <c r="F15" s="15" t="s">
        <v>65</v>
      </c>
      <c r="G15" s="27">
        <f>roundup(max(($C$55/($I$15-Resources!$B$3)),$D$55/($I$16-Resources!$C$3)/0.85))</f>
        <v>33</v>
      </c>
      <c r="H15" s="17" t="s">
        <v>34</v>
      </c>
      <c r="I15" s="43">
        <v>32.0</v>
      </c>
      <c r="J15" s="19"/>
      <c r="K15" s="20" t="s">
        <v>35</v>
      </c>
    </row>
    <row r="16" ht="15.75" customHeight="1">
      <c r="B16" s="12" t="s">
        <v>219</v>
      </c>
      <c r="C16" s="13" t="s">
        <v>24</v>
      </c>
      <c r="D16" s="42">
        <v>13.0</v>
      </c>
      <c r="F16" s="24"/>
      <c r="H16" s="17" t="s">
        <v>37</v>
      </c>
      <c r="I16" s="43">
        <v>128.0</v>
      </c>
      <c r="J16" s="17" t="s">
        <v>38</v>
      </c>
      <c r="K16" s="20" t="s">
        <v>35</v>
      </c>
    </row>
    <row r="17" ht="15.75" customHeight="1">
      <c r="B17" s="44" t="s">
        <v>220</v>
      </c>
      <c r="C17" s="13" t="s">
        <v>68</v>
      </c>
      <c r="D17" s="42">
        <v>14.0</v>
      </c>
      <c r="F17" s="24"/>
      <c r="H17" s="19"/>
      <c r="I17" s="19"/>
      <c r="J17" s="19"/>
      <c r="K17" s="19"/>
    </row>
    <row r="18" ht="15.75" customHeight="1">
      <c r="B18" s="12" t="s">
        <v>221</v>
      </c>
      <c r="C18" s="13" t="s">
        <v>70</v>
      </c>
      <c r="D18" s="42">
        <v>128.0</v>
      </c>
      <c r="F18" s="24"/>
      <c r="H18" s="17" t="s">
        <v>71</v>
      </c>
      <c r="I18" s="17">
        <f>ROUNDUP($C$57/$G$15)</f>
        <v>0</v>
      </c>
      <c r="J18" s="17" t="s">
        <v>72</v>
      </c>
      <c r="K18" s="20" t="s">
        <v>73</v>
      </c>
    </row>
    <row r="19" ht="15.75" customHeight="1">
      <c r="B19" s="12" t="s">
        <v>222</v>
      </c>
      <c r="C19" s="13" t="s">
        <v>223</v>
      </c>
      <c r="D19" s="42">
        <v>2.0</v>
      </c>
      <c r="F19" s="25"/>
      <c r="H19" s="17" t="s">
        <v>76</v>
      </c>
      <c r="I19" s="17">
        <f>ROUNDUP($C$58/$G$15)</f>
        <v>1</v>
      </c>
      <c r="J19" s="17" t="s">
        <v>72</v>
      </c>
      <c r="K19" s="20" t="s">
        <v>73</v>
      </c>
    </row>
    <row r="20" ht="15.75" customHeight="1">
      <c r="B20" s="12" t="s">
        <v>224</v>
      </c>
      <c r="C20" s="13" t="s">
        <v>68</v>
      </c>
      <c r="D20" s="42">
        <v>14.0</v>
      </c>
      <c r="F20" s="20" t="s">
        <v>57</v>
      </c>
      <c r="G20" s="19"/>
      <c r="H20" s="19"/>
      <c r="I20" s="17">
        <f>IF($D$40=TRUE,$D$39*$D$35,0)</f>
        <v>0</v>
      </c>
      <c r="J20" s="17" t="s">
        <v>38</v>
      </c>
      <c r="K20" s="20" t="s">
        <v>78</v>
      </c>
    </row>
    <row r="21" ht="15.75" customHeight="1">
      <c r="B21" s="12" t="s">
        <v>225</v>
      </c>
      <c r="C21" s="13" t="s">
        <v>70</v>
      </c>
      <c r="D21" s="42">
        <v>128.0</v>
      </c>
      <c r="F21" s="20" t="s">
        <v>80</v>
      </c>
      <c r="G21" s="19"/>
      <c r="H21" s="19"/>
      <c r="I21" s="26">
        <f>($E$55*1.3)</f>
        <v>3474.9</v>
      </c>
      <c r="J21" s="17" t="s">
        <v>38</v>
      </c>
      <c r="K21" s="20" t="s">
        <v>81</v>
      </c>
    </row>
    <row r="22" ht="15.75" customHeight="1">
      <c r="B22" s="12" t="s">
        <v>82</v>
      </c>
      <c r="C22" s="13" t="s">
        <v>24</v>
      </c>
      <c r="D22" s="14"/>
      <c r="F22" s="32" t="str">
        <f>if(($I$19*$G$15)&gt;=C58,,"Error: The total CDW disks does not match the expected number in C51")</f>
        <v/>
      </c>
    </row>
    <row r="23" ht="15.75" customHeight="1">
      <c r="B23" s="12" t="s">
        <v>83</v>
      </c>
      <c r="C23" s="13" t="s">
        <v>24</v>
      </c>
      <c r="D23" s="42">
        <v>1.0</v>
      </c>
      <c r="F23" s="33" t="s">
        <v>84</v>
      </c>
    </row>
    <row r="24" ht="15.75" customHeight="1">
      <c r="B24" s="12" t="s">
        <v>85</v>
      </c>
      <c r="C24" s="13" t="s">
        <v>24</v>
      </c>
      <c r="D24" s="14"/>
      <c r="F24" s="29" t="s">
        <v>86</v>
      </c>
      <c r="G24" s="30" t="s">
        <v>87</v>
      </c>
      <c r="H24" s="30" t="s">
        <v>88</v>
      </c>
      <c r="J24" s="34"/>
    </row>
    <row r="25" ht="15.75" customHeight="1">
      <c r="B25" s="21" t="s">
        <v>89</v>
      </c>
      <c r="C25" s="22"/>
      <c r="D25" s="23"/>
      <c r="F25" s="20" t="s">
        <v>25</v>
      </c>
      <c r="G25" s="20">
        <f>($G$3*$I$3)+($G$7*$I$7)</f>
        <v>1056</v>
      </c>
      <c r="H25" s="20">
        <f>($G$3*$I$4)+($G$7*$I$8)</f>
        <v>4160</v>
      </c>
    </row>
    <row r="26" ht="15.75" customHeight="1">
      <c r="B26" s="12" t="s">
        <v>90</v>
      </c>
      <c r="C26" s="13" t="s">
        <v>24</v>
      </c>
      <c r="D26" s="42">
        <v>1.0</v>
      </c>
      <c r="F26" s="20" t="s">
        <v>91</v>
      </c>
      <c r="G26" s="20">
        <f>($G$15*$I$15)</f>
        <v>1056</v>
      </c>
      <c r="H26" s="20">
        <f>($G$15*$I$16)</f>
        <v>4224</v>
      </c>
    </row>
    <row r="27" ht="15.75" customHeight="1">
      <c r="B27" s="12" t="s">
        <v>92</v>
      </c>
      <c r="C27" s="13" t="s">
        <v>24</v>
      </c>
      <c r="D27" s="42">
        <v>1.0</v>
      </c>
    </row>
    <row r="28" ht="15.75" customHeight="1">
      <c r="B28" s="12" t="s">
        <v>93</v>
      </c>
      <c r="C28" s="13" t="s">
        <v>24</v>
      </c>
      <c r="D28" s="42">
        <v>7.0</v>
      </c>
    </row>
    <row r="29" ht="15.75" customHeight="1">
      <c r="B29" s="12" t="s">
        <v>94</v>
      </c>
      <c r="C29" s="13" t="s">
        <v>24</v>
      </c>
      <c r="D29" s="42">
        <v>2.0</v>
      </c>
    </row>
    <row r="30" ht="15.75" customHeight="1">
      <c r="B30" s="12" t="s">
        <v>95</v>
      </c>
      <c r="C30" s="13" t="s">
        <v>24</v>
      </c>
      <c r="D30" s="42">
        <v>2.0</v>
      </c>
    </row>
    <row r="31" ht="15.75" customHeight="1">
      <c r="B31" s="12" t="s">
        <v>96</v>
      </c>
      <c r="C31" s="13" t="s">
        <v>24</v>
      </c>
      <c r="D31" s="42">
        <v>4.0</v>
      </c>
    </row>
    <row r="32" ht="15.75" customHeight="1">
      <c r="B32" s="12" t="s">
        <v>97</v>
      </c>
      <c r="C32" s="13" t="s">
        <v>24</v>
      </c>
      <c r="D32" s="42">
        <v>2.0</v>
      </c>
    </row>
    <row r="33" ht="15.75" customHeight="1">
      <c r="B33" s="12" t="s">
        <v>98</v>
      </c>
      <c r="C33" s="13" t="s">
        <v>24</v>
      </c>
      <c r="D33" s="42">
        <v>20.0</v>
      </c>
    </row>
    <row r="34" ht="15.75" customHeight="1">
      <c r="B34" s="21" t="s">
        <v>99</v>
      </c>
      <c r="C34" s="22"/>
      <c r="D34" s="23"/>
    </row>
    <row r="35" ht="15.75" customHeight="1">
      <c r="B35" s="12" t="s">
        <v>100</v>
      </c>
      <c r="C35" s="13" t="s">
        <v>24</v>
      </c>
      <c r="D35" s="14">
        <v>1.0</v>
      </c>
    </row>
    <row r="36" ht="15.75" customHeight="1">
      <c r="B36" s="12" t="s">
        <v>101</v>
      </c>
      <c r="C36" s="13" t="s">
        <v>24</v>
      </c>
      <c r="D36" s="14"/>
    </row>
    <row r="37" ht="15.75" customHeight="1">
      <c r="B37" s="12" t="s">
        <v>102</v>
      </c>
      <c r="C37" s="13" t="s">
        <v>24</v>
      </c>
      <c r="D37" s="42">
        <v>14.0</v>
      </c>
    </row>
    <row r="38" ht="15.75" customHeight="1">
      <c r="B38" s="12" t="s">
        <v>103</v>
      </c>
      <c r="C38" s="13" t="s">
        <v>24</v>
      </c>
      <c r="D38" s="42">
        <v>30.0</v>
      </c>
    </row>
    <row r="39" ht="15.75" customHeight="1">
      <c r="B39" s="35" t="s">
        <v>104</v>
      </c>
      <c r="C39" s="36" t="s">
        <v>105</v>
      </c>
      <c r="D39" s="37">
        <v>1500.0</v>
      </c>
    </row>
    <row r="40" ht="15.75" customHeight="1">
      <c r="B40" s="12" t="s">
        <v>106</v>
      </c>
      <c r="C40" s="13" t="s">
        <v>226</v>
      </c>
      <c r="D40" s="14" t="b">
        <v>0</v>
      </c>
    </row>
    <row r="41" ht="15.75" customHeight="1">
      <c r="B41" s="12" t="s">
        <v>108</v>
      </c>
      <c r="C41" s="13" t="s">
        <v>109</v>
      </c>
      <c r="D41" s="14">
        <v>0.0</v>
      </c>
    </row>
    <row r="42" ht="15.75" customHeight="1">
      <c r="B42" s="12" t="s">
        <v>110</v>
      </c>
      <c r="C42" s="13" t="s">
        <v>111</v>
      </c>
      <c r="D42" s="14" t="b">
        <v>0</v>
      </c>
    </row>
    <row r="43" ht="15.75" customHeight="1">
      <c r="B43" s="21" t="s">
        <v>112</v>
      </c>
      <c r="C43" s="22"/>
      <c r="D43" s="23"/>
    </row>
    <row r="44" ht="15.75" customHeight="1">
      <c r="B44" s="12" t="s">
        <v>113</v>
      </c>
      <c r="C44" s="13" t="s">
        <v>109</v>
      </c>
      <c r="D44" s="14">
        <v>0.0</v>
      </c>
    </row>
    <row r="45" ht="15.75" customHeight="1">
      <c r="B45" s="33"/>
      <c r="C45" s="33"/>
      <c r="D45" s="33"/>
      <c r="E45" s="33"/>
    </row>
    <row r="46" ht="15.75" customHeight="1">
      <c r="B46" s="38" t="s">
        <v>114</v>
      </c>
      <c r="C46" s="38" t="s">
        <v>87</v>
      </c>
      <c r="D46" s="38" t="s">
        <v>88</v>
      </c>
      <c r="E46" s="38" t="s">
        <v>115</v>
      </c>
    </row>
    <row r="47" ht="15.75" customHeight="1">
      <c r="B47" s="12" t="s">
        <v>116</v>
      </c>
      <c r="C47" s="12">
        <f>Resources!$B$7+(Resources!$B$8*$D$2)</f>
        <v>20.1</v>
      </c>
      <c r="D47" s="12">
        <f>Resources!$C$7+(Resources!$C$8*$D$2)</f>
        <v>58.6</v>
      </c>
      <c r="E47" s="12">
        <f>Resources!$E$7+(Resources!$E$8*$D$2)+$D$3</f>
        <v>508</v>
      </c>
    </row>
    <row r="48" ht="15.75" customHeight="1">
      <c r="B48" s="12" t="s">
        <v>117</v>
      </c>
      <c r="C48" s="12">
        <f>(Resources!$B$16*$D$5)</f>
        <v>7.8</v>
      </c>
      <c r="D48" s="12">
        <f>(Resources!$C$16*$D$5)</f>
        <v>20.4</v>
      </c>
      <c r="E48" s="19"/>
    </row>
    <row r="49" ht="15.75" customHeight="1">
      <c r="B49" s="12" t="s">
        <v>118</v>
      </c>
      <c r="C49" s="12">
        <f>($D$6*Resources!$B$20)+if($D$7,Resources!$B$17*$D$7,0)+if($D$8,Resources!$B$19*$D$8,0)</f>
        <v>0</v>
      </c>
      <c r="D49" s="12">
        <f>($D$6*Resources!$C$20)+if($D$7,Resources!$C$17*$D$7,0)+if($D$8,Resources!$C$19*$D$8,0)</f>
        <v>0</v>
      </c>
      <c r="E49" s="19"/>
    </row>
    <row r="50" ht="15.75" customHeight="1">
      <c r="B50" s="12" t="s">
        <v>119</v>
      </c>
      <c r="C50" s="12">
        <f>IF($D$10,$D$10*$D$11,0)+IF($D$10,$D$13*$D$14,0)+($D$9*Resources!$B$26)+IF($D$16,$D$16*$D$17,0)+IF($D$16,$D$19*$D$20,0)</f>
        <v>216</v>
      </c>
      <c r="D50" s="12">
        <f>IF($D$10,$D$10*$D$12,0)+IF($D$10,$D$13*$D$15,0)+($D$9*Resources!$C$26)+IF($D$16,$D$16*$D$18,0)+IF($D$16,$D$19*$D$21,0)</f>
        <v>1960</v>
      </c>
      <c r="E50" s="19"/>
    </row>
    <row r="51" ht="15.75" customHeight="1">
      <c r="B51" s="12" t="s">
        <v>120</v>
      </c>
      <c r="C51" s="12">
        <f>(Resources!$B$27*$D$22)+(Resources!$B$28*$D$23)+(Resources!$B$29*$D$24)</f>
        <v>4.2</v>
      </c>
      <c r="D51" s="12">
        <f>(Resources!$C$27*$D$22)+(Resources!$C$28*$D$23)+(Resources!$C$29*$D$24)</f>
        <v>16.5</v>
      </c>
      <c r="E51" s="19"/>
    </row>
    <row r="52" ht="15.75" customHeight="1">
      <c r="B52" s="12" t="s">
        <v>89</v>
      </c>
      <c r="C52" s="12">
        <f>(Resources!$B$31*$D$26)+(Resources!$B$32*$D$27)+($D$28*$D$29*$D$32)+($D$30*$D$28)</f>
        <v>59</v>
      </c>
      <c r="D52" s="12">
        <f>if($D$33,(($D$28*$D$29*($D$33+2))),0)+if($D$31,(($D$31*$D$28)+($D$28*2)),0)+(Resources!$C$31*$D$26)+(Resources!$C$32*$D$27)</f>
        <v>398</v>
      </c>
      <c r="E52" s="12">
        <f>(Resources!$E$31*$D$26)+(Resources!$E$32*$D$27)</f>
        <v>510</v>
      </c>
    </row>
    <row r="53" ht="15.75" customHeight="1">
      <c r="B53" s="12" t="s">
        <v>99</v>
      </c>
      <c r="C53" s="12">
        <f>(Resources!$B$10*$D$35)+(Resources!$B$11*$D$36)+(Resources!$B$12*$D$37)+(Resources!$B$13*$D$38)+if($D$42=TRUE,Resources!$B$14,0)</f>
        <v>245</v>
      </c>
      <c r="D53" s="12">
        <f>(Resources!$C$10*$D$35)+(Resources!$C$11*$D$36)+(Resources!$C$12*$D$37)+(Resources!$C$13*$D$38)+if($D$42=TRUE,Resources!$C$14,0)</f>
        <v>616</v>
      </c>
      <c r="E53" s="12">
        <f>((Resources!$E$10*$D$35)+if($D$35,(IF($D$40=TRUE,0,$D$39*$D$35)),0))+if($D$42=TRUE,Resources!$E$14,0)</f>
        <v>1655</v>
      </c>
    </row>
    <row r="54" ht="15.75" customHeight="1">
      <c r="B54" s="12" t="s">
        <v>121</v>
      </c>
      <c r="C54" s="19"/>
      <c r="D54" s="19"/>
      <c r="E54" s="12">
        <f>($E$53*$D$41)+($D$44*100)</f>
        <v>0</v>
      </c>
    </row>
    <row r="55" ht="15.75" customHeight="1">
      <c r="B55" s="39" t="s">
        <v>122</v>
      </c>
      <c r="C55" s="40">
        <f t="shared" ref="C55:D55" si="1">sum(C47:C53)</f>
        <v>552.1</v>
      </c>
      <c r="D55" s="40">
        <f t="shared" si="1"/>
        <v>3069.5</v>
      </c>
      <c r="E55" s="40">
        <f>(sum($E$47:$E$53))</f>
        <v>2673</v>
      </c>
    </row>
    <row r="56" ht="15.75" customHeight="1">
      <c r="B56" s="39" t="s">
        <v>123</v>
      </c>
      <c r="C56" s="39" t="s">
        <v>124</v>
      </c>
      <c r="D56" s="28"/>
    </row>
    <row r="57" ht="15.75" customHeight="1">
      <c r="B57" s="41">
        <f>Resources!$D$17</f>
        <v>100</v>
      </c>
      <c r="C57" s="12">
        <f>if($D$7,$D$7*2,0)+if($D$10,$D$10,0)+if($D$10,$D$13,0)</f>
        <v>0</v>
      </c>
      <c r="D57" s="28"/>
    </row>
    <row r="58" ht="15.75" customHeight="1">
      <c r="B58" s="41">
        <f>Resources!$D$19</f>
        <v>630</v>
      </c>
      <c r="C58" s="12">
        <f>if($D$8,$D$8*2,0)+if($D$16,$D$16,0)+if($D$16,$D$19,0)</f>
        <v>15</v>
      </c>
      <c r="D58" s="28"/>
    </row>
    <row r="59" ht="15.75" customHeight="1">
      <c r="C59" s="28"/>
      <c r="D59" s="28"/>
    </row>
    <row r="60" ht="15.75" customHeight="1">
      <c r="C60" s="28"/>
      <c r="D60" s="28"/>
    </row>
    <row r="61" ht="15.75" customHeight="1">
      <c r="C61" s="28"/>
      <c r="D61" s="28"/>
    </row>
    <row r="62" ht="15.75" customHeight="1">
      <c r="C62" s="28"/>
      <c r="D62" s="28"/>
    </row>
    <row r="63" ht="15.75" customHeight="1">
      <c r="C63" s="28"/>
      <c r="D63" s="28"/>
    </row>
    <row r="64" ht="15.75" customHeight="1">
      <c r="C64" s="28"/>
      <c r="D64" s="28"/>
    </row>
    <row r="65" ht="15.75" customHeight="1">
      <c r="C65" s="28"/>
      <c r="D65" s="28"/>
    </row>
    <row r="66" ht="15.75" customHeight="1">
      <c r="C66" s="28"/>
      <c r="D66" s="28"/>
    </row>
    <row r="67" ht="15.75" customHeight="1">
      <c r="C67" s="28"/>
      <c r="D67" s="28"/>
    </row>
    <row r="68" ht="15.75" customHeight="1">
      <c r="C68" s="28"/>
      <c r="D68" s="28"/>
    </row>
    <row r="69" ht="15.75" customHeight="1">
      <c r="C69" s="28"/>
      <c r="D69" s="28"/>
    </row>
    <row r="70" ht="15.75" customHeight="1">
      <c r="C70" s="28"/>
      <c r="D70" s="28"/>
    </row>
    <row r="71" ht="15.75" customHeight="1">
      <c r="C71" s="28"/>
      <c r="D71" s="28"/>
    </row>
    <row r="72" ht="15.75" customHeight="1">
      <c r="C72" s="28"/>
      <c r="D72" s="28"/>
    </row>
    <row r="73" ht="15.75" customHeight="1">
      <c r="C73" s="28"/>
      <c r="D73" s="28"/>
    </row>
    <row r="74" ht="15.75" customHeight="1">
      <c r="C74" s="28"/>
      <c r="D74" s="28"/>
    </row>
    <row r="75" ht="15.75" customHeight="1">
      <c r="C75" s="28"/>
      <c r="D75" s="28"/>
    </row>
    <row r="76" ht="15.75" customHeight="1">
      <c r="C76" s="28"/>
      <c r="D76" s="28"/>
    </row>
    <row r="77" ht="15.75" customHeight="1">
      <c r="C77" s="28"/>
      <c r="D77" s="28"/>
    </row>
    <row r="78" ht="15.75" customHeight="1">
      <c r="C78" s="28"/>
      <c r="D78" s="28"/>
    </row>
    <row r="79" ht="15.75" customHeight="1">
      <c r="C79" s="28"/>
      <c r="D79" s="28"/>
    </row>
    <row r="80" ht="15.75" customHeight="1">
      <c r="C80" s="28"/>
      <c r="D80" s="28"/>
    </row>
    <row r="81" ht="15.75" customHeight="1">
      <c r="C81" s="28"/>
      <c r="D81" s="28"/>
    </row>
    <row r="82" ht="15.75" customHeight="1">
      <c r="C82" s="28"/>
      <c r="D82" s="28"/>
    </row>
    <row r="83" ht="15.75" customHeight="1">
      <c r="C83" s="28"/>
      <c r="D83" s="28"/>
    </row>
    <row r="84" ht="15.75" customHeight="1">
      <c r="C84" s="28"/>
      <c r="D84" s="28"/>
    </row>
    <row r="85" ht="15.75" customHeight="1">
      <c r="C85" s="28"/>
      <c r="D85" s="28"/>
    </row>
    <row r="86" ht="15.75" customHeight="1">
      <c r="C86" s="28"/>
      <c r="D86" s="28"/>
    </row>
    <row r="87" ht="15.75" customHeight="1">
      <c r="C87" s="28"/>
      <c r="D87" s="28"/>
    </row>
    <row r="88" ht="15.75" customHeight="1">
      <c r="C88" s="28"/>
      <c r="D88" s="28"/>
    </row>
    <row r="89" ht="15.75" customHeight="1">
      <c r="C89" s="28"/>
      <c r="D89" s="28"/>
    </row>
    <row r="90" ht="15.75" customHeight="1">
      <c r="C90" s="28"/>
      <c r="D90" s="28"/>
    </row>
    <row r="91" ht="15.75" customHeight="1">
      <c r="C91" s="28"/>
      <c r="D91" s="28"/>
    </row>
    <row r="92" ht="15.75" customHeight="1">
      <c r="C92" s="28"/>
      <c r="D92" s="28"/>
    </row>
    <row r="93" ht="15.75" customHeight="1">
      <c r="C93" s="28"/>
      <c r="D93" s="28"/>
    </row>
    <row r="94" ht="15.75" customHeight="1">
      <c r="C94" s="28"/>
      <c r="D94" s="28"/>
    </row>
    <row r="95" ht="15.75" customHeight="1">
      <c r="C95" s="28"/>
      <c r="D95" s="28"/>
    </row>
    <row r="96" ht="15.75" customHeight="1">
      <c r="C96" s="28"/>
      <c r="D96" s="28"/>
    </row>
    <row r="97" ht="15.75" customHeight="1">
      <c r="C97" s="28"/>
      <c r="D97" s="28"/>
    </row>
    <row r="98" ht="15.75" customHeight="1">
      <c r="C98" s="28"/>
      <c r="D98" s="28"/>
    </row>
    <row r="99" ht="15.75" customHeight="1">
      <c r="C99" s="28"/>
      <c r="D99" s="28"/>
    </row>
    <row r="100" ht="15.75" customHeight="1">
      <c r="C100" s="28"/>
      <c r="D100" s="28"/>
    </row>
    <row r="101" ht="15.75" customHeight="1">
      <c r="C101" s="28"/>
      <c r="D101" s="28"/>
    </row>
    <row r="102" ht="15.75" customHeight="1">
      <c r="C102" s="28"/>
      <c r="D102" s="28"/>
    </row>
    <row r="103" ht="15.75" customHeight="1">
      <c r="C103" s="28"/>
      <c r="D103" s="28"/>
    </row>
    <row r="104" ht="15.75" customHeight="1">
      <c r="C104" s="28"/>
      <c r="D104" s="28"/>
    </row>
    <row r="105" ht="15.75" customHeight="1">
      <c r="C105" s="28"/>
      <c r="D105" s="28"/>
    </row>
    <row r="106" ht="15.75" customHeight="1">
      <c r="C106" s="28"/>
      <c r="D106" s="28"/>
    </row>
    <row r="107" ht="15.75" customHeight="1">
      <c r="C107" s="28"/>
      <c r="D107" s="28"/>
    </row>
    <row r="108" ht="15.75" customHeight="1">
      <c r="C108" s="28"/>
      <c r="D108" s="28"/>
    </row>
    <row r="109" ht="15.75" customHeight="1">
      <c r="C109" s="28"/>
      <c r="D109" s="28"/>
    </row>
    <row r="110" ht="15.75" customHeight="1">
      <c r="C110" s="28"/>
      <c r="D110" s="28"/>
    </row>
    <row r="111" ht="15.75" customHeight="1">
      <c r="C111" s="28"/>
      <c r="D111" s="28"/>
    </row>
    <row r="112" ht="15.75" customHeight="1">
      <c r="C112" s="28"/>
      <c r="D112" s="28"/>
    </row>
    <row r="113" ht="15.75" customHeight="1">
      <c r="C113" s="28"/>
      <c r="D113" s="28"/>
    </row>
    <row r="114" ht="15.75" customHeight="1">
      <c r="C114" s="28"/>
      <c r="D114" s="28"/>
    </row>
    <row r="115" ht="15.75" customHeight="1">
      <c r="C115" s="28"/>
      <c r="D115" s="28"/>
    </row>
    <row r="116" ht="15.75" customHeight="1">
      <c r="C116" s="28"/>
      <c r="D116" s="28"/>
    </row>
    <row r="117" ht="15.75" customHeight="1">
      <c r="C117" s="28"/>
      <c r="D117" s="28"/>
    </row>
    <row r="118" ht="15.75" customHeight="1">
      <c r="C118" s="28"/>
      <c r="D118" s="28"/>
    </row>
    <row r="119" ht="15.75" customHeight="1">
      <c r="C119" s="28"/>
      <c r="D119" s="28"/>
    </row>
    <row r="120" ht="15.75" customHeight="1">
      <c r="C120" s="28"/>
      <c r="D120" s="28"/>
    </row>
    <row r="121" ht="15.75" customHeight="1">
      <c r="C121" s="28"/>
      <c r="D121" s="28"/>
    </row>
    <row r="122" ht="15.75" customHeight="1">
      <c r="C122" s="28"/>
      <c r="D122" s="28"/>
    </row>
    <row r="123" ht="15.75" customHeight="1">
      <c r="C123" s="28"/>
      <c r="D123" s="28"/>
    </row>
    <row r="124" ht="15.75" customHeight="1">
      <c r="C124" s="28"/>
      <c r="D124" s="28"/>
    </row>
    <row r="125" ht="15.75" customHeight="1">
      <c r="C125" s="28"/>
      <c r="D125" s="28"/>
    </row>
    <row r="126" ht="15.75" customHeight="1">
      <c r="C126" s="28"/>
      <c r="D126" s="28"/>
    </row>
    <row r="127" ht="15.75" customHeight="1">
      <c r="C127" s="28"/>
      <c r="D127" s="28"/>
    </row>
    <row r="128" ht="15.75" customHeight="1">
      <c r="C128" s="28"/>
      <c r="D128" s="28"/>
    </row>
    <row r="129" ht="15.75" customHeight="1">
      <c r="C129" s="28"/>
      <c r="D129" s="28"/>
    </row>
    <row r="130" ht="15.75" customHeight="1">
      <c r="C130" s="28"/>
      <c r="D130" s="28"/>
    </row>
    <row r="131" ht="15.75" customHeight="1">
      <c r="C131" s="28"/>
      <c r="D131" s="28"/>
    </row>
    <row r="132" ht="15.75" customHeight="1">
      <c r="C132" s="28"/>
      <c r="D132" s="28"/>
    </row>
    <row r="133" ht="15.75" customHeight="1">
      <c r="C133" s="28"/>
      <c r="D133" s="28"/>
    </row>
    <row r="134" ht="15.75" customHeight="1">
      <c r="C134" s="28"/>
      <c r="D134" s="28"/>
    </row>
    <row r="135" ht="15.75" customHeight="1">
      <c r="C135" s="28"/>
      <c r="D135" s="28"/>
    </row>
    <row r="136" ht="15.75" customHeight="1">
      <c r="C136" s="28"/>
      <c r="D136" s="28"/>
    </row>
    <row r="137" ht="15.75" customHeight="1">
      <c r="C137" s="28"/>
      <c r="D137" s="28"/>
    </row>
    <row r="138" ht="15.75" customHeight="1">
      <c r="C138" s="28"/>
      <c r="D138" s="28"/>
    </row>
    <row r="139" ht="15.75" customHeight="1">
      <c r="C139" s="28"/>
      <c r="D139" s="28"/>
    </row>
    <row r="140" ht="15.75" customHeight="1">
      <c r="C140" s="28"/>
      <c r="D140" s="28"/>
    </row>
    <row r="141" ht="15.75" customHeight="1">
      <c r="C141" s="28"/>
      <c r="D141" s="28"/>
    </row>
    <row r="142" ht="15.75" customHeight="1">
      <c r="C142" s="28"/>
      <c r="D142" s="28"/>
    </row>
    <row r="143" ht="15.75" customHeight="1">
      <c r="C143" s="28"/>
      <c r="D143" s="28"/>
    </row>
    <row r="144" ht="15.75" customHeight="1">
      <c r="C144" s="28"/>
      <c r="D144" s="28"/>
    </row>
    <row r="145" ht="15.75" customHeight="1">
      <c r="C145" s="28"/>
      <c r="D145" s="28"/>
    </row>
    <row r="146" ht="15.75" customHeight="1">
      <c r="C146" s="28"/>
      <c r="D146" s="28"/>
    </row>
    <row r="147" ht="15.75" customHeight="1">
      <c r="C147" s="28"/>
      <c r="D147" s="28"/>
    </row>
    <row r="148" ht="15.75" customHeight="1">
      <c r="C148" s="28"/>
      <c r="D148" s="28"/>
    </row>
    <row r="149" ht="15.75" customHeight="1">
      <c r="C149" s="28"/>
      <c r="D149" s="28"/>
    </row>
    <row r="150" ht="15.75" customHeight="1">
      <c r="C150" s="28"/>
      <c r="D150" s="28"/>
    </row>
    <row r="151" ht="15.75" customHeight="1">
      <c r="C151" s="28"/>
      <c r="D151" s="28"/>
    </row>
    <row r="152" ht="15.75" customHeight="1">
      <c r="C152" s="28"/>
      <c r="D152" s="28"/>
    </row>
    <row r="153" ht="15.75" customHeight="1">
      <c r="C153" s="28"/>
      <c r="D153" s="28"/>
    </row>
    <row r="154" ht="15.75" customHeight="1">
      <c r="C154" s="28"/>
      <c r="D154" s="28"/>
    </row>
    <row r="155" ht="15.75" customHeight="1">
      <c r="C155" s="28"/>
      <c r="D155" s="28"/>
    </row>
    <row r="156" ht="15.75" customHeight="1">
      <c r="C156" s="28"/>
      <c r="D156" s="28"/>
    </row>
    <row r="157" ht="15.75" customHeight="1">
      <c r="C157" s="28"/>
      <c r="D157" s="28"/>
    </row>
    <row r="158" ht="15.75" customHeight="1">
      <c r="C158" s="28"/>
      <c r="D158" s="28"/>
    </row>
    <row r="159" ht="15.75" customHeight="1">
      <c r="C159" s="28"/>
      <c r="D159" s="28"/>
    </row>
    <row r="160" ht="15.75" customHeight="1">
      <c r="C160" s="28"/>
      <c r="D160" s="28"/>
    </row>
    <row r="161" ht="15.75" customHeight="1">
      <c r="C161" s="28"/>
      <c r="D161" s="28"/>
    </row>
    <row r="162" ht="15.75" customHeight="1">
      <c r="C162" s="28"/>
      <c r="D162" s="28"/>
    </row>
    <row r="163" ht="15.75" customHeight="1">
      <c r="C163" s="28"/>
      <c r="D163" s="28"/>
    </row>
    <row r="164" ht="15.75" customHeight="1">
      <c r="C164" s="28"/>
      <c r="D164" s="28"/>
    </row>
    <row r="165" ht="15.75" customHeight="1">
      <c r="C165" s="28"/>
      <c r="D165" s="28"/>
    </row>
    <row r="166" ht="15.75" customHeight="1">
      <c r="C166" s="28"/>
      <c r="D166" s="28"/>
    </row>
    <row r="167" ht="15.75" customHeight="1">
      <c r="C167" s="28"/>
      <c r="D167" s="28"/>
    </row>
    <row r="168" ht="15.75" customHeight="1">
      <c r="C168" s="28"/>
      <c r="D168" s="28"/>
    </row>
    <row r="169" ht="15.75" customHeight="1">
      <c r="C169" s="28"/>
      <c r="D169" s="28"/>
    </row>
    <row r="170" ht="15.75" customHeight="1">
      <c r="C170" s="28"/>
      <c r="D170" s="28"/>
    </row>
    <row r="171" ht="15.75" customHeight="1">
      <c r="C171" s="28"/>
      <c r="D171" s="28"/>
    </row>
    <row r="172" ht="15.75" customHeight="1">
      <c r="C172" s="28"/>
      <c r="D172" s="28"/>
    </row>
    <row r="173" ht="15.75" customHeight="1">
      <c r="C173" s="28"/>
      <c r="D173" s="28"/>
    </row>
    <row r="174" ht="15.75" customHeight="1">
      <c r="C174" s="28"/>
      <c r="D174" s="28"/>
    </row>
    <row r="175" ht="15.75" customHeight="1">
      <c r="C175" s="28"/>
      <c r="D175" s="28"/>
    </row>
    <row r="176" ht="15.75" customHeight="1">
      <c r="C176" s="28"/>
      <c r="D176" s="28"/>
    </row>
    <row r="177" ht="15.75" customHeight="1">
      <c r="C177" s="28"/>
      <c r="D177" s="28"/>
    </row>
    <row r="178" ht="15.75" customHeight="1">
      <c r="C178" s="28"/>
      <c r="D178" s="28"/>
    </row>
    <row r="179" ht="15.75" customHeight="1">
      <c r="C179" s="28"/>
      <c r="D179" s="28"/>
    </row>
    <row r="180" ht="15.75" customHeight="1">
      <c r="C180" s="28"/>
      <c r="D180" s="28"/>
    </row>
    <row r="181" ht="15.75" customHeight="1">
      <c r="C181" s="28"/>
      <c r="D181" s="28"/>
    </row>
    <row r="182" ht="15.75" customHeight="1">
      <c r="C182" s="28"/>
      <c r="D182" s="28"/>
    </row>
    <row r="183" ht="15.75" customHeight="1">
      <c r="C183" s="28"/>
      <c r="D183" s="28"/>
    </row>
    <row r="184" ht="15.75" customHeight="1">
      <c r="C184" s="28"/>
      <c r="D184" s="28"/>
    </row>
    <row r="185" ht="15.75" customHeight="1">
      <c r="C185" s="28"/>
      <c r="D185" s="28"/>
    </row>
    <row r="186" ht="15.75" customHeight="1">
      <c r="C186" s="28"/>
      <c r="D186" s="28"/>
    </row>
    <row r="187" ht="15.75" customHeight="1">
      <c r="C187" s="28"/>
      <c r="D187" s="28"/>
    </row>
    <row r="188" ht="15.75" customHeight="1">
      <c r="C188" s="28"/>
      <c r="D188" s="28"/>
    </row>
    <row r="189" ht="15.75" customHeight="1">
      <c r="C189" s="28"/>
      <c r="D189" s="28"/>
    </row>
    <row r="190" ht="15.75" customHeight="1">
      <c r="C190" s="28"/>
      <c r="D190" s="28"/>
    </row>
    <row r="191" ht="15.75" customHeight="1">
      <c r="C191" s="28"/>
      <c r="D191" s="28"/>
    </row>
    <row r="192" ht="15.75" customHeight="1">
      <c r="C192" s="28"/>
      <c r="D192" s="28"/>
    </row>
    <row r="193" ht="15.75" customHeight="1">
      <c r="C193" s="28"/>
      <c r="D193" s="28"/>
    </row>
    <row r="194" ht="15.75" customHeight="1">
      <c r="C194" s="28"/>
      <c r="D194" s="28"/>
    </row>
    <row r="195" ht="15.75" customHeight="1">
      <c r="C195" s="28"/>
      <c r="D195" s="28"/>
    </row>
    <row r="196" ht="15.75" customHeight="1">
      <c r="C196" s="28"/>
      <c r="D196" s="28"/>
    </row>
    <row r="197" ht="15.75" customHeight="1">
      <c r="C197" s="28"/>
      <c r="D197" s="28"/>
    </row>
    <row r="198" ht="15.75" customHeight="1">
      <c r="C198" s="28"/>
      <c r="D198" s="28"/>
    </row>
    <row r="199" ht="15.75" customHeight="1">
      <c r="C199" s="28"/>
      <c r="D199" s="28"/>
    </row>
    <row r="200" ht="15.75" customHeight="1">
      <c r="C200" s="28"/>
      <c r="D200" s="28"/>
    </row>
    <row r="201" ht="15.75" customHeight="1">
      <c r="C201" s="28"/>
      <c r="D201" s="28"/>
    </row>
    <row r="202" ht="15.75" customHeight="1">
      <c r="C202" s="28"/>
      <c r="D202" s="28"/>
    </row>
    <row r="203" ht="15.75" customHeight="1">
      <c r="C203" s="28"/>
      <c r="D203" s="28"/>
    </row>
    <row r="204" ht="15.75" customHeight="1">
      <c r="C204" s="28"/>
      <c r="D204" s="28"/>
    </row>
    <row r="205" ht="15.75" customHeight="1">
      <c r="C205" s="28"/>
      <c r="D205" s="28"/>
    </row>
    <row r="206" ht="15.75" customHeight="1">
      <c r="C206" s="28"/>
      <c r="D206" s="28"/>
    </row>
    <row r="207" ht="15.75" customHeight="1">
      <c r="C207" s="28"/>
      <c r="D207" s="28"/>
    </row>
    <row r="208" ht="15.75" customHeight="1">
      <c r="C208" s="28"/>
      <c r="D208" s="28"/>
    </row>
    <row r="209" ht="15.75" customHeight="1">
      <c r="C209" s="28"/>
      <c r="D209" s="28"/>
    </row>
    <row r="210" ht="15.75" customHeight="1">
      <c r="C210" s="28"/>
      <c r="D210" s="28"/>
    </row>
    <row r="211" ht="15.75" customHeight="1">
      <c r="C211" s="28"/>
      <c r="D211" s="28"/>
    </row>
    <row r="212" ht="15.75" customHeight="1">
      <c r="C212" s="28"/>
      <c r="D212" s="28"/>
    </row>
    <row r="213" ht="15.75" customHeight="1">
      <c r="C213" s="28"/>
      <c r="D213" s="28"/>
    </row>
    <row r="214" ht="15.75" customHeight="1">
      <c r="C214" s="28"/>
      <c r="D214" s="28"/>
    </row>
    <row r="215" ht="15.75" customHeight="1">
      <c r="C215" s="28"/>
      <c r="D215" s="28"/>
    </row>
    <row r="216" ht="15.75" customHeight="1">
      <c r="C216" s="28"/>
      <c r="D216" s="28"/>
    </row>
    <row r="217" ht="15.75" customHeight="1">
      <c r="C217" s="28"/>
      <c r="D217" s="28"/>
    </row>
    <row r="218" ht="15.75" customHeight="1">
      <c r="C218" s="28"/>
      <c r="D218" s="28"/>
    </row>
    <row r="219" ht="15.75" customHeight="1">
      <c r="C219" s="28"/>
      <c r="D219" s="28"/>
    </row>
    <row r="220" ht="15.75" customHeight="1">
      <c r="C220" s="28"/>
      <c r="D220" s="28"/>
    </row>
    <row r="221" ht="15.75" customHeight="1">
      <c r="C221" s="28"/>
      <c r="D221" s="28"/>
    </row>
    <row r="222" ht="15.75" customHeight="1">
      <c r="C222" s="28"/>
      <c r="D222" s="28"/>
    </row>
    <row r="223" ht="15.75" customHeight="1">
      <c r="C223" s="28"/>
      <c r="D223" s="28"/>
    </row>
    <row r="224" ht="15.75" customHeight="1">
      <c r="C224" s="28"/>
      <c r="D224" s="28"/>
    </row>
    <row r="225" ht="15.75" customHeight="1">
      <c r="C225" s="28"/>
      <c r="D225" s="28"/>
    </row>
    <row r="226" ht="15.75" customHeight="1">
      <c r="C226" s="28"/>
      <c r="D226" s="28"/>
    </row>
    <row r="227" ht="15.75" customHeight="1">
      <c r="C227" s="28"/>
      <c r="D227" s="28"/>
    </row>
    <row r="228" ht="15.75" customHeight="1">
      <c r="C228" s="28"/>
      <c r="D228" s="28"/>
    </row>
    <row r="229" ht="15.75" customHeight="1">
      <c r="C229" s="28"/>
      <c r="D229" s="28"/>
    </row>
    <row r="230" ht="15.75" customHeight="1">
      <c r="C230" s="28"/>
      <c r="D230" s="28"/>
    </row>
    <row r="231" ht="15.75" customHeight="1">
      <c r="C231" s="28"/>
      <c r="D231" s="28"/>
    </row>
    <row r="232" ht="15.75" customHeight="1">
      <c r="C232" s="28"/>
      <c r="D232" s="28"/>
    </row>
    <row r="233" ht="15.75" customHeight="1">
      <c r="C233" s="28"/>
      <c r="D233" s="28"/>
    </row>
    <row r="234" ht="15.75" customHeight="1">
      <c r="C234" s="28"/>
      <c r="D234" s="28"/>
    </row>
    <row r="235" ht="15.75" customHeight="1">
      <c r="C235" s="28"/>
      <c r="D235" s="28"/>
    </row>
    <row r="236" ht="15.75" customHeight="1">
      <c r="C236" s="28"/>
      <c r="D236" s="28"/>
    </row>
    <row r="237" ht="15.75" customHeight="1">
      <c r="C237" s="28"/>
      <c r="D237" s="28"/>
    </row>
    <row r="238" ht="15.75" customHeight="1">
      <c r="C238" s="28"/>
      <c r="D238" s="28"/>
    </row>
    <row r="239" ht="15.75" customHeight="1">
      <c r="C239" s="28"/>
      <c r="D239" s="28"/>
    </row>
    <row r="240" ht="15.75" customHeight="1">
      <c r="C240" s="28"/>
      <c r="D240" s="28"/>
    </row>
    <row r="241" ht="15.75" customHeight="1">
      <c r="C241" s="28"/>
      <c r="D241" s="28"/>
    </row>
    <row r="242" ht="15.75" customHeight="1">
      <c r="C242" s="28"/>
      <c r="D242" s="28"/>
    </row>
    <row r="243" ht="15.75" customHeight="1">
      <c r="C243" s="28"/>
      <c r="D243" s="28"/>
    </row>
    <row r="244" ht="15.75" customHeight="1">
      <c r="C244" s="28"/>
      <c r="D244" s="28"/>
    </row>
    <row r="245" ht="15.75" customHeight="1">
      <c r="C245" s="28"/>
      <c r="D245" s="28"/>
    </row>
    <row r="246" ht="15.75" customHeight="1">
      <c r="C246" s="28"/>
      <c r="D246" s="28"/>
    </row>
    <row r="247" ht="15.75" customHeight="1">
      <c r="C247" s="28"/>
      <c r="D247" s="28"/>
    </row>
    <row r="248" ht="15.75" customHeight="1">
      <c r="C248" s="28"/>
      <c r="D248" s="28"/>
    </row>
    <row r="249" ht="15.75" customHeight="1">
      <c r="C249" s="28"/>
      <c r="D249" s="28"/>
    </row>
    <row r="250" ht="15.75" customHeight="1">
      <c r="C250" s="28"/>
      <c r="D250" s="28"/>
    </row>
    <row r="251" ht="15.75" customHeight="1">
      <c r="C251" s="28"/>
      <c r="D251" s="28"/>
    </row>
    <row r="252" ht="15.75" customHeight="1">
      <c r="C252" s="28"/>
      <c r="D252" s="28"/>
    </row>
    <row r="253" ht="15.75" customHeight="1">
      <c r="C253" s="28"/>
      <c r="D253" s="28"/>
    </row>
    <row r="254" ht="15.75" customHeight="1">
      <c r="C254" s="28"/>
      <c r="D254" s="28"/>
    </row>
    <row r="255" ht="15.75" customHeight="1">
      <c r="C255" s="28"/>
      <c r="D255" s="28"/>
    </row>
    <row r="256" ht="15.75" customHeight="1">
      <c r="C256" s="28"/>
      <c r="D256" s="28"/>
    </row>
    <row r="257" ht="15.75" customHeight="1">
      <c r="C257" s="28"/>
      <c r="D257" s="28"/>
    </row>
    <row r="258" ht="15.75" customHeight="1">
      <c r="C258" s="28"/>
      <c r="D258" s="2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D25"/>
    <mergeCell ref="B34:D34"/>
    <mergeCell ref="B43:D43"/>
    <mergeCell ref="F3:F6"/>
    <mergeCell ref="G3:G6"/>
    <mergeCell ref="B4:D4"/>
    <mergeCell ref="F7:F11"/>
    <mergeCell ref="G7:G11"/>
    <mergeCell ref="F15:F19"/>
    <mergeCell ref="G15:G19"/>
  </mergeCells>
  <conditionalFormatting sqref="D11:D15">
    <cfRule type="expression" dxfId="0" priority="1">
      <formula>AND(NOT(ISBLANK($D$10)),ISBLANK(D11))</formula>
    </cfRule>
  </conditionalFormatting>
  <conditionalFormatting sqref="D2:D3">
    <cfRule type="expression" dxfId="0" priority="2">
      <formula>ISBLANK(D2)</formula>
    </cfRule>
  </conditionalFormatting>
  <conditionalFormatting sqref="D17:D21">
    <cfRule type="expression" dxfId="0" priority="3">
      <formula>AND(NOT(ISBLANK($D$16)),ISBLANK(D17))</formula>
    </cfRule>
  </conditionalFormatting>
  <conditionalFormatting sqref="D29:D33">
    <cfRule type="expression" dxfId="1" priority="4">
      <formula>OR(NOT(ISBLANK($D$28)),NOT(ISBLANK($D$29)))</formula>
    </cfRule>
  </conditionalFormatting>
  <conditionalFormatting sqref="D26">
    <cfRule type="expression" dxfId="0" priority="5">
      <formula>OR(NOT(ISBLANK($D$27)),NOT(ISBLANK($D$28)),NOT(ISBLANK($D$29)))</formula>
    </cfRule>
  </conditionalFormatting>
  <conditionalFormatting sqref="D27">
    <cfRule type="expression" dxfId="0" priority="6">
      <formula>OR(NOT(ISBLANK($D$28)),NOT(ISBLANK($D$29)))</formula>
    </cfRule>
  </conditionalFormatting>
  <conditionalFormatting sqref="D35">
    <cfRule type="expression" dxfId="0" priority="7">
      <formula>OR(NOT(ISBLANK($D$36)),NOT(ISBLANK($D$37)),NOT(ISBLANK($D$38)))</formula>
    </cfRule>
  </conditionalFormatting>
  <conditionalFormatting sqref="D5">
    <cfRule type="expression" dxfId="0" priority="8">
      <formula>(OR(NOT(ISBLANK($D$6)),NOT(ISBLANK($D$7)),NOT(ISBLANK($D$8)),NOT(ISBLANK($D$9)),NOT(ISBLANK($D$10)),NOT(ISBLANK($D$16))))</formula>
    </cfRule>
  </conditionalFormatting>
  <conditionalFormatting sqref="I3:I4 I7:I10 I15:I16">
    <cfRule type="expression" dxfId="0" priority="9">
      <formula>ISBLANK(I3)</formula>
    </cfRule>
  </conditionalFormatting>
  <conditionalFormatting sqref="E9:E10">
    <cfRule type="notContainsBlanks" dxfId="2" priority="10">
      <formula>LEN(TRIM(E9))&gt;0</formula>
    </cfRule>
  </conditionalFormatting>
  <conditionalFormatting sqref="D9:D10">
    <cfRule type="expression" dxfId="0" priority="11">
      <formula>OR(NOT(ISBLANK($D$11)),,NOT(ISBLANK($D$9)),NOT(ISBLANK($D$10)),NOT(ISBLANK($D$12)),NOT(ISBLANK($D$14)),NOT(ISBLANK($D$15)))</formula>
    </cfRule>
  </conditionalFormatting>
  <conditionalFormatting sqref="D16">
    <cfRule type="expression" dxfId="0" priority="12">
      <formula>OR(NOT(ISBLANK($D$17)),NOT(ISBLANK($D$18)),NOT(ISBLANK($D$20)),NOT(ISBLANK($D$21)))</formula>
    </cfRule>
  </conditionalFormatting>
  <conditionalFormatting sqref="I5">
    <cfRule type="containsBlanks" dxfId="1" priority="13">
      <formula>LEN(TRIM(I5))=0</formula>
    </cfRule>
  </conditionalFormatting>
  <conditionalFormatting sqref="I9">
    <cfRule type="containsBlanks" dxfId="0" priority="14">
      <formula>LEN(TRIM(I9))=0</formula>
    </cfRule>
  </conditionalFormatting>
  <conditionalFormatting sqref="I15">
    <cfRule type="expression" dxfId="3" priority="15">
      <formula>OR($I$15&lt;($D$11+4),$I$15&lt;($D$14+4),$I$15&lt;($D$17+4),$I$15&lt;($D$20+4),$I$15&lt;($D$30+4),$I$15&lt;($D$32+4))</formula>
    </cfRule>
  </conditionalFormatting>
  <conditionalFormatting sqref="I7">
    <cfRule type="expression" dxfId="4" priority="16">
      <formula>OR($I$7&lt;($D$11+4),$I$7&lt;($D$14+4),$I$7&lt;($D$17+4),$I$7&lt;($D$20+4),$I$7&lt;($D$30+4),$I$7&lt;($D$32+4))</formula>
    </cfRule>
  </conditionalFormatting>
  <conditionalFormatting sqref="D28">
    <cfRule type="expression" dxfId="0" priority="17">
      <formula>OR(NOT(ISBLANK($D$29)),NOT(ISBLANK($D$30)),NOT(ISBLANK($D$31)),NOT(ISBLANK($D$32)),NOT(ISBLANK($D$33)))</formula>
    </cfRule>
  </conditionalFormatting>
  <conditionalFormatting sqref="D6">
    <cfRule type="expression" dxfId="0" priority="18">
      <formula>OR(NOT(ISBLANK($D$7)),NOT(ISBLANK($D$8)))</formula>
    </cfRule>
  </conditionalFormatting>
  <conditionalFormatting sqref="K24">
    <cfRule type="colorScale" priority="19">
      <colorScale>
        <cfvo type="min"/>
        <cfvo type="max"/>
        <color rgb="FF57BB8A"/>
        <color rgb="FFFFFFFF"/>
      </colorScale>
    </cfRule>
  </conditionalFormatting>
  <dataValidations>
    <dataValidation type="decimal" operator="greaterThanOrEqual" allowBlank="1" showDropDown="1" showInputMessage="1" showErrorMessage="1" prompt="Enter a number greater than or equal to 100" sqref="D39">
      <formula1>100.0</formula1>
    </dataValidation>
    <dataValidation type="decimal" operator="greaterThanOrEqual" allowBlank="1" showDropDown="1" showInputMessage="1" showErrorMessage="1" prompt="Enter a number greater than or equal to 96" sqref="I8 I16">
      <formula1>96.0</formula1>
    </dataValidation>
    <dataValidation type="decimal" operator="greaterThanOrEqual" allowBlank="1" showDropDown="1" showInputMessage="1" showErrorMessage="1" prompt="Enter a number greater than or equal to 50" sqref="D3">
      <formula1>50.0</formula1>
    </dataValidation>
    <dataValidation type="decimal" operator="greaterThanOrEqual" allowBlank="1" showDropDown="1" showInputMessage="1" showErrorMessage="1" prompt="Enter a number greater than or equal to 16" sqref="I3 I7 I15">
      <formula1>16.0</formula1>
    </dataValidation>
    <dataValidation type="decimal" operator="greaterThanOrEqual" allowBlank="1" showDropDown="1" showInputMessage="1" showErrorMessage="1" prompt="Enter a number greater than or equal to 64" sqref="I4">
      <formula1>64.0</formula1>
    </dataValidation>
    <dataValidation type="decimal" operator="greaterThanOrEqual" allowBlank="1" showDropDown="1" showInputMessage="1" showErrorMessage="1" prompt="Enter a number greater than or equal to 1" sqref="D2 D5:D12 D14:D18 D20:D24 D26:D33 D35:D38">
      <formula1>1.0</formula1>
    </dataValidation>
    <dataValidation type="decimal" allowBlank="1" showDropDown="1" showInputMessage="1" showErrorMessage="1" prompt="Enter a number between 300 and 1000" sqref="I5 I9">
      <formula1>300.0</formula1>
      <formula2>1000.0</formula2>
    </dataValidation>
    <dataValidation type="decimal" allowBlank="1" showDropDown="1" showInputMessage="1" showErrorMessage="1" prompt="Enter a number between 1 and 2" sqref="D13 D19">
      <formula1>1.0</formula1>
      <formula2>2.0</formula2>
    </dataValidation>
    <dataValidation type="list" allowBlank="1" showErrorMessage="1" sqref="G3">
      <formula1>"3,1"</formula1>
    </dataValidation>
    <dataValidation type="decimal" operator="greaterThanOrEqual" allowBlank="1" showDropDown="1" showInputMessage="1" showErrorMessage="1" prompt="Must be 0 and above" sqref="D41 D44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</cols>
  <sheetData>
    <row r="2">
      <c r="A2" s="45" t="s">
        <v>227</v>
      </c>
      <c r="B2" s="46" t="s">
        <v>228</v>
      </c>
      <c r="C2" s="46" t="s">
        <v>88</v>
      </c>
      <c r="D2" s="46" t="s">
        <v>229</v>
      </c>
    </row>
    <row r="3">
      <c r="A3" s="47" t="s">
        <v>230</v>
      </c>
      <c r="B3" s="46">
        <v>8.0</v>
      </c>
      <c r="C3" s="46">
        <v>32.0</v>
      </c>
      <c r="D3" s="48">
        <f t="shared" ref="D3:D4" si="1">CEILING((B3/6)+(C3/12),1)</f>
        <v>4</v>
      </c>
    </row>
    <row r="4">
      <c r="A4" s="47" t="s">
        <v>231</v>
      </c>
      <c r="B4" s="46">
        <v>20.0</v>
      </c>
      <c r="C4" s="46">
        <v>96.0</v>
      </c>
      <c r="D4" s="48">
        <f t="shared" si="1"/>
        <v>12</v>
      </c>
    </row>
    <row r="6">
      <c r="B6" s="46">
        <f>Sum(B3:B4)</f>
        <v>28</v>
      </c>
      <c r="C6" s="48">
        <f>SUM(C3:C5)</f>
        <v>128</v>
      </c>
      <c r="D6" s="48">
        <f>CEILING((B6/6)+(C6/12),1)</f>
        <v>16</v>
      </c>
    </row>
    <row r="8">
      <c r="B8" s="46" t="s">
        <v>228</v>
      </c>
      <c r="C8" s="46" t="s">
        <v>88</v>
      </c>
      <c r="D8" s="46" t="s">
        <v>229</v>
      </c>
    </row>
    <row r="9">
      <c r="A9" s="47" t="s">
        <v>230</v>
      </c>
      <c r="B9" s="46">
        <v>8.0</v>
      </c>
      <c r="C9" s="46">
        <v>32.0</v>
      </c>
      <c r="D9" s="48">
        <f t="shared" ref="D9:D12" si="2">CEILING((B9/6)+(C9/12),1)</f>
        <v>4</v>
      </c>
    </row>
    <row r="10">
      <c r="A10" s="47" t="s">
        <v>232</v>
      </c>
      <c r="B10" s="46">
        <v>8.0</v>
      </c>
      <c r="C10" s="46">
        <v>100.0</v>
      </c>
      <c r="D10" s="48">
        <f t="shared" si="2"/>
        <v>10</v>
      </c>
    </row>
    <row r="11">
      <c r="A11" s="47" t="s">
        <v>233</v>
      </c>
      <c r="B11" s="46">
        <v>72.0</v>
      </c>
      <c r="C11" s="46">
        <v>256.0</v>
      </c>
      <c r="D11" s="48">
        <f t="shared" si="2"/>
        <v>34</v>
      </c>
    </row>
    <row r="12">
      <c r="A12" s="47" t="s">
        <v>234</v>
      </c>
      <c r="B12" s="46">
        <v>72.0</v>
      </c>
      <c r="C12" s="46">
        <v>256.0</v>
      </c>
      <c r="D12" s="48">
        <f t="shared" si="2"/>
        <v>34</v>
      </c>
    </row>
    <row r="14">
      <c r="B14" s="48">
        <f>SUM(B9:B12)</f>
        <v>160</v>
      </c>
      <c r="C14" s="48">
        <f>SUM(C9:C13)</f>
        <v>644</v>
      </c>
      <c r="D14" s="48">
        <f>CEILING((B14/6)+(C14/12),1)</f>
        <v>81</v>
      </c>
    </row>
    <row r="18">
      <c r="A18" s="46" t="s">
        <v>235</v>
      </c>
      <c r="B18" s="49">
        <v>96.0</v>
      </c>
      <c r="C18" s="49">
        <v>384.0</v>
      </c>
      <c r="D18" s="50">
        <f t="shared" ref="D18:D20" si="3">ROUNDUP((B18/6)+(C18/12))</f>
        <v>48</v>
      </c>
      <c r="E18" s="46" t="s">
        <v>236</v>
      </c>
    </row>
    <row r="19">
      <c r="A19" s="46" t="s">
        <v>237</v>
      </c>
      <c r="B19" s="49">
        <v>320.0</v>
      </c>
      <c r="C19" s="49">
        <v>1280.0</v>
      </c>
      <c r="D19" s="50">
        <f t="shared" si="3"/>
        <v>160</v>
      </c>
      <c r="E19" s="46" t="s">
        <v>238</v>
      </c>
    </row>
    <row r="20">
      <c r="A20" s="46" t="s">
        <v>237</v>
      </c>
      <c r="B20" s="46">
        <v>320.0</v>
      </c>
      <c r="C20" s="46">
        <v>2560.0</v>
      </c>
      <c r="D20" s="50">
        <f t="shared" si="3"/>
        <v>267</v>
      </c>
      <c r="G20" s="48">
        <f>267+48</f>
        <v>315</v>
      </c>
    </row>
    <row r="21">
      <c r="C21" s="46"/>
    </row>
    <row r="22">
      <c r="C22" s="46" t="s">
        <v>229</v>
      </c>
      <c r="D22" s="48">
        <f> Sum(D18:D19)</f>
        <v>208</v>
      </c>
    </row>
    <row r="23">
      <c r="C23" s="46" t="s">
        <v>239</v>
      </c>
      <c r="D23" s="46">
        <v>4.0</v>
      </c>
    </row>
    <row r="26">
      <c r="A26" s="46" t="s">
        <v>240</v>
      </c>
      <c r="B26" s="46">
        <v>384.0</v>
      </c>
      <c r="C26" s="46">
        <v>1536.0</v>
      </c>
      <c r="D26" s="50">
        <f t="shared" ref="D26:D27" si="4">ROUNDUP((B26/6)+(C26/12))</f>
        <v>192</v>
      </c>
      <c r="E26" s="46" t="s">
        <v>241</v>
      </c>
    </row>
    <row r="27">
      <c r="A27" s="46" t="s">
        <v>242</v>
      </c>
      <c r="B27" s="49">
        <v>192.0</v>
      </c>
      <c r="C27" s="49">
        <v>768.0</v>
      </c>
      <c r="D27" s="50">
        <f t="shared" si="4"/>
        <v>96</v>
      </c>
      <c r="E27" s="46" t="s">
        <v>243</v>
      </c>
    </row>
    <row r="29">
      <c r="C29" s="46" t="s">
        <v>229</v>
      </c>
      <c r="D29" s="48">
        <f> Sum(D26:D27)</f>
        <v>288</v>
      </c>
    </row>
    <row r="31">
      <c r="A31" s="46" t="s">
        <v>244</v>
      </c>
    </row>
    <row r="33">
      <c r="A33" s="46" t="s">
        <v>245</v>
      </c>
      <c r="B33" s="46">
        <v>1664.0</v>
      </c>
      <c r="C33" s="46">
        <v>6656.0</v>
      </c>
      <c r="D33" s="50">
        <f t="shared" ref="D33:D34" si="5">ROUNDUP((B33/6)+(C33/12))</f>
        <v>832</v>
      </c>
      <c r="E33" s="46" t="s">
        <v>246</v>
      </c>
    </row>
    <row r="34">
      <c r="A34" s="46" t="s">
        <v>242</v>
      </c>
      <c r="B34" s="46">
        <v>960.0</v>
      </c>
      <c r="C34" s="46">
        <v>3840.0</v>
      </c>
      <c r="D34" s="50">
        <f t="shared" si="5"/>
        <v>480</v>
      </c>
      <c r="E34" s="46" t="s">
        <v>247</v>
      </c>
    </row>
    <row r="36">
      <c r="C36" s="46" t="s">
        <v>229</v>
      </c>
      <c r="D36" s="48">
        <f> Sum(D33:D34)</f>
        <v>1312</v>
      </c>
    </row>
    <row r="39">
      <c r="A39" s="46" t="s">
        <v>248</v>
      </c>
    </row>
    <row r="40">
      <c r="A40" s="46" t="s">
        <v>249</v>
      </c>
      <c r="C40" s="46" t="s">
        <v>250</v>
      </c>
      <c r="D40" s="46">
        <v>8.0</v>
      </c>
    </row>
    <row r="43">
      <c r="A43" s="46" t="s">
        <v>251</v>
      </c>
    </row>
    <row r="44">
      <c r="A44" s="46" t="s">
        <v>245</v>
      </c>
      <c r="B44" s="46">
        <v>1056.0</v>
      </c>
      <c r="C44" s="46">
        <v>4160.0</v>
      </c>
      <c r="D44" s="50">
        <f t="shared" ref="D44:D45" si="6">ROUNDUP((B44/6)+(C44/12))</f>
        <v>523</v>
      </c>
      <c r="E44" s="46" t="s">
        <v>252</v>
      </c>
    </row>
    <row r="45">
      <c r="A45" s="46" t="s">
        <v>242</v>
      </c>
      <c r="B45" s="46">
        <v>608.0</v>
      </c>
      <c r="C45" s="46">
        <v>2432.0</v>
      </c>
      <c r="D45" s="50">
        <f t="shared" si="6"/>
        <v>304</v>
      </c>
      <c r="E45" s="46" t="s">
        <v>253</v>
      </c>
    </row>
    <row r="47">
      <c r="C47" s="46" t="s">
        <v>229</v>
      </c>
      <c r="D47" s="48">
        <f> Sum(D44:D45)</f>
        <v>827</v>
      </c>
    </row>
  </sheetData>
  <drawing r:id="rId1"/>
</worksheet>
</file>