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trlProps/ctrlProp4.xml" ContentType="application/vnd.ms-excel.controlproperties+xml"/>
  <Override PartName="/xl/ctrlProps/ctrlProp3.xml" ContentType="application/vnd.ms-excel.controlproperties+xml"/>
  <Override PartName="/xl/charts/colors1.xml" ContentType="application/vnd.ms-office.chartcolorstyle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0490" windowHeight="7545"/>
  </bookViews>
  <sheets>
    <sheet name="Dashboard" sheetId="2" r:id="rId1"/>
    <sheet name="Calculation" sheetId="8" r:id="rId2"/>
    <sheet name="Data" sheetId="5" r:id="rId3"/>
  </sheets>
  <definedNames>
    <definedName name="cur_month">Dashboard!$F$6</definedName>
    <definedName name="cur_year">Dashboard!$F$5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8"/>
  <c r="AZ15" l="1"/>
  <c r="AW24" l="1"/>
  <c r="AW25"/>
  <c r="AW26"/>
  <c r="AZ16" l="1"/>
  <c r="AZ17"/>
  <c r="AZ18"/>
  <c r="AZ24"/>
  <c r="AZ25"/>
  <c r="AZ26"/>
  <c r="AW14" l="1"/>
  <c r="AX14"/>
  <c r="AY14"/>
  <c r="AV16"/>
  <c r="AV17"/>
  <c r="AV18"/>
  <c r="AV19"/>
  <c r="AV20"/>
  <c r="AV21"/>
  <c r="AV22"/>
  <c r="AV23"/>
  <c r="AV24"/>
  <c r="AV25"/>
  <c r="AV26"/>
  <c r="AV15"/>
  <c r="AQ13"/>
  <c r="AW13" s="1"/>
  <c r="AS13" l="1"/>
  <c r="AY13" s="1"/>
  <c r="AR13"/>
  <c r="AX13" s="1"/>
  <c r="AJ12"/>
  <c r="AJ13"/>
  <c r="AG14"/>
  <c r="T9" l="1"/>
  <c r="S9"/>
  <c r="R9"/>
  <c r="P9"/>
  <c r="Q9"/>
  <c r="U9"/>
  <c r="V9"/>
  <c r="W9"/>
  <c r="P10"/>
  <c r="Q10"/>
  <c r="R10"/>
  <c r="S10"/>
  <c r="T10"/>
  <c r="U10"/>
  <c r="V10"/>
  <c r="W10"/>
  <c r="P12"/>
  <c r="Q12"/>
  <c r="R12"/>
  <c r="S12"/>
  <c r="T12"/>
  <c r="U12"/>
  <c r="V12"/>
  <c r="W12"/>
  <c r="O9"/>
  <c r="O10"/>
  <c r="O12"/>
  <c r="N16"/>
  <c r="N17"/>
  <c r="N19"/>
  <c r="N20"/>
  <c r="N21"/>
  <c r="N22"/>
  <c r="N23"/>
  <c r="N24"/>
  <c r="N25"/>
  <c r="N26"/>
  <c r="N27"/>
  <c r="N28"/>
  <c r="N29"/>
  <c r="N30"/>
  <c r="N31"/>
  <c r="N32"/>
  <c r="N33"/>
  <c r="N34"/>
  <c r="N15"/>
  <c r="O15" l="1"/>
  <c r="S8"/>
  <c r="AF27"/>
  <c r="AF34"/>
  <c r="AG34" s="1"/>
  <c r="O34"/>
  <c r="S34"/>
  <c r="W34"/>
  <c r="V34"/>
  <c r="P34"/>
  <c r="T34"/>
  <c r="Q34"/>
  <c r="U34"/>
  <c r="R34"/>
  <c r="AF30"/>
  <c r="AG30" s="1"/>
  <c r="O30"/>
  <c r="S30"/>
  <c r="W30"/>
  <c r="R30"/>
  <c r="P30"/>
  <c r="T30"/>
  <c r="Q30"/>
  <c r="U30"/>
  <c r="V30"/>
  <c r="AF26"/>
  <c r="AF22"/>
  <c r="AF18"/>
  <c r="AF15"/>
  <c r="AF23"/>
  <c r="AF19"/>
  <c r="AF33"/>
  <c r="AG33" s="1"/>
  <c r="P33"/>
  <c r="T33"/>
  <c r="W33"/>
  <c r="Q33"/>
  <c r="U33"/>
  <c r="O33"/>
  <c r="R33"/>
  <c r="V33"/>
  <c r="S33"/>
  <c r="AF29"/>
  <c r="AF25"/>
  <c r="AF21"/>
  <c r="AF17"/>
  <c r="AF31"/>
  <c r="AG31" s="1"/>
  <c r="R31"/>
  <c r="V31"/>
  <c r="U31"/>
  <c r="O31"/>
  <c r="S31"/>
  <c r="W31"/>
  <c r="Q31"/>
  <c r="P31"/>
  <c r="T31"/>
  <c r="AF32"/>
  <c r="AG32" s="1"/>
  <c r="Q32"/>
  <c r="U32"/>
  <c r="T32"/>
  <c r="R32"/>
  <c r="V32"/>
  <c r="O32"/>
  <c r="S32"/>
  <c r="W32"/>
  <c r="P32"/>
  <c r="AF28"/>
  <c r="AF24"/>
  <c r="AF20"/>
  <c r="AF16"/>
  <c r="O8"/>
  <c r="P8"/>
  <c r="U8"/>
  <c r="R8"/>
  <c r="V8"/>
  <c r="W8"/>
  <c r="Q8"/>
  <c r="T8"/>
  <c r="M32"/>
  <c r="AB32"/>
  <c r="AA32"/>
  <c r="AC32"/>
  <c r="M20"/>
  <c r="M16"/>
  <c r="M15"/>
  <c r="AA31"/>
  <c r="AC31"/>
  <c r="AB31"/>
  <c r="M19"/>
  <c r="AA30"/>
  <c r="AB30"/>
  <c r="AC30"/>
  <c r="M18"/>
  <c r="M34"/>
  <c r="AA34"/>
  <c r="AC34"/>
  <c r="AB34"/>
  <c r="M33"/>
  <c r="AC33"/>
  <c r="AA33"/>
  <c r="AB33"/>
  <c r="M21"/>
  <c r="M17"/>
  <c r="M31"/>
  <c r="E22" i="2"/>
  <c r="M30" i="8"/>
  <c r="E21" i="2"/>
  <c r="M26" i="8"/>
  <c r="E17" i="2"/>
  <c r="M22" i="8"/>
  <c r="E13" i="2"/>
  <c r="M27" i="8"/>
  <c r="E18" i="2"/>
  <c r="M23" i="8"/>
  <c r="E14" i="2"/>
  <c r="M29" i="8"/>
  <c r="E20" i="2"/>
  <c r="M25" i="8"/>
  <c r="E16" i="2"/>
  <c r="M28" i="8"/>
  <c r="E19" i="2"/>
  <c r="M24" i="8"/>
  <c r="E15" i="2"/>
  <c r="Z32" i="8"/>
  <c r="X31"/>
  <c r="Y33"/>
  <c r="Y31"/>
  <c r="Z30"/>
  <c r="Y34"/>
  <c r="Y32"/>
  <c r="Y30"/>
  <c r="Z34"/>
  <c r="X33"/>
  <c r="X34"/>
  <c r="Z33"/>
  <c r="X32"/>
  <c r="Z31"/>
  <c r="X30"/>
  <c r="G14" a="1"/>
  <c r="G14" s="1"/>
  <c r="AP11" l="1"/>
  <c r="N36"/>
  <c r="D18" i="2"/>
  <c r="D13"/>
  <c r="D15"/>
  <c r="D14"/>
  <c r="D17"/>
  <c r="D19"/>
  <c r="D20"/>
  <c r="D16"/>
  <c r="D21"/>
  <c r="D22"/>
  <c r="I14" i="8"/>
  <c r="H14"/>
  <c r="B6" i="5"/>
  <c r="C6"/>
  <c r="D6"/>
  <c r="E6"/>
  <c r="F6"/>
  <c r="G6"/>
  <c r="H6"/>
  <c r="I6"/>
  <c r="J6"/>
  <c r="A2"/>
  <c r="C5" s="1"/>
  <c r="AV11" i="8" l="1"/>
  <c r="C4" i="5"/>
  <c r="U5"/>
  <c r="U4" s="1"/>
  <c r="B5"/>
  <c r="B4" s="1"/>
  <c r="AS5"/>
  <c r="AS4" s="1"/>
  <c r="Q5"/>
  <c r="Q4" s="1"/>
  <c r="AO5"/>
  <c r="AO4" s="1"/>
  <c r="M5"/>
  <c r="M4" s="1"/>
  <c r="I5"/>
  <c r="I4" s="1"/>
  <c r="AK5"/>
  <c r="AK4" s="1"/>
  <c r="AR5"/>
  <c r="AR4" s="1"/>
  <c r="AN5"/>
  <c r="AN4" s="1"/>
  <c r="AJ5"/>
  <c r="AJ4" s="1"/>
  <c r="T5"/>
  <c r="T4" s="1"/>
  <c r="P5"/>
  <c r="P4" s="1"/>
  <c r="L5"/>
  <c r="L4" s="1"/>
  <c r="H5"/>
  <c r="H4" s="1"/>
  <c r="B2"/>
  <c r="AQ5"/>
  <c r="AQ4" s="1"/>
  <c r="AM5"/>
  <c r="AM4" s="1"/>
  <c r="AI5"/>
  <c r="AI4" s="1"/>
  <c r="S5"/>
  <c r="S4" s="1"/>
  <c r="O5"/>
  <c r="O4" s="1"/>
  <c r="K5"/>
  <c r="AQ17" i="8" s="1"/>
  <c r="AW17" s="1"/>
  <c r="D5" i="5"/>
  <c r="D4" s="1"/>
  <c r="AT5"/>
  <c r="AT4" s="1"/>
  <c r="AP5"/>
  <c r="AP4" s="1"/>
  <c r="AL5"/>
  <c r="AL4" s="1"/>
  <c r="V5"/>
  <c r="V4" s="1"/>
  <c r="R5"/>
  <c r="R4" s="1"/>
  <c r="N5"/>
  <c r="N4" s="1"/>
  <c r="J5"/>
  <c r="J4" s="1"/>
  <c r="Q28" i="8" l="1"/>
  <c r="O29"/>
  <c r="O28"/>
  <c r="Q27"/>
  <c r="P29"/>
  <c r="P27"/>
  <c r="Q29"/>
  <c r="O27"/>
  <c r="P28"/>
  <c r="AQ20"/>
  <c r="AW20" s="1"/>
  <c r="AZ20" s="1"/>
  <c r="AQ22"/>
  <c r="AW22" s="1"/>
  <c r="AQ25"/>
  <c r="AQ16"/>
  <c r="AW16" s="1"/>
  <c r="AQ24"/>
  <c r="AQ15"/>
  <c r="AW15" s="1"/>
  <c r="AQ26"/>
  <c r="AQ18"/>
  <c r="AW18" s="1"/>
  <c r="AQ21"/>
  <c r="AW21" s="1"/>
  <c r="AQ19"/>
  <c r="AW19" s="1"/>
  <c r="AZ19" s="1"/>
  <c r="AQ23"/>
  <c r="AW23" s="1"/>
  <c r="AZ23" s="1"/>
  <c r="O20"/>
  <c r="P26"/>
  <c r="Q17"/>
  <c r="V15" i="2" s="1"/>
  <c r="Q25" i="8"/>
  <c r="P23"/>
  <c r="N21" i="2" s="1"/>
  <c r="Q18" i="8"/>
  <c r="V16" i="2" s="1"/>
  <c r="O22" i="8"/>
  <c r="P36"/>
  <c r="O16"/>
  <c r="O24"/>
  <c r="P19"/>
  <c r="N17" i="2" s="1"/>
  <c r="F13"/>
  <c r="O36" i="8"/>
  <c r="Q26"/>
  <c r="P25"/>
  <c r="Q15"/>
  <c r="V13" i="2" s="1"/>
  <c r="Q19" i="8"/>
  <c r="V17" i="2" s="1"/>
  <c r="Q20" i="8"/>
  <c r="V18" i="2" s="1"/>
  <c r="O23" i="8"/>
  <c r="Q21"/>
  <c r="V19" i="2" s="1"/>
  <c r="P16" i="8"/>
  <c r="Q24"/>
  <c r="V22" i="2" s="1"/>
  <c r="O21" i="8"/>
  <c r="O19"/>
  <c r="P15"/>
  <c r="N13" i="2" s="1"/>
  <c r="O26" i="8"/>
  <c r="P22"/>
  <c r="N20" i="2" s="1"/>
  <c r="P24" i="8"/>
  <c r="N22" i="2" s="1"/>
  <c r="P21" i="8"/>
  <c r="N19" i="2" s="1"/>
  <c r="Q22" i="8"/>
  <c r="V20" i="2" s="1"/>
  <c r="Q36" i="8"/>
  <c r="Q16"/>
  <c r="V14" i="2" s="1"/>
  <c r="O17" i="8"/>
  <c r="O25"/>
  <c r="Q23"/>
  <c r="V21" i="2" s="1"/>
  <c r="P18" i="8"/>
  <c r="N16" i="2" s="1"/>
  <c r="P20" i="8"/>
  <c r="N18" i="2" s="1"/>
  <c r="P17" i="8"/>
  <c r="N15" i="2" s="1"/>
  <c r="O18" i="8"/>
  <c r="F14" i="2"/>
  <c r="F15"/>
  <c r="AZ21" i="8"/>
  <c r="AZ22"/>
  <c r="K4" i="5"/>
  <c r="N14" i="2"/>
  <c r="E5" i="5"/>
  <c r="E4" s="1"/>
  <c r="X5"/>
  <c r="X4" s="1"/>
  <c r="AB5"/>
  <c r="AF5"/>
  <c r="AF4" s="1"/>
  <c r="F5"/>
  <c r="F4" s="1"/>
  <c r="Y5"/>
  <c r="Y4" s="1"/>
  <c r="AC5"/>
  <c r="AC4" s="1"/>
  <c r="AG5"/>
  <c r="AG4" s="1"/>
  <c r="G5"/>
  <c r="G4" s="1"/>
  <c r="Z5"/>
  <c r="Z4" s="1"/>
  <c r="AD5"/>
  <c r="AD4" s="1"/>
  <c r="AH5"/>
  <c r="AH4" s="1"/>
  <c r="W5"/>
  <c r="W4" s="1"/>
  <c r="AA5"/>
  <c r="AA4" s="1"/>
  <c r="AE5"/>
  <c r="AE4" s="1"/>
  <c r="F16" i="2" l="1"/>
  <c r="F19"/>
  <c r="F17"/>
  <c r="F20"/>
  <c r="F21"/>
  <c r="F22"/>
  <c r="F18"/>
  <c r="S25" i="8"/>
  <c r="AR17"/>
  <c r="AX17" s="1"/>
  <c r="AS26"/>
  <c r="AS18"/>
  <c r="AY18" s="1"/>
  <c r="AS19"/>
  <c r="AY19" s="1"/>
  <c r="AR20"/>
  <c r="AS17"/>
  <c r="AY17" s="1"/>
  <c r="AS25"/>
  <c r="AY25" s="1"/>
  <c r="W27"/>
  <c r="AC27" s="1"/>
  <c r="U28"/>
  <c r="T27"/>
  <c r="AR25"/>
  <c r="AX25" s="1"/>
  <c r="AR18"/>
  <c r="AX18" s="1"/>
  <c r="AR24"/>
  <c r="AR16"/>
  <c r="W28"/>
  <c r="AC28" s="1"/>
  <c r="U27"/>
  <c r="AA27" s="1"/>
  <c r="W29"/>
  <c r="AC29" s="1"/>
  <c r="V27"/>
  <c r="S28"/>
  <c r="Y28" s="1"/>
  <c r="AR21"/>
  <c r="AX21" s="1"/>
  <c r="AR23"/>
  <c r="AX23" s="1"/>
  <c r="AS24"/>
  <c r="AS22"/>
  <c r="AY22" s="1"/>
  <c r="AR26"/>
  <c r="AX26" s="1"/>
  <c r="AS23"/>
  <c r="AY23" s="1"/>
  <c r="AS20"/>
  <c r="AY20" s="1"/>
  <c r="AS21"/>
  <c r="AY21" s="1"/>
  <c r="R27"/>
  <c r="X27" s="1"/>
  <c r="U29"/>
  <c r="AA29" s="1"/>
  <c r="R28"/>
  <c r="S27"/>
  <c r="Y27" s="1"/>
  <c r="AR15"/>
  <c r="AX15" s="1"/>
  <c r="AR22"/>
  <c r="AX22" s="1"/>
  <c r="AS16"/>
  <c r="AS15"/>
  <c r="AY15" s="1"/>
  <c r="AR19"/>
  <c r="AX19" s="1"/>
  <c r="R29"/>
  <c r="T28"/>
  <c r="V29"/>
  <c r="AB29" s="1"/>
  <c r="AG29" s="1"/>
  <c r="T29"/>
  <c r="V28"/>
  <c r="AB28" s="1"/>
  <c r="AG28" s="1"/>
  <c r="S29"/>
  <c r="W17"/>
  <c r="AC17" s="1"/>
  <c r="AA15" i="2" s="1"/>
  <c r="AB15" s="1"/>
  <c r="W23" i="8"/>
  <c r="AC23" s="1"/>
  <c r="AA21" i="2" s="1"/>
  <c r="AB21" s="1"/>
  <c r="V36" i="8"/>
  <c r="O40" s="1"/>
  <c r="P40" s="1"/>
  <c r="W18"/>
  <c r="AC18" s="1"/>
  <c r="AA16" i="2" s="1"/>
  <c r="AB16" s="1"/>
  <c r="R15" i="8"/>
  <c r="X15" s="1"/>
  <c r="H13" i="2" s="1"/>
  <c r="I13" s="1"/>
  <c r="V21" i="8"/>
  <c r="AB21" s="1"/>
  <c r="S19" i="2" s="1"/>
  <c r="T19" s="1"/>
  <c r="R36" i="8"/>
  <c r="T23"/>
  <c r="Z23" s="1"/>
  <c r="X21" i="2" s="1"/>
  <c r="Y21" s="1"/>
  <c r="V19" i="8"/>
  <c r="AB19" s="1"/>
  <c r="S17" i="2" s="1"/>
  <c r="T17" s="1"/>
  <c r="V22" i="8"/>
  <c r="AB22" s="1"/>
  <c r="S20" i="2" s="1"/>
  <c r="T20" s="1"/>
  <c r="W20" i="8"/>
  <c r="AC20" s="1"/>
  <c r="AA18" i="2" s="1"/>
  <c r="AB18" s="1"/>
  <c r="U15" i="8"/>
  <c r="AA15" s="1"/>
  <c r="K13" i="2" s="1"/>
  <c r="L13" s="1"/>
  <c r="R16" i="8"/>
  <c r="X16" s="1"/>
  <c r="H14" i="2" s="1"/>
  <c r="I14" s="1"/>
  <c r="R20" i="8"/>
  <c r="X20" s="1"/>
  <c r="H18" i="2" s="1"/>
  <c r="I18" s="1"/>
  <c r="R17" i="8"/>
  <c r="X17" s="1"/>
  <c r="H15" i="2" s="1"/>
  <c r="I15" s="1"/>
  <c r="T18" i="8"/>
  <c r="Z18" s="1"/>
  <c r="X16" i="2" s="1"/>
  <c r="Y16" s="1"/>
  <c r="U16" i="8"/>
  <c r="AA16" s="1"/>
  <c r="K14" i="2" s="1"/>
  <c r="L14" s="1"/>
  <c r="U25" i="8"/>
  <c r="AA25" s="1"/>
  <c r="R25"/>
  <c r="X25" s="1"/>
  <c r="U19"/>
  <c r="AA19" s="1"/>
  <c r="K17" i="2" s="1"/>
  <c r="L17" s="1"/>
  <c r="T26" i="8"/>
  <c r="Z26" s="1"/>
  <c r="T20"/>
  <c r="Z20" s="1"/>
  <c r="X18" i="2" s="1"/>
  <c r="Y18" s="1"/>
  <c r="V16" i="8"/>
  <c r="AB16" s="1"/>
  <c r="S14" i="2" s="1"/>
  <c r="T14" s="1"/>
  <c r="R18" i="8"/>
  <c r="X18" s="1"/>
  <c r="H16" i="2" s="1"/>
  <c r="I16" s="1"/>
  <c r="S24" i="8"/>
  <c r="Y24" s="1"/>
  <c r="P22" i="2" s="1"/>
  <c r="Q22" s="1"/>
  <c r="W16" i="8"/>
  <c r="AC16" s="1"/>
  <c r="AA14" i="2" s="1"/>
  <c r="AB14" s="1"/>
  <c r="V15" i="8"/>
  <c r="AB15" s="1"/>
  <c r="S13" i="2" s="1"/>
  <c r="T13" s="1"/>
  <c r="W15" i="8"/>
  <c r="AC15" s="1"/>
  <c r="AA13" i="2" s="1"/>
  <c r="AB13" s="1"/>
  <c r="S20" i="8"/>
  <c r="Y20" s="1"/>
  <c r="P18" i="2" s="1"/>
  <c r="Q18" s="1"/>
  <c r="R23" i="8"/>
  <c r="X23" s="1"/>
  <c r="H21" i="2" s="1"/>
  <c r="I21" s="1"/>
  <c r="S23" i="8"/>
  <c r="Y23" s="1"/>
  <c r="P21" i="2" s="1"/>
  <c r="Q21" s="1"/>
  <c r="S36" i="8"/>
  <c r="T36"/>
  <c r="T17"/>
  <c r="Z17" s="1"/>
  <c r="X15" i="2" s="1"/>
  <c r="Y15" s="1"/>
  <c r="T24" i="8"/>
  <c r="V23"/>
  <c r="AB23" s="1"/>
  <c r="S21" i="2" s="1"/>
  <c r="T21" s="1"/>
  <c r="U18" i="8"/>
  <c r="AA18" s="1"/>
  <c r="K16" i="2" s="1"/>
  <c r="L16" s="1"/>
  <c r="W19" i="8"/>
  <c r="AC19" s="1"/>
  <c r="AA17" i="2" s="1"/>
  <c r="AB17" s="1"/>
  <c r="V18" i="8"/>
  <c r="AB18" s="1"/>
  <c r="S16" i="2" s="1"/>
  <c r="T16" s="1"/>
  <c r="T15" i="8"/>
  <c r="Z15" s="1"/>
  <c r="X13" i="2" s="1"/>
  <c r="Y13" s="1"/>
  <c r="U23" i="8"/>
  <c r="AA23" s="1"/>
  <c r="K21" i="2" s="1"/>
  <c r="L21" s="1"/>
  <c r="U20" i="8"/>
  <c r="T19"/>
  <c r="Z19" s="1"/>
  <c r="X17" i="2" s="1"/>
  <c r="Y17" s="1"/>
  <c r="W22" i="8"/>
  <c r="AC22" s="1"/>
  <c r="AA20" i="2" s="1"/>
  <c r="AB20" s="1"/>
  <c r="T25" i="8"/>
  <c r="Z25" s="1"/>
  <c r="R21"/>
  <c r="X21" s="1"/>
  <c r="H19" i="2" s="1"/>
  <c r="I19" s="1"/>
  <c r="U17" i="8"/>
  <c r="AA17" s="1"/>
  <c r="K15" i="2" s="1"/>
  <c r="L15" s="1"/>
  <c r="W24" i="8"/>
  <c r="AC24" s="1"/>
  <c r="AA22" i="2" s="1"/>
  <c r="AB22" s="1"/>
  <c r="S22" i="8"/>
  <c r="Y22" s="1"/>
  <c r="P20" i="2" s="1"/>
  <c r="Q20" s="1"/>
  <c r="S21" i="8"/>
  <c r="Y21" s="1"/>
  <c r="P19" i="2" s="1"/>
  <c r="Q19" s="1"/>
  <c r="V17" i="8"/>
  <c r="AB17" s="1"/>
  <c r="S15" i="2" s="1"/>
  <c r="T15" s="1"/>
  <c r="S19" i="8"/>
  <c r="Y19" s="1"/>
  <c r="P17" i="2" s="1"/>
  <c r="Q17" s="1"/>
  <c r="R24" i="8"/>
  <c r="X24" s="1"/>
  <c r="H22" i="2" s="1"/>
  <c r="I22" s="1"/>
  <c r="T22" i="8"/>
  <c r="Z22" s="1"/>
  <c r="X20" i="2" s="1"/>
  <c r="Y20" s="1"/>
  <c r="S17" i="8"/>
  <c r="Y17" s="1"/>
  <c r="P15" i="2" s="1"/>
  <c r="Q15" s="1"/>
  <c r="R19" i="8"/>
  <c r="X19" s="1"/>
  <c r="H17" i="2" s="1"/>
  <c r="I17" s="1"/>
  <c r="U22" i="8"/>
  <c r="AA22" s="1"/>
  <c r="K20" i="2" s="1"/>
  <c r="L20" s="1"/>
  <c r="U24" i="8"/>
  <c r="AA24" s="1"/>
  <c r="K22" i="2" s="1"/>
  <c r="L22" s="1"/>
  <c r="T16" i="8"/>
  <c r="Z16" s="1"/>
  <c r="X14" i="2" s="1"/>
  <c r="Y14" s="1"/>
  <c r="S16" i="8"/>
  <c r="Y16" s="1"/>
  <c r="P14" i="2" s="1"/>
  <c r="Q14" s="1"/>
  <c r="S26" i="8"/>
  <c r="Y26" s="1"/>
  <c r="U36"/>
  <c r="O39" s="1"/>
  <c r="P39" s="1"/>
  <c r="W25"/>
  <c r="AC25" s="1"/>
  <c r="W26"/>
  <c r="AC26" s="1"/>
  <c r="U26"/>
  <c r="AA26" s="1"/>
  <c r="V20"/>
  <c r="AB20" s="1"/>
  <c r="S18" i="2" s="1"/>
  <c r="T18" s="1"/>
  <c r="V26" i="8"/>
  <c r="AB26" s="1"/>
  <c r="U21"/>
  <c r="AA21" s="1"/>
  <c r="K19" i="2" s="1"/>
  <c r="L19" s="1"/>
  <c r="R22" i="8"/>
  <c r="X22" s="1"/>
  <c r="H20" i="2" s="1"/>
  <c r="I20" s="1"/>
  <c r="V24" i="8"/>
  <c r="AB24" s="1"/>
  <c r="S22" i="2" s="1"/>
  <c r="T22" s="1"/>
  <c r="V25" i="8"/>
  <c r="AB25" s="1"/>
  <c r="AG25" s="1"/>
  <c r="W36"/>
  <c r="O41" s="1"/>
  <c r="P41" s="1"/>
  <c r="S15"/>
  <c r="Y15" s="1"/>
  <c r="P13" i="2" s="1"/>
  <c r="Q13" s="1"/>
  <c r="T21" i="8"/>
  <c r="Z21" s="1"/>
  <c r="X19" i="2" s="1"/>
  <c r="Y19" s="1"/>
  <c r="S18" i="8"/>
  <c r="Y18" s="1"/>
  <c r="P16" i="2" s="1"/>
  <c r="Q16" s="1"/>
  <c r="W21" i="8"/>
  <c r="AC21" s="1"/>
  <c r="AA19" i="2" s="1"/>
  <c r="AB19" s="1"/>
  <c r="R26" i="8"/>
  <c r="X26" s="1"/>
  <c r="AB4" i="5"/>
  <c r="AY26" i="8"/>
  <c r="AX16"/>
  <c r="AB27"/>
  <c r="Y25"/>
  <c r="X28"/>
  <c r="Y29"/>
  <c r="AX24"/>
  <c r="AY16"/>
  <c r="X29"/>
  <c r="AA20"/>
  <c r="K18" i="2" s="1"/>
  <c r="L18" s="1"/>
  <c r="Z24" i="8"/>
  <c r="X22" i="2" s="1"/>
  <c r="Y22" s="1"/>
  <c r="Z27" i="8"/>
  <c r="AA28"/>
  <c r="AX20"/>
  <c r="AY24"/>
  <c r="Z28"/>
  <c r="Z29"/>
  <c r="AG27" l="1"/>
  <c r="AG18"/>
  <c r="AG26"/>
  <c r="AG16"/>
  <c r="AG15"/>
  <c r="AG19"/>
  <c r="Y40"/>
  <c r="AG22"/>
  <c r="Y42"/>
  <c r="AG17"/>
  <c r="AA36"/>
  <c r="X36"/>
  <c r="AG20"/>
  <c r="AG24"/>
  <c r="Z36"/>
  <c r="AC36"/>
  <c r="Y39"/>
  <c r="Y44"/>
  <c r="Y36"/>
  <c r="AB36"/>
  <c r="Y41"/>
  <c r="Y43"/>
  <c r="AG21"/>
  <c r="AG23"/>
  <c r="AI20" l="1"/>
  <c r="AJ20" s="1"/>
  <c r="AI18"/>
  <c r="AK18" s="1"/>
  <c r="AI17"/>
  <c r="AJ17" s="1"/>
  <c r="AM17" s="1"/>
  <c r="AI19"/>
  <c r="AJ19" s="1"/>
  <c r="AI15"/>
  <c r="AI16"/>
  <c r="AK16" s="1"/>
  <c r="AJ18"/>
  <c r="AM18" s="1"/>
  <c r="AM20" l="1"/>
  <c r="AK20"/>
  <c r="AL20" s="1"/>
  <c r="AM19"/>
  <c r="AK17"/>
  <c r="AL17" s="1"/>
  <c r="AK19"/>
  <c r="AL19" s="1"/>
  <c r="AL18"/>
  <c r="AJ16"/>
  <c r="AK15"/>
  <c r="AJ15"/>
  <c r="AM15" l="1"/>
  <c r="AL15"/>
  <c r="AM16"/>
  <c r="AL16"/>
</calcChain>
</file>

<file path=xl/sharedStrings.xml><?xml version="1.0" encoding="utf-8"?>
<sst xmlns="http://schemas.openxmlformats.org/spreadsheetml/2006/main" count="339" uniqueCount="107">
  <si>
    <t>Actual</t>
  </si>
  <si>
    <t>Budget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</si>
  <si>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</si>
  <si>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</si>
  <si>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</si>
  <si>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</si>
  <si>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</si>
  <si>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</si>
  <si>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</si>
  <si>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</si>
  <si>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</si>
  <si>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</si>
  <si>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</si>
  <si>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</si>
  <si>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</si>
  <si>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</si>
  <si>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</si>
  <si>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</si>
  <si>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</si>
  <si>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</si>
  <si>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</si>
  <si>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</si>
  <si>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</si>
  <si>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</si>
  <si>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</si>
  <si>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</si>
  <si>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</si>
  <si>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</si>
  <si>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</si>
  <si>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</si>
  <si>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</si>
  <si>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</si>
  <si>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</si>
  <si>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</si>
  <si>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</si>
  <si>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</si>
  <si>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</si>
  <si>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</si>
  <si>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</si>
  <si>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</si>
  <si>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</si>
  <si>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</si>
  <si>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</si>
  <si>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</si>
  <si>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</si>
  <si>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</si>
  <si>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</si>
  <si>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</si>
  <si>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</si>
  <si>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</si>
  <si>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</si>
  <si>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</si>
  <si>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</si>
  <si>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</si>
  <si>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</si>
  <si>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</si>
  <si>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</si>
  <si>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</si>
  <si>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</si>
  <si>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</si>
  <si>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</si>
  <si>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</si>
  <si>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</si>
  <si>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</si>
  <si>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</si>
  <si>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</si>
  <si>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</si>
  <si>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</si>
  <si>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</si>
  <si>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</si>
  <si>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</si>
  <si>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</si>
  <si>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</si>
  <si>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</si>
  <si>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</si>
  <si>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</si>
  <si>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</si>
  <si>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</si>
  <si>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</si>
  <si>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t>Unique key</t>
  </si>
  <si>
    <r>
      <t xml:space="preserve">% </t>
    </r>
    <r>
      <rPr>
        <sz val="11"/>
        <color theme="1"/>
        <rFont val="Arial"/>
        <family val="2"/>
      </rPr>
      <t>∆ PY</t>
    </r>
  </si>
  <si>
    <r>
      <t xml:space="preserve">% </t>
    </r>
    <r>
      <rPr>
        <sz val="11"/>
        <color theme="1"/>
        <rFont val="Arial"/>
        <family val="2"/>
      </rPr>
      <t>∆ B</t>
    </r>
  </si>
  <si>
    <t>Table Scroll Position</t>
  </si>
  <si>
    <t>Calculations for data bars in scrolling table</t>
  </si>
  <si>
    <t>Min Rev %</t>
  </si>
  <si>
    <t>Max Rev %</t>
  </si>
  <si>
    <t>Min Profit %</t>
  </si>
  <si>
    <t>Max Profit %</t>
  </si>
  <si>
    <t>Min Cash %</t>
  </si>
  <si>
    <t>Max Cash %</t>
  </si>
  <si>
    <t>Calculations for header</t>
  </si>
  <si>
    <t>Revenue A-B</t>
  </si>
  <si>
    <t>Profit A-B</t>
  </si>
  <si>
    <t>Cash A-B</t>
  </si>
  <si>
    <t>Top 6 / Bottom 6 by KPI</t>
  </si>
  <si>
    <t>Basis - Unsorted</t>
  </si>
  <si>
    <t>Sorted</t>
  </si>
  <si>
    <t>KPI selection</t>
  </si>
  <si>
    <t>Top / Bottom Selection</t>
  </si>
  <si>
    <t>Label Position</t>
  </si>
  <si>
    <t>Label shown</t>
  </si>
  <si>
    <t>Profit Line chart</t>
  </si>
  <si>
    <t>Profit Scroll Position</t>
  </si>
  <si>
    <t>PY Checkbox</t>
  </si>
  <si>
    <t>Budget Checkbox</t>
  </si>
  <si>
    <t>Label position</t>
  </si>
  <si>
    <t>Data preparation for chart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</si>
</sst>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"/>
  </numFmts>
  <fonts count="10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0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1" borderId="0" xfId="0" applyFill="1"/>
    <xf numFmtId="9" fontId="0" fillId="0" borderId="0" xfId="1" applyFont="1"/>
    <xf numFmtId="9" fontId="0" fillId="0" borderId="13" xfId="1" applyFont="1" applyBorder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9" fontId="0" fillId="0" borderId="0" xfId="0" applyNumberFormat="1"/>
    <xf numFmtId="0" fontId="8" fillId="0" borderId="0" xfId="0" applyFont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4" fillId="11" borderId="0" xfId="0" applyFont="1" applyFill="1"/>
    <xf numFmtId="0" fontId="5" fillId="12" borderId="0" xfId="0" applyFont="1" applyFill="1"/>
    <xf numFmtId="0" fontId="6" fillId="12" borderId="0" xfId="0" applyFont="1" applyFill="1"/>
    <xf numFmtId="3" fontId="6" fillId="12" borderId="0" xfId="0" applyNumberFormat="1" applyFont="1" applyFill="1"/>
    <xf numFmtId="164" fontId="6" fillId="12" borderId="0" xfId="1" applyNumberFormat="1" applyFont="1" applyFill="1"/>
    <xf numFmtId="164" fontId="6" fillId="12" borderId="0" xfId="0" applyNumberFormat="1" applyFont="1" applyFill="1"/>
    <xf numFmtId="0" fontId="8" fillId="12" borderId="0" xfId="0" applyFont="1" applyFill="1"/>
    <xf numFmtId="3" fontId="0" fillId="0" borderId="0" xfId="0" applyNumberFormat="1"/>
    <xf numFmtId="3" fontId="0" fillId="0" borderId="13" xfId="0" applyNumberFormat="1" applyBorder="1"/>
    <xf numFmtId="165" fontId="0" fillId="0" borderId="0" xfId="0" applyNumberFormat="1"/>
    <xf numFmtId="9" fontId="0" fillId="0" borderId="0" xfId="1" applyNumberFormat="1" applyFont="1"/>
    <xf numFmtId="0" fontId="6" fillId="9" borderId="0" xfId="0" applyFont="1" applyFill="1"/>
    <xf numFmtId="0" fontId="0" fillId="13" borderId="0" xfId="0" applyFill="1"/>
    <xf numFmtId="0" fontId="0" fillId="13" borderId="14" xfId="0" applyFill="1" applyBorder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7" fillId="11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6"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</dxfs>
  <tableStyles count="0" defaultTableStyle="TableStyleMedium2" defaultPivotStyle="PivotStyleLight16"/>
  <colors>
    <mruColors>
      <color rgb="FFCCE6F4"/>
      <color rgb="FF77BBE2"/>
      <color rgb="FF638EC6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2.8822379866175037E-2"/>
          <c:y val="0.1589881900273388"/>
          <c:w val="0.94235524026764983"/>
          <c:h val="0.6355919254029474"/>
        </c:manualLayout>
      </c:layout>
      <c:barChart>
        <c:barDir val="col"/>
        <c:grouping val="clustered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01-4D00-8C14-E1E22B465340}"/>
            </c:ext>
          </c:extLst>
        </c:ser>
        <c:dLbls/>
        <c:gapWidth val="100"/>
        <c:overlap val="100"/>
        <c:axId val="120738944"/>
        <c:axId val="120740480"/>
      </c:barChart>
      <c:lineChart>
        <c:grouping val="standard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248</c:v>
                </c:pt>
                <c:pt idx="1">
                  <c:v>1584</c:v>
                </c:pt>
                <c:pt idx="2">
                  <c:v>120</c:v>
                </c:pt>
                <c:pt idx="3">
                  <c:v>210</c:v>
                </c:pt>
                <c:pt idx="4">
                  <c:v>230</c:v>
                </c:pt>
                <c:pt idx="5">
                  <c:v>474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E01-4D00-8C14-E1E22B465340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A68CAE6-98BD-4132-AAB1-5866C0ED7B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E01-4D00-8C14-E1E22B465340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D85E089-FA1D-415B-B213-BBB2388AE6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E01-4D00-8C14-E1E22B465340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E389F24-21BD-448B-8564-D0D6A600F5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E01-4D00-8C14-E1E22B465340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100C20E-370C-43A9-92F2-ADDE38B66E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E01-4D00-8C14-E1E22B465340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07B15BEA-9AF6-49D6-A310-30F7523028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E01-4D00-8C14-E1E22B465340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75A57987-AD0A-4BD1-B148-19EB0525CA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E01-4D00-8C14-E1E22B465340}"/>
                </c:ext>
              </c:extLst>
            </c:dLbl>
            <c:delete val="1"/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46% | 363</c:v>
                  </c:pt>
                  <c:pt idx="1">
                    <c:v>26% | 1,996</c:v>
                  </c:pt>
                  <c:pt idx="2">
                    <c:v>25% | 150</c:v>
                  </c:pt>
                  <c:pt idx="3">
                    <c:v>24% | 260</c:v>
                  </c:pt>
                  <c:pt idx="4">
                    <c:v>19% | 274</c:v>
                  </c:pt>
                  <c:pt idx="5">
                    <c:v>16% | 550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E01-4D00-8C14-E1E22B465340}"/>
            </c:ext>
          </c:extLst>
        </c:ser>
        <c:dLbls/>
        <c:marker val="1"/>
        <c:axId val="120738944"/>
        <c:axId val="120740480"/>
      </c:lineChart>
      <c:catAx>
        <c:axId val="1207389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40480"/>
        <c:crosses val="autoZero"/>
        <c:auto val="1"/>
        <c:lblAlgn val="ctr"/>
        <c:lblOffset val="100"/>
      </c:catAx>
      <c:valAx>
        <c:axId val="120740480"/>
        <c:scaling>
          <c:orientation val="minMax"/>
        </c:scaling>
        <c:delete val="1"/>
        <c:axPos val="l"/>
        <c:numFmt formatCode="#,##0" sourceLinked="1"/>
        <c:majorTickMark val="none"/>
        <c:tickLblPos val="nextTo"/>
        <c:crossAx val="1207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5.4513032245877086E-2"/>
          <c:y val="3.6954628717656035E-2"/>
          <c:w val="0.12213244054552354"/>
          <c:h val="7.458195642368623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908032191150213"/>
          <c:y val="0.16545833876175656"/>
          <c:w val="0.78535412474540989"/>
          <c:h val="0.6331979866534776"/>
        </c:manualLayout>
      </c:layout>
      <c:lineChart>
        <c:grouping val="standard"/>
        <c:ser>
          <c:idx val="1"/>
          <c:order val="0"/>
          <c:tx>
            <c:v>PY</c:v>
          </c:tx>
          <c:spPr>
            <a:ln w="28575" cap="rnd">
              <a:solidFill>
                <a:srgbClr val="CCE6F4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SerNam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13-4EAC-AFAC-738AA01B872C}"/>
                </c:ext>
              </c:extLst>
            </c:dLbl>
            <c:delete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1136</c:v>
                </c:pt>
                <c:pt idx="1">
                  <c:v>2193</c:v>
                </c:pt>
                <c:pt idx="2">
                  <c:v>3803</c:v>
                </c:pt>
                <c:pt idx="3">
                  <c:v>5307</c:v>
                </c:pt>
                <c:pt idx="4">
                  <c:v>6687</c:v>
                </c:pt>
                <c:pt idx="5">
                  <c:v>8231</c:v>
                </c:pt>
                <c:pt idx="6">
                  <c:v>9662</c:v>
                </c:pt>
                <c:pt idx="7">
                  <c:v>10821</c:v>
                </c:pt>
                <c:pt idx="8">
                  <c:v>11926</c:v>
                </c:pt>
                <c:pt idx="9">
                  <c:v>13136</c:v>
                </c:pt>
                <c:pt idx="10">
                  <c:v>13951</c:v>
                </c:pt>
                <c:pt idx="11">
                  <c:v>14067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313-4EAC-AFAC-738AA01B872C}"/>
            </c:ext>
          </c:extLst>
        </c:ser>
        <c:ser>
          <c:idx val="2"/>
          <c:order val="1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SerNam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13-4EAC-AFAC-738AA01B872C}"/>
                </c:ext>
              </c:extLst>
            </c:dLbl>
            <c:delete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953</c:v>
                </c:pt>
                <c:pt idx="1">
                  <c:v>1990</c:v>
                </c:pt>
                <c:pt idx="2">
                  <c:v>3619</c:v>
                </c:pt>
                <c:pt idx="3">
                  <c:v>5170</c:v>
                </c:pt>
                <c:pt idx="4">
                  <c:v>6762</c:v>
                </c:pt>
                <c:pt idx="5">
                  <c:v>8451</c:v>
                </c:pt>
                <c:pt idx="6">
                  <c:v>10075</c:v>
                </c:pt>
                <c:pt idx="7">
                  <c:v>10901</c:v>
                </c:pt>
                <c:pt idx="8">
                  <c:v>12366</c:v>
                </c:pt>
                <c:pt idx="9">
                  <c:v>13962</c:v>
                </c:pt>
                <c:pt idx="10">
                  <c:v>15507</c:v>
                </c:pt>
                <c:pt idx="11">
                  <c:v>15918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313-4EAC-AFAC-738AA01B872C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1005</c:v>
                </c:pt>
                <c:pt idx="1">
                  <c:v>2218</c:v>
                </c:pt>
                <c:pt idx="2">
                  <c:v>3685</c:v>
                </c:pt>
                <c:pt idx="3">
                  <c:v>5304</c:v>
                </c:pt>
                <c:pt idx="4">
                  <c:v>7477</c:v>
                </c:pt>
                <c:pt idx="5">
                  <c:v>9359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313-4EAC-AFAC-738AA01B872C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SerName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9359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313-4EAC-AFAC-738AA01B872C}"/>
            </c:ext>
          </c:extLst>
        </c:ser>
        <c:dLbls/>
        <c:marker val="1"/>
        <c:axId val="120946688"/>
        <c:axId val="120948224"/>
      </c:lineChart>
      <c:catAx>
        <c:axId val="1209466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8224"/>
        <c:crosses val="autoZero"/>
        <c:auto val="1"/>
        <c:lblAlgn val="ctr"/>
        <c:lblOffset val="100"/>
      </c:catAx>
      <c:valAx>
        <c:axId val="1209482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3" fmlaLink="Calculation!$D$4" fmlaRange="Calculation!$C$15:$C$17" noThreeD="1" sel="1" val="0"/>
</file>

<file path=xl/ctrlProps/ctrlProp2.xml><?xml version="1.0" encoding="utf-8"?>
<formControlPr xmlns="http://schemas.microsoft.com/office/spreadsheetml/2009/9/main" objectType="Scroll" dx="39" fmlaLink="Calculation!$D$5" max="11" min="1" page="5"/>
</file>

<file path=xl/ctrlProps/ctrlProp3.xml><?xml version="1.0" encoding="utf-8"?>
<formControlPr xmlns="http://schemas.microsoft.com/office/spreadsheetml/2009/9/main" objectType="List" dx="39" fmlaLink="Calculation!$D$6" fmlaRange="Calculation!$D$15:$D$17" noThreeD="1" sel="2" val="0"/>
</file>

<file path=xl/ctrlProps/ctrlProp4.xml><?xml version="1.0" encoding="utf-8"?>
<formControlPr xmlns="http://schemas.microsoft.com/office/spreadsheetml/2009/9/main" objectType="Radio" checked="Checked" firstButton="1" fmlaLink="Calculation!$D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Scroll" dx="39" fmlaLink="Calculation!$D$8" horiz="1" max="20" min="1" page="5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237565</xdr:colOff>
      <xdr:row>5</xdr:row>
      <xdr:rowOff>3171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  <xdr:oneCellAnchor>
    <xdr:from>
      <xdr:col>12</xdr:col>
      <xdr:colOff>19050</xdr:colOff>
      <xdr:row>4</xdr:row>
      <xdr:rowOff>152400</xdr:rowOff>
    </xdr:from>
    <xdr:ext cx="184731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267200" y="538163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57150</xdr:colOff>
      <xdr:row>1</xdr:row>
      <xdr:rowOff>38099</xdr:rowOff>
    </xdr:from>
    <xdr:to>
      <xdr:col>16</xdr:col>
      <xdr:colOff>295275</xdr:colOff>
      <xdr:row>7</xdr:row>
      <xdr:rowOff>14287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pSpPr/>
      </xdr:nvGrpSpPr>
      <xdr:grpSpPr>
        <a:xfrm>
          <a:off x="4238625" y="104774"/>
          <a:ext cx="1685925" cy="871538"/>
          <a:chOff x="5457825" y="161925"/>
          <a:chExt cx="1671638" cy="84772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O36">
        <xdr:nvSpPr>
          <xdr:cNvPr id="6" name="TextBox 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9CB1881-D4AB-4544-80C6-53F2DEBA9367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$162,643</a:t>
            </a:fld>
            <a:endParaRPr lang="en-US" sz="1400"/>
          </a:p>
        </xdr:txBody>
      </xdr:sp>
      <xdr:sp macro="" textlink="Calculation!O39">
        <xdr:nvSpPr>
          <xdr:cNvPr id="9" name="TextBox 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C511805-DDA7-4CEB-A28E-3C2A22292A52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-$2,117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Calculation!P39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 txBox="1"/>
        </xdr:nvSpPr>
        <xdr:spPr>
          <a:xfrm>
            <a:off x="6191244" y="738187"/>
            <a:ext cx="889249" cy="218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50DD944-41A3-470B-805E-41DA5985ADB7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 txBox="1"/>
        </xdr:nvSpPr>
        <xdr:spPr>
          <a:xfrm>
            <a:off x="5524500" y="161925"/>
            <a:ext cx="82618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Revenue</a:t>
            </a:r>
          </a:p>
        </xdr:txBody>
      </xdr:sp>
    </xdr:grpSp>
    <xdr:clientData/>
  </xdr:twoCellAnchor>
  <xdr:twoCellAnchor>
    <xdr:from>
      <xdr:col>16</xdr:col>
      <xdr:colOff>233373</xdr:colOff>
      <xdr:row>1</xdr:row>
      <xdr:rowOff>47625</xdr:rowOff>
    </xdr:from>
    <xdr:to>
      <xdr:col>21</xdr:col>
      <xdr:colOff>180082</xdr:colOff>
      <xdr:row>7</xdr:row>
      <xdr:rowOff>23813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GrpSpPr/>
      </xdr:nvGrpSpPr>
      <xdr:grpSpPr>
        <a:xfrm>
          <a:off x="5862648" y="114300"/>
          <a:ext cx="1651684" cy="871538"/>
          <a:chOff x="5457825" y="161925"/>
          <a:chExt cx="1671638" cy="847725"/>
        </a:xfrm>
        <a:solidFill>
          <a:srgbClr val="638EC6"/>
        </a:solidFill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P36">
        <xdr:nvSpPr>
          <xdr:cNvPr id="29" name="TextBox 28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5A56869-BD1A-4F73-B3ED-D32953E86C03}" type="TxLink">
              <a:rPr lang="en-US" sz="14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$9,359</a:t>
            </a:fld>
            <a:endParaRPr lang="en-US" sz="1800">
              <a:solidFill>
                <a:schemeClr val="bg1"/>
              </a:solidFill>
            </a:endParaRPr>
          </a:p>
        </xdr:txBody>
      </xdr:sp>
      <xdr:sp macro="" textlink="Calculation!O40">
        <xdr:nvSpPr>
          <xdr:cNvPr id="30" name="TextBox 29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FC45F328-1062-48CA-AB01-BF74C9E9ADF4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-$84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Calculation!P40">
        <xdr:nvSpPr>
          <xdr:cNvPr id="31" name="TextBox 30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 txBox="1"/>
        </xdr:nvSpPr>
        <xdr:spPr>
          <a:xfrm>
            <a:off x="6189949" y="738187"/>
            <a:ext cx="907684" cy="218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4382F85-FCCD-461C-837B-EA90D12BE18E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 txBox="1"/>
        </xdr:nvSpPr>
        <xdr:spPr>
          <a:xfrm>
            <a:off x="5524500" y="161925"/>
            <a:ext cx="586443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21</xdr:col>
      <xdr:colOff>157160</xdr:colOff>
      <xdr:row>1</xdr:row>
      <xdr:rowOff>47627</xdr:rowOff>
    </xdr:from>
    <xdr:to>
      <xdr:col>24</xdr:col>
      <xdr:colOff>628648</xdr:colOff>
      <xdr:row>7</xdr:row>
      <xdr:rowOff>23815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GrpSpPr/>
      </xdr:nvGrpSpPr>
      <xdr:grpSpPr>
        <a:xfrm>
          <a:off x="7491410" y="114302"/>
          <a:ext cx="1681163" cy="871538"/>
          <a:chOff x="5457825" y="161925"/>
          <a:chExt cx="1671638" cy="8477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Q36">
        <xdr:nvSpPr>
          <xdr:cNvPr id="35" name="TextBox 34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A7E457AB-E689-4C17-BEEF-AF84EB0CE332}" type="TxLink">
              <a:rPr lang="en-US" sz="1400" b="0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/>
              <a:t>$103,058</a:t>
            </a:fld>
            <a:endParaRPr lang="en-US" sz="1400" b="0" i="0" u="none" strike="noStrike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O41">
        <xdr:nvSpPr>
          <xdr:cNvPr id="36" name="TextBox 35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C670AC49-C7ED-47BE-AB09-D1029BBCDD5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-$1,368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P41">
        <xdr:nvSpPr>
          <xdr:cNvPr id="37" name="TextBox 36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 txBox="1"/>
        </xdr:nvSpPr>
        <xdr:spPr>
          <a:xfrm>
            <a:off x="6229348" y="738187"/>
            <a:ext cx="896849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0E0A4AE1-5A52-4C1F-B711-7F688888501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Under Budget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 txBox="1"/>
        </xdr:nvSpPr>
        <xdr:spPr>
          <a:xfrm>
            <a:off x="5524500" y="161925"/>
            <a:ext cx="56098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Cash</a:t>
            </a:r>
          </a:p>
        </xdr:txBody>
      </xdr:sp>
    </xdr:grpSp>
    <xdr:clientData/>
  </xdr:twoCellAnchor>
  <xdr:oneCellAnchor>
    <xdr:from>
      <xdr:col>4</xdr:col>
      <xdr:colOff>604838</xdr:colOff>
      <xdr:row>0</xdr:row>
      <xdr:rowOff>0</xdr:rowOff>
    </xdr:from>
    <xdr:ext cx="2005012" cy="298800"/>
    <xdr:sp macro="" textlink="Calculation!N36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157288" y="0"/>
          <a:ext cx="2005012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7624396-0609-49B2-B9DD-88525B75F4AB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Productivity Apps</a:t>
          </a:fld>
          <a:endParaRPr lang="en-US" sz="1400" b="1"/>
        </a:p>
      </xdr:txBody>
    </xdr:sp>
    <xdr:clientData/>
  </xdr:oneCellAnchor>
  <xdr:twoCellAnchor>
    <xdr:from>
      <xdr:col>5</xdr:col>
      <xdr:colOff>133351</xdr:colOff>
      <xdr:row>24</xdr:row>
      <xdr:rowOff>0</xdr:rowOff>
    </xdr:from>
    <xdr:to>
      <xdr:col>16</xdr:col>
      <xdr:colOff>549593</xdr:colOff>
      <xdr:row>39</xdr:row>
      <xdr:rowOff>67975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95255</xdr:colOff>
      <xdr:row>33</xdr:row>
      <xdr:rowOff>33337</xdr:rowOff>
    </xdr:from>
    <xdr:ext cx="1014412" cy="357662"/>
    <xdr:sp macro="" textlink="Calculation!AJ12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66718" y="5105400"/>
          <a:ext cx="1014412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3EE3283-B1BE-40FC-B1C7-37A15361F1D7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Top 6 sorted based on % ∆ B</a:t>
          </a:fld>
          <a:endParaRPr lang="en-US" sz="1050"/>
        </a:p>
      </xdr:txBody>
    </xdr:sp>
    <xdr:clientData/>
  </xdr:oneCellAnchor>
  <xdr:twoCellAnchor>
    <xdr:from>
      <xdr:col>2</xdr:col>
      <xdr:colOff>76200</xdr:colOff>
      <xdr:row>22</xdr:row>
      <xdr:rowOff>157162</xdr:rowOff>
    </xdr:from>
    <xdr:to>
      <xdr:col>16</xdr:col>
      <xdr:colOff>681037</xdr:colOff>
      <xdr:row>24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257175" y="3343275"/>
          <a:ext cx="6705600" cy="233363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95255</xdr:colOff>
      <xdr:row>22</xdr:row>
      <xdr:rowOff>52385</xdr:rowOff>
    </xdr:from>
    <xdr:ext cx="2490782" cy="254557"/>
    <xdr:sp macro="" textlink="Calculation!AJ13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366718" y="3238498"/>
          <a:ext cx="249078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0DD36B-EA5F-4B24-8EC0-5473B7F25335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Actual Profit Vs. Budget</a:t>
          </a:fld>
          <a:endParaRPr 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57150</xdr:colOff>
      <xdr:row>23</xdr:row>
      <xdr:rowOff>57149</xdr:rowOff>
    </xdr:from>
    <xdr:to>
      <xdr:col>28</xdr:col>
      <xdr:colOff>299605</xdr:colOff>
      <xdr:row>39</xdr:row>
      <xdr:rowOff>84858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23</xdr:row>
      <xdr:rowOff>0</xdr:rowOff>
    </xdr:from>
    <xdr:to>
      <xdr:col>28</xdr:col>
      <xdr:colOff>395287</xdr:colOff>
      <xdr:row>24</xdr:row>
      <xdr:rowOff>47625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7043738" y="3267075"/>
          <a:ext cx="4333874" cy="219075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47625</xdr:colOff>
      <xdr:row>22</xdr:row>
      <xdr:rowOff>52385</xdr:rowOff>
    </xdr:from>
    <xdr:ext cx="2019300" cy="254557"/>
    <xdr:sp macro="" textlink="Calculation!AV11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6405563" y="3238498"/>
          <a:ext cx="20193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491CBF5E-7CB9-48BA-AB8E-5321F9B6627D}" type="TxLink">
            <a:rPr lang="en-US" sz="1100" b="1" i="0" u="none" strike="noStrike">
              <a:solidFill>
                <a:schemeClr val="bg1"/>
              </a:solidFill>
              <a:latin typeface="Arial"/>
              <a:ea typeface="+mn-ea"/>
              <a:cs typeface="Arial"/>
            </a:rPr>
            <a:pPr marL="0" indent="0"/>
            <a:t>Profit for Productivity Apps</a:t>
          </a:fld>
          <a:endParaRPr lang="en-US" sz="1100" b="1" i="0" u="none" strike="noStrike">
            <a:solidFill>
              <a:schemeClr val="bg1"/>
            </a:solidFill>
            <a:latin typeface="Arial"/>
            <a:ea typeface="+mn-ea"/>
            <a:cs typeface="Arial"/>
          </a:endParaRPr>
        </a:p>
      </xdr:txBody>
    </xdr:sp>
    <xdr:clientData/>
  </xdr:oneCellAnchor>
  <xdr:twoCellAnchor>
    <xdr:from>
      <xdr:col>26</xdr:col>
      <xdr:colOff>300037</xdr:colOff>
      <xdr:row>0</xdr:row>
      <xdr:rowOff>47626</xdr:rowOff>
    </xdr:from>
    <xdr:to>
      <xdr:col>29</xdr:col>
      <xdr:colOff>71437</xdr:colOff>
      <xdr:row>3</xdr:row>
      <xdr:rowOff>66675</xdr:rowOff>
    </xdr:to>
    <xdr:sp macro="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9548812" y="47626"/>
          <a:ext cx="847725" cy="233362"/>
        </a:xfrm>
        <a:prstGeom prst="round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/>
            <a:t>Instructions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0.17487</cdr:x>
      <cdr:y>0.04725</cdr:y>
    </cdr:from>
    <cdr:to>
      <cdr:x>0.28147</cdr:x>
      <cdr:y>0.10655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xmlns="" id="{4F3AF408-77CC-4820-84F2-2D9F062E7DD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88177" y="121510"/>
          <a:ext cx="480470" cy="15250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D39"/>
  <sheetViews>
    <sheetView showGridLines="0" tabSelected="1" workbookViewId="0">
      <selection activeCell="E2" sqref="E2"/>
    </sheetView>
  </sheetViews>
  <sheetFormatPr defaultColWidth="0" defaultRowHeight="14.25" zeroHeight="1"/>
  <cols>
    <col min="1" max="3" width="1.25" customWidth="1"/>
    <col min="4" max="4" width="3.75" customWidth="1"/>
    <col min="5" max="5" width="12.25" customWidth="1"/>
    <col min="6" max="6" width="8" customWidth="1"/>
    <col min="7" max="7" width="1.25" customWidth="1"/>
    <col min="8" max="8" width="6.625" customWidth="1"/>
    <col min="9" max="9" width="9" customWidth="1"/>
    <col min="10" max="10" width="1.25" customWidth="1"/>
    <col min="11" max="11" width="6.625" customWidth="1"/>
    <col min="12" max="12" width="2.375" customWidth="1"/>
    <col min="13" max="13" width="3.125" customWidth="1"/>
    <col min="14" max="14" width="8" customWidth="1"/>
    <col min="15" max="15" width="1.25" customWidth="1"/>
    <col min="16" max="16" width="6.625" customWidth="1"/>
    <col min="17" max="17" width="9" customWidth="1"/>
    <col min="18" max="18" width="1.25" customWidth="1"/>
    <col min="19" max="19" width="6.625" customWidth="1"/>
    <col min="20" max="20" width="2.375" customWidth="1"/>
    <col min="21" max="21" width="3.125" customWidth="1"/>
    <col min="22" max="22" width="8" customWidth="1"/>
    <col min="23" max="23" width="1.25" customWidth="1"/>
    <col min="24" max="24" width="6.625" customWidth="1"/>
    <col min="25" max="25" width="9" customWidth="1"/>
    <col min="26" max="26" width="1.25" customWidth="1"/>
    <col min="27" max="27" width="6.625" customWidth="1"/>
    <col min="28" max="28" width="2.375" customWidth="1"/>
    <col min="29" max="29" width="5.25" customWidth="1"/>
    <col min="30" max="30" width="2" customWidth="1"/>
    <col min="31" max="16384" width="9" hidden="1"/>
  </cols>
  <sheetData>
    <row r="1" spans="2:30" ht="5.85" customHeight="1"/>
    <row r="2" spans="2:30" ht="5.85" customHeight="1"/>
    <row r="3" spans="2:30" ht="5.85" customHeight="1"/>
    <row r="4" spans="2:30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2:30" ht="15">
      <c r="B5" s="44"/>
      <c r="C5" s="44"/>
      <c r="D5" s="44"/>
      <c r="E5" s="44" t="s">
        <v>63</v>
      </c>
      <c r="F5" s="73">
        <v>2017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2:30" ht="15">
      <c r="B6" s="44"/>
      <c r="C6" s="44"/>
      <c r="D6" s="44"/>
      <c r="E6" s="44" t="s">
        <v>64</v>
      </c>
      <c r="F6" s="73" t="s">
        <v>5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2:30" ht="16.149999999999999" customHeight="1">
      <c r="B7" s="44"/>
      <c r="C7" s="44"/>
      <c r="D7" s="44"/>
      <c r="E7" s="44" t="s">
        <v>65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0" ht="5.45" customHeight="1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56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2:30" ht="5.45" customHeight="1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2:30" ht="15">
      <c r="B10" s="44"/>
      <c r="C10" s="44"/>
      <c r="F10" s="55" t="s">
        <v>17</v>
      </c>
      <c r="G10" s="54"/>
      <c r="H10" s="54"/>
      <c r="I10" s="54"/>
      <c r="J10" s="54"/>
      <c r="K10" s="54"/>
      <c r="L10" s="54"/>
      <c r="N10" s="55" t="s">
        <v>18</v>
      </c>
      <c r="O10" s="54"/>
      <c r="P10" s="54"/>
      <c r="Q10" s="54"/>
      <c r="R10" s="54"/>
      <c r="S10" s="54"/>
      <c r="T10" s="54"/>
      <c r="V10" s="55" t="s">
        <v>19</v>
      </c>
      <c r="W10" s="54"/>
      <c r="X10" s="54"/>
      <c r="Y10" s="54"/>
      <c r="Z10" s="54"/>
      <c r="AA10" s="54"/>
      <c r="AB10" s="54"/>
      <c r="AD10" s="44"/>
    </row>
    <row r="11" spans="2:30">
      <c r="B11" s="44"/>
      <c r="C11" s="44"/>
      <c r="F11" s="32" t="s">
        <v>0</v>
      </c>
      <c r="H11" t="s">
        <v>80</v>
      </c>
      <c r="K11" t="s">
        <v>81</v>
      </c>
      <c r="N11" s="32" t="s">
        <v>0</v>
      </c>
      <c r="P11" t="s">
        <v>80</v>
      </c>
      <c r="S11" t="s">
        <v>81</v>
      </c>
      <c r="V11" s="32" t="s">
        <v>0</v>
      </c>
      <c r="X11" t="s">
        <v>80</v>
      </c>
      <c r="AA11" t="s">
        <v>81</v>
      </c>
      <c r="AD11" s="44"/>
    </row>
    <row r="12" spans="2:30" ht="3" customHeight="1">
      <c r="B12" s="44"/>
      <c r="C12" s="44"/>
      <c r="F12" s="1"/>
      <c r="H12" s="3"/>
      <c r="I12" s="3"/>
      <c r="K12" s="2"/>
      <c r="L12" s="2"/>
      <c r="N12" s="1"/>
      <c r="P12" s="3"/>
      <c r="Q12" s="3"/>
      <c r="S12" s="2"/>
      <c r="T12" s="2"/>
      <c r="V12" s="1"/>
      <c r="X12" s="3"/>
      <c r="Y12" s="3"/>
      <c r="AA12" s="2"/>
      <c r="AB12" s="2"/>
      <c r="AD12" s="44"/>
    </row>
    <row r="13" spans="2:30">
      <c r="B13" s="44"/>
      <c r="C13" s="44"/>
      <c r="D13" s="57">
        <f>INDEX(Calculation!M15:M$34,Calculation!$D$5)</f>
        <v>1</v>
      </c>
      <c r="E13" s="58" t="str">
        <f>INDEX(Calculation!N15:N$34,Calculation!$D$5)</f>
        <v>WenCaL</v>
      </c>
      <c r="F13" s="59">
        <f>INDEX(Calculation!O15:O$34,Calculation!$D$5)</f>
        <v>14432</v>
      </c>
      <c r="G13" s="58"/>
      <c r="H13" s="60">
        <f>INDEX(Calculation!X15:X$34,Calculation!$D$5)</f>
        <v>5.3507555296007009E-2</v>
      </c>
      <c r="I13" s="61">
        <f>H13</f>
        <v>5.3507555296007009E-2</v>
      </c>
      <c r="J13" s="58"/>
      <c r="K13" s="60">
        <f>INDEX(Calculation!AA15:AA$34,Calculation!$D$5)</f>
        <v>-4.5060543902600413E-2</v>
      </c>
      <c r="L13" s="62" t="str">
        <f>IF(K13="","",IF(K13&gt;=0.05,"▲",IF(K13&lt;-0.05,"▼","")))</f>
        <v/>
      </c>
      <c r="M13" s="58"/>
      <c r="N13" s="59">
        <f>INDEX(Calculation!P15:P$34,Calculation!$D$5)</f>
        <v>240</v>
      </c>
      <c r="O13" s="58"/>
      <c r="P13" s="60">
        <f>INDEX(Calculation!Y15:Y$34,Calculation!$D$5)</f>
        <v>0.14285714285714285</v>
      </c>
      <c r="Q13" s="61">
        <f>P13</f>
        <v>0.14285714285714285</v>
      </c>
      <c r="R13" s="58"/>
      <c r="S13" s="60">
        <f>INDEX(Calculation!AB15:AB$34,Calculation!$D$5)</f>
        <v>-0.33884297520661155</v>
      </c>
      <c r="T13" s="62" t="str">
        <f>IF(S13="","",IF(S13&gt;=0.05,"▲",IF(S13&lt;-0.05,"▼","")))</f>
        <v>▼</v>
      </c>
      <c r="U13" s="58"/>
      <c r="V13" s="59">
        <f>INDEX(Calculation!Q15:Q$34,Calculation!$D$5)</f>
        <v>11099</v>
      </c>
      <c r="W13" s="58"/>
      <c r="X13" s="60">
        <f>INDEX(Calculation!Z15:Z$34,Calculation!$D$5)</f>
        <v>-7.9532260739757832E-2</v>
      </c>
      <c r="Y13" s="61">
        <f>X13</f>
        <v>-7.9532260739757832E-2</v>
      </c>
      <c r="Z13" s="58"/>
      <c r="AA13" s="60">
        <f>INDEX(Calculation!AC15:AC$34,Calculation!$D$5)</f>
        <v>-3.2176491105685386E-2</v>
      </c>
      <c r="AB13" s="62" t="str">
        <f>IF(AA13="","",IF(AA13&gt;=0.05,"▲",IF(AA13&lt;-0.05,"▼","")))</f>
        <v/>
      </c>
      <c r="AC13" s="48"/>
      <c r="AD13" s="44"/>
    </row>
    <row r="14" spans="2:30">
      <c r="B14" s="44"/>
      <c r="C14" s="44"/>
      <c r="D14" s="47">
        <f>INDEX(Calculation!M16:M$34,Calculation!$D$5)</f>
        <v>2</v>
      </c>
      <c r="E14" s="48" t="str">
        <f>INDEX(Calculation!N16:N$34,Calculation!$D$5)</f>
        <v>Blend</v>
      </c>
      <c r="F14" s="49">
        <f>INDEX(Calculation!O16:O$34,Calculation!$D$5)</f>
        <v>17990</v>
      </c>
      <c r="G14" s="48"/>
      <c r="H14" s="50">
        <f>INDEX(Calculation!X16:X$34,Calculation!$D$5)</f>
        <v>9.728575785300396E-2</v>
      </c>
      <c r="I14" s="51">
        <f t="shared" ref="I14:I22" si="0">H14</f>
        <v>9.728575785300396E-2</v>
      </c>
      <c r="J14" s="48"/>
      <c r="K14" s="50">
        <f>INDEX(Calculation!AA16:AA$34,Calculation!$D$5)</f>
        <v>-1.0505472746273583E-2</v>
      </c>
      <c r="L14" s="53" t="str">
        <f t="shared" ref="L14:L22" si="1">IF(K14="","",IF(K14&gt;=0.05,"▲",IF(K14&lt;-0.05,"▼","")))</f>
        <v/>
      </c>
      <c r="M14" s="48"/>
      <c r="N14" s="49">
        <f>INDEX(Calculation!P16:P$34,Calculation!$D$5)</f>
        <v>1166</v>
      </c>
      <c r="O14" s="48"/>
      <c r="P14" s="50">
        <f>INDEX(Calculation!Y16:Y$34,Calculation!$D$5)</f>
        <v>0.16251246261216351</v>
      </c>
      <c r="Q14" s="51">
        <f t="shared" ref="Q14:Q22" si="2">P14</f>
        <v>0.16251246261216351</v>
      </c>
      <c r="R14" s="48"/>
      <c r="S14" s="50">
        <f>INDEX(Calculation!AB16:AB$34,Calculation!$D$5)</f>
        <v>-4.6606704824202781E-2</v>
      </c>
      <c r="T14" s="53" t="str">
        <f t="shared" ref="T14:T22" si="3">IF(S14="","",IF(S14&gt;=0.05,"▲",IF(S14&lt;-0.05,"▼","")))</f>
        <v/>
      </c>
      <c r="U14" s="48"/>
      <c r="V14" s="49">
        <f>INDEX(Calculation!Q16:Q$34,Calculation!$D$5)</f>
        <v>7137</v>
      </c>
      <c r="W14" s="48"/>
      <c r="X14" s="50">
        <f>INDEX(Calculation!Z16:Z$34,Calculation!$D$5)</f>
        <v>-3.8528896672504379E-2</v>
      </c>
      <c r="Y14" s="51">
        <f t="shared" ref="Y14:Y22" si="4">X14</f>
        <v>-3.8528896672504379E-2</v>
      </c>
      <c r="Z14" s="48"/>
      <c r="AA14" s="50">
        <f>INDEX(Calculation!AC16:AC$34,Calculation!$D$5)</f>
        <v>-0.12920937042459738</v>
      </c>
      <c r="AB14" s="53" t="str">
        <f t="shared" ref="AB14:AB22" si="5">IF(AA14="","",IF(AA14&gt;=0.05,"▲",IF(AA14&lt;-0.05,"▼","")))</f>
        <v>▼</v>
      </c>
      <c r="AC14" s="48"/>
      <c r="AD14" s="44"/>
    </row>
    <row r="15" spans="2:30">
      <c r="B15" s="44"/>
      <c r="C15" s="44"/>
      <c r="D15" s="57">
        <f>INDEX(Calculation!M17:M$34,Calculation!$D$5)</f>
        <v>3</v>
      </c>
      <c r="E15" s="58" t="str">
        <f>INDEX(Calculation!N17:N$34,Calculation!$D$5)</f>
        <v>Voltage</v>
      </c>
      <c r="F15" s="59">
        <f>INDEX(Calculation!O17:O$34,Calculation!$D$5)</f>
        <v>15117</v>
      </c>
      <c r="G15" s="58"/>
      <c r="H15" s="60">
        <f>INDEX(Calculation!X17:X$34,Calculation!$D$5)</f>
        <v>6.924600367803084E-2</v>
      </c>
      <c r="I15" s="61">
        <f t="shared" si="0"/>
        <v>6.924600367803084E-2</v>
      </c>
      <c r="J15" s="58"/>
      <c r="K15" s="60">
        <f>INDEX(Calculation!AA17:AA$34,Calculation!$D$5)</f>
        <v>0.12352285395763657</v>
      </c>
      <c r="L15" s="62" t="str">
        <f t="shared" si="1"/>
        <v>▲</v>
      </c>
      <c r="M15" s="58"/>
      <c r="N15" s="59">
        <f>INDEX(Calculation!P17:P$34,Calculation!$D$5)</f>
        <v>1613</v>
      </c>
      <c r="O15" s="58"/>
      <c r="P15" s="60">
        <f>INDEX(Calculation!Y17:Y$34,Calculation!$D$5)</f>
        <v>0.34416666666666668</v>
      </c>
      <c r="Q15" s="61">
        <f t="shared" si="2"/>
        <v>0.34416666666666668</v>
      </c>
      <c r="R15" s="58"/>
      <c r="S15" s="60">
        <f>INDEX(Calculation!AB17:AB$34,Calculation!$D$5)</f>
        <v>0.15214285714285714</v>
      </c>
      <c r="T15" s="62" t="str">
        <f t="shared" si="3"/>
        <v>▲</v>
      </c>
      <c r="U15" s="58"/>
      <c r="V15" s="59">
        <f>INDEX(Calculation!Q17:Q$34,Calculation!$D$5)</f>
        <v>5828</v>
      </c>
      <c r="W15" s="58"/>
      <c r="X15" s="60">
        <f>INDEX(Calculation!Z17:Z$34,Calculation!$D$5)</f>
        <v>-6.1815840309079204E-2</v>
      </c>
      <c r="Y15" s="61">
        <f t="shared" si="4"/>
        <v>-6.1815840309079204E-2</v>
      </c>
      <c r="Z15" s="58"/>
      <c r="AA15" s="60">
        <f>INDEX(Calculation!AC17:AC$34,Calculation!$D$5)</f>
        <v>3.098106712564544E-3</v>
      </c>
      <c r="AB15" s="62" t="str">
        <f t="shared" si="5"/>
        <v/>
      </c>
      <c r="AC15" s="48"/>
      <c r="AD15" s="44"/>
    </row>
    <row r="16" spans="2:30">
      <c r="B16" s="44"/>
      <c r="C16" s="44"/>
      <c r="D16" s="47">
        <f>INDEX(Calculation!M18:M$34,Calculation!$D$5)</f>
        <v>4</v>
      </c>
      <c r="E16" s="48" t="str">
        <f>INDEX(Calculation!N18:N$34,Calculation!$D$5)</f>
        <v>Inkly</v>
      </c>
      <c r="F16" s="49">
        <f>INDEX(Calculation!O18:O$34,Calculation!$D$5)</f>
        <v>11154</v>
      </c>
      <c r="G16" s="48"/>
      <c r="H16" s="50">
        <f>INDEX(Calculation!X18:X$34,Calculation!$D$5)</f>
        <v>-3.0255607720396451E-2</v>
      </c>
      <c r="I16" s="51">
        <f t="shared" si="0"/>
        <v>-3.0255607720396451E-2</v>
      </c>
      <c r="J16" s="48"/>
      <c r="K16" s="50">
        <f>INDEX(Calculation!AA18:AA$34,Calculation!$D$5)</f>
        <v>-7.2895021195245616E-2</v>
      </c>
      <c r="L16" s="53" t="str">
        <f t="shared" si="1"/>
        <v>▼</v>
      </c>
      <c r="M16" s="48"/>
      <c r="N16" s="49">
        <f>INDEX(Calculation!P18:P$34,Calculation!$D$5)</f>
        <v>731</v>
      </c>
      <c r="O16" s="48"/>
      <c r="P16" s="50">
        <f>INDEX(Calculation!Y18:Y$34,Calculation!$D$5)</f>
        <v>0.4649298597194389</v>
      </c>
      <c r="Q16" s="51">
        <f t="shared" si="2"/>
        <v>0.4649298597194389</v>
      </c>
      <c r="R16" s="48"/>
      <c r="S16" s="50">
        <f>INDEX(Calculation!AB18:AB$34,Calculation!$D$5)</f>
        <v>0.14040561622464898</v>
      </c>
      <c r="T16" s="53" t="str">
        <f t="shared" si="3"/>
        <v>▲</v>
      </c>
      <c r="U16" s="48"/>
      <c r="V16" s="49">
        <f>INDEX(Calculation!Q18:Q$34,Calculation!$D$5)</f>
        <v>8008</v>
      </c>
      <c r="W16" s="48"/>
      <c r="X16" s="50">
        <f>INDEX(Calculation!Z18:Z$34,Calculation!$D$5)</f>
        <v>-0.1055512118842846</v>
      </c>
      <c r="Y16" s="51">
        <f t="shared" si="4"/>
        <v>-0.1055512118842846</v>
      </c>
      <c r="Z16" s="48"/>
      <c r="AA16" s="50">
        <f>INDEX(Calculation!AC18:AC$34,Calculation!$D$5)</f>
        <v>-4.9382716049382713E-2</v>
      </c>
      <c r="AB16" s="53" t="str">
        <f t="shared" si="5"/>
        <v/>
      </c>
      <c r="AC16" s="48"/>
      <c r="AD16" s="44"/>
    </row>
    <row r="17" spans="2:30">
      <c r="B17" s="44"/>
      <c r="C17" s="44"/>
      <c r="D17" s="57">
        <f>INDEX(Calculation!M19:M$34,Calculation!$D$5)</f>
        <v>5</v>
      </c>
      <c r="E17" s="58" t="str">
        <f>INDEX(Calculation!N19:N$34,Calculation!$D$5)</f>
        <v>Sleops</v>
      </c>
      <c r="F17" s="59">
        <f>INDEX(Calculation!O19:O$34,Calculation!$D$5)</f>
        <v>11022</v>
      </c>
      <c r="G17" s="58"/>
      <c r="H17" s="60">
        <f>INDEX(Calculation!X19:X$34,Calculation!$D$5)</f>
        <v>-0.24733679322589455</v>
      </c>
      <c r="I17" s="61">
        <f t="shared" si="0"/>
        <v>-0.24733679322589455</v>
      </c>
      <c r="J17" s="58"/>
      <c r="K17" s="60">
        <f>INDEX(Calculation!AA19:AA$34,Calculation!$D$5)</f>
        <v>-0.15939597315436241</v>
      </c>
      <c r="L17" s="62" t="str">
        <f t="shared" si="1"/>
        <v>▼</v>
      </c>
      <c r="M17" s="58"/>
      <c r="N17" s="59">
        <f>INDEX(Calculation!P19:P$34,Calculation!$D$5)</f>
        <v>550</v>
      </c>
      <c r="O17" s="58"/>
      <c r="P17" s="60">
        <f>INDEX(Calculation!Y19:Y$34,Calculation!$D$5)</f>
        <v>-0.29487179487179488</v>
      </c>
      <c r="Q17" s="61">
        <f t="shared" si="2"/>
        <v>-0.29487179487179488</v>
      </c>
      <c r="R17" s="58"/>
      <c r="S17" s="60">
        <f>INDEX(Calculation!AB19:AB$34,Calculation!$D$5)</f>
        <v>0.16033755274261605</v>
      </c>
      <c r="T17" s="62" t="str">
        <f t="shared" si="3"/>
        <v>▲</v>
      </c>
      <c r="U17" s="58"/>
      <c r="V17" s="59">
        <f>INDEX(Calculation!Q19:Q$34,Calculation!$D$5)</f>
        <v>9000</v>
      </c>
      <c r="W17" s="58"/>
      <c r="X17" s="60">
        <f>INDEX(Calculation!Z19:Z$34,Calculation!$D$5)</f>
        <v>3.8062283737024222E-2</v>
      </c>
      <c r="Y17" s="61">
        <f t="shared" si="4"/>
        <v>3.8062283737024222E-2</v>
      </c>
      <c r="Z17" s="58"/>
      <c r="AA17" s="60">
        <f>INDEX(Calculation!AC19:AC$34,Calculation!$D$5)</f>
        <v>9.8498718418161851E-2</v>
      </c>
      <c r="AB17" s="62" t="str">
        <f t="shared" si="5"/>
        <v>▲</v>
      </c>
      <c r="AC17" s="48"/>
      <c r="AD17" s="44"/>
    </row>
    <row r="18" spans="2:30">
      <c r="B18" s="44"/>
      <c r="C18" s="44"/>
      <c r="D18" s="47">
        <f>INDEX(Calculation!M20:M$34,Calculation!$D$5)</f>
        <v>6</v>
      </c>
      <c r="E18" s="48" t="str">
        <f>INDEX(Calculation!N20:N$34,Calculation!$D$5)</f>
        <v>Kind Ape</v>
      </c>
      <c r="F18" s="49">
        <f>INDEX(Calculation!O20:O$34,Calculation!$D$5)</f>
        <v>8905</v>
      </c>
      <c r="G18" s="48"/>
      <c r="H18" s="50">
        <f>INDEX(Calculation!X20:X$34,Calculation!$D$5)</f>
        <v>1.2391996361982719E-2</v>
      </c>
      <c r="I18" s="51">
        <f t="shared" si="0"/>
        <v>1.2391996361982719E-2</v>
      </c>
      <c r="J18" s="48"/>
      <c r="K18" s="50">
        <f>INDEX(Calculation!AA20:AA$34,Calculation!$D$5)</f>
        <v>-2.0998240985048374E-2</v>
      </c>
      <c r="L18" s="53" t="str">
        <f t="shared" si="1"/>
        <v/>
      </c>
      <c r="M18" s="48"/>
      <c r="N18" s="49">
        <f>INDEX(Calculation!P20:P$34,Calculation!$D$5)</f>
        <v>469</v>
      </c>
      <c r="O18" s="48"/>
      <c r="P18" s="50">
        <f>INDEX(Calculation!Y20:Y$34,Calculation!$D$5)</f>
        <v>0.48417721518987344</v>
      </c>
      <c r="Q18" s="51">
        <f t="shared" si="2"/>
        <v>0.48417721518987344</v>
      </c>
      <c r="R18" s="48"/>
      <c r="S18" s="50">
        <f>INDEX(Calculation!AB20:AB$34,Calculation!$D$5)</f>
        <v>-0.2435483870967742</v>
      </c>
      <c r="T18" s="53" t="str">
        <f t="shared" si="3"/>
        <v>▼</v>
      </c>
      <c r="U18" s="48"/>
      <c r="V18" s="49">
        <f>INDEX(Calculation!Q20:Q$34,Calculation!$D$5)</f>
        <v>6026</v>
      </c>
      <c r="W18" s="48"/>
      <c r="X18" s="50">
        <f>INDEX(Calculation!Z20:Z$34,Calculation!$D$5)</f>
        <v>-3.5994240921452571E-2</v>
      </c>
      <c r="Y18" s="51">
        <f t="shared" si="4"/>
        <v>-3.5994240921452571E-2</v>
      </c>
      <c r="Z18" s="48"/>
      <c r="AA18" s="50">
        <f>INDEX(Calculation!AC20:AC$34,Calculation!$D$5)</f>
        <v>3.824948311509304E-2</v>
      </c>
      <c r="AB18" s="53" t="str">
        <f t="shared" si="5"/>
        <v/>
      </c>
      <c r="AC18" s="48"/>
      <c r="AD18" s="44"/>
    </row>
    <row r="19" spans="2:30">
      <c r="B19" s="44"/>
      <c r="C19" s="44"/>
      <c r="D19" s="57">
        <f>INDEX(Calculation!M21:M$34,Calculation!$D$5)</f>
        <v>7</v>
      </c>
      <c r="E19" s="58" t="str">
        <f>INDEX(Calculation!N21:N$34,Calculation!$D$5)</f>
        <v>Pet Feed</v>
      </c>
      <c r="F19" s="59">
        <f>INDEX(Calculation!O21:O$34,Calculation!$D$5)</f>
        <v>16735</v>
      </c>
      <c r="G19" s="58"/>
      <c r="H19" s="60">
        <f>INDEX(Calculation!X21:X$34,Calculation!$D$5)</f>
        <v>-4.3878192309889735E-2</v>
      </c>
      <c r="I19" s="61">
        <f t="shared" si="0"/>
        <v>-4.3878192309889735E-2</v>
      </c>
      <c r="J19" s="58"/>
      <c r="K19" s="60">
        <f>INDEX(Calculation!AA21:AA$34,Calculation!$D$5)</f>
        <v>-8.0848025484703684E-2</v>
      </c>
      <c r="L19" s="62" t="str">
        <f t="shared" si="1"/>
        <v>▼</v>
      </c>
      <c r="M19" s="58"/>
      <c r="N19" s="59">
        <f>INDEX(Calculation!P21:P$34,Calculation!$D$5)</f>
        <v>800</v>
      </c>
      <c r="O19" s="58"/>
      <c r="P19" s="60">
        <f>INDEX(Calculation!Y21:Y$34,Calculation!$D$5)</f>
        <v>-0.26131117266851339</v>
      </c>
      <c r="Q19" s="61">
        <f t="shared" si="2"/>
        <v>-0.26131117266851339</v>
      </c>
      <c r="R19" s="58"/>
      <c r="S19" s="60">
        <f>INDEX(Calculation!AB21:AB$34,Calculation!$D$5)</f>
        <v>-0.31972789115646261</v>
      </c>
      <c r="T19" s="62" t="str">
        <f t="shared" si="3"/>
        <v>▼</v>
      </c>
      <c r="U19" s="58"/>
      <c r="V19" s="59">
        <f>INDEX(Calculation!Q21:Q$34,Calculation!$D$5)</f>
        <v>10149</v>
      </c>
      <c r="W19" s="58"/>
      <c r="X19" s="60">
        <f>INDEX(Calculation!Z21:Z$34,Calculation!$D$5)</f>
        <v>-3.4072523079851529E-2</v>
      </c>
      <c r="Y19" s="61">
        <f t="shared" si="4"/>
        <v>-3.4072523079851529E-2</v>
      </c>
      <c r="Z19" s="58"/>
      <c r="AA19" s="60">
        <f>INDEX(Calculation!AC21:AC$34,Calculation!$D$5)</f>
        <v>-3.4164446136277123E-2</v>
      </c>
      <c r="AB19" s="62" t="str">
        <f t="shared" si="5"/>
        <v/>
      </c>
      <c r="AC19" s="48"/>
      <c r="AD19" s="44"/>
    </row>
    <row r="20" spans="2:30">
      <c r="B20" s="44"/>
      <c r="C20" s="44"/>
      <c r="D20" s="47">
        <f>INDEX(Calculation!M22:M$34,Calculation!$D$5)</f>
        <v>8</v>
      </c>
      <c r="E20" s="48" t="str">
        <f>INDEX(Calculation!N22:N$34,Calculation!$D$5)</f>
        <v>Right App</v>
      </c>
      <c r="F20" s="49">
        <f>INDEX(Calculation!O22:O$34,Calculation!$D$5)</f>
        <v>3635</v>
      </c>
      <c r="G20" s="48"/>
      <c r="H20" s="50">
        <f>INDEX(Calculation!X22:X$34,Calculation!$D$5)</f>
        <v>0.55541292255027819</v>
      </c>
      <c r="I20" s="51">
        <f t="shared" si="0"/>
        <v>0.55541292255027819</v>
      </c>
      <c r="J20" s="48"/>
      <c r="K20" s="50">
        <f>INDEX(Calculation!AA22:AA$34,Calculation!$D$5)</f>
        <v>1.5646828723107013E-2</v>
      </c>
      <c r="L20" s="53" t="str">
        <f t="shared" si="1"/>
        <v/>
      </c>
      <c r="M20" s="48"/>
      <c r="N20" s="49">
        <f>INDEX(Calculation!P22:P$34,Calculation!$D$5)</f>
        <v>96</v>
      </c>
      <c r="O20" s="48"/>
      <c r="P20" s="50">
        <f>INDEX(Calculation!Y22:Y$34,Calculation!$D$5)</f>
        <v>6.6666666666666666E-2</v>
      </c>
      <c r="Q20" s="51">
        <f t="shared" si="2"/>
        <v>6.6666666666666666E-2</v>
      </c>
      <c r="R20" s="48"/>
      <c r="S20" s="50">
        <f>INDEX(Calculation!AB22:AB$34,Calculation!$D$5)</f>
        <v>-0.47826086956521741</v>
      </c>
      <c r="T20" s="53" t="str">
        <f t="shared" si="3"/>
        <v>▼</v>
      </c>
      <c r="U20" s="48"/>
      <c r="V20" s="49">
        <f>INDEX(Calculation!Q22:Q$34,Calculation!$D$5)</f>
        <v>2050</v>
      </c>
      <c r="W20" s="48"/>
      <c r="X20" s="50">
        <f>INDEX(Calculation!Z22:Z$34,Calculation!$D$5)</f>
        <v>0.29337539432176657</v>
      </c>
      <c r="Y20" s="51">
        <f t="shared" si="4"/>
        <v>0.29337539432176657</v>
      </c>
      <c r="Z20" s="48"/>
      <c r="AA20" s="50">
        <f>INDEX(Calculation!AC22:AC$34,Calculation!$D$5)</f>
        <v>0.4684813753581662</v>
      </c>
      <c r="AB20" s="53" t="str">
        <f t="shared" si="5"/>
        <v>▲</v>
      </c>
      <c r="AC20" s="48"/>
      <c r="AD20" s="44"/>
    </row>
    <row r="21" spans="2:30">
      <c r="B21" s="44"/>
      <c r="C21" s="44"/>
      <c r="D21" s="57">
        <f>INDEX(Calculation!M23:M$34,Calculation!$D$5)</f>
        <v>9</v>
      </c>
      <c r="E21" s="58" t="str">
        <f>INDEX(Calculation!N23:N$34,Calculation!$D$5)</f>
        <v>Mirrrr</v>
      </c>
      <c r="F21" s="59">
        <f>INDEX(Calculation!O23:O$34,Calculation!$D$5)</f>
        <v>15627</v>
      </c>
      <c r="G21" s="58"/>
      <c r="H21" s="60">
        <f>INDEX(Calculation!X23:X$34,Calculation!$D$5)</f>
        <v>1.758155889822231E-2</v>
      </c>
      <c r="I21" s="61">
        <f t="shared" si="0"/>
        <v>1.758155889822231E-2</v>
      </c>
      <c r="J21" s="58"/>
      <c r="K21" s="60">
        <f>INDEX(Calculation!AA23:AA$34,Calculation!$D$5)</f>
        <v>6.7855678556785565E-2</v>
      </c>
      <c r="L21" s="62" t="str">
        <f t="shared" si="1"/>
        <v>▲</v>
      </c>
      <c r="M21" s="58"/>
      <c r="N21" s="59">
        <f>INDEX(Calculation!P23:P$34,Calculation!$D$5)</f>
        <v>1996</v>
      </c>
      <c r="O21" s="58"/>
      <c r="P21" s="60">
        <f>INDEX(Calculation!Y23:Y$34,Calculation!$D$5)</f>
        <v>4.6121593291404611E-2</v>
      </c>
      <c r="Q21" s="61">
        <f t="shared" si="2"/>
        <v>4.6121593291404611E-2</v>
      </c>
      <c r="R21" s="58"/>
      <c r="S21" s="60">
        <f>INDEX(Calculation!AB23:AB$34,Calculation!$D$5)</f>
        <v>0.26010101010101011</v>
      </c>
      <c r="T21" s="62" t="str">
        <f t="shared" si="3"/>
        <v>▲</v>
      </c>
      <c r="U21" s="58"/>
      <c r="V21" s="59">
        <f>INDEX(Calculation!Q23:Q$34,Calculation!$D$5)</f>
        <v>9397</v>
      </c>
      <c r="W21" s="58"/>
      <c r="X21" s="60">
        <f>INDEX(Calculation!Z23:Z$34,Calculation!$D$5)</f>
        <v>-3.1436817151102865E-2</v>
      </c>
      <c r="Y21" s="61">
        <f t="shared" si="4"/>
        <v>-3.1436817151102865E-2</v>
      </c>
      <c r="Z21" s="58"/>
      <c r="AA21" s="60">
        <f>INDEX(Calculation!AC23:AC$34,Calculation!$D$5)</f>
        <v>-1.3645428781358245E-2</v>
      </c>
      <c r="AB21" s="62" t="str">
        <f t="shared" si="5"/>
        <v/>
      </c>
      <c r="AC21" s="48"/>
      <c r="AD21" s="44"/>
    </row>
    <row r="22" spans="2:30" ht="14.25" customHeight="1">
      <c r="B22" s="44"/>
      <c r="C22" s="44"/>
      <c r="D22" s="47">
        <f>INDEX(Calculation!M24:M$34,Calculation!$D$5)</f>
        <v>10</v>
      </c>
      <c r="E22" s="48" t="str">
        <f>INDEX(Calculation!N24:N$34,Calculation!$D$5)</f>
        <v>Halotot</v>
      </c>
      <c r="F22" s="49">
        <f>INDEX(Calculation!O24:O$34,Calculation!$D$5)</f>
        <v>7270</v>
      </c>
      <c r="G22" s="48"/>
      <c r="H22" s="50">
        <f>INDEX(Calculation!X24:X$34,Calculation!$D$5)</f>
        <v>2.1210844219693777E-2</v>
      </c>
      <c r="I22" s="51">
        <f t="shared" si="0"/>
        <v>2.1210844219693777E-2</v>
      </c>
      <c r="J22" s="48"/>
      <c r="K22" s="50">
        <f>INDEX(Calculation!AA24:AA$34,Calculation!$D$5)</f>
        <v>1.5646828723107013E-2</v>
      </c>
      <c r="L22" s="53" t="str">
        <f t="shared" si="1"/>
        <v/>
      </c>
      <c r="M22" s="48"/>
      <c r="N22" s="49">
        <f>INDEX(Calculation!P24:P$34,Calculation!$D$5)</f>
        <v>150</v>
      </c>
      <c r="O22" s="48"/>
      <c r="P22" s="50">
        <f>INDEX(Calculation!Y24:Y$34,Calculation!$D$5)</f>
        <v>-0.57020057306590255</v>
      </c>
      <c r="Q22" s="51">
        <f t="shared" si="2"/>
        <v>-0.57020057306590255</v>
      </c>
      <c r="R22" s="48"/>
      <c r="S22" s="50">
        <f>INDEX(Calculation!AB24:AB$34,Calculation!$D$5)</f>
        <v>0.25</v>
      </c>
      <c r="T22" s="53" t="str">
        <f t="shared" si="3"/>
        <v>▲</v>
      </c>
      <c r="U22" s="48"/>
      <c r="V22" s="49">
        <f>INDEX(Calculation!Q24:Q$34,Calculation!$D$5)</f>
        <v>8948</v>
      </c>
      <c r="W22" s="48"/>
      <c r="X22" s="50">
        <f>INDEX(Calculation!Z24:Z$34,Calculation!$D$5)</f>
        <v>5.0234741784037557E-2</v>
      </c>
      <c r="Y22" s="51">
        <f t="shared" si="4"/>
        <v>5.0234741784037557E-2</v>
      </c>
      <c r="Z22" s="48"/>
      <c r="AA22" s="50">
        <f>INDEX(Calculation!AC24:AC$34,Calculation!$D$5)</f>
        <v>3.6848203939745076E-2</v>
      </c>
      <c r="AB22" s="53" t="str">
        <f t="shared" si="5"/>
        <v/>
      </c>
      <c r="AC22" s="48"/>
      <c r="AD22" s="44"/>
    </row>
    <row r="23" spans="2:30" ht="6.4" customHeight="1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</row>
    <row r="24" spans="2:30">
      <c r="B24" s="44"/>
      <c r="C24" s="44"/>
      <c r="D24" s="68"/>
      <c r="E24" s="69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4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44"/>
    </row>
    <row r="25" spans="2:30">
      <c r="B25" s="44"/>
      <c r="C25" s="44"/>
      <c r="D25" s="68"/>
      <c r="E25" s="69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44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44"/>
    </row>
    <row r="26" spans="2:30">
      <c r="B26" s="44"/>
      <c r="C26" s="44"/>
      <c r="D26" s="68"/>
      <c r="E26" s="69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44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44"/>
    </row>
    <row r="27" spans="2:30">
      <c r="B27" s="44"/>
      <c r="C27" s="44"/>
      <c r="D27" s="68"/>
      <c r="E27" s="69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44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44"/>
    </row>
    <row r="28" spans="2:30">
      <c r="B28" s="44"/>
      <c r="C28" s="44"/>
      <c r="D28" s="68"/>
      <c r="E28" s="69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44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44"/>
    </row>
    <row r="29" spans="2:30">
      <c r="B29" s="44"/>
      <c r="C29" s="44"/>
      <c r="D29" s="68"/>
      <c r="E29" s="69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44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44"/>
    </row>
    <row r="30" spans="2:30">
      <c r="B30" s="44"/>
      <c r="C30" s="44"/>
      <c r="D30" s="68"/>
      <c r="E30" s="69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44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44"/>
    </row>
    <row r="31" spans="2:30">
      <c r="B31" s="44"/>
      <c r="C31" s="44"/>
      <c r="D31" s="68"/>
      <c r="E31" s="69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44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44"/>
    </row>
    <row r="32" spans="2:30">
      <c r="B32" s="44"/>
      <c r="C32" s="44"/>
      <c r="D32" s="68"/>
      <c r="E32" s="69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44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44"/>
    </row>
    <row r="33" spans="2:30">
      <c r="B33" s="44"/>
      <c r="C33" s="44"/>
      <c r="D33" s="68"/>
      <c r="E33" s="69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44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44"/>
    </row>
    <row r="34" spans="2:30">
      <c r="B34" s="44"/>
      <c r="C34" s="44"/>
      <c r="D34" s="68"/>
      <c r="E34" s="69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44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44"/>
    </row>
    <row r="35" spans="2:30">
      <c r="B35" s="44"/>
      <c r="C35" s="44"/>
      <c r="D35" s="68"/>
      <c r="E35" s="69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44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44"/>
    </row>
    <row r="36" spans="2:30">
      <c r="B36" s="44"/>
      <c r="C36" s="44"/>
      <c r="D36" s="68"/>
      <c r="E36" s="69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44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44"/>
    </row>
    <row r="37" spans="2:30">
      <c r="B37" s="44"/>
      <c r="C37" s="44"/>
      <c r="D37" s="68"/>
      <c r="E37" s="69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44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44"/>
    </row>
    <row r="38" spans="2:30">
      <c r="B38" s="44"/>
      <c r="C38" s="44"/>
      <c r="D38" s="68"/>
      <c r="E38" s="69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44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44"/>
    </row>
    <row r="39" spans="2:30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</sheetData>
  <sheetProtection sheet="1" objects="1" scenarios="1"/>
  <conditionalFormatting sqref="T13:T22">
    <cfRule type="cellIs" dxfId="5" priority="5" operator="equal">
      <formula>"▲"</formula>
    </cfRule>
    <cfRule type="cellIs" dxfId="4" priority="7" operator="equal">
      <formula>"▼"</formula>
    </cfRule>
  </conditionalFormatting>
  <conditionalFormatting sqref="AB13:AB22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L13:L22">
    <cfRule type="cellIs" dxfId="1" priority="1" operator="equal">
      <formula>"▲"</formula>
    </cfRule>
    <cfRule type="cellIs" dxfId="0" priority="2" operator="equal">
      <formula>"▼"</formula>
    </cfRule>
  </conditionalFormatting>
  <dataValidations disablePrompts="1" count="1">
    <dataValidation type="textLength" operator="equal" allowBlank="1" showInputMessage="1" showErrorMessage="1" errorTitle="Year Incorrect" error="Please input year as YYYY (4 digits). Thanks." promptTitle="Year" prompt="Please input year as YYYY" sqref="F5">
      <formula1>4</formula1>
    </dataValidation>
  </dataValidations>
  <pageMargins left="0.25" right="0.25" top="0.75" bottom="0.75" header="0.3" footer="0.3"/>
  <pageSetup paperSize="9" scale="95" orientation="landscape" r:id="rId1"/>
  <drawing r:id="rId2"/>
  <legacyDrawing r:id="rId3"/>
  <extLst xmlns:xr="http://schemas.microsoft.com/office/spreadsheetml/2014/revision"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dataBar" priority="11" id="{51B9D8EF-6534-4FF9-96FD-530690E82C89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1" tint="0.499984740745262"/>
              <x14:axisColor theme="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B84434EF-E65E-4354-8930-DE27EA70E76B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rgb="FF638EC6"/>
              <x14:negativeFillColor theme="1" tint="0.499984740745262"/>
              <x14:axisColor theme="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4F0C4E3C-168B-448F-B16E-60C654300055}">
            <x14:dataBar minLength="0" maxLength="100" showValue="0" gradient="0">
              <x14:cfvo type="num">
                <xm:f>Calculation!$Y$43</xm:f>
              </x14:cfvo>
              <x14:cfvo type="num">
                <xm:f>Calculation!$Y$44</xm:f>
              </x14:cfvo>
              <x14:fillColor rgb="FF638EC6"/>
              <x14:negativeFillColor theme="1" tint="0.499984740745262"/>
              <x14:axisColor theme="0"/>
            </x14:dataBar>
          </x14:cfRule>
          <xm:sqref>Y13:Y22</xm:sqref>
        </x14:conditionalFormatting>
      </x14:conditionalFormattings>
    </ext>
    <ext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AZ44"/>
  <sheetViews>
    <sheetView topLeftCell="M1" workbookViewId="0">
      <selection activeCell="M1" sqref="M1"/>
    </sheetView>
  </sheetViews>
  <sheetFormatPr defaultRowHeight="14.25"/>
  <cols>
    <col min="1" max="1" width="9" hidden="1" customWidth="1"/>
    <col min="2" max="2" width="0" hidden="1" customWidth="1"/>
    <col min="3" max="3" width="17.625" hidden="1" customWidth="1"/>
    <col min="4" max="6" width="0" hidden="1" customWidth="1"/>
    <col min="7" max="7" width="21.375" hidden="1" customWidth="1"/>
    <col min="8" max="8" width="10.375" hidden="1" customWidth="1"/>
    <col min="9" max="9" width="9.75" hidden="1" customWidth="1"/>
    <col min="10" max="12" width="5" hidden="1" customWidth="1"/>
    <col min="14" max="14" width="14.625" bestFit="1" customWidth="1"/>
    <col min="24" max="24" width="12.375" customWidth="1"/>
    <col min="33" max="33" width="14.125" customWidth="1"/>
    <col min="34" max="34" width="1.375" customWidth="1"/>
    <col min="36" max="36" width="11.125" customWidth="1"/>
    <col min="37" max="37" width="13.125" customWidth="1"/>
    <col min="38" max="38" width="12.5" customWidth="1"/>
    <col min="39" max="39" width="12.625" customWidth="1"/>
    <col min="46" max="47" width="2.5" customWidth="1"/>
  </cols>
  <sheetData>
    <row r="2" spans="2:52">
      <c r="B2" s="35" t="s">
        <v>67</v>
      </c>
      <c r="C2" s="34"/>
      <c r="D2" s="34"/>
      <c r="E2" s="34"/>
      <c r="M2" s="35" t="s">
        <v>71</v>
      </c>
      <c r="N2" s="3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F2" s="35" t="s">
        <v>94</v>
      </c>
      <c r="AG2" s="34"/>
      <c r="AH2" s="35"/>
      <c r="AI2" s="34"/>
      <c r="AJ2" s="34"/>
      <c r="AK2" s="34"/>
      <c r="AL2" s="34"/>
      <c r="AM2" s="34"/>
      <c r="AP2" s="35" t="s">
        <v>101</v>
      </c>
      <c r="AQ2" s="34"/>
      <c r="AR2" s="35"/>
      <c r="AS2" s="34"/>
      <c r="AV2" s="35" t="s">
        <v>106</v>
      </c>
      <c r="AW2" s="34"/>
      <c r="AX2" s="35"/>
      <c r="AY2" s="34"/>
    </row>
    <row r="4" spans="2:52">
      <c r="C4" t="s">
        <v>66</v>
      </c>
      <c r="D4">
        <v>1</v>
      </c>
    </row>
    <row r="5" spans="2:52">
      <c r="C5" t="s">
        <v>82</v>
      </c>
      <c r="D5">
        <v>1</v>
      </c>
    </row>
    <row r="6" spans="2:52" ht="12.75" customHeight="1">
      <c r="C6" t="s">
        <v>97</v>
      </c>
      <c r="D6">
        <v>2</v>
      </c>
    </row>
    <row r="7" spans="2:52">
      <c r="C7" t="s">
        <v>98</v>
      </c>
      <c r="D7">
        <v>1</v>
      </c>
    </row>
    <row r="8" spans="2:52">
      <c r="C8" t="s">
        <v>102</v>
      </c>
      <c r="D8">
        <v>1</v>
      </c>
      <c r="O8" t="str">
        <f>O9&amp;O10&amp;O11&amp;O12</f>
        <v>2017JunActualRevenue</v>
      </c>
      <c r="P8" t="str">
        <f t="shared" ref="P8:W8" si="0">P9&amp;P10&amp;P11&amp;P12</f>
        <v>2017JunActualProfit</v>
      </c>
      <c r="Q8" t="str">
        <f t="shared" si="0"/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2">
      <c r="C9" t="s">
        <v>103</v>
      </c>
      <c r="D9" t="b">
        <v>1</v>
      </c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</row>
    <row r="10" spans="2:52">
      <c r="C10" t="s">
        <v>104</v>
      </c>
      <c r="D10" t="b">
        <v>1</v>
      </c>
      <c r="O10" t="str">
        <f t="shared" ref="O10:W10" si="1">cur_month</f>
        <v>Jun</v>
      </c>
      <c r="P10" t="str">
        <f t="shared" si="1"/>
        <v>Jun</v>
      </c>
      <c r="Q10" t="str">
        <f t="shared" si="1"/>
        <v>Jun</v>
      </c>
      <c r="R10" t="str">
        <f t="shared" si="1"/>
        <v>Jun</v>
      </c>
      <c r="S10" t="str">
        <f t="shared" si="1"/>
        <v>Jun</v>
      </c>
      <c r="T10" t="str">
        <f t="shared" si="1"/>
        <v>Jun</v>
      </c>
      <c r="U10" t="str">
        <f t="shared" si="1"/>
        <v>Jun</v>
      </c>
      <c r="V10" t="str">
        <f t="shared" si="1"/>
        <v>Jun</v>
      </c>
      <c r="W10" t="str">
        <f t="shared" si="1"/>
        <v>Jun</v>
      </c>
    </row>
    <row r="11" spans="2:52"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1</v>
      </c>
      <c r="W11" t="s">
        <v>1</v>
      </c>
      <c r="AP11" s="33" t="str">
        <f>INDEX(G14:I34,D8,D4)</f>
        <v>Productivity Apps</v>
      </c>
      <c r="AV11" s="33" t="str">
        <f>"Profit for "&amp;AP11</f>
        <v>Profit for Productivity Apps</v>
      </c>
    </row>
    <row r="12" spans="2:52">
      <c r="O12" t="str">
        <f>O14</f>
        <v>Revenue</v>
      </c>
      <c r="P12" t="str">
        <f t="shared" ref="P12:W12" si="2">P14</f>
        <v>Profit</v>
      </c>
      <c r="Q12" t="str">
        <f t="shared" si="2"/>
        <v>Cash</v>
      </c>
      <c r="R12" t="str">
        <f t="shared" si="2"/>
        <v>Revenue</v>
      </c>
      <c r="S12" t="str">
        <f t="shared" si="2"/>
        <v>Profit</v>
      </c>
      <c r="T12" t="str">
        <f t="shared" si="2"/>
        <v>Cash</v>
      </c>
      <c r="U12" t="str">
        <f t="shared" si="2"/>
        <v>Revenue</v>
      </c>
      <c r="V12" t="str">
        <f t="shared" si="2"/>
        <v>Profit</v>
      </c>
      <c r="W12" t="str">
        <f t="shared" si="2"/>
        <v>Cash</v>
      </c>
      <c r="AJ12" s="67" t="str">
        <f>CHOOSE(D7,"Top 6","Bottom 6")&amp; " sorted based on % ∆ B"</f>
        <v>Top 6 sorted based on % ∆ B</v>
      </c>
      <c r="AK12" s="33"/>
    </row>
    <row r="13" spans="2:52">
      <c r="B13" s="35" t="s">
        <v>68</v>
      </c>
      <c r="C13" s="34"/>
      <c r="D13" s="34"/>
      <c r="E13" s="34"/>
      <c r="G13" s="35" t="s">
        <v>69</v>
      </c>
      <c r="H13" s="34"/>
      <c r="I13" s="34"/>
      <c r="O13" s="44" t="s">
        <v>0</v>
      </c>
      <c r="P13" s="44"/>
      <c r="Q13" s="44"/>
      <c r="R13" s="44" t="s">
        <v>2</v>
      </c>
      <c r="S13" s="44"/>
      <c r="T13" s="44"/>
      <c r="U13" s="44" t="s">
        <v>1</v>
      </c>
      <c r="V13" s="44"/>
      <c r="W13" s="44"/>
      <c r="X13" s="44" t="s">
        <v>74</v>
      </c>
      <c r="Y13" s="44"/>
      <c r="Z13" s="44"/>
      <c r="AA13" s="44" t="s">
        <v>75</v>
      </c>
      <c r="AB13" s="44"/>
      <c r="AC13" s="44"/>
      <c r="AF13" t="s">
        <v>95</v>
      </c>
      <c r="AI13" t="s">
        <v>96</v>
      </c>
      <c r="AJ13" s="67" t="str">
        <f>"Actual "&amp;INDEX(O14:Q14,D6)&amp;" Vs. Budget"</f>
        <v>Actual Profit Vs. Budget</v>
      </c>
      <c r="AK13" s="33"/>
      <c r="AP13" s="44"/>
      <c r="AQ13" s="71">
        <f>cur_year</f>
        <v>2017</v>
      </c>
      <c r="AR13" s="70">
        <f>AQ13-1</f>
        <v>2016</v>
      </c>
      <c r="AS13" s="72">
        <f>AQ13</f>
        <v>2017</v>
      </c>
      <c r="AV13" s="44"/>
      <c r="AW13" s="71">
        <f t="shared" ref="AW13:AY14" si="3">AQ13</f>
        <v>2017</v>
      </c>
      <c r="AX13" s="70">
        <f t="shared" si="3"/>
        <v>2016</v>
      </c>
      <c r="AY13" s="72">
        <f t="shared" si="3"/>
        <v>2017</v>
      </c>
      <c r="AZ13" s="44" t="s">
        <v>105</v>
      </c>
    </row>
    <row r="14" spans="2:52">
      <c r="G14" s="36" t="str">
        <f t="array" ref="G14:I14">TRANSPOSE(C15:C17)</f>
        <v>Productivity Apps</v>
      </c>
      <c r="H14" s="37" t="str">
        <v>Game Apps</v>
      </c>
      <c r="I14" s="38" t="str">
        <v>Utility Apps</v>
      </c>
      <c r="M14" s="44" t="s">
        <v>72</v>
      </c>
      <c r="N14" s="44" t="s">
        <v>73</v>
      </c>
      <c r="O14" s="1" t="s">
        <v>17</v>
      </c>
      <c r="P14" s="1" t="s">
        <v>18</v>
      </c>
      <c r="Q14" s="1" t="s">
        <v>19</v>
      </c>
      <c r="R14" s="3" t="s">
        <v>17</v>
      </c>
      <c r="S14" s="3" t="s">
        <v>18</v>
      </c>
      <c r="T14" s="3" t="s">
        <v>19</v>
      </c>
      <c r="U14" s="2" t="s">
        <v>17</v>
      </c>
      <c r="V14" s="2" t="s">
        <v>18</v>
      </c>
      <c r="W14" s="2" t="s">
        <v>19</v>
      </c>
      <c r="X14" s="3" t="s">
        <v>76</v>
      </c>
      <c r="Y14" s="3" t="s">
        <v>77</v>
      </c>
      <c r="Z14" s="3" t="s">
        <v>78</v>
      </c>
      <c r="AA14" s="2" t="s">
        <v>76</v>
      </c>
      <c r="AB14" s="2" t="s">
        <v>77</v>
      </c>
      <c r="AC14" s="2" t="s">
        <v>78</v>
      </c>
      <c r="AF14" s="44" t="s">
        <v>73</v>
      </c>
      <c r="AG14" s="2" t="str">
        <f>INDEX(AA14:AC14,D6)&amp;"  ∆ B"</f>
        <v>Profit%  ∆ B</v>
      </c>
      <c r="AH14" s="44"/>
      <c r="AI14" s="44" t="s">
        <v>73</v>
      </c>
      <c r="AJ14" s="1" t="s">
        <v>0</v>
      </c>
      <c r="AK14" s="2" t="s">
        <v>1</v>
      </c>
      <c r="AL14" s="44" t="s">
        <v>99</v>
      </c>
      <c r="AM14" s="44" t="s">
        <v>100</v>
      </c>
      <c r="AP14" s="44" t="s">
        <v>64</v>
      </c>
      <c r="AQ14" s="1" t="s">
        <v>0</v>
      </c>
      <c r="AR14" s="3" t="s">
        <v>0</v>
      </c>
      <c r="AS14" s="2" t="s">
        <v>1</v>
      </c>
      <c r="AV14" s="44" t="s">
        <v>64</v>
      </c>
      <c r="AW14" s="1" t="str">
        <f t="shared" si="3"/>
        <v>Actual</v>
      </c>
      <c r="AX14" s="3" t="str">
        <f t="shared" si="3"/>
        <v>Actual</v>
      </c>
      <c r="AY14" s="2" t="str">
        <f t="shared" si="3"/>
        <v>Budget</v>
      </c>
      <c r="AZ14" s="1" t="s">
        <v>0</v>
      </c>
    </row>
    <row r="15" spans="2:52">
      <c r="B15" t="s">
        <v>6</v>
      </c>
      <c r="C15" t="s">
        <v>20</v>
      </c>
      <c r="D15" t="s">
        <v>17</v>
      </c>
      <c r="G15" s="39" t="s">
        <v>21</v>
      </c>
      <c r="H15" s="31" t="s">
        <v>37</v>
      </c>
      <c r="I15" s="40" t="s">
        <v>50</v>
      </c>
      <c r="M15">
        <f>IF(N15&lt;&gt;"",ROW(A1),"")</f>
        <v>1</v>
      </c>
      <c r="N15" t="str">
        <f>IF(INDEX(G15:I15,$D$4)="","",INDEX(G15:I15,$D$4))</f>
        <v>WenCaL</v>
      </c>
      <c r="O15" s="63">
        <f>IF($N15&lt;&gt;"",INDEX(Data!$B$9:$J$60,MATCH($N15,Data!$A$9:$A$60,0),MATCH(O$8,Data!$B$4:$J$4,0)),"")</f>
        <v>14432</v>
      </c>
      <c r="P15" s="63">
        <f>IF($N15&lt;&gt;"",INDEX(Data!$B$9:$J$60,MATCH($N15,Data!$A$9:$A$60,0),MATCH(P$8,Data!$B$4:$J$4,0)),"")</f>
        <v>240</v>
      </c>
      <c r="Q15" s="63">
        <f>IF($N15&lt;&gt;"",INDEX(Data!$B$9:$J$60,MATCH($N15,Data!$A$9:$A$60,0),MATCH(Q$8,Data!$B$4:$J$4,0)),"")</f>
        <v>11099</v>
      </c>
      <c r="R15" s="63">
        <f>IF($N15&lt;&gt;"",INDEX(Data!$B$9:$J$60,MATCH($N15,Data!$A$9:$A$60,0),MATCH(R$8,Data!$B$4:$J$4,0)),"")</f>
        <v>13699</v>
      </c>
      <c r="S15" s="63">
        <f>IF($N15&lt;&gt;"",INDEX(Data!$B$9:$J$60,MATCH($N15,Data!$A$9:$A$60,0),MATCH(S$8,Data!$B$4:$J$4,0)),"")</f>
        <v>210</v>
      </c>
      <c r="T15" s="63">
        <f>IF($N15&lt;&gt;"",INDEX(Data!$B$9:$J$60,MATCH($N15,Data!$A$9:$A$60,0),MATCH(T$8,Data!$B$4:$J$4,0)),"")</f>
        <v>12058</v>
      </c>
      <c r="U15" s="63">
        <f>IF($N15&lt;&gt;"",INDEX(Data!$B$9:$J$60,MATCH($N15,Data!$A$9:$A$60,0),MATCH(U$8,Data!$B$4:$J$4,0)),"")</f>
        <v>15113</v>
      </c>
      <c r="V15" s="63">
        <f>IF($N15&lt;&gt;"",INDEX(Data!$B$9:$J$60,MATCH($N15,Data!$A$9:$A$60,0),MATCH(V$8,Data!$B$4:$J$4,0)),"")</f>
        <v>363</v>
      </c>
      <c r="W15" s="63">
        <f>IF($N15&lt;&gt;"",INDEX(Data!$B$9:$J$60,MATCH($N15,Data!$A$9:$A$60,0),MATCH(W$8,Data!$B$4:$J$4,0)),"")</f>
        <v>11468</v>
      </c>
      <c r="X15" s="45">
        <f t="shared" ref="X15:X34" si="4">IF($N15&lt;&gt;"",(O15-R15)/R15,"")</f>
        <v>5.3507555296007009E-2</v>
      </c>
      <c r="Y15" s="45">
        <f t="shared" ref="Y15:Y34" si="5">IF($N15&lt;&gt;"",(P15-S15)/S15,"")</f>
        <v>0.14285714285714285</v>
      </c>
      <c r="Z15" s="45">
        <f t="shared" ref="Z15:Z34" si="6">IF($N15&lt;&gt;"",(Q15-T15)/T15,"")</f>
        <v>-7.9532260739757832E-2</v>
      </c>
      <c r="AA15" s="45">
        <f>IF($N15&lt;&gt;"",(O15-U15)/U15,"")</f>
        <v>-4.5060543902600413E-2</v>
      </c>
      <c r="AB15" s="45">
        <f>IF($N15&lt;&gt;"",(P15-V15)/V15,"")</f>
        <v>-0.33884297520661155</v>
      </c>
      <c r="AC15" s="45">
        <f>IF($N15&lt;&gt;"",(Q15-W15)/W15,"")</f>
        <v>-3.2176491105685386E-2</v>
      </c>
      <c r="AF15" t="str">
        <f>N15</f>
        <v>WenCaL</v>
      </c>
      <c r="AG15" s="52">
        <f>IF(AF15="","",INDEX(AA15:AC15,$D$6)+(ROW()/10000000000)+N("the row function is used here to make sure we have unique values to sort"))</f>
        <v>-0.33884297370661154</v>
      </c>
      <c r="AH15" s="44"/>
      <c r="AI15" t="str">
        <f t="shared" ref="AI15:AI20" si="7">INDEX($AF$15:$AF$34,MATCH(CHOOSE($D$7,LARGE($AG$15:$AG$34,$M15),SMALL($AG$15:$AG$34,$M15)),$AG$15:$AG$34,0))</f>
        <v>Didactic</v>
      </c>
      <c r="AJ15" s="63">
        <f t="shared" ref="AJ15:AJ20" si="8">INDEX($O$15:$Q$35,MATCH($AI15,$N$15:$N$34,0),$D$6)</f>
        <v>363</v>
      </c>
      <c r="AK15" s="63">
        <f t="shared" ref="AK15:AK20" si="9">INDEX($U$15:$W$35,MATCH($AI15,$N$15:$N$34,0),$D$6)</f>
        <v>248</v>
      </c>
      <c r="AL15" s="63">
        <f t="shared" ref="AL15:AL20" si="10">MAX(AJ15:AK15)</f>
        <v>363</v>
      </c>
      <c r="AM15" t="str">
        <f>TEXT(INDEX($AA$15:$AC$34,MATCH(AI15,$N$15:$N$34,0),$D$6),"0%")&amp;" | "&amp;TEXT(AJ15,"#,##0")</f>
        <v>46% | 363</v>
      </c>
      <c r="AP15" t="s">
        <v>6</v>
      </c>
      <c r="AQ15" s="63">
        <f>INDEX(Data!$K$9:$AT$60,MATCH(Calculation!$AP$11,Data!$A$9:$A$60,0),MATCH(Calculation!AQ$13&amp;Calculation!$AP15&amp;Calculation!AQ$14,INDEX(Data!$K$5:$AT$5&amp;Data!$K$6:$AT$6&amp;Data!$K$7:$AT$7,),0))</f>
        <v>1005</v>
      </c>
      <c r="AR15" s="63">
        <f>INDEX(Data!$K$9:$AT$60,MATCH(Calculation!$AP$11,Data!$A$9:$A$60,0),MATCH(Calculation!AR$13&amp;Calculation!$AP15&amp;Calculation!AR$14,INDEX(Data!$K$5:$AT$5&amp;Data!$K$6:$AT$6&amp;Data!$K$7:$AT$7,),0))</f>
        <v>1136</v>
      </c>
      <c r="AS15" s="63">
        <f>INDEX(Data!$K$9:$AT$60,MATCH(Calculation!$AP$11,Data!$A$9:$A$60,0),MATCH(Calculation!AS$13&amp;Calculation!$AP15&amp;Calculation!AS$14,INDEX(Data!$K$5:$AT$5&amp;Data!$K$6:$AT$6&amp;Data!$K$7:$AT$7,),0))</f>
        <v>953</v>
      </c>
      <c r="AT15" s="44"/>
      <c r="AU15" s="44"/>
      <c r="AV15" t="str">
        <f>LEFT(AP15,1)</f>
        <v>J</v>
      </c>
      <c r="AW15">
        <f>IF(MATCH(cur_month,$AP$15:$AP$26,0)&gt;=ROWS($AP$15:AP15),AQ15,NA())</f>
        <v>1005</v>
      </c>
      <c r="AX15" s="63">
        <f>IF($D$9,AR15,NA())</f>
        <v>1136</v>
      </c>
      <c r="AY15" s="63">
        <f>IF($D$10,AS15,NA())</f>
        <v>953</v>
      </c>
      <c r="AZ15" t="e">
        <f>IF(AP15=cur_month,AW15,NA())</f>
        <v>#N/A</v>
      </c>
    </row>
    <row r="16" spans="2:52">
      <c r="B16" t="s">
        <v>7</v>
      </c>
      <c r="C16" t="s">
        <v>36</v>
      </c>
      <c r="D16" t="s">
        <v>18</v>
      </c>
      <c r="G16" s="39" t="s">
        <v>22</v>
      </c>
      <c r="H16" s="31" t="s">
        <v>38</v>
      </c>
      <c r="I16" s="40" t="s">
        <v>51</v>
      </c>
      <c r="M16">
        <f t="shared" ref="M16:M34" si="11">IF(N16&lt;&gt;"",ROW(A2),"")</f>
        <v>2</v>
      </c>
      <c r="N16" t="str">
        <f t="shared" ref="N16:N34" si="12">IF(INDEX(G16:I16,$D$4)="","",INDEX(G16:I16,$D$4))</f>
        <v>Blend</v>
      </c>
      <c r="O16" s="63">
        <f>IF($N16&lt;&gt;"",INDEX(Data!$B$9:$J$60,MATCH($N16,Data!$A$9:$A$60,0),MATCH(O$8,Data!$B$4:$J$4,0)),"")</f>
        <v>17990</v>
      </c>
      <c r="P16" s="63">
        <f>IF($N16&lt;&gt;"",INDEX(Data!$B$9:$J$60,MATCH($N16,Data!$A$9:$A$60,0),MATCH(P$8,Data!$B$4:$J$4,0)),"")</f>
        <v>1166</v>
      </c>
      <c r="Q16" s="63">
        <f>IF($N16&lt;&gt;"",INDEX(Data!$B$9:$J$60,MATCH($N16,Data!$A$9:$A$60,0),MATCH(Q$8,Data!$B$4:$J$4,0)),"")</f>
        <v>7137</v>
      </c>
      <c r="R16" s="63">
        <f>IF($N16&lt;&gt;"",INDEX(Data!$B$9:$J$60,MATCH($N16,Data!$A$9:$A$60,0),MATCH(R$8,Data!$B$4:$J$4,0)),"")</f>
        <v>16395</v>
      </c>
      <c r="S16" s="63">
        <f>IF($N16&lt;&gt;"",INDEX(Data!$B$9:$J$60,MATCH($N16,Data!$A$9:$A$60,0),MATCH(S$8,Data!$B$4:$J$4,0)),"")</f>
        <v>1003</v>
      </c>
      <c r="T16" s="63">
        <f>IF($N16&lt;&gt;"",INDEX(Data!$B$9:$J$60,MATCH($N16,Data!$A$9:$A$60,0),MATCH(T$8,Data!$B$4:$J$4,0)),"")</f>
        <v>7423</v>
      </c>
      <c r="U16" s="63">
        <f>IF($N16&lt;&gt;"",INDEX(Data!$B$9:$J$60,MATCH($N16,Data!$A$9:$A$60,0),MATCH(U$8,Data!$B$4:$J$4,0)),"")</f>
        <v>18181</v>
      </c>
      <c r="V16" s="63">
        <f>IF($N16&lt;&gt;"",INDEX(Data!$B$9:$J$60,MATCH($N16,Data!$A$9:$A$60,0),MATCH(V$8,Data!$B$4:$J$4,0)),"")</f>
        <v>1223</v>
      </c>
      <c r="W16" s="63">
        <f>IF($N16&lt;&gt;"",INDEX(Data!$B$9:$J$60,MATCH($N16,Data!$A$9:$A$60,0),MATCH(W$8,Data!$B$4:$J$4,0)),"")</f>
        <v>8196</v>
      </c>
      <c r="X16" s="45">
        <f t="shared" si="4"/>
        <v>9.728575785300396E-2</v>
      </c>
      <c r="Y16" s="45">
        <f t="shared" si="5"/>
        <v>0.16251246261216351</v>
      </c>
      <c r="Z16" s="45">
        <f t="shared" si="6"/>
        <v>-3.8528896672504379E-2</v>
      </c>
      <c r="AA16" s="45">
        <f t="shared" ref="AA16:AA34" si="13">IF($N16&lt;&gt;"",(O16-U16)/U16,"")</f>
        <v>-1.0505472746273583E-2</v>
      </c>
      <c r="AB16" s="45">
        <f t="shared" ref="AB16:AB34" si="14">IF($N16&lt;&gt;"",(P16-V16)/V16,"")</f>
        <v>-4.6606704824202781E-2</v>
      </c>
      <c r="AC16" s="45">
        <f t="shared" ref="AC16:AC34" si="15">IF($N16&lt;&gt;"",(Q16-W16)/W16,"")</f>
        <v>-0.12920937042459738</v>
      </c>
      <c r="AF16" t="str">
        <f t="shared" ref="AF16:AF34" si="16">N16</f>
        <v>Blend</v>
      </c>
      <c r="AG16" s="52">
        <f t="shared" ref="AG16:AG34" si="17">IF(AF16="","",INDEX(AA16:AC16,$D$6)+(ROW()/10000000000)+N("the row function is used here to make sure we have unique values to sort"))</f>
        <v>-4.6606703224202781E-2</v>
      </c>
      <c r="AH16" s="44"/>
      <c r="AI16" t="str">
        <f t="shared" si="7"/>
        <v>Mirrrr</v>
      </c>
      <c r="AJ16" s="63">
        <f t="shared" si="8"/>
        <v>1996</v>
      </c>
      <c r="AK16" s="63">
        <f t="shared" si="9"/>
        <v>1584</v>
      </c>
      <c r="AL16" s="63">
        <f t="shared" si="10"/>
        <v>1996</v>
      </c>
      <c r="AM16" t="str">
        <f t="shared" ref="AM16:AM20" si="18">TEXT(INDEX($AA$15:$AC$34,MATCH(AI16,$N$15:$N$34,0),$D$6),"0%")&amp;" | "&amp;TEXT(AJ16,"#,##0")</f>
        <v>26% | 1,996</v>
      </c>
      <c r="AP16" t="s">
        <v>7</v>
      </c>
      <c r="AQ16" s="63">
        <f>INDEX(Data!$K$9:$AT$60,MATCH(Calculation!$AP$11,Data!$A$9:$A$60,0),MATCH(Calculation!AQ$13&amp;Calculation!$AP16&amp;Calculation!AQ$14,INDEX(Data!$K$5:$AT$5&amp;Data!$K$6:$AT$6&amp;Data!$K$7:$AT$7,),0))</f>
        <v>2218</v>
      </c>
      <c r="AR16" s="63">
        <f>INDEX(Data!$K$9:$AT$60,MATCH(Calculation!$AP$11,Data!$A$9:$A$60,0),MATCH(Calculation!AR$13&amp;Calculation!$AP16&amp;Calculation!AR$14,INDEX(Data!$K$5:$AT$5&amp;Data!$K$6:$AT$6&amp;Data!$K$7:$AT$7,),0))</f>
        <v>2193</v>
      </c>
      <c r="AS16" s="63">
        <f>INDEX(Data!$K$9:$AT$60,MATCH(Calculation!$AP$11,Data!$A$9:$A$60,0),MATCH(Calculation!AS$13&amp;Calculation!$AP16&amp;Calculation!AS$14,INDEX(Data!$K$5:$AT$5&amp;Data!$K$6:$AT$6&amp;Data!$K$7:$AT$7,),0))</f>
        <v>1990</v>
      </c>
      <c r="AT16" s="44"/>
      <c r="AU16" s="44"/>
      <c r="AV16" t="str">
        <f t="shared" ref="AV16:AV26" si="19">LEFT(AP16,1)</f>
        <v>F</v>
      </c>
      <c r="AW16">
        <f>IF(MATCH(cur_month,$AP$15:$AP$26,0)&gt;=ROWS($AP$15:AP16),AQ16,NA())</f>
        <v>2218</v>
      </c>
      <c r="AX16" s="63">
        <f t="shared" ref="AX16:AX26" si="20">IF($D$9,AR16,NA())</f>
        <v>2193</v>
      </c>
      <c r="AY16" s="63">
        <f t="shared" ref="AY16:AY26" si="21">IF($D$10,AS16,NA())</f>
        <v>1990</v>
      </c>
      <c r="AZ16" t="e">
        <f t="shared" ref="AZ16:AZ26" si="22">IF(AP16=cur_month,AW16,NA())</f>
        <v>#N/A</v>
      </c>
    </row>
    <row r="17" spans="2:52">
      <c r="B17" t="s">
        <v>8</v>
      </c>
      <c r="C17" t="s">
        <v>49</v>
      </c>
      <c r="D17" t="s">
        <v>19</v>
      </c>
      <c r="G17" s="39" t="s">
        <v>23</v>
      </c>
      <c r="H17" s="31" t="s">
        <v>39</v>
      </c>
      <c r="I17" s="40" t="s">
        <v>52</v>
      </c>
      <c r="M17">
        <f t="shared" si="11"/>
        <v>3</v>
      </c>
      <c r="N17" t="str">
        <f t="shared" si="12"/>
        <v>Voltage</v>
      </c>
      <c r="O17" s="63">
        <f>IF($N17&lt;&gt;"",INDEX(Data!$B$9:$J$60,MATCH($N17,Data!$A$9:$A$60,0),MATCH(O$8,Data!$B$4:$J$4,0)),"")</f>
        <v>15117</v>
      </c>
      <c r="P17" s="63">
        <f>IF($N17&lt;&gt;"",INDEX(Data!$B$9:$J$60,MATCH($N17,Data!$A$9:$A$60,0),MATCH(P$8,Data!$B$4:$J$4,0)),"")</f>
        <v>1613</v>
      </c>
      <c r="Q17" s="63">
        <f>IF($N17&lt;&gt;"",INDEX(Data!$B$9:$J$60,MATCH($N17,Data!$A$9:$A$60,0),MATCH(Q$8,Data!$B$4:$J$4,0)),"")</f>
        <v>5828</v>
      </c>
      <c r="R17" s="63">
        <f>IF($N17&lt;&gt;"",INDEX(Data!$B$9:$J$60,MATCH($N17,Data!$A$9:$A$60,0),MATCH(R$8,Data!$B$4:$J$4,0)),"")</f>
        <v>14138</v>
      </c>
      <c r="S17" s="63">
        <f>IF($N17&lt;&gt;"",INDEX(Data!$B$9:$J$60,MATCH($N17,Data!$A$9:$A$60,0),MATCH(S$8,Data!$B$4:$J$4,0)),"")</f>
        <v>1200</v>
      </c>
      <c r="T17" s="63">
        <f>IF($N17&lt;&gt;"",INDEX(Data!$B$9:$J$60,MATCH($N17,Data!$A$9:$A$60,0),MATCH(T$8,Data!$B$4:$J$4,0)),"")</f>
        <v>6212</v>
      </c>
      <c r="U17" s="63">
        <f>IF($N17&lt;&gt;"",INDEX(Data!$B$9:$J$60,MATCH($N17,Data!$A$9:$A$60,0),MATCH(U$8,Data!$B$4:$J$4,0)),"")</f>
        <v>13455</v>
      </c>
      <c r="V17" s="63">
        <f>IF($N17&lt;&gt;"",INDEX(Data!$B$9:$J$60,MATCH($N17,Data!$A$9:$A$60,0),MATCH(V$8,Data!$B$4:$J$4,0)),"")</f>
        <v>1400</v>
      </c>
      <c r="W17" s="63">
        <f>IF($N17&lt;&gt;"",INDEX(Data!$B$9:$J$60,MATCH($N17,Data!$A$9:$A$60,0),MATCH(W$8,Data!$B$4:$J$4,0)),"")</f>
        <v>5810</v>
      </c>
      <c r="X17" s="45">
        <f t="shared" si="4"/>
        <v>6.924600367803084E-2</v>
      </c>
      <c r="Y17" s="45">
        <f t="shared" si="5"/>
        <v>0.34416666666666668</v>
      </c>
      <c r="Z17" s="45">
        <f t="shared" si="6"/>
        <v>-6.1815840309079204E-2</v>
      </c>
      <c r="AA17" s="45">
        <f t="shared" si="13"/>
        <v>0.12352285395763657</v>
      </c>
      <c r="AB17" s="45">
        <f t="shared" si="14"/>
        <v>0.15214285714285714</v>
      </c>
      <c r="AC17" s="45">
        <f t="shared" si="15"/>
        <v>3.098106712564544E-3</v>
      </c>
      <c r="AF17" t="str">
        <f t="shared" si="16"/>
        <v>Voltage</v>
      </c>
      <c r="AG17" s="52">
        <f t="shared" si="17"/>
        <v>0.15214285884285714</v>
      </c>
      <c r="AH17" s="44"/>
      <c r="AI17" t="str">
        <f t="shared" si="7"/>
        <v>Halotot</v>
      </c>
      <c r="AJ17" s="63">
        <f t="shared" si="8"/>
        <v>150</v>
      </c>
      <c r="AK17" s="63">
        <f t="shared" si="9"/>
        <v>120</v>
      </c>
      <c r="AL17" s="63">
        <f t="shared" si="10"/>
        <v>150</v>
      </c>
      <c r="AM17" t="str">
        <f t="shared" si="18"/>
        <v>25% | 150</v>
      </c>
      <c r="AP17" t="s">
        <v>8</v>
      </c>
      <c r="AQ17" s="63">
        <f>INDEX(Data!$K$9:$AT$60,MATCH(Calculation!$AP$11,Data!$A$9:$A$60,0),MATCH(Calculation!AQ$13&amp;Calculation!$AP17&amp;Calculation!AQ$14,INDEX(Data!$K$5:$AT$5&amp;Data!$K$6:$AT$6&amp;Data!$K$7:$AT$7,),0))</f>
        <v>3685</v>
      </c>
      <c r="AR17" s="63">
        <f>INDEX(Data!$K$9:$AT$60,MATCH(Calculation!$AP$11,Data!$A$9:$A$60,0),MATCH(Calculation!AR$13&amp;Calculation!$AP17&amp;Calculation!AR$14,INDEX(Data!$K$5:$AT$5&amp;Data!$K$6:$AT$6&amp;Data!$K$7:$AT$7,),0))</f>
        <v>3803</v>
      </c>
      <c r="AS17" s="63">
        <f>INDEX(Data!$K$9:$AT$60,MATCH(Calculation!$AP$11,Data!$A$9:$A$60,0),MATCH(Calculation!AS$13&amp;Calculation!$AP17&amp;Calculation!AS$14,INDEX(Data!$K$5:$AT$5&amp;Data!$K$6:$AT$6&amp;Data!$K$7:$AT$7,),0))</f>
        <v>3619</v>
      </c>
      <c r="AT17" s="44"/>
      <c r="AU17" s="44"/>
      <c r="AV17" t="str">
        <f t="shared" si="19"/>
        <v>M</v>
      </c>
      <c r="AW17">
        <f>IF(MATCH(cur_month,$AP$15:$AP$26,0)&gt;=ROWS($AP$15:AP17),AQ17,NA())</f>
        <v>3685</v>
      </c>
      <c r="AX17" s="63">
        <f t="shared" si="20"/>
        <v>3803</v>
      </c>
      <c r="AY17" s="63">
        <f t="shared" si="21"/>
        <v>3619</v>
      </c>
      <c r="AZ17" t="e">
        <f t="shared" si="22"/>
        <v>#N/A</v>
      </c>
    </row>
    <row r="18" spans="2:52">
      <c r="B18" t="s">
        <v>9</v>
      </c>
      <c r="G18" s="39" t="s">
        <v>24</v>
      </c>
      <c r="H18" s="31" t="s">
        <v>40</v>
      </c>
      <c r="I18" s="40" t="s">
        <v>53</v>
      </c>
      <c r="M18">
        <f t="shared" si="11"/>
        <v>4</v>
      </c>
      <c r="N18" t="str">
        <f t="shared" si="12"/>
        <v>Inkly</v>
      </c>
      <c r="O18" s="63">
        <f>IF($N18&lt;&gt;"",INDEX(Data!$B$9:$J$60,MATCH($N18,Data!$A$9:$A$60,0),MATCH(O$8,Data!$B$4:$J$4,0)),"")</f>
        <v>11154</v>
      </c>
      <c r="P18" s="63">
        <f>IF($N18&lt;&gt;"",INDEX(Data!$B$9:$J$60,MATCH($N18,Data!$A$9:$A$60,0),MATCH(P$8,Data!$B$4:$J$4,0)),"")</f>
        <v>731</v>
      </c>
      <c r="Q18" s="63">
        <f>IF($N18&lt;&gt;"",INDEX(Data!$B$9:$J$60,MATCH($N18,Data!$A$9:$A$60,0),MATCH(Q$8,Data!$B$4:$J$4,0)),"")</f>
        <v>8008</v>
      </c>
      <c r="R18" s="63">
        <f>IF($N18&lt;&gt;"",INDEX(Data!$B$9:$J$60,MATCH($N18,Data!$A$9:$A$60,0),MATCH(R$8,Data!$B$4:$J$4,0)),"")</f>
        <v>11502</v>
      </c>
      <c r="S18" s="63">
        <f>IF($N18&lt;&gt;"",INDEX(Data!$B$9:$J$60,MATCH($N18,Data!$A$9:$A$60,0),MATCH(S$8,Data!$B$4:$J$4,0)),"")</f>
        <v>499</v>
      </c>
      <c r="T18" s="63">
        <f>IF($N18&lt;&gt;"",INDEX(Data!$B$9:$J$60,MATCH($N18,Data!$A$9:$A$60,0),MATCH(T$8,Data!$B$4:$J$4,0)),"")</f>
        <v>8953</v>
      </c>
      <c r="U18" s="63">
        <f>IF($N18&lt;&gt;"",INDEX(Data!$B$9:$J$60,MATCH($N18,Data!$A$9:$A$60,0),MATCH(U$8,Data!$B$4:$J$4,0)),"")</f>
        <v>12031</v>
      </c>
      <c r="V18" s="63">
        <f>IF($N18&lt;&gt;"",INDEX(Data!$B$9:$J$60,MATCH($N18,Data!$A$9:$A$60,0),MATCH(V$8,Data!$B$4:$J$4,0)),"")</f>
        <v>641</v>
      </c>
      <c r="W18" s="63">
        <f>IF($N18&lt;&gt;"",INDEX(Data!$B$9:$J$60,MATCH($N18,Data!$A$9:$A$60,0),MATCH(W$8,Data!$B$4:$J$4,0)),"")</f>
        <v>8424</v>
      </c>
      <c r="X18" s="45">
        <f t="shared" si="4"/>
        <v>-3.0255607720396451E-2</v>
      </c>
      <c r="Y18" s="45">
        <f t="shared" si="5"/>
        <v>0.4649298597194389</v>
      </c>
      <c r="Z18" s="45">
        <f t="shared" si="6"/>
        <v>-0.1055512118842846</v>
      </c>
      <c r="AA18" s="45">
        <f t="shared" si="13"/>
        <v>-7.2895021195245616E-2</v>
      </c>
      <c r="AB18" s="45">
        <f t="shared" si="14"/>
        <v>0.14040561622464898</v>
      </c>
      <c r="AC18" s="45">
        <f t="shared" si="15"/>
        <v>-4.9382716049382713E-2</v>
      </c>
      <c r="AF18" t="str">
        <f t="shared" si="16"/>
        <v>Inkly</v>
      </c>
      <c r="AG18" s="52">
        <f t="shared" si="17"/>
        <v>0.14040561802464899</v>
      </c>
      <c r="AH18" s="44"/>
      <c r="AI18" t="str">
        <f t="shared" si="7"/>
        <v>Flowrrr</v>
      </c>
      <c r="AJ18" s="63">
        <f t="shared" si="8"/>
        <v>260</v>
      </c>
      <c r="AK18" s="63">
        <f t="shared" si="9"/>
        <v>210</v>
      </c>
      <c r="AL18" s="63">
        <f t="shared" si="10"/>
        <v>260</v>
      </c>
      <c r="AM18" t="str">
        <f t="shared" si="18"/>
        <v>24% | 260</v>
      </c>
      <c r="AP18" t="s">
        <v>9</v>
      </c>
      <c r="AQ18" s="63">
        <f>INDEX(Data!$K$9:$AT$60,MATCH(Calculation!$AP$11,Data!$A$9:$A$60,0),MATCH(Calculation!AQ$13&amp;Calculation!$AP18&amp;Calculation!AQ$14,INDEX(Data!$K$5:$AT$5&amp;Data!$K$6:$AT$6&amp;Data!$K$7:$AT$7,),0))</f>
        <v>5304</v>
      </c>
      <c r="AR18" s="63">
        <f>INDEX(Data!$K$9:$AT$60,MATCH(Calculation!$AP$11,Data!$A$9:$A$60,0),MATCH(Calculation!AR$13&amp;Calculation!$AP18&amp;Calculation!AR$14,INDEX(Data!$K$5:$AT$5&amp;Data!$K$6:$AT$6&amp;Data!$K$7:$AT$7,),0))</f>
        <v>5307</v>
      </c>
      <c r="AS18" s="63">
        <f>INDEX(Data!$K$9:$AT$60,MATCH(Calculation!$AP$11,Data!$A$9:$A$60,0),MATCH(Calculation!AS$13&amp;Calculation!$AP18&amp;Calculation!AS$14,INDEX(Data!$K$5:$AT$5&amp;Data!$K$6:$AT$6&amp;Data!$K$7:$AT$7,),0))</f>
        <v>5170</v>
      </c>
      <c r="AT18" s="44"/>
      <c r="AU18" s="44"/>
      <c r="AV18" t="str">
        <f t="shared" si="19"/>
        <v>A</v>
      </c>
      <c r="AW18">
        <f>IF(MATCH(cur_month,$AP$15:$AP$26,0)&gt;=ROWS($AP$15:AP18),AQ18,NA())</f>
        <v>5304</v>
      </c>
      <c r="AX18" s="63">
        <f t="shared" si="20"/>
        <v>5307</v>
      </c>
      <c r="AY18" s="63">
        <f t="shared" si="21"/>
        <v>5170</v>
      </c>
      <c r="AZ18" t="e">
        <f t="shared" si="22"/>
        <v>#N/A</v>
      </c>
    </row>
    <row r="19" spans="2:52">
      <c r="B19" t="s">
        <v>10</v>
      </c>
      <c r="G19" s="39" t="s">
        <v>25</v>
      </c>
      <c r="H19" s="31" t="s">
        <v>41</v>
      </c>
      <c r="I19" s="40" t="s">
        <v>54</v>
      </c>
      <c r="M19">
        <f t="shared" si="11"/>
        <v>5</v>
      </c>
      <c r="N19" t="str">
        <f t="shared" si="12"/>
        <v>Sleops</v>
      </c>
      <c r="O19" s="63">
        <f>IF($N19&lt;&gt;"",INDEX(Data!$B$9:$J$60,MATCH($N19,Data!$A$9:$A$60,0),MATCH(O$8,Data!$B$4:$J$4,0)),"")</f>
        <v>11022</v>
      </c>
      <c r="P19" s="63">
        <f>IF($N19&lt;&gt;"",INDEX(Data!$B$9:$J$60,MATCH($N19,Data!$A$9:$A$60,0),MATCH(P$8,Data!$B$4:$J$4,0)),"")</f>
        <v>550</v>
      </c>
      <c r="Q19" s="63">
        <f>IF($N19&lt;&gt;"",INDEX(Data!$B$9:$J$60,MATCH($N19,Data!$A$9:$A$60,0),MATCH(Q$8,Data!$B$4:$J$4,0)),"")</f>
        <v>9000</v>
      </c>
      <c r="R19" s="63">
        <f>IF($N19&lt;&gt;"",INDEX(Data!$B$9:$J$60,MATCH($N19,Data!$A$9:$A$60,0),MATCH(R$8,Data!$B$4:$J$4,0)),"")</f>
        <v>14644</v>
      </c>
      <c r="S19" s="63">
        <f>IF($N19&lt;&gt;"",INDEX(Data!$B$9:$J$60,MATCH($N19,Data!$A$9:$A$60,0),MATCH(S$8,Data!$B$4:$J$4,0)),"")</f>
        <v>780</v>
      </c>
      <c r="T19" s="63">
        <f>IF($N19&lt;&gt;"",INDEX(Data!$B$9:$J$60,MATCH($N19,Data!$A$9:$A$60,0),MATCH(T$8,Data!$B$4:$J$4,0)),"")</f>
        <v>8670</v>
      </c>
      <c r="U19" s="63">
        <f>IF($N19&lt;&gt;"",INDEX(Data!$B$9:$J$60,MATCH($N19,Data!$A$9:$A$60,0),MATCH(U$8,Data!$B$4:$J$4,0)),"")</f>
        <v>13112</v>
      </c>
      <c r="V19" s="63">
        <f>IF($N19&lt;&gt;"",INDEX(Data!$B$9:$J$60,MATCH($N19,Data!$A$9:$A$60,0),MATCH(V$8,Data!$B$4:$J$4,0)),"")</f>
        <v>474</v>
      </c>
      <c r="W19" s="63">
        <f>IF($N19&lt;&gt;"",INDEX(Data!$B$9:$J$60,MATCH($N19,Data!$A$9:$A$60,0),MATCH(W$8,Data!$B$4:$J$4,0)),"")</f>
        <v>8193</v>
      </c>
      <c r="X19" s="45">
        <f t="shared" si="4"/>
        <v>-0.24733679322589455</v>
      </c>
      <c r="Y19" s="45">
        <f t="shared" si="5"/>
        <v>-0.29487179487179488</v>
      </c>
      <c r="Z19" s="45">
        <f t="shared" si="6"/>
        <v>3.8062283737024222E-2</v>
      </c>
      <c r="AA19" s="45">
        <f t="shared" si="13"/>
        <v>-0.15939597315436241</v>
      </c>
      <c r="AB19" s="45">
        <f t="shared" si="14"/>
        <v>0.16033755274261605</v>
      </c>
      <c r="AC19" s="45">
        <f t="shared" si="15"/>
        <v>9.8498718418161851E-2</v>
      </c>
      <c r="AF19" t="str">
        <f t="shared" si="16"/>
        <v>Sleops</v>
      </c>
      <c r="AG19" s="52">
        <f t="shared" si="17"/>
        <v>0.16033755464261604</v>
      </c>
      <c r="AH19" s="44"/>
      <c r="AI19" t="str">
        <f t="shared" si="7"/>
        <v>Silvrr</v>
      </c>
      <c r="AJ19" s="63">
        <f t="shared" si="8"/>
        <v>274</v>
      </c>
      <c r="AK19" s="63">
        <f t="shared" si="9"/>
        <v>230</v>
      </c>
      <c r="AL19" s="63">
        <f t="shared" si="10"/>
        <v>274</v>
      </c>
      <c r="AM19" t="str">
        <f t="shared" si="18"/>
        <v>19% | 274</v>
      </c>
      <c r="AP19" t="s">
        <v>10</v>
      </c>
      <c r="AQ19" s="63">
        <f>INDEX(Data!$K$9:$AT$60,MATCH(Calculation!$AP$11,Data!$A$9:$A$60,0),MATCH(Calculation!AQ$13&amp;Calculation!$AP19&amp;Calculation!AQ$14,INDEX(Data!$K$5:$AT$5&amp;Data!$K$6:$AT$6&amp;Data!$K$7:$AT$7,),0))</f>
        <v>7477</v>
      </c>
      <c r="AR19" s="63">
        <f>INDEX(Data!$K$9:$AT$60,MATCH(Calculation!$AP$11,Data!$A$9:$A$60,0),MATCH(Calculation!AR$13&amp;Calculation!$AP19&amp;Calculation!AR$14,INDEX(Data!$K$5:$AT$5&amp;Data!$K$6:$AT$6&amp;Data!$K$7:$AT$7,),0))</f>
        <v>6687</v>
      </c>
      <c r="AS19" s="63">
        <f>INDEX(Data!$K$9:$AT$60,MATCH(Calculation!$AP$11,Data!$A$9:$A$60,0),MATCH(Calculation!AS$13&amp;Calculation!$AP19&amp;Calculation!AS$14,INDEX(Data!$K$5:$AT$5&amp;Data!$K$6:$AT$6&amp;Data!$K$7:$AT$7,),0))</f>
        <v>6762</v>
      </c>
      <c r="AT19" s="44"/>
      <c r="AU19" s="44"/>
      <c r="AV19" t="str">
        <f t="shared" si="19"/>
        <v>M</v>
      </c>
      <c r="AW19">
        <f>IF(MATCH(cur_month,$AP$15:$AP$26,0)&gt;=ROWS($AP$15:AP19),AQ19,NA())</f>
        <v>7477</v>
      </c>
      <c r="AX19" s="63">
        <f t="shared" si="20"/>
        <v>6687</v>
      </c>
      <c r="AY19" s="63">
        <f t="shared" si="21"/>
        <v>6762</v>
      </c>
      <c r="AZ19" t="e">
        <f t="shared" si="22"/>
        <v>#N/A</v>
      </c>
    </row>
    <row r="20" spans="2:52">
      <c r="B20" t="s">
        <v>5</v>
      </c>
      <c r="G20" s="39" t="s">
        <v>26</v>
      </c>
      <c r="H20" s="31" t="s">
        <v>42</v>
      </c>
      <c r="I20" s="40" t="s">
        <v>55</v>
      </c>
      <c r="M20">
        <f t="shared" si="11"/>
        <v>6</v>
      </c>
      <c r="N20" t="str">
        <f t="shared" si="12"/>
        <v>Kind Ape</v>
      </c>
      <c r="O20" s="63">
        <f>IF($N20&lt;&gt;"",INDEX(Data!$B$9:$J$60,MATCH($N20,Data!$A$9:$A$60,0),MATCH(O$8,Data!$B$4:$J$4,0)),"")</f>
        <v>8905</v>
      </c>
      <c r="P20" s="63">
        <f>IF($N20&lt;&gt;"",INDEX(Data!$B$9:$J$60,MATCH($N20,Data!$A$9:$A$60,0),MATCH(P$8,Data!$B$4:$J$4,0)),"")</f>
        <v>469</v>
      </c>
      <c r="Q20" s="63">
        <f>IF($N20&lt;&gt;"",INDEX(Data!$B$9:$J$60,MATCH($N20,Data!$A$9:$A$60,0),MATCH(Q$8,Data!$B$4:$J$4,0)),"")</f>
        <v>6026</v>
      </c>
      <c r="R20" s="63">
        <f>IF($N20&lt;&gt;"",INDEX(Data!$B$9:$J$60,MATCH($N20,Data!$A$9:$A$60,0),MATCH(R$8,Data!$B$4:$J$4,0)),"")</f>
        <v>8796</v>
      </c>
      <c r="S20" s="63">
        <f>IF($N20&lt;&gt;"",INDEX(Data!$B$9:$J$60,MATCH($N20,Data!$A$9:$A$60,0),MATCH(S$8,Data!$B$4:$J$4,0)),"")</f>
        <v>316</v>
      </c>
      <c r="T20" s="63">
        <f>IF($N20&lt;&gt;"",INDEX(Data!$B$9:$J$60,MATCH($N20,Data!$A$9:$A$60,0),MATCH(T$8,Data!$B$4:$J$4,0)),"")</f>
        <v>6251</v>
      </c>
      <c r="U20" s="63">
        <f>IF($N20&lt;&gt;"",INDEX(Data!$B$9:$J$60,MATCH($N20,Data!$A$9:$A$60,0),MATCH(U$8,Data!$B$4:$J$4,0)),"")</f>
        <v>9096</v>
      </c>
      <c r="V20" s="63">
        <f>IF($N20&lt;&gt;"",INDEX(Data!$B$9:$J$60,MATCH($N20,Data!$A$9:$A$60,0),MATCH(V$8,Data!$B$4:$J$4,0)),"")</f>
        <v>620</v>
      </c>
      <c r="W20" s="63">
        <f>IF($N20&lt;&gt;"",INDEX(Data!$B$9:$J$60,MATCH($N20,Data!$A$9:$A$60,0),MATCH(W$8,Data!$B$4:$J$4,0)),"")</f>
        <v>5804</v>
      </c>
      <c r="X20" s="45">
        <f t="shared" si="4"/>
        <v>1.2391996361982719E-2</v>
      </c>
      <c r="Y20" s="45">
        <f t="shared" si="5"/>
        <v>0.48417721518987344</v>
      </c>
      <c r="Z20" s="45">
        <f t="shared" si="6"/>
        <v>-3.5994240921452571E-2</v>
      </c>
      <c r="AA20" s="66">
        <f t="shared" si="13"/>
        <v>-2.0998240985048374E-2</v>
      </c>
      <c r="AB20" s="45">
        <f t="shared" si="14"/>
        <v>-0.2435483870967742</v>
      </c>
      <c r="AC20" s="45">
        <f t="shared" si="15"/>
        <v>3.824948311509304E-2</v>
      </c>
      <c r="AF20" t="str">
        <f t="shared" si="16"/>
        <v>Kind Ape</v>
      </c>
      <c r="AG20" s="52">
        <f t="shared" si="17"/>
        <v>-0.24354838509677421</v>
      </c>
      <c r="AH20" s="44"/>
      <c r="AI20" t="str">
        <f t="shared" si="7"/>
        <v>Sleops</v>
      </c>
      <c r="AJ20" s="63">
        <f t="shared" si="8"/>
        <v>550</v>
      </c>
      <c r="AK20" s="63">
        <f t="shared" si="9"/>
        <v>474</v>
      </c>
      <c r="AL20" s="63">
        <f t="shared" si="10"/>
        <v>550</v>
      </c>
      <c r="AM20" t="str">
        <f t="shared" si="18"/>
        <v>16% | 550</v>
      </c>
      <c r="AP20" t="s">
        <v>5</v>
      </c>
      <c r="AQ20" s="63">
        <f>INDEX(Data!$K$9:$AT$60,MATCH(Calculation!$AP$11,Data!$A$9:$A$60,0),MATCH(Calculation!AQ$13&amp;Calculation!$AP20&amp;Calculation!AQ$14,INDEX(Data!$K$5:$AT$5&amp;Data!$K$6:$AT$6&amp;Data!$K$7:$AT$7,),0))</f>
        <v>9359</v>
      </c>
      <c r="AR20" s="63">
        <f>INDEX(Data!$K$9:$AT$60,MATCH(Calculation!$AP$11,Data!$A$9:$A$60,0),MATCH(Calculation!AR$13&amp;Calculation!$AP20&amp;Calculation!AR$14,INDEX(Data!$K$5:$AT$5&amp;Data!$K$6:$AT$6&amp;Data!$K$7:$AT$7,),0))</f>
        <v>8231</v>
      </c>
      <c r="AS20" s="63">
        <f>INDEX(Data!$K$9:$AT$60,MATCH(Calculation!$AP$11,Data!$A$9:$A$60,0),MATCH(Calculation!AS$13&amp;Calculation!$AP20&amp;Calculation!AS$14,INDEX(Data!$K$5:$AT$5&amp;Data!$K$6:$AT$6&amp;Data!$K$7:$AT$7,),0))</f>
        <v>8451</v>
      </c>
      <c r="AT20" s="44"/>
      <c r="AU20" s="44"/>
      <c r="AV20" t="str">
        <f t="shared" si="19"/>
        <v>J</v>
      </c>
      <c r="AW20">
        <f>IF(MATCH(cur_month,$AP$15:$AP$26,0)&gt;=ROWS($AP$15:AP20),AQ20,NA())</f>
        <v>9359</v>
      </c>
      <c r="AX20" s="63">
        <f t="shared" si="20"/>
        <v>8231</v>
      </c>
      <c r="AY20" s="63">
        <f t="shared" si="21"/>
        <v>8451</v>
      </c>
      <c r="AZ20">
        <f t="shared" si="22"/>
        <v>9359</v>
      </c>
    </row>
    <row r="21" spans="2:52">
      <c r="B21" t="s">
        <v>11</v>
      </c>
      <c r="G21" s="39" t="s">
        <v>27</v>
      </c>
      <c r="H21" s="31" t="s">
        <v>43</v>
      </c>
      <c r="I21" s="40" t="s">
        <v>56</v>
      </c>
      <c r="M21">
        <f t="shared" si="11"/>
        <v>7</v>
      </c>
      <c r="N21" t="str">
        <f t="shared" si="12"/>
        <v>Pet Feed</v>
      </c>
      <c r="O21" s="63">
        <f>IF($N21&lt;&gt;"",INDEX(Data!$B$9:$J$60,MATCH($N21,Data!$A$9:$A$60,0),MATCH(O$8,Data!$B$4:$J$4,0)),"")</f>
        <v>16735</v>
      </c>
      <c r="P21" s="63">
        <f>IF($N21&lt;&gt;"",INDEX(Data!$B$9:$J$60,MATCH($N21,Data!$A$9:$A$60,0),MATCH(P$8,Data!$B$4:$J$4,0)),"")</f>
        <v>800</v>
      </c>
      <c r="Q21" s="63">
        <f>IF($N21&lt;&gt;"",INDEX(Data!$B$9:$J$60,MATCH($N21,Data!$A$9:$A$60,0),MATCH(Q$8,Data!$B$4:$J$4,0)),"")</f>
        <v>10149</v>
      </c>
      <c r="R21" s="63">
        <f>IF($N21&lt;&gt;"",INDEX(Data!$B$9:$J$60,MATCH($N21,Data!$A$9:$A$60,0),MATCH(R$8,Data!$B$4:$J$4,0)),"")</f>
        <v>17503</v>
      </c>
      <c r="S21" s="63">
        <f>IF($N21&lt;&gt;"",INDEX(Data!$B$9:$J$60,MATCH($N21,Data!$A$9:$A$60,0),MATCH(S$8,Data!$B$4:$J$4,0)),"")</f>
        <v>1083</v>
      </c>
      <c r="T21" s="63">
        <f>IF($N21&lt;&gt;"",INDEX(Data!$B$9:$J$60,MATCH($N21,Data!$A$9:$A$60,0),MATCH(T$8,Data!$B$4:$J$4,0)),"")</f>
        <v>10507</v>
      </c>
      <c r="U21" s="63">
        <f>IF($N21&lt;&gt;"",INDEX(Data!$B$9:$J$60,MATCH($N21,Data!$A$9:$A$60,0),MATCH(U$8,Data!$B$4:$J$4,0)),"")</f>
        <v>18207</v>
      </c>
      <c r="V21" s="63">
        <f>IF($N21&lt;&gt;"",INDEX(Data!$B$9:$J$60,MATCH($N21,Data!$A$9:$A$60,0),MATCH(V$8,Data!$B$4:$J$4,0)),"")</f>
        <v>1176</v>
      </c>
      <c r="W21" s="63">
        <f>IF($N21&lt;&gt;"",INDEX(Data!$B$9:$J$60,MATCH($N21,Data!$A$9:$A$60,0),MATCH(W$8,Data!$B$4:$J$4,0)),"")</f>
        <v>10508</v>
      </c>
      <c r="X21" s="45">
        <f t="shared" si="4"/>
        <v>-4.3878192309889735E-2</v>
      </c>
      <c r="Y21" s="45">
        <f t="shared" si="5"/>
        <v>-0.26131117266851339</v>
      </c>
      <c r="Z21" s="45">
        <f t="shared" si="6"/>
        <v>-3.4072523079851529E-2</v>
      </c>
      <c r="AA21" s="45">
        <f t="shared" si="13"/>
        <v>-8.0848025484703684E-2</v>
      </c>
      <c r="AB21" s="45">
        <f t="shared" si="14"/>
        <v>-0.31972789115646261</v>
      </c>
      <c r="AC21" s="45">
        <f t="shared" si="15"/>
        <v>-3.4164446136277123E-2</v>
      </c>
      <c r="AF21" t="str">
        <f t="shared" si="16"/>
        <v>Pet Feed</v>
      </c>
      <c r="AG21" s="52">
        <f t="shared" si="17"/>
        <v>-0.3197278890564626</v>
      </c>
      <c r="AH21" s="44"/>
      <c r="AP21" t="s">
        <v>11</v>
      </c>
      <c r="AQ21" s="63">
        <f>INDEX(Data!$K$9:$AT$60,MATCH(Calculation!$AP$11,Data!$A$9:$A$60,0),MATCH(Calculation!AQ$13&amp;Calculation!$AP21&amp;Calculation!AQ$14,INDEX(Data!$K$5:$AT$5&amp;Data!$K$6:$AT$6&amp;Data!$K$7:$AT$7,),0))</f>
        <v>0</v>
      </c>
      <c r="AR21" s="63">
        <f>INDEX(Data!$K$9:$AT$60,MATCH(Calculation!$AP$11,Data!$A$9:$A$60,0),MATCH(Calculation!AR$13&amp;Calculation!$AP21&amp;Calculation!AR$14,INDEX(Data!$K$5:$AT$5&amp;Data!$K$6:$AT$6&amp;Data!$K$7:$AT$7,),0))</f>
        <v>9662</v>
      </c>
      <c r="AS21" s="63">
        <f>INDEX(Data!$K$9:$AT$60,MATCH(Calculation!$AP$11,Data!$A$9:$A$60,0),MATCH(Calculation!AS$13&amp;Calculation!$AP21&amp;Calculation!AS$14,INDEX(Data!$K$5:$AT$5&amp;Data!$K$6:$AT$6&amp;Data!$K$7:$AT$7,),0))</f>
        <v>10075</v>
      </c>
      <c r="AT21" s="44"/>
      <c r="AU21" s="44"/>
      <c r="AV21" t="str">
        <f t="shared" si="19"/>
        <v>J</v>
      </c>
      <c r="AW21" t="e">
        <f>IF(MATCH(cur_month,$AP$15:$AP$26,0)&gt;=ROWS($AP$15:AP21),AQ21,NA())</f>
        <v>#N/A</v>
      </c>
      <c r="AX21" s="63">
        <f t="shared" si="20"/>
        <v>9662</v>
      </c>
      <c r="AY21" s="63">
        <f t="shared" si="21"/>
        <v>10075</v>
      </c>
      <c r="AZ21" t="e">
        <f t="shared" si="22"/>
        <v>#N/A</v>
      </c>
    </row>
    <row r="22" spans="2:52">
      <c r="B22" t="s">
        <v>12</v>
      </c>
      <c r="G22" s="39" t="s">
        <v>28</v>
      </c>
      <c r="H22" s="31" t="s">
        <v>44</v>
      </c>
      <c r="I22" s="40" t="s">
        <v>57</v>
      </c>
      <c r="M22">
        <f t="shared" si="11"/>
        <v>8</v>
      </c>
      <c r="N22" t="str">
        <f t="shared" si="12"/>
        <v>Right App</v>
      </c>
      <c r="O22" s="63">
        <f>IF($N22&lt;&gt;"",INDEX(Data!$B$9:$J$60,MATCH($N22,Data!$A$9:$A$60,0),MATCH(O$8,Data!$B$4:$J$4,0)),"")</f>
        <v>3635</v>
      </c>
      <c r="P22" s="63">
        <f>IF($N22&lt;&gt;"",INDEX(Data!$B$9:$J$60,MATCH($N22,Data!$A$9:$A$60,0),MATCH(P$8,Data!$B$4:$J$4,0)),"")</f>
        <v>96</v>
      </c>
      <c r="Q22" s="63">
        <f>IF($N22&lt;&gt;"",INDEX(Data!$B$9:$J$60,MATCH($N22,Data!$A$9:$A$60,0),MATCH(Q$8,Data!$B$4:$J$4,0)),"")</f>
        <v>2050</v>
      </c>
      <c r="R22" s="63">
        <f>IF($N22&lt;&gt;"",INDEX(Data!$B$9:$J$60,MATCH($N22,Data!$A$9:$A$60,0),MATCH(R$8,Data!$B$4:$J$4,0)),"")</f>
        <v>2337</v>
      </c>
      <c r="S22" s="63">
        <f>IF($N22&lt;&gt;"",INDEX(Data!$B$9:$J$60,MATCH($N22,Data!$A$9:$A$60,0),MATCH(S$8,Data!$B$4:$J$4,0)),"")</f>
        <v>90</v>
      </c>
      <c r="T22" s="63">
        <f>IF($N22&lt;&gt;"",INDEX(Data!$B$9:$J$60,MATCH($N22,Data!$A$9:$A$60,0),MATCH(T$8,Data!$B$4:$J$4,0)),"")</f>
        <v>1585</v>
      </c>
      <c r="U22" s="63">
        <f>IF($N22&lt;&gt;"",INDEX(Data!$B$9:$J$60,MATCH($N22,Data!$A$9:$A$60,0),MATCH(U$8,Data!$B$4:$J$4,0)),"")</f>
        <v>3579</v>
      </c>
      <c r="V22" s="63">
        <f>IF($N22&lt;&gt;"",INDEX(Data!$B$9:$J$60,MATCH($N22,Data!$A$9:$A$60,0),MATCH(V$8,Data!$B$4:$J$4,0)),"")</f>
        <v>184</v>
      </c>
      <c r="W22" s="63">
        <f>IF($N22&lt;&gt;"",INDEX(Data!$B$9:$J$60,MATCH($N22,Data!$A$9:$A$60,0),MATCH(W$8,Data!$B$4:$J$4,0)),"")</f>
        <v>1396</v>
      </c>
      <c r="X22" s="45">
        <f t="shared" si="4"/>
        <v>0.55541292255027819</v>
      </c>
      <c r="Y22" s="45">
        <f t="shared" si="5"/>
        <v>6.6666666666666666E-2</v>
      </c>
      <c r="Z22" s="45">
        <f t="shared" si="6"/>
        <v>0.29337539432176657</v>
      </c>
      <c r="AA22" s="45">
        <f t="shared" si="13"/>
        <v>1.5646828723107013E-2</v>
      </c>
      <c r="AB22" s="45">
        <f t="shared" si="14"/>
        <v>-0.47826086956521741</v>
      </c>
      <c r="AC22" s="45">
        <f t="shared" si="15"/>
        <v>0.4684813753581662</v>
      </c>
      <c r="AF22" t="str">
        <f t="shared" si="16"/>
        <v>Right App</v>
      </c>
      <c r="AG22" s="52">
        <f t="shared" si="17"/>
        <v>-0.47826086736521739</v>
      </c>
      <c r="AH22" s="44"/>
      <c r="AP22" t="s">
        <v>12</v>
      </c>
      <c r="AQ22" s="63">
        <f>INDEX(Data!$K$9:$AT$60,MATCH(Calculation!$AP$11,Data!$A$9:$A$60,0),MATCH(Calculation!AQ$13&amp;Calculation!$AP22&amp;Calculation!AQ$14,INDEX(Data!$K$5:$AT$5&amp;Data!$K$6:$AT$6&amp;Data!$K$7:$AT$7,),0))</f>
        <v>0</v>
      </c>
      <c r="AR22" s="63">
        <f>INDEX(Data!$K$9:$AT$60,MATCH(Calculation!$AP$11,Data!$A$9:$A$60,0),MATCH(Calculation!AR$13&amp;Calculation!$AP22&amp;Calculation!AR$14,INDEX(Data!$K$5:$AT$5&amp;Data!$K$6:$AT$6&amp;Data!$K$7:$AT$7,),0))</f>
        <v>10821</v>
      </c>
      <c r="AS22" s="63">
        <f>INDEX(Data!$K$9:$AT$60,MATCH(Calculation!$AP$11,Data!$A$9:$A$60,0),MATCH(Calculation!AS$13&amp;Calculation!$AP22&amp;Calculation!AS$14,INDEX(Data!$K$5:$AT$5&amp;Data!$K$6:$AT$6&amp;Data!$K$7:$AT$7,),0))</f>
        <v>10901</v>
      </c>
      <c r="AT22" s="44"/>
      <c r="AU22" s="44"/>
      <c r="AV22" t="str">
        <f t="shared" si="19"/>
        <v>A</v>
      </c>
      <c r="AW22" t="e">
        <f>IF(MATCH(cur_month,$AP$15:$AP$26,0)&gt;=ROWS($AP$15:AP22),AQ22,NA())</f>
        <v>#N/A</v>
      </c>
      <c r="AX22" s="63">
        <f t="shared" si="20"/>
        <v>10821</v>
      </c>
      <c r="AY22" s="63">
        <f t="shared" si="21"/>
        <v>10901</v>
      </c>
      <c r="AZ22" t="e">
        <f t="shared" si="22"/>
        <v>#N/A</v>
      </c>
    </row>
    <row r="23" spans="2:52">
      <c r="B23" t="s">
        <v>13</v>
      </c>
      <c r="G23" s="39" t="s">
        <v>29</v>
      </c>
      <c r="H23" s="31" t="s">
        <v>45</v>
      </c>
      <c r="I23" s="40" t="s">
        <v>58</v>
      </c>
      <c r="M23">
        <f t="shared" si="11"/>
        <v>9</v>
      </c>
      <c r="N23" t="str">
        <f t="shared" si="12"/>
        <v>Mirrrr</v>
      </c>
      <c r="O23" s="63">
        <f>IF($N23&lt;&gt;"",INDEX(Data!$B$9:$J$60,MATCH($N23,Data!$A$9:$A$60,0),MATCH(O$8,Data!$B$4:$J$4,0)),"")</f>
        <v>15627</v>
      </c>
      <c r="P23" s="63">
        <f>IF($N23&lt;&gt;"",INDEX(Data!$B$9:$J$60,MATCH($N23,Data!$A$9:$A$60,0),MATCH(P$8,Data!$B$4:$J$4,0)),"")</f>
        <v>1996</v>
      </c>
      <c r="Q23" s="63">
        <f>IF($N23&lt;&gt;"",INDEX(Data!$B$9:$J$60,MATCH($N23,Data!$A$9:$A$60,0),MATCH(Q$8,Data!$B$4:$J$4,0)),"")</f>
        <v>9397</v>
      </c>
      <c r="R23" s="63">
        <f>IF($N23&lt;&gt;"",INDEX(Data!$B$9:$J$60,MATCH($N23,Data!$A$9:$A$60,0),MATCH(R$8,Data!$B$4:$J$4,0)),"")</f>
        <v>15357</v>
      </c>
      <c r="S23" s="63">
        <f>IF($N23&lt;&gt;"",INDEX(Data!$B$9:$J$60,MATCH($N23,Data!$A$9:$A$60,0),MATCH(S$8,Data!$B$4:$J$4,0)),"")</f>
        <v>1908</v>
      </c>
      <c r="T23" s="63">
        <f>IF($N23&lt;&gt;"",INDEX(Data!$B$9:$J$60,MATCH($N23,Data!$A$9:$A$60,0),MATCH(T$8,Data!$B$4:$J$4,0)),"")</f>
        <v>9702</v>
      </c>
      <c r="U23" s="63">
        <f>IF($N23&lt;&gt;"",INDEX(Data!$B$9:$J$60,MATCH($N23,Data!$A$9:$A$60,0),MATCH(U$8,Data!$B$4:$J$4,0)),"")</f>
        <v>14634</v>
      </c>
      <c r="V23" s="63">
        <f>IF($N23&lt;&gt;"",INDEX(Data!$B$9:$J$60,MATCH($N23,Data!$A$9:$A$60,0),MATCH(V$8,Data!$B$4:$J$4,0)),"")</f>
        <v>1584</v>
      </c>
      <c r="W23" s="63">
        <f>IF($N23&lt;&gt;"",INDEX(Data!$B$9:$J$60,MATCH($N23,Data!$A$9:$A$60,0),MATCH(W$8,Data!$B$4:$J$4,0)),"")</f>
        <v>9527</v>
      </c>
      <c r="X23" s="45">
        <f t="shared" si="4"/>
        <v>1.758155889822231E-2</v>
      </c>
      <c r="Y23" s="45">
        <f t="shared" si="5"/>
        <v>4.6121593291404611E-2</v>
      </c>
      <c r="Z23" s="45">
        <f t="shared" si="6"/>
        <v>-3.1436817151102865E-2</v>
      </c>
      <c r="AA23" s="45">
        <f t="shared" si="13"/>
        <v>6.7855678556785565E-2</v>
      </c>
      <c r="AB23" s="45">
        <f t="shared" si="14"/>
        <v>0.26010101010101011</v>
      </c>
      <c r="AC23" s="45">
        <f t="shared" si="15"/>
        <v>-1.3645428781358245E-2</v>
      </c>
      <c r="AF23" t="str">
        <f t="shared" si="16"/>
        <v>Mirrrr</v>
      </c>
      <c r="AG23" s="52">
        <f t="shared" si="17"/>
        <v>0.26010101240101013</v>
      </c>
      <c r="AH23" s="44"/>
      <c r="AP23" t="s">
        <v>13</v>
      </c>
      <c r="AQ23" s="63">
        <f>INDEX(Data!$K$9:$AT$60,MATCH(Calculation!$AP$11,Data!$A$9:$A$60,0),MATCH(Calculation!AQ$13&amp;Calculation!$AP23&amp;Calculation!AQ$14,INDEX(Data!$K$5:$AT$5&amp;Data!$K$6:$AT$6&amp;Data!$K$7:$AT$7,),0))</f>
        <v>0</v>
      </c>
      <c r="AR23" s="63">
        <f>INDEX(Data!$K$9:$AT$60,MATCH(Calculation!$AP$11,Data!$A$9:$A$60,0),MATCH(Calculation!AR$13&amp;Calculation!$AP23&amp;Calculation!AR$14,INDEX(Data!$K$5:$AT$5&amp;Data!$K$6:$AT$6&amp;Data!$K$7:$AT$7,),0))</f>
        <v>11926</v>
      </c>
      <c r="AS23" s="63">
        <f>INDEX(Data!$K$9:$AT$60,MATCH(Calculation!$AP$11,Data!$A$9:$A$60,0),MATCH(Calculation!AS$13&amp;Calculation!$AP23&amp;Calculation!AS$14,INDEX(Data!$K$5:$AT$5&amp;Data!$K$6:$AT$6&amp;Data!$K$7:$AT$7,),0))</f>
        <v>12366</v>
      </c>
      <c r="AT23" s="44"/>
      <c r="AU23" s="44"/>
      <c r="AV23" t="str">
        <f t="shared" si="19"/>
        <v>S</v>
      </c>
      <c r="AW23" t="e">
        <f>IF(MATCH(cur_month,$AP$15:$AP$26,0)&gt;=ROWS($AP$15:AP23),AQ23,NA())</f>
        <v>#N/A</v>
      </c>
      <c r="AX23" s="63">
        <f t="shared" si="20"/>
        <v>11926</v>
      </c>
      <c r="AY23" s="63">
        <f t="shared" si="21"/>
        <v>12366</v>
      </c>
      <c r="AZ23" t="e">
        <f t="shared" si="22"/>
        <v>#N/A</v>
      </c>
    </row>
    <row r="24" spans="2:52">
      <c r="B24" t="s">
        <v>14</v>
      </c>
      <c r="G24" s="39" t="s">
        <v>30</v>
      </c>
      <c r="H24" s="31" t="s">
        <v>46</v>
      </c>
      <c r="I24" s="40" t="s">
        <v>59</v>
      </c>
      <c r="M24">
        <f t="shared" si="11"/>
        <v>10</v>
      </c>
      <c r="N24" t="str">
        <f t="shared" si="12"/>
        <v>Halotot</v>
      </c>
      <c r="O24" s="63">
        <f>IF($N24&lt;&gt;"",INDEX(Data!$B$9:$J$60,MATCH($N24,Data!$A$9:$A$60,0),MATCH(O$8,Data!$B$4:$J$4,0)),"")</f>
        <v>7270</v>
      </c>
      <c r="P24" s="63">
        <f>IF($N24&lt;&gt;"",INDEX(Data!$B$9:$J$60,MATCH($N24,Data!$A$9:$A$60,0),MATCH(P$8,Data!$B$4:$J$4,0)),"")</f>
        <v>150</v>
      </c>
      <c r="Q24" s="63">
        <f>IF($N24&lt;&gt;"",INDEX(Data!$B$9:$J$60,MATCH($N24,Data!$A$9:$A$60,0),MATCH(Q$8,Data!$B$4:$J$4,0)),"")</f>
        <v>8948</v>
      </c>
      <c r="R24" s="63">
        <f>IF($N24&lt;&gt;"",INDEX(Data!$B$9:$J$60,MATCH($N24,Data!$A$9:$A$60,0),MATCH(R$8,Data!$B$4:$J$4,0)),"")</f>
        <v>7119</v>
      </c>
      <c r="S24" s="63">
        <f>IF($N24&lt;&gt;"",INDEX(Data!$B$9:$J$60,MATCH($N24,Data!$A$9:$A$60,0),MATCH(S$8,Data!$B$4:$J$4,0)),"")</f>
        <v>349</v>
      </c>
      <c r="T24" s="63">
        <f>IF($N24&lt;&gt;"",INDEX(Data!$B$9:$J$60,MATCH($N24,Data!$A$9:$A$60,0),MATCH(T$8,Data!$B$4:$J$4,0)),"")</f>
        <v>8520</v>
      </c>
      <c r="U24" s="63">
        <f>IF($N24&lt;&gt;"",INDEX(Data!$B$9:$J$60,MATCH($N24,Data!$A$9:$A$60,0),MATCH(U$8,Data!$B$4:$J$4,0)),"")</f>
        <v>7158</v>
      </c>
      <c r="V24" s="63">
        <f>IF($N24&lt;&gt;"",INDEX(Data!$B$9:$J$60,MATCH($N24,Data!$A$9:$A$60,0),MATCH(V$8,Data!$B$4:$J$4,0)),"")</f>
        <v>120</v>
      </c>
      <c r="W24" s="63">
        <f>IF($N24&lt;&gt;"",INDEX(Data!$B$9:$J$60,MATCH($N24,Data!$A$9:$A$60,0),MATCH(W$8,Data!$B$4:$J$4,0)),"")</f>
        <v>8630</v>
      </c>
      <c r="X24" s="45">
        <f t="shared" si="4"/>
        <v>2.1210844219693777E-2</v>
      </c>
      <c r="Y24" s="45">
        <f t="shared" si="5"/>
        <v>-0.57020057306590255</v>
      </c>
      <c r="Z24" s="45">
        <f t="shared" si="6"/>
        <v>5.0234741784037557E-2</v>
      </c>
      <c r="AA24" s="45">
        <f t="shared" si="13"/>
        <v>1.5646828723107013E-2</v>
      </c>
      <c r="AB24" s="45">
        <f t="shared" si="14"/>
        <v>0.25</v>
      </c>
      <c r="AC24" s="45">
        <f t="shared" si="15"/>
        <v>3.6848203939745076E-2</v>
      </c>
      <c r="AF24" t="str">
        <f t="shared" si="16"/>
        <v>Halotot</v>
      </c>
      <c r="AG24" s="52">
        <f t="shared" si="17"/>
        <v>0.25000000239999998</v>
      </c>
      <c r="AH24" s="44"/>
      <c r="AP24" t="s">
        <v>14</v>
      </c>
      <c r="AQ24" s="63">
        <f>INDEX(Data!$K$9:$AT$60,MATCH(Calculation!$AP$11,Data!$A$9:$A$60,0),MATCH(Calculation!AQ$13&amp;Calculation!$AP24&amp;Calculation!AQ$14,INDEX(Data!$K$5:$AT$5&amp;Data!$K$6:$AT$6&amp;Data!$K$7:$AT$7,),0))</f>
        <v>0</v>
      </c>
      <c r="AR24" s="63">
        <f>INDEX(Data!$K$9:$AT$60,MATCH(Calculation!$AP$11,Data!$A$9:$A$60,0),MATCH(Calculation!AR$13&amp;Calculation!$AP24&amp;Calculation!AR$14,INDEX(Data!$K$5:$AT$5&amp;Data!$K$6:$AT$6&amp;Data!$K$7:$AT$7,),0))</f>
        <v>13136</v>
      </c>
      <c r="AS24" s="63">
        <f>INDEX(Data!$K$9:$AT$60,MATCH(Calculation!$AP$11,Data!$A$9:$A$60,0),MATCH(Calculation!AS$13&amp;Calculation!$AP24&amp;Calculation!AS$14,INDEX(Data!$K$5:$AT$5&amp;Data!$K$6:$AT$6&amp;Data!$K$7:$AT$7,),0))</f>
        <v>13962</v>
      </c>
      <c r="AT24" s="44"/>
      <c r="AU24" s="44"/>
      <c r="AV24" t="str">
        <f t="shared" si="19"/>
        <v>O</v>
      </c>
      <c r="AW24" t="e">
        <f>IF(MATCH(cur_month,$AP$15:$AP$26,0)&gt;=ROWS($AP$15:AP24),AQ24,NA())</f>
        <v>#N/A</v>
      </c>
      <c r="AX24" s="63">
        <f t="shared" si="20"/>
        <v>13136</v>
      </c>
      <c r="AY24" s="63">
        <f t="shared" si="21"/>
        <v>13962</v>
      </c>
      <c r="AZ24" t="e">
        <f t="shared" si="22"/>
        <v>#N/A</v>
      </c>
    </row>
    <row r="25" spans="2:52">
      <c r="B25" t="s">
        <v>15</v>
      </c>
      <c r="G25" s="39" t="s">
        <v>31</v>
      </c>
      <c r="H25" s="31" t="s">
        <v>47</v>
      </c>
      <c r="I25" s="40" t="s">
        <v>60</v>
      </c>
      <c r="M25">
        <f t="shared" si="11"/>
        <v>11</v>
      </c>
      <c r="N25" t="str">
        <f t="shared" si="12"/>
        <v>Flowrrr</v>
      </c>
      <c r="O25" s="63">
        <f>IF($N25&lt;&gt;"",INDEX(Data!$B$9:$J$60,MATCH($N25,Data!$A$9:$A$60,0),MATCH(O$8,Data!$B$4:$J$4,0)),"")</f>
        <v>5955</v>
      </c>
      <c r="P25" s="63">
        <f>IF($N25&lt;&gt;"",INDEX(Data!$B$9:$J$60,MATCH($N25,Data!$A$9:$A$60,0),MATCH(P$8,Data!$B$4:$J$4,0)),"")</f>
        <v>260</v>
      </c>
      <c r="Q25" s="63">
        <f>IF($N25&lt;&gt;"",INDEX(Data!$B$9:$J$60,MATCH($N25,Data!$A$9:$A$60,0),MATCH(Q$8,Data!$B$4:$J$4,0)),"")</f>
        <v>5931</v>
      </c>
      <c r="R25" s="63">
        <f>IF($N25&lt;&gt;"",INDEX(Data!$B$9:$J$60,MATCH($N25,Data!$A$9:$A$60,0),MATCH(R$8,Data!$B$4:$J$4,0)),"")</f>
        <v>5612</v>
      </c>
      <c r="S25" s="63">
        <f>IF($N25&lt;&gt;"",INDEX(Data!$B$9:$J$60,MATCH($N25,Data!$A$9:$A$60,0),MATCH(S$8,Data!$B$4:$J$4,0)),"")</f>
        <v>233</v>
      </c>
      <c r="T25" s="63">
        <f>IF($N25&lt;&gt;"",INDEX(Data!$B$9:$J$60,MATCH($N25,Data!$A$9:$A$60,0),MATCH(T$8,Data!$B$4:$J$4,0)),"")</f>
        <v>5128</v>
      </c>
      <c r="U25" s="63">
        <f>IF($N25&lt;&gt;"",INDEX(Data!$B$9:$J$60,MATCH($N25,Data!$A$9:$A$60,0),MATCH(U$8,Data!$B$4:$J$4,0)),"")</f>
        <v>5977</v>
      </c>
      <c r="V25" s="63">
        <f>IF($N25&lt;&gt;"",INDEX(Data!$B$9:$J$60,MATCH($N25,Data!$A$9:$A$60,0),MATCH(V$8,Data!$B$4:$J$4,0)),"")</f>
        <v>210</v>
      </c>
      <c r="W25" s="63">
        <f>IF($N25&lt;&gt;"",INDEX(Data!$B$9:$J$60,MATCH($N25,Data!$A$9:$A$60,0),MATCH(W$8,Data!$B$4:$J$4,0)),"")</f>
        <v>4722</v>
      </c>
      <c r="X25" s="45">
        <f t="shared" si="4"/>
        <v>6.1119030648610122E-2</v>
      </c>
      <c r="Y25" s="45">
        <f t="shared" si="5"/>
        <v>0.11587982832618025</v>
      </c>
      <c r="Z25" s="45">
        <f t="shared" si="6"/>
        <v>0.15659126365054601</v>
      </c>
      <c r="AA25" s="45">
        <f t="shared" si="13"/>
        <v>-3.6807763091852102E-3</v>
      </c>
      <c r="AB25" s="45">
        <f t="shared" si="14"/>
        <v>0.23809523809523808</v>
      </c>
      <c r="AC25" s="45">
        <f t="shared" si="15"/>
        <v>0.25603557814485389</v>
      </c>
      <c r="AF25" t="str">
        <f t="shared" si="16"/>
        <v>Flowrrr</v>
      </c>
      <c r="AG25" s="52">
        <f t="shared" si="17"/>
        <v>0.23809524059523809</v>
      </c>
      <c r="AH25" s="44"/>
      <c r="AP25" t="s">
        <v>15</v>
      </c>
      <c r="AQ25" s="63">
        <f>INDEX(Data!$K$9:$AT$60,MATCH(Calculation!$AP$11,Data!$A$9:$A$60,0),MATCH(Calculation!AQ$13&amp;Calculation!$AP25&amp;Calculation!AQ$14,INDEX(Data!$K$5:$AT$5&amp;Data!$K$6:$AT$6&amp;Data!$K$7:$AT$7,),0))</f>
        <v>0</v>
      </c>
      <c r="AR25" s="63">
        <f>INDEX(Data!$K$9:$AT$60,MATCH(Calculation!$AP$11,Data!$A$9:$A$60,0),MATCH(Calculation!AR$13&amp;Calculation!$AP25&amp;Calculation!AR$14,INDEX(Data!$K$5:$AT$5&amp;Data!$K$6:$AT$6&amp;Data!$K$7:$AT$7,),0))</f>
        <v>13951</v>
      </c>
      <c r="AS25" s="63">
        <f>INDEX(Data!$K$9:$AT$60,MATCH(Calculation!$AP$11,Data!$A$9:$A$60,0),MATCH(Calculation!AS$13&amp;Calculation!$AP25&amp;Calculation!AS$14,INDEX(Data!$K$5:$AT$5&amp;Data!$K$6:$AT$6&amp;Data!$K$7:$AT$7,),0))</f>
        <v>15507</v>
      </c>
      <c r="AT25" s="44"/>
      <c r="AU25" s="44"/>
      <c r="AV25" t="str">
        <f t="shared" si="19"/>
        <v>N</v>
      </c>
      <c r="AW25" t="e">
        <f>IF(MATCH(cur_month,$AP$15:$AP$26,0)&gt;=ROWS($AP$15:AP25),AQ25,NA())</f>
        <v>#N/A</v>
      </c>
      <c r="AX25" s="63">
        <f t="shared" si="20"/>
        <v>13951</v>
      </c>
      <c r="AY25" s="63">
        <f t="shared" si="21"/>
        <v>15507</v>
      </c>
      <c r="AZ25" t="e">
        <f t="shared" si="22"/>
        <v>#N/A</v>
      </c>
    </row>
    <row r="26" spans="2:52">
      <c r="B26" t="s">
        <v>16</v>
      </c>
      <c r="G26" s="39" t="s">
        <v>32</v>
      </c>
      <c r="H26" s="31" t="s">
        <v>48</v>
      </c>
      <c r="I26" s="40" t="s">
        <v>61</v>
      </c>
      <c r="M26">
        <f t="shared" si="11"/>
        <v>12</v>
      </c>
      <c r="N26" t="str">
        <f t="shared" si="12"/>
        <v>Silvrr</v>
      </c>
      <c r="O26" s="63">
        <f>IF($N26&lt;&gt;"",INDEX(Data!$B$9:$J$60,MATCH($N26,Data!$A$9:$A$60,0),MATCH(O$8,Data!$B$4:$J$4,0)),"")</f>
        <v>7666</v>
      </c>
      <c r="P26" s="63">
        <f>IF($N26&lt;&gt;"",INDEX(Data!$B$9:$J$60,MATCH($N26,Data!$A$9:$A$60,0),MATCH(P$8,Data!$B$4:$J$4,0)),"")</f>
        <v>274</v>
      </c>
      <c r="Q26" s="63">
        <f>IF($N26&lt;&gt;"",INDEX(Data!$B$9:$J$60,MATCH($N26,Data!$A$9:$A$60,0),MATCH(Q$8,Data!$B$4:$J$4,0)),"")</f>
        <v>6624</v>
      </c>
      <c r="R26" s="63">
        <f>IF($N26&lt;&gt;"",INDEX(Data!$B$9:$J$60,MATCH($N26,Data!$A$9:$A$60,0),MATCH(R$8,Data!$B$4:$J$4,0)),"")</f>
        <v>5060</v>
      </c>
      <c r="S26" s="63">
        <f>IF($N26&lt;&gt;"",INDEX(Data!$B$9:$J$60,MATCH($N26,Data!$A$9:$A$60,0),MATCH(S$8,Data!$B$4:$J$4,0)),"")</f>
        <v>369</v>
      </c>
      <c r="T26" s="63">
        <f>IF($N26&lt;&gt;"",INDEX(Data!$B$9:$J$60,MATCH($N26,Data!$A$9:$A$60,0),MATCH(T$8,Data!$B$4:$J$4,0)),"")</f>
        <v>5174</v>
      </c>
      <c r="U26" s="63">
        <f>IF($N26&lt;&gt;"",INDEX(Data!$B$9:$J$60,MATCH($N26,Data!$A$9:$A$60,0),MATCH(U$8,Data!$B$4:$J$4,0)),"")</f>
        <v>7099</v>
      </c>
      <c r="V26" s="63">
        <f>IF($N26&lt;&gt;"",INDEX(Data!$B$9:$J$60,MATCH($N26,Data!$A$9:$A$60,0),MATCH(V$8,Data!$B$4:$J$4,0)),"")</f>
        <v>230</v>
      </c>
      <c r="W26" s="63">
        <f>IF($N26&lt;&gt;"",INDEX(Data!$B$9:$J$60,MATCH($N26,Data!$A$9:$A$60,0),MATCH(W$8,Data!$B$4:$J$4,0)),"")</f>
        <v>6253</v>
      </c>
      <c r="X26" s="45">
        <f t="shared" si="4"/>
        <v>0.51501976284584983</v>
      </c>
      <c r="Y26" s="45">
        <f t="shared" si="5"/>
        <v>-0.25745257452574527</v>
      </c>
      <c r="Z26" s="45">
        <f t="shared" si="6"/>
        <v>0.28024739080015459</v>
      </c>
      <c r="AA26" s="45">
        <f t="shared" si="13"/>
        <v>7.9870404282293278E-2</v>
      </c>
      <c r="AB26" s="45">
        <f t="shared" si="14"/>
        <v>0.19130434782608696</v>
      </c>
      <c r="AC26" s="45">
        <f t="shared" si="15"/>
        <v>5.9331520869982411E-2</v>
      </c>
      <c r="AF26" t="str">
        <f t="shared" si="16"/>
        <v>Silvrr</v>
      </c>
      <c r="AG26" s="52">
        <f t="shared" si="17"/>
        <v>0.19130435042608696</v>
      </c>
      <c r="AH26" s="44"/>
      <c r="AP26" t="s">
        <v>16</v>
      </c>
      <c r="AQ26" s="63">
        <f>INDEX(Data!$K$9:$AT$60,MATCH(Calculation!$AP$11,Data!$A$9:$A$60,0),MATCH(Calculation!AQ$13&amp;Calculation!$AP26&amp;Calculation!AQ$14,INDEX(Data!$K$5:$AT$5&amp;Data!$K$6:$AT$6&amp;Data!$K$7:$AT$7,),0))</f>
        <v>0</v>
      </c>
      <c r="AR26" s="63">
        <f>INDEX(Data!$K$9:$AT$60,MATCH(Calculation!$AP$11,Data!$A$9:$A$60,0),MATCH(Calculation!AR$13&amp;Calculation!$AP26&amp;Calculation!AR$14,INDEX(Data!$K$5:$AT$5&amp;Data!$K$6:$AT$6&amp;Data!$K$7:$AT$7,),0))</f>
        <v>14067</v>
      </c>
      <c r="AS26" s="63">
        <f>INDEX(Data!$K$9:$AT$60,MATCH(Calculation!$AP$11,Data!$A$9:$A$60,0),MATCH(Calculation!AS$13&amp;Calculation!$AP26&amp;Calculation!AS$14,INDEX(Data!$K$5:$AT$5&amp;Data!$K$6:$AT$6&amp;Data!$K$7:$AT$7,),0))</f>
        <v>15918</v>
      </c>
      <c r="AT26" s="44"/>
      <c r="AU26" s="44"/>
      <c r="AV26" t="str">
        <f t="shared" si="19"/>
        <v>D</v>
      </c>
      <c r="AW26" t="e">
        <f>IF(MATCH(cur_month,$AP$15:$AP$26,0)&gt;=ROWS($AP$15:AP26),AQ26,NA())</f>
        <v>#N/A</v>
      </c>
      <c r="AX26" s="63">
        <f t="shared" si="20"/>
        <v>14067</v>
      </c>
      <c r="AY26" s="63">
        <f t="shared" si="21"/>
        <v>15918</v>
      </c>
      <c r="AZ26" t="e">
        <f t="shared" si="22"/>
        <v>#N/A</v>
      </c>
    </row>
    <row r="27" spans="2:52">
      <c r="G27" s="39" t="s">
        <v>33</v>
      </c>
      <c r="H27" s="31" t="s">
        <v>70</v>
      </c>
      <c r="I27" s="40" t="s">
        <v>62</v>
      </c>
      <c r="M27">
        <f t="shared" si="11"/>
        <v>13</v>
      </c>
      <c r="N27" t="str">
        <f t="shared" si="12"/>
        <v>Dasring</v>
      </c>
      <c r="O27" s="63">
        <f>IF($N27&lt;&gt;"",INDEX(Data!$B$9:$J$60,MATCH($N27,Data!$A$9:$A$60,0),MATCH(O$8,Data!$B$4:$J$4,0)),"")</f>
        <v>10857</v>
      </c>
      <c r="P27" s="63">
        <f>IF($N27&lt;&gt;"",INDEX(Data!$B$9:$J$60,MATCH($N27,Data!$A$9:$A$60,0),MATCH(P$8,Data!$B$4:$J$4,0)),"")</f>
        <v>281</v>
      </c>
      <c r="Q27" s="63">
        <f>IF($N27&lt;&gt;"",INDEX(Data!$B$9:$J$60,MATCH($N27,Data!$A$9:$A$60,0),MATCH(Q$8,Data!$B$4:$J$4,0)),"")</f>
        <v>4396</v>
      </c>
      <c r="R27" s="63">
        <f>IF($N27&lt;&gt;"",INDEX(Data!$B$9:$J$60,MATCH($N27,Data!$A$9:$A$60,0),MATCH(R$8,Data!$B$4:$J$4,0)),"")</f>
        <v>10547</v>
      </c>
      <c r="S27" s="63">
        <f>IF($N27&lt;&gt;"",INDEX(Data!$B$9:$J$60,MATCH($N27,Data!$A$9:$A$60,0),MATCH(S$8,Data!$B$4:$J$4,0)),"")</f>
        <v>281</v>
      </c>
      <c r="T27" s="63">
        <f>IF($N27&lt;&gt;"",INDEX(Data!$B$9:$J$60,MATCH($N27,Data!$A$9:$A$60,0),MATCH(T$8,Data!$B$4:$J$4,0)),"")</f>
        <v>4979</v>
      </c>
      <c r="U27" s="63">
        <f>IF($N27&lt;&gt;"",INDEX(Data!$B$9:$J$60,MATCH($N27,Data!$A$9:$A$60,0),MATCH(U$8,Data!$B$4:$J$4,0)),"")</f>
        <v>10799</v>
      </c>
      <c r="V27" s="63">
        <f>IF($N27&lt;&gt;"",INDEX(Data!$B$9:$J$60,MATCH($N27,Data!$A$9:$A$60,0),MATCH(V$8,Data!$B$4:$J$4,0)),"")</f>
        <v>333</v>
      </c>
      <c r="W27" s="63">
        <f>IF($N27&lt;&gt;"",INDEX(Data!$B$9:$J$60,MATCH($N27,Data!$A$9:$A$60,0),MATCH(W$8,Data!$B$4:$J$4,0)),"")</f>
        <v>4779</v>
      </c>
      <c r="X27" s="45">
        <f t="shared" si="4"/>
        <v>2.9392244240068265E-2</v>
      </c>
      <c r="Y27" s="45">
        <f t="shared" si="5"/>
        <v>0</v>
      </c>
      <c r="Z27" s="45">
        <f t="shared" si="6"/>
        <v>-0.1170917854990962</v>
      </c>
      <c r="AA27" s="45">
        <f t="shared" si="13"/>
        <v>5.3708676729326789E-3</v>
      </c>
      <c r="AB27" s="45">
        <f t="shared" si="14"/>
        <v>-0.15615615615615616</v>
      </c>
      <c r="AC27" s="45">
        <f t="shared" si="15"/>
        <v>-8.0142289181837204E-2</v>
      </c>
      <c r="AF27" t="str">
        <f t="shared" si="16"/>
        <v>Dasring</v>
      </c>
      <c r="AG27" s="52">
        <f t="shared" si="17"/>
        <v>-0.15615615345615616</v>
      </c>
      <c r="AH27" s="44"/>
    </row>
    <row r="28" spans="2:52">
      <c r="G28" s="39" t="s">
        <v>34</v>
      </c>
      <c r="H28" s="31" t="s">
        <v>70</v>
      </c>
      <c r="I28" s="40" t="s">
        <v>70</v>
      </c>
      <c r="M28">
        <f t="shared" si="11"/>
        <v>14</v>
      </c>
      <c r="N28" t="str">
        <f t="shared" si="12"/>
        <v>Rehire</v>
      </c>
      <c r="O28" s="63">
        <f>IF($N28&lt;&gt;"",INDEX(Data!$B$9:$J$60,MATCH($N28,Data!$A$9:$A$60,0),MATCH(O$8,Data!$B$4:$J$4,0)),"")</f>
        <v>9873</v>
      </c>
      <c r="P28" s="63">
        <f>IF($N28&lt;&gt;"",INDEX(Data!$B$9:$J$60,MATCH($N28,Data!$A$9:$A$60,0),MATCH(P$8,Data!$B$4:$J$4,0)),"")</f>
        <v>370</v>
      </c>
      <c r="Q28" s="63">
        <f>IF($N28&lt;&gt;"",INDEX(Data!$B$9:$J$60,MATCH($N28,Data!$A$9:$A$60,0),MATCH(Q$8,Data!$B$4:$J$4,0)),"")</f>
        <v>7076</v>
      </c>
      <c r="R28" s="63">
        <f>IF($N28&lt;&gt;"",INDEX(Data!$B$9:$J$60,MATCH($N28,Data!$A$9:$A$60,0),MATCH(R$8,Data!$B$4:$J$4,0)),"")</f>
        <v>11069</v>
      </c>
      <c r="S28" s="63">
        <f>IF($N28&lt;&gt;"",INDEX(Data!$B$9:$J$60,MATCH($N28,Data!$A$9:$A$60,0),MATCH(S$8,Data!$B$4:$J$4,0)),"")</f>
        <v>652</v>
      </c>
      <c r="T28" s="63">
        <f>IF($N28&lt;&gt;"",INDEX(Data!$B$9:$J$60,MATCH($N28,Data!$A$9:$A$60,0),MATCH(T$8,Data!$B$4:$J$4,0)),"")</f>
        <v>6853</v>
      </c>
      <c r="U28" s="63">
        <f>IF($N28&lt;&gt;"",INDEX(Data!$B$9:$J$60,MATCH($N28,Data!$A$9:$A$60,0),MATCH(U$8,Data!$B$4:$J$4,0)),"")</f>
        <v>10500</v>
      </c>
      <c r="V28" s="63">
        <f>IF($N28&lt;&gt;"",INDEX(Data!$B$9:$J$60,MATCH($N28,Data!$A$9:$A$60,0),MATCH(V$8,Data!$B$4:$J$4,0)),"")</f>
        <v>637</v>
      </c>
      <c r="W28" s="63">
        <f>IF($N28&lt;&gt;"",INDEX(Data!$B$9:$J$60,MATCH($N28,Data!$A$9:$A$60,0),MATCH(W$8,Data!$B$4:$J$4,0)),"")</f>
        <v>8490</v>
      </c>
      <c r="X28" s="45">
        <f t="shared" si="4"/>
        <v>-0.1080495076339326</v>
      </c>
      <c r="Y28" s="45">
        <f t="shared" si="5"/>
        <v>-0.43251533742331288</v>
      </c>
      <c r="Z28" s="45">
        <f t="shared" si="6"/>
        <v>3.2540493214650516E-2</v>
      </c>
      <c r="AA28" s="45">
        <f t="shared" si="13"/>
        <v>-5.9714285714285713E-2</v>
      </c>
      <c r="AB28" s="45">
        <f t="shared" si="14"/>
        <v>-0.41915227629513346</v>
      </c>
      <c r="AC28" s="45">
        <f t="shared" si="15"/>
        <v>-0.16654888103651355</v>
      </c>
      <c r="AF28" t="str">
        <f t="shared" si="16"/>
        <v>Rehire</v>
      </c>
      <c r="AG28" s="52">
        <f t="shared" si="17"/>
        <v>-0.41915227349513345</v>
      </c>
      <c r="AH28" s="44"/>
    </row>
    <row r="29" spans="2:52">
      <c r="G29" s="39" t="s">
        <v>35</v>
      </c>
      <c r="H29" s="31" t="s">
        <v>70</v>
      </c>
      <c r="I29" s="40" t="s">
        <v>70</v>
      </c>
      <c r="M29">
        <f t="shared" si="11"/>
        <v>15</v>
      </c>
      <c r="N29" t="str">
        <f t="shared" si="12"/>
        <v>Didactic</v>
      </c>
      <c r="O29" s="63">
        <f>IF($N29&lt;&gt;"",INDEX(Data!$B$9:$J$60,MATCH($N29,Data!$A$9:$A$60,0),MATCH(O$8,Data!$B$4:$J$4,0)),"")</f>
        <v>6405</v>
      </c>
      <c r="P29" s="63">
        <f>IF($N29&lt;&gt;"",INDEX(Data!$B$9:$J$60,MATCH($N29,Data!$A$9:$A$60,0),MATCH(P$8,Data!$B$4:$J$4,0)),"")</f>
        <v>363</v>
      </c>
      <c r="Q29" s="63">
        <f>IF($N29&lt;&gt;"",INDEX(Data!$B$9:$J$60,MATCH($N29,Data!$A$9:$A$60,0),MATCH(Q$8,Data!$B$4:$J$4,0)),"")</f>
        <v>1389</v>
      </c>
      <c r="R29" s="63">
        <f>IF($N29&lt;&gt;"",INDEX(Data!$B$9:$J$60,MATCH($N29,Data!$A$9:$A$60,0),MATCH(R$8,Data!$B$4:$J$4,0)),"")</f>
        <v>5995</v>
      </c>
      <c r="S29" s="63">
        <f>IF($N29&lt;&gt;"",INDEX(Data!$B$9:$J$60,MATCH($N29,Data!$A$9:$A$60,0),MATCH(S$8,Data!$B$4:$J$4,0)),"")</f>
        <v>268</v>
      </c>
      <c r="T29" s="63">
        <f>IF($N29&lt;&gt;"",INDEX(Data!$B$9:$J$60,MATCH($N29,Data!$A$9:$A$60,0),MATCH(T$8,Data!$B$4:$J$4,0)),"")</f>
        <v>1708</v>
      </c>
      <c r="U29" s="63">
        <f>IF($N29&lt;&gt;"",INDEX(Data!$B$9:$J$60,MATCH($N29,Data!$A$9:$A$60,0),MATCH(U$8,Data!$B$4:$J$4,0)),"")</f>
        <v>5819</v>
      </c>
      <c r="V29" s="63">
        <f>IF($N29&lt;&gt;"",INDEX(Data!$B$9:$J$60,MATCH($N29,Data!$A$9:$A$60,0),MATCH(V$8,Data!$B$4:$J$4,0)),"")</f>
        <v>248</v>
      </c>
      <c r="W29" s="63">
        <f>IF($N29&lt;&gt;"",INDEX(Data!$B$9:$J$60,MATCH($N29,Data!$A$9:$A$60,0),MATCH(W$8,Data!$B$4:$J$4,0)),"")</f>
        <v>2226</v>
      </c>
      <c r="X29" s="45">
        <f t="shared" si="4"/>
        <v>6.8390325271059219E-2</v>
      </c>
      <c r="Y29" s="45">
        <f t="shared" si="5"/>
        <v>0.35447761194029853</v>
      </c>
      <c r="Z29" s="45">
        <f t="shared" si="6"/>
        <v>-0.18676814988290399</v>
      </c>
      <c r="AA29" s="45">
        <f t="shared" si="13"/>
        <v>0.10070458841725383</v>
      </c>
      <c r="AB29" s="45">
        <f t="shared" si="14"/>
        <v>0.46370967741935482</v>
      </c>
      <c r="AC29" s="45">
        <f t="shared" si="15"/>
        <v>-0.37601078167115903</v>
      </c>
      <c r="AF29" t="str">
        <f t="shared" si="16"/>
        <v>Didactic</v>
      </c>
      <c r="AG29" s="52">
        <f t="shared" si="17"/>
        <v>0.46370968031935483</v>
      </c>
      <c r="AH29" s="44"/>
    </row>
    <row r="30" spans="2:52">
      <c r="G30" s="39"/>
      <c r="H30" s="31"/>
      <c r="I30" s="40"/>
      <c r="M30" t="str">
        <f t="shared" si="11"/>
        <v/>
      </c>
      <c r="N30" t="str">
        <f t="shared" si="12"/>
        <v/>
      </c>
      <c r="O30" s="63" t="str">
        <f>IF($N30&lt;&gt;"",INDEX(Data!$B$9:$J$60,MATCH($N30,Data!$A$9:$A$60,0),MATCH(O$8,Data!$B$4:$J$4,0)),"")</f>
        <v/>
      </c>
      <c r="P30" s="63" t="str">
        <f>IF($N30&lt;&gt;"",INDEX(Data!$B$9:$J$60,MATCH($N30,Data!$A$9:$A$60,0),MATCH(P$8,Data!$B$4:$J$4,0)),"")</f>
        <v/>
      </c>
      <c r="Q30" s="63" t="str">
        <f>IF($N30&lt;&gt;"",INDEX(Data!$B$9:$J$60,MATCH($N30,Data!$A$9:$A$60,0),MATCH(Q$8,Data!$B$4:$J$4,0)),"")</f>
        <v/>
      </c>
      <c r="R30" s="63" t="str">
        <f>IF($N30&lt;&gt;"",INDEX(Data!$B$9:$J$60,MATCH($N30,Data!$A$9:$A$60,0),MATCH(R$8,Data!$B$4:$J$4,0)),"")</f>
        <v/>
      </c>
      <c r="S30" s="63" t="str">
        <f>IF($N30&lt;&gt;"",INDEX(Data!$B$9:$J$60,MATCH($N30,Data!$A$9:$A$60,0),MATCH(S$8,Data!$B$4:$J$4,0)),"")</f>
        <v/>
      </c>
      <c r="T30" s="63" t="str">
        <f>IF($N30&lt;&gt;"",INDEX(Data!$B$9:$J$60,MATCH($N30,Data!$A$9:$A$60,0),MATCH(T$8,Data!$B$4:$J$4,0)),"")</f>
        <v/>
      </c>
      <c r="U30" s="63" t="str">
        <f>IF($N30&lt;&gt;"",INDEX(Data!$B$9:$J$60,MATCH($N30,Data!$A$9:$A$60,0),MATCH(U$8,Data!$B$4:$J$4,0)),"")</f>
        <v/>
      </c>
      <c r="V30" s="63" t="str">
        <f>IF($N30&lt;&gt;"",INDEX(Data!$B$9:$J$60,MATCH($N30,Data!$A$9:$A$60,0),MATCH(V$8,Data!$B$4:$J$4,0)),"")</f>
        <v/>
      </c>
      <c r="W30" s="63" t="str">
        <f>IF($N30&lt;&gt;"",INDEX(Data!$B$9:$J$60,MATCH($N30,Data!$A$9:$A$60,0),MATCH(W$8,Data!$B$4:$J$4,0)),"")</f>
        <v/>
      </c>
      <c r="X30" s="45" t="str">
        <f t="shared" si="4"/>
        <v/>
      </c>
      <c r="Y30" s="45" t="str">
        <f t="shared" si="5"/>
        <v/>
      </c>
      <c r="Z30" s="45" t="str">
        <f t="shared" si="6"/>
        <v/>
      </c>
      <c r="AA30" s="45" t="str">
        <f t="shared" si="13"/>
        <v/>
      </c>
      <c r="AB30" s="45" t="str">
        <f t="shared" si="14"/>
        <v/>
      </c>
      <c r="AC30" s="45" t="str">
        <f t="shared" si="15"/>
        <v/>
      </c>
      <c r="AF30" t="str">
        <f t="shared" si="16"/>
        <v/>
      </c>
      <c r="AG30" s="52" t="str">
        <f t="shared" si="17"/>
        <v/>
      </c>
      <c r="AH30" s="44"/>
    </row>
    <row r="31" spans="2:52">
      <c r="G31" s="39"/>
      <c r="H31" s="31"/>
      <c r="I31" s="40"/>
      <c r="M31" t="str">
        <f t="shared" si="11"/>
        <v/>
      </c>
      <c r="N31" t="str">
        <f t="shared" si="12"/>
        <v/>
      </c>
      <c r="O31" s="63" t="str">
        <f>IF($N31&lt;&gt;"",INDEX(Data!$B$9:$J$60,MATCH($N31,Data!$A$9:$A$60,0),MATCH(O$8,Data!$B$4:$J$4,0)),"")</f>
        <v/>
      </c>
      <c r="P31" s="63" t="str">
        <f>IF($N31&lt;&gt;"",INDEX(Data!$B$9:$J$60,MATCH($N31,Data!$A$9:$A$60,0),MATCH(P$8,Data!$B$4:$J$4,0)),"")</f>
        <v/>
      </c>
      <c r="Q31" s="63" t="str">
        <f>IF($N31&lt;&gt;"",INDEX(Data!$B$9:$J$60,MATCH($N31,Data!$A$9:$A$60,0),MATCH(Q$8,Data!$B$4:$J$4,0)),"")</f>
        <v/>
      </c>
      <c r="R31" s="63" t="str">
        <f>IF($N31&lt;&gt;"",INDEX(Data!$B$9:$J$60,MATCH($N31,Data!$A$9:$A$60,0),MATCH(R$8,Data!$B$4:$J$4,0)),"")</f>
        <v/>
      </c>
      <c r="S31" s="63" t="str">
        <f>IF($N31&lt;&gt;"",INDEX(Data!$B$9:$J$60,MATCH($N31,Data!$A$9:$A$60,0),MATCH(S$8,Data!$B$4:$J$4,0)),"")</f>
        <v/>
      </c>
      <c r="T31" s="63" t="str">
        <f>IF($N31&lt;&gt;"",INDEX(Data!$B$9:$J$60,MATCH($N31,Data!$A$9:$A$60,0),MATCH(T$8,Data!$B$4:$J$4,0)),"")</f>
        <v/>
      </c>
      <c r="U31" s="63" t="str">
        <f>IF($N31&lt;&gt;"",INDEX(Data!$B$9:$J$60,MATCH($N31,Data!$A$9:$A$60,0),MATCH(U$8,Data!$B$4:$J$4,0)),"")</f>
        <v/>
      </c>
      <c r="V31" s="63" t="str">
        <f>IF($N31&lt;&gt;"",INDEX(Data!$B$9:$J$60,MATCH($N31,Data!$A$9:$A$60,0),MATCH(V$8,Data!$B$4:$J$4,0)),"")</f>
        <v/>
      </c>
      <c r="W31" s="63" t="str">
        <f>IF($N31&lt;&gt;"",INDEX(Data!$B$9:$J$60,MATCH($N31,Data!$A$9:$A$60,0),MATCH(W$8,Data!$B$4:$J$4,0)),"")</f>
        <v/>
      </c>
      <c r="X31" s="45" t="str">
        <f t="shared" si="4"/>
        <v/>
      </c>
      <c r="Y31" s="45" t="str">
        <f t="shared" si="5"/>
        <v/>
      </c>
      <c r="Z31" s="45" t="str">
        <f t="shared" si="6"/>
        <v/>
      </c>
      <c r="AA31" s="45" t="str">
        <f t="shared" si="13"/>
        <v/>
      </c>
      <c r="AB31" s="45" t="str">
        <f t="shared" si="14"/>
        <v/>
      </c>
      <c r="AC31" s="45" t="str">
        <f t="shared" si="15"/>
        <v/>
      </c>
      <c r="AF31" t="str">
        <f t="shared" si="16"/>
        <v/>
      </c>
      <c r="AG31" s="52" t="str">
        <f t="shared" si="17"/>
        <v/>
      </c>
      <c r="AH31" s="44"/>
    </row>
    <row r="32" spans="2:52">
      <c r="G32" s="39"/>
      <c r="H32" s="31"/>
      <c r="I32" s="40"/>
      <c r="M32" t="str">
        <f t="shared" si="11"/>
        <v/>
      </c>
      <c r="N32" t="str">
        <f t="shared" si="12"/>
        <v/>
      </c>
      <c r="O32" s="63" t="str">
        <f>IF($N32&lt;&gt;"",INDEX(Data!$B$9:$J$60,MATCH($N32,Data!$A$9:$A$60,0),MATCH(O$8,Data!$B$4:$J$4,0)),"")</f>
        <v/>
      </c>
      <c r="P32" s="63" t="str">
        <f>IF($N32&lt;&gt;"",INDEX(Data!$B$9:$J$60,MATCH($N32,Data!$A$9:$A$60,0),MATCH(P$8,Data!$B$4:$J$4,0)),"")</f>
        <v/>
      </c>
      <c r="Q32" s="63" t="str">
        <f>IF($N32&lt;&gt;"",INDEX(Data!$B$9:$J$60,MATCH($N32,Data!$A$9:$A$60,0),MATCH(Q$8,Data!$B$4:$J$4,0)),"")</f>
        <v/>
      </c>
      <c r="R32" s="63" t="str">
        <f>IF($N32&lt;&gt;"",INDEX(Data!$B$9:$J$60,MATCH($N32,Data!$A$9:$A$60,0),MATCH(R$8,Data!$B$4:$J$4,0)),"")</f>
        <v/>
      </c>
      <c r="S32" s="63" t="str">
        <f>IF($N32&lt;&gt;"",INDEX(Data!$B$9:$J$60,MATCH($N32,Data!$A$9:$A$60,0),MATCH(S$8,Data!$B$4:$J$4,0)),"")</f>
        <v/>
      </c>
      <c r="T32" s="63" t="str">
        <f>IF($N32&lt;&gt;"",INDEX(Data!$B$9:$J$60,MATCH($N32,Data!$A$9:$A$60,0),MATCH(T$8,Data!$B$4:$J$4,0)),"")</f>
        <v/>
      </c>
      <c r="U32" s="63" t="str">
        <f>IF($N32&lt;&gt;"",INDEX(Data!$B$9:$J$60,MATCH($N32,Data!$A$9:$A$60,0),MATCH(U$8,Data!$B$4:$J$4,0)),"")</f>
        <v/>
      </c>
      <c r="V32" s="63" t="str">
        <f>IF($N32&lt;&gt;"",INDEX(Data!$B$9:$J$60,MATCH($N32,Data!$A$9:$A$60,0),MATCH(V$8,Data!$B$4:$J$4,0)),"")</f>
        <v/>
      </c>
      <c r="W32" s="63" t="str">
        <f>IF($N32&lt;&gt;"",INDEX(Data!$B$9:$J$60,MATCH($N32,Data!$A$9:$A$60,0),MATCH(W$8,Data!$B$4:$J$4,0)),"")</f>
        <v/>
      </c>
      <c r="X32" s="45" t="str">
        <f t="shared" si="4"/>
        <v/>
      </c>
      <c r="Y32" s="45" t="str">
        <f t="shared" si="5"/>
        <v/>
      </c>
      <c r="Z32" s="45" t="str">
        <f t="shared" si="6"/>
        <v/>
      </c>
      <c r="AA32" s="45" t="str">
        <f t="shared" si="13"/>
        <v/>
      </c>
      <c r="AB32" s="45" t="str">
        <f t="shared" si="14"/>
        <v/>
      </c>
      <c r="AC32" s="45" t="str">
        <f t="shared" si="15"/>
        <v/>
      </c>
      <c r="AF32" t="str">
        <f t="shared" si="16"/>
        <v/>
      </c>
      <c r="AG32" s="52" t="str">
        <f t="shared" si="17"/>
        <v/>
      </c>
      <c r="AH32" s="44"/>
    </row>
    <row r="33" spans="7:34">
      <c r="G33" s="39"/>
      <c r="H33" s="31"/>
      <c r="I33" s="40"/>
      <c r="M33" t="str">
        <f t="shared" si="11"/>
        <v/>
      </c>
      <c r="N33" t="str">
        <f t="shared" si="12"/>
        <v/>
      </c>
      <c r="O33" s="63" t="str">
        <f>IF($N33&lt;&gt;"",INDEX(Data!$B$9:$J$60,MATCH($N33,Data!$A$9:$A$60,0),MATCH(O$8,Data!$B$4:$J$4,0)),"")</f>
        <v/>
      </c>
      <c r="P33" s="63" t="str">
        <f>IF($N33&lt;&gt;"",INDEX(Data!$B$9:$J$60,MATCH($N33,Data!$A$9:$A$60,0),MATCH(P$8,Data!$B$4:$J$4,0)),"")</f>
        <v/>
      </c>
      <c r="Q33" s="63" t="str">
        <f>IF($N33&lt;&gt;"",INDEX(Data!$B$9:$J$60,MATCH($N33,Data!$A$9:$A$60,0),MATCH(Q$8,Data!$B$4:$J$4,0)),"")</f>
        <v/>
      </c>
      <c r="R33" s="63" t="str">
        <f>IF($N33&lt;&gt;"",INDEX(Data!$B$9:$J$60,MATCH($N33,Data!$A$9:$A$60,0),MATCH(R$8,Data!$B$4:$J$4,0)),"")</f>
        <v/>
      </c>
      <c r="S33" s="63" t="str">
        <f>IF($N33&lt;&gt;"",INDEX(Data!$B$9:$J$60,MATCH($N33,Data!$A$9:$A$60,0),MATCH(S$8,Data!$B$4:$J$4,0)),"")</f>
        <v/>
      </c>
      <c r="T33" s="63" t="str">
        <f>IF($N33&lt;&gt;"",INDEX(Data!$B$9:$J$60,MATCH($N33,Data!$A$9:$A$60,0),MATCH(T$8,Data!$B$4:$J$4,0)),"")</f>
        <v/>
      </c>
      <c r="U33" s="63" t="str">
        <f>IF($N33&lt;&gt;"",INDEX(Data!$B$9:$J$60,MATCH($N33,Data!$A$9:$A$60,0),MATCH(U$8,Data!$B$4:$J$4,0)),"")</f>
        <v/>
      </c>
      <c r="V33" s="63" t="str">
        <f>IF($N33&lt;&gt;"",INDEX(Data!$B$9:$J$60,MATCH($N33,Data!$A$9:$A$60,0),MATCH(V$8,Data!$B$4:$J$4,0)),"")</f>
        <v/>
      </c>
      <c r="W33" s="63" t="str">
        <f>IF($N33&lt;&gt;"",INDEX(Data!$B$9:$J$60,MATCH($N33,Data!$A$9:$A$60,0),MATCH(W$8,Data!$B$4:$J$4,0)),"")</f>
        <v/>
      </c>
      <c r="X33" s="45" t="str">
        <f t="shared" si="4"/>
        <v/>
      </c>
      <c r="Y33" s="45" t="str">
        <f t="shared" si="5"/>
        <v/>
      </c>
      <c r="Z33" s="45" t="str">
        <f t="shared" si="6"/>
        <v/>
      </c>
      <c r="AA33" s="45" t="str">
        <f t="shared" si="13"/>
        <v/>
      </c>
      <c r="AB33" s="45" t="str">
        <f t="shared" si="14"/>
        <v/>
      </c>
      <c r="AC33" s="45" t="str">
        <f>IF($N33&lt;&gt;"",(Q33-W33)/W33,"")</f>
        <v/>
      </c>
      <c r="AF33" t="str">
        <f t="shared" si="16"/>
        <v/>
      </c>
      <c r="AG33" s="52" t="str">
        <f t="shared" si="17"/>
        <v/>
      </c>
      <c r="AH33" s="44"/>
    </row>
    <row r="34" spans="7:34" ht="15" thickBot="1">
      <c r="G34" s="41"/>
      <c r="H34" s="23"/>
      <c r="I34" s="42"/>
      <c r="M34" s="43" t="str">
        <f t="shared" si="11"/>
        <v/>
      </c>
      <c r="N34" s="43" t="str">
        <f t="shared" si="12"/>
        <v/>
      </c>
      <c r="O34" s="64" t="str">
        <f>IF($N34&lt;&gt;"",INDEX(Data!$B$9:$J$60,MATCH($N34,Data!$A$9:$A$60,0),MATCH(O$8,Data!$B$4:$J$4,0)),"")</f>
        <v/>
      </c>
      <c r="P34" s="64" t="str">
        <f>IF($N34&lt;&gt;"",INDEX(Data!$B$9:$J$60,MATCH($N34,Data!$A$9:$A$60,0),MATCH(P$8,Data!$B$4:$J$4,0)),"")</f>
        <v/>
      </c>
      <c r="Q34" s="64" t="str">
        <f>IF($N34&lt;&gt;"",INDEX(Data!$B$9:$J$60,MATCH($N34,Data!$A$9:$A$60,0),MATCH(Q$8,Data!$B$4:$J$4,0)),"")</f>
        <v/>
      </c>
      <c r="R34" s="64" t="str">
        <f>IF($N34&lt;&gt;"",INDEX(Data!$B$9:$J$60,MATCH($N34,Data!$A$9:$A$60,0),MATCH(R$8,Data!$B$4:$J$4,0)),"")</f>
        <v/>
      </c>
      <c r="S34" s="64" t="str">
        <f>IF($N34&lt;&gt;"",INDEX(Data!$B$9:$J$60,MATCH($N34,Data!$A$9:$A$60,0),MATCH(S$8,Data!$B$4:$J$4,0)),"")</f>
        <v/>
      </c>
      <c r="T34" s="64" t="str">
        <f>IF($N34&lt;&gt;"",INDEX(Data!$B$9:$J$60,MATCH($N34,Data!$A$9:$A$60,0),MATCH(T$8,Data!$B$4:$J$4,0)),"")</f>
        <v/>
      </c>
      <c r="U34" s="64" t="str">
        <f>IF($N34&lt;&gt;"",INDEX(Data!$B$9:$J$60,MATCH($N34,Data!$A$9:$A$60,0),MATCH(U$8,Data!$B$4:$J$4,0)),"")</f>
        <v/>
      </c>
      <c r="V34" s="64" t="str">
        <f>IF($N34&lt;&gt;"",INDEX(Data!$B$9:$J$60,MATCH($N34,Data!$A$9:$A$60,0),MATCH(V$8,Data!$B$4:$J$4,0)),"")</f>
        <v/>
      </c>
      <c r="W34" s="64" t="str">
        <f>IF($N34&lt;&gt;"",INDEX(Data!$B$9:$J$60,MATCH($N34,Data!$A$9:$A$60,0),MATCH(W$8,Data!$B$4:$J$4,0)),"")</f>
        <v/>
      </c>
      <c r="X34" s="46" t="str">
        <f t="shared" si="4"/>
        <v/>
      </c>
      <c r="Y34" s="46" t="str">
        <f t="shared" si="5"/>
        <v/>
      </c>
      <c r="Z34" s="46" t="str">
        <f t="shared" si="6"/>
        <v/>
      </c>
      <c r="AA34" s="46" t="str">
        <f t="shared" si="13"/>
        <v/>
      </c>
      <c r="AB34" s="46" t="str">
        <f t="shared" si="14"/>
        <v/>
      </c>
      <c r="AC34" s="46" t="str">
        <f t="shared" si="15"/>
        <v/>
      </c>
      <c r="AF34" s="23" t="str">
        <f t="shared" si="16"/>
        <v/>
      </c>
      <c r="AG34" s="52" t="str">
        <f t="shared" si="17"/>
        <v/>
      </c>
      <c r="AH34" s="44"/>
    </row>
    <row r="35" spans="7:34">
      <c r="O35" s="1"/>
      <c r="P35" s="1"/>
      <c r="Q35" s="1"/>
      <c r="R35" s="3"/>
      <c r="S35" s="3"/>
      <c r="T35" s="3"/>
      <c r="U35" s="2"/>
      <c r="V35" s="2"/>
      <c r="W35" s="2"/>
      <c r="X35" s="3"/>
      <c r="Y35" s="3"/>
      <c r="Z35" s="3"/>
      <c r="AA35" s="2"/>
      <c r="AB35" s="2"/>
      <c r="AC35" s="2"/>
    </row>
    <row r="36" spans="7:34">
      <c r="N36" t="str">
        <f>INDEX(G14:I14,D4)</f>
        <v>Productivity Apps</v>
      </c>
      <c r="O36" s="65">
        <f>IF($N36&lt;&gt;"",INDEX(Data!$B$9:$J$60,MATCH($N36,Data!$A$9:$A$60,0),MATCH(O$8,Data!$B$4:$J$4,0)),"")</f>
        <v>162643</v>
      </c>
      <c r="P36" s="65">
        <f>IF($N36&lt;&gt;"",INDEX(Data!$B$9:$J$60,MATCH($N36,Data!$A$9:$A$60,0),MATCH(P$8,Data!$B$4:$J$4,0)),"")</f>
        <v>9359</v>
      </c>
      <c r="Q36" s="65">
        <f>IF($N36&lt;&gt;"",INDEX(Data!$B$9:$J$60,MATCH($N36,Data!$A$9:$A$60,0),MATCH(Q$8,Data!$B$4:$J$4,0)),"")</f>
        <v>103058</v>
      </c>
      <c r="R36" s="65">
        <f>IF($N36&lt;&gt;"",INDEX(Data!$B$9:$J$60,MATCH($N36,Data!$A$9:$A$60,0),MATCH(R$8,Data!$B$4:$J$4,0)),"")</f>
        <v>159773</v>
      </c>
      <c r="S36" s="65">
        <f>IF($N36&lt;&gt;"",INDEX(Data!$B$9:$J$60,MATCH($N36,Data!$A$9:$A$60,0),MATCH(S$8,Data!$B$4:$J$4,0)),"")</f>
        <v>9241</v>
      </c>
      <c r="T36" s="65">
        <f>IF($N36&lt;&gt;"",INDEX(Data!$B$9:$J$60,MATCH($N36,Data!$A$9:$A$60,0),MATCH(T$8,Data!$B$4:$J$4,0)),"")</f>
        <v>103723</v>
      </c>
      <c r="U36" s="65">
        <f>IF($N36&lt;&gt;"",INDEX(Data!$B$9:$J$60,MATCH($N36,Data!$A$9:$A$60,0),MATCH(U$8,Data!$B$4:$J$4,0)),"")</f>
        <v>164760</v>
      </c>
      <c r="V36" s="65">
        <f>IF($N36&lt;&gt;"",INDEX(Data!$B$9:$J$60,MATCH($N36,Data!$A$9:$A$60,0),MATCH(V$8,Data!$B$4:$J$4,0)),"")</f>
        <v>9443</v>
      </c>
      <c r="W36" s="65">
        <f>IF($N36&lt;&gt;"",INDEX(Data!$B$9:$J$60,MATCH($N36,Data!$A$9:$A$60,0),MATCH(W$8,Data!$B$4:$J$4,0)),"")</f>
        <v>104426</v>
      </c>
      <c r="X36" s="45">
        <f t="shared" ref="X36:AC36" si="23">IF($N36&lt;&gt;"",(O36-R36)/R36,"")</f>
        <v>1.7962984984947396E-2</v>
      </c>
      <c r="Y36" s="45">
        <f t="shared" si="23"/>
        <v>1.2769180824586083E-2</v>
      </c>
      <c r="Z36" s="45">
        <f t="shared" si="23"/>
        <v>-6.4113070389402544E-3</v>
      </c>
      <c r="AA36" s="45">
        <f t="shared" si="23"/>
        <v>-3.0268268997329449E-2</v>
      </c>
      <c r="AB36" s="45">
        <f t="shared" si="23"/>
        <v>-2.139150693635497E-2</v>
      </c>
      <c r="AC36" s="45">
        <f t="shared" si="23"/>
        <v>-6.732039913431521E-3</v>
      </c>
    </row>
    <row r="38" spans="7:34">
      <c r="N38" s="35" t="s">
        <v>90</v>
      </c>
      <c r="O38" s="34"/>
      <c r="P38" s="35"/>
      <c r="Q38" s="35"/>
      <c r="X38" s="35" t="s">
        <v>83</v>
      </c>
      <c r="Y38" s="34"/>
      <c r="Z38" s="35"/>
      <c r="AA38" s="35"/>
      <c r="AB38" s="35"/>
      <c r="AC38" s="35"/>
    </row>
    <row r="39" spans="7:34">
      <c r="N39" t="s">
        <v>91</v>
      </c>
      <c r="O39" s="65">
        <f>O36-U36</f>
        <v>-2117</v>
      </c>
      <c r="P39" t="str">
        <f>IF(O39&gt;0,"Over Budget",IF(O39&lt;0,"Under Budget"))</f>
        <v>Under Budget</v>
      </c>
      <c r="X39" t="s">
        <v>84</v>
      </c>
      <c r="Y39" s="52">
        <f>MIN(X15:X34)</f>
        <v>-0.24733679322589455</v>
      </c>
    </row>
    <row r="40" spans="7:34">
      <c r="N40" t="s">
        <v>92</v>
      </c>
      <c r="O40" s="65">
        <f>P36-V36</f>
        <v>-84</v>
      </c>
      <c r="P40" t="str">
        <f>IF(O40&gt;0,"Over Budget",IF(O40&lt;0,"Under Budget"))</f>
        <v>Under Budget</v>
      </c>
      <c r="X40" t="s">
        <v>85</v>
      </c>
      <c r="Y40" s="52">
        <f>MAX(X15:X34)</f>
        <v>0.55541292255027819</v>
      </c>
    </row>
    <row r="41" spans="7:34">
      <c r="N41" t="s">
        <v>93</v>
      </c>
      <c r="O41" s="65">
        <f>Q36-W36</f>
        <v>-1368</v>
      </c>
      <c r="P41" t="str">
        <f>IF(O41&gt;0,"Over Budget",IF(O41&lt;0,"Under Budget"))</f>
        <v>Under Budget</v>
      </c>
      <c r="X41" t="s">
        <v>86</v>
      </c>
      <c r="Y41" s="52">
        <f>MIN(Y15:Y34)</f>
        <v>-0.57020057306590255</v>
      </c>
    </row>
    <row r="42" spans="7:34">
      <c r="X42" t="s">
        <v>87</v>
      </c>
      <c r="Y42" s="52">
        <f>MAX(Y15:Y34)</f>
        <v>0.48417721518987344</v>
      </c>
    </row>
    <row r="43" spans="7:34">
      <c r="X43" t="s">
        <v>88</v>
      </c>
      <c r="Y43" s="52">
        <f>MIN(Z15:Z34)</f>
        <v>-0.18676814988290399</v>
      </c>
    </row>
    <row r="44" spans="7:34">
      <c r="X44" t="s">
        <v>89</v>
      </c>
      <c r="Y44" s="52">
        <f>MAX(Z15:Z34)</f>
        <v>0.29337539432176657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T51"/>
  <sheetViews>
    <sheetView topLeftCell="A27" workbookViewId="0">
      <selection activeCell="B35" sqref="B35"/>
    </sheetView>
  </sheetViews>
  <sheetFormatPr defaultRowHeight="14.25"/>
  <cols>
    <col min="1" max="1" width="16.625" customWidth="1"/>
  </cols>
  <sheetData>
    <row r="1" spans="1:46">
      <c r="A1" t="s">
        <v>3</v>
      </c>
    </row>
    <row r="2" spans="1:46">
      <c r="A2" s="33">
        <f>cur_year</f>
        <v>2017</v>
      </c>
      <c r="B2" s="33">
        <f>A2-1</f>
        <v>2016</v>
      </c>
    </row>
    <row r="3" spans="1:46" ht="15">
      <c r="B3" s="4" t="s">
        <v>0</v>
      </c>
      <c r="C3" s="5"/>
      <c r="D3" s="6"/>
      <c r="E3" s="7" t="s">
        <v>4</v>
      </c>
      <c r="F3" s="8"/>
      <c r="G3" s="9"/>
      <c r="H3" s="10" t="s">
        <v>1</v>
      </c>
      <c r="I3" s="10"/>
      <c r="J3" s="11"/>
      <c r="K3" s="4" t="s">
        <v>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 t="s">
        <v>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12"/>
      <c r="AI3" s="10" t="s">
        <v>1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>
      <c r="A4" t="s">
        <v>79</v>
      </c>
      <c r="B4" t="str">
        <f t="shared" ref="B4:AT4" si="0">B5&amp;B6&amp;B7&amp;B8</f>
        <v>2017JunActualRevenue</v>
      </c>
      <c r="C4" t="str">
        <f t="shared" si="0"/>
        <v>2017JunActualProfit</v>
      </c>
      <c r="D4" s="14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s="14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s="14" t="str">
        <f t="shared" si="0"/>
        <v>2017JunBudgetCash</v>
      </c>
      <c r="K4" s="15" t="str">
        <f t="shared" si="0"/>
        <v>2017JanActualProfit</v>
      </c>
      <c r="L4" s="15" t="str">
        <f t="shared" si="0"/>
        <v>2017FebActualProfit</v>
      </c>
      <c r="M4" s="15" t="str">
        <f t="shared" si="0"/>
        <v>2017MarActualProfit</v>
      </c>
      <c r="N4" s="15" t="str">
        <f t="shared" si="0"/>
        <v>2017AprActualProfit</v>
      </c>
      <c r="O4" s="15" t="str">
        <f t="shared" si="0"/>
        <v>2017MayActualProfit</v>
      </c>
      <c r="P4" s="15" t="str">
        <f t="shared" si="0"/>
        <v>2017JunActualProfit</v>
      </c>
      <c r="Q4" s="15" t="str">
        <f t="shared" si="0"/>
        <v>2017JulActualProfit</v>
      </c>
      <c r="R4" s="15" t="str">
        <f t="shared" si="0"/>
        <v>2017AugActualProfit</v>
      </c>
      <c r="S4" s="15" t="str">
        <f t="shared" si="0"/>
        <v>2017SepActualProfit</v>
      </c>
      <c r="T4" s="15" t="str">
        <f t="shared" si="0"/>
        <v>2017OctActualProfit</v>
      </c>
      <c r="U4" s="15" t="str">
        <f t="shared" si="0"/>
        <v>2017NovActualProfit</v>
      </c>
      <c r="V4" s="15" t="str">
        <f t="shared" si="0"/>
        <v>2017DecActualProfit</v>
      </c>
      <c r="W4" s="16" t="str">
        <f t="shared" si="0"/>
        <v>2016JanActualProfit</v>
      </c>
      <c r="X4" s="15" t="str">
        <f t="shared" si="0"/>
        <v>2016FebActualProfit</v>
      </c>
      <c r="Y4" s="15" t="str">
        <f t="shared" si="0"/>
        <v>2016MarActualProfit</v>
      </c>
      <c r="Z4" s="15" t="str">
        <f t="shared" si="0"/>
        <v>2016AprActualProfit</v>
      </c>
      <c r="AA4" s="15" t="str">
        <f t="shared" si="0"/>
        <v>2016MayActualProfit</v>
      </c>
      <c r="AB4" s="15" t="str">
        <f t="shared" si="0"/>
        <v>2016JunActualProfit</v>
      </c>
      <c r="AC4" s="15" t="str">
        <f t="shared" si="0"/>
        <v>2016JulActualProfit</v>
      </c>
      <c r="AD4" s="15" t="str">
        <f t="shared" si="0"/>
        <v>2016AugActualProfit</v>
      </c>
      <c r="AE4" s="15" t="str">
        <f t="shared" si="0"/>
        <v>2016SepActualProfit</v>
      </c>
      <c r="AF4" s="15" t="str">
        <f t="shared" si="0"/>
        <v>2016OctActualProfit</v>
      </c>
      <c r="AG4" s="15" t="str">
        <f t="shared" si="0"/>
        <v>2016NovActualProfit</v>
      </c>
      <c r="AH4" s="17" t="str">
        <f t="shared" si="0"/>
        <v>2016DecActualProfit</v>
      </c>
      <c r="AI4" s="15" t="str">
        <f t="shared" si="0"/>
        <v>2017JanBudgetProfit</v>
      </c>
      <c r="AJ4" s="15" t="str">
        <f t="shared" si="0"/>
        <v>2017FebBudgetProfit</v>
      </c>
      <c r="AK4" s="15" t="str">
        <f t="shared" si="0"/>
        <v>2017MarBudgetProfit</v>
      </c>
      <c r="AL4" s="15" t="str">
        <f t="shared" si="0"/>
        <v>2017AprBudgetProfit</v>
      </c>
      <c r="AM4" s="15" t="str">
        <f t="shared" si="0"/>
        <v>2017MayBudgetProfit</v>
      </c>
      <c r="AN4" s="15" t="str">
        <f t="shared" si="0"/>
        <v>2017JunBudgetProfit</v>
      </c>
      <c r="AO4" s="15" t="str">
        <f t="shared" si="0"/>
        <v>2017JulBudgetProfit</v>
      </c>
      <c r="AP4" s="15" t="str">
        <f t="shared" si="0"/>
        <v>2017AugBudgetProfit</v>
      </c>
      <c r="AQ4" s="15" t="str">
        <f t="shared" si="0"/>
        <v>2017SepBudgetProfit</v>
      </c>
      <c r="AR4" s="15" t="str">
        <f t="shared" si="0"/>
        <v>2017OctBudgetProfit</v>
      </c>
      <c r="AS4" s="15" t="str">
        <f t="shared" si="0"/>
        <v>2017NovBudgetProfit</v>
      </c>
      <c r="AT4" s="15" t="str">
        <f t="shared" si="0"/>
        <v>2017DecBudgetProfit</v>
      </c>
    </row>
    <row r="5" spans="1:46">
      <c r="B5" s="18">
        <f>$A$2</f>
        <v>2017</v>
      </c>
      <c r="C5" s="18">
        <f>$A$2</f>
        <v>2017</v>
      </c>
      <c r="D5" s="19">
        <f>$A$2</f>
        <v>2017</v>
      </c>
      <c r="E5" s="18">
        <f>$B$2</f>
        <v>2016</v>
      </c>
      <c r="F5" s="18">
        <f>$B$2</f>
        <v>2016</v>
      </c>
      <c r="G5" s="19">
        <f>$B$2</f>
        <v>2016</v>
      </c>
      <c r="H5" s="18">
        <f>$A$2</f>
        <v>2017</v>
      </c>
      <c r="I5" s="18">
        <f>$A$2</f>
        <v>2017</v>
      </c>
      <c r="J5" s="19">
        <f>$A$2</f>
        <v>2017</v>
      </c>
      <c r="K5" s="20">
        <f t="shared" ref="K5:V5" si="1">$A$2</f>
        <v>2017</v>
      </c>
      <c r="L5" s="20">
        <f t="shared" si="1"/>
        <v>2017</v>
      </c>
      <c r="M5" s="20">
        <f t="shared" si="1"/>
        <v>2017</v>
      </c>
      <c r="N5" s="20">
        <f t="shared" si="1"/>
        <v>2017</v>
      </c>
      <c r="O5" s="20">
        <f t="shared" si="1"/>
        <v>2017</v>
      </c>
      <c r="P5" s="20">
        <f t="shared" si="1"/>
        <v>2017</v>
      </c>
      <c r="Q5" s="20">
        <f t="shared" si="1"/>
        <v>2017</v>
      </c>
      <c r="R5" s="20">
        <f t="shared" si="1"/>
        <v>2017</v>
      </c>
      <c r="S5" s="20">
        <f t="shared" si="1"/>
        <v>2017</v>
      </c>
      <c r="T5" s="20">
        <f t="shared" si="1"/>
        <v>2017</v>
      </c>
      <c r="U5" s="20">
        <f t="shared" si="1"/>
        <v>2017</v>
      </c>
      <c r="V5" s="20">
        <f t="shared" si="1"/>
        <v>2017</v>
      </c>
      <c r="W5" s="21">
        <f t="shared" ref="W5:AH5" si="2">$B$2</f>
        <v>2016</v>
      </c>
      <c r="X5" s="20">
        <f t="shared" si="2"/>
        <v>2016</v>
      </c>
      <c r="Y5" s="20">
        <f t="shared" si="2"/>
        <v>2016</v>
      </c>
      <c r="Z5" s="20">
        <f t="shared" si="2"/>
        <v>2016</v>
      </c>
      <c r="AA5" s="20">
        <f t="shared" si="2"/>
        <v>2016</v>
      </c>
      <c r="AB5" s="20">
        <f t="shared" si="2"/>
        <v>2016</v>
      </c>
      <c r="AC5" s="20">
        <f t="shared" si="2"/>
        <v>2016</v>
      </c>
      <c r="AD5" s="20">
        <f t="shared" si="2"/>
        <v>2016</v>
      </c>
      <c r="AE5" s="20">
        <f t="shared" si="2"/>
        <v>2016</v>
      </c>
      <c r="AF5" s="20">
        <f t="shared" si="2"/>
        <v>2016</v>
      </c>
      <c r="AG5" s="20">
        <f t="shared" si="2"/>
        <v>2016</v>
      </c>
      <c r="AH5" s="22">
        <f t="shared" si="2"/>
        <v>2016</v>
      </c>
      <c r="AI5" s="20">
        <f t="shared" ref="AI5:AT5" si="3">$A$2</f>
        <v>2017</v>
      </c>
      <c r="AJ5" s="20">
        <f t="shared" si="3"/>
        <v>2017</v>
      </c>
      <c r="AK5" s="20">
        <f t="shared" si="3"/>
        <v>2017</v>
      </c>
      <c r="AL5" s="20">
        <f t="shared" si="3"/>
        <v>2017</v>
      </c>
      <c r="AM5" s="20">
        <f t="shared" si="3"/>
        <v>2017</v>
      </c>
      <c r="AN5" s="20">
        <f t="shared" si="3"/>
        <v>2017</v>
      </c>
      <c r="AO5" s="20">
        <f t="shared" si="3"/>
        <v>2017</v>
      </c>
      <c r="AP5" s="20">
        <f t="shared" si="3"/>
        <v>2017</v>
      </c>
      <c r="AQ5" s="20">
        <f t="shared" si="3"/>
        <v>2017</v>
      </c>
      <c r="AR5" s="20">
        <f t="shared" si="3"/>
        <v>2017</v>
      </c>
      <c r="AS5" s="20">
        <f t="shared" si="3"/>
        <v>2017</v>
      </c>
      <c r="AT5" s="20">
        <f t="shared" si="3"/>
        <v>2017</v>
      </c>
    </row>
    <row r="6" spans="1:46">
      <c r="B6" s="18" t="str">
        <f t="shared" ref="B6:J6" si="4">cur_month</f>
        <v>Jun</v>
      </c>
      <c r="C6" s="18" t="str">
        <f t="shared" si="4"/>
        <v>Jun</v>
      </c>
      <c r="D6" s="19" t="str">
        <f t="shared" si="4"/>
        <v>Jun</v>
      </c>
      <c r="E6" s="18" t="str">
        <f t="shared" si="4"/>
        <v>Jun</v>
      </c>
      <c r="F6" s="18" t="str">
        <f t="shared" si="4"/>
        <v>Jun</v>
      </c>
      <c r="G6" s="19" t="str">
        <f t="shared" si="4"/>
        <v>Jun</v>
      </c>
      <c r="H6" s="18" t="str">
        <f t="shared" si="4"/>
        <v>Jun</v>
      </c>
      <c r="I6" s="18" t="str">
        <f t="shared" si="4"/>
        <v>Jun</v>
      </c>
      <c r="J6" s="19" t="str">
        <f t="shared" si="4"/>
        <v>Jun</v>
      </c>
      <c r="K6" s="20" t="s">
        <v>6</v>
      </c>
      <c r="L6" s="20" t="s">
        <v>7</v>
      </c>
      <c r="M6" s="20" t="s">
        <v>8</v>
      </c>
      <c r="N6" s="20" t="s">
        <v>9</v>
      </c>
      <c r="O6" s="20" t="s">
        <v>10</v>
      </c>
      <c r="P6" s="20" t="s">
        <v>5</v>
      </c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  <c r="V6" s="22" t="s">
        <v>16</v>
      </c>
      <c r="W6" s="20" t="s">
        <v>6</v>
      </c>
      <c r="X6" s="20" t="s">
        <v>7</v>
      </c>
      <c r="Y6" s="20" t="s">
        <v>8</v>
      </c>
      <c r="Z6" s="20" t="s">
        <v>9</v>
      </c>
      <c r="AA6" s="20" t="s">
        <v>10</v>
      </c>
      <c r="AB6" s="20" t="s">
        <v>5</v>
      </c>
      <c r="AC6" s="20" t="s">
        <v>11</v>
      </c>
      <c r="AD6" s="20" t="s">
        <v>12</v>
      </c>
      <c r="AE6" s="20" t="s">
        <v>13</v>
      </c>
      <c r="AF6" s="20" t="s">
        <v>14</v>
      </c>
      <c r="AG6" s="20" t="s">
        <v>15</v>
      </c>
      <c r="AH6" s="22" t="s">
        <v>16</v>
      </c>
      <c r="AI6" s="20" t="s">
        <v>6</v>
      </c>
      <c r="AJ6" s="20" t="s">
        <v>7</v>
      </c>
      <c r="AK6" s="20" t="s">
        <v>8</v>
      </c>
      <c r="AL6" s="20" t="s">
        <v>9</v>
      </c>
      <c r="AM6" s="20" t="s">
        <v>10</v>
      </c>
      <c r="AN6" s="20" t="s">
        <v>5</v>
      </c>
      <c r="AO6" s="20" t="s">
        <v>11</v>
      </c>
      <c r="AP6" s="20" t="s">
        <v>12</v>
      </c>
      <c r="AQ6" s="20" t="s">
        <v>13</v>
      </c>
      <c r="AR6" s="20" t="s">
        <v>14</v>
      </c>
      <c r="AS6" s="20" t="s">
        <v>15</v>
      </c>
      <c r="AT6" s="20" t="s">
        <v>16</v>
      </c>
    </row>
    <row r="7" spans="1:46">
      <c r="B7" s="18" t="s">
        <v>0</v>
      </c>
      <c r="C7" s="18" t="s">
        <v>0</v>
      </c>
      <c r="D7" s="19" t="s">
        <v>0</v>
      </c>
      <c r="E7" s="18" t="s">
        <v>0</v>
      </c>
      <c r="F7" s="18" t="s">
        <v>0</v>
      </c>
      <c r="G7" s="19" t="s">
        <v>0</v>
      </c>
      <c r="H7" s="18" t="s">
        <v>1</v>
      </c>
      <c r="I7" s="18" t="s">
        <v>1</v>
      </c>
      <c r="J7" s="19" t="s">
        <v>1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20" t="s">
        <v>0</v>
      </c>
      <c r="R7" s="20" t="s">
        <v>0</v>
      </c>
      <c r="S7" s="20" t="s">
        <v>0</v>
      </c>
      <c r="T7" s="20" t="s">
        <v>0</v>
      </c>
      <c r="U7" s="20" t="s">
        <v>0</v>
      </c>
      <c r="V7" s="20" t="s">
        <v>0</v>
      </c>
      <c r="W7" s="21" t="s">
        <v>0</v>
      </c>
      <c r="X7" s="20" t="s">
        <v>0</v>
      </c>
      <c r="Y7" s="20" t="s">
        <v>0</v>
      </c>
      <c r="Z7" s="20" t="s">
        <v>0</v>
      </c>
      <c r="AA7" s="20" t="s">
        <v>0</v>
      </c>
      <c r="AB7" s="20" t="s">
        <v>0</v>
      </c>
      <c r="AC7" s="20" t="s">
        <v>0</v>
      </c>
      <c r="AD7" s="20" t="s">
        <v>0</v>
      </c>
      <c r="AE7" s="20" t="s">
        <v>0</v>
      </c>
      <c r="AF7" s="20" t="s">
        <v>0</v>
      </c>
      <c r="AG7" s="20" t="s">
        <v>0</v>
      </c>
      <c r="AH7" s="22" t="s">
        <v>0</v>
      </c>
      <c r="AI7" s="20" t="s">
        <v>1</v>
      </c>
      <c r="AJ7" s="20" t="s">
        <v>1</v>
      </c>
      <c r="AK7" s="20" t="s">
        <v>1</v>
      </c>
      <c r="AL7" s="20" t="s">
        <v>1</v>
      </c>
      <c r="AM7" s="20" t="s">
        <v>1</v>
      </c>
      <c r="AN7" s="20" t="s">
        <v>1</v>
      </c>
      <c r="AO7" s="20" t="s">
        <v>1</v>
      </c>
      <c r="AP7" s="20" t="s">
        <v>1</v>
      </c>
      <c r="AQ7" s="20" t="s">
        <v>1</v>
      </c>
      <c r="AR7" s="20" t="s">
        <v>1</v>
      </c>
      <c r="AS7" s="20" t="s">
        <v>1</v>
      </c>
      <c r="AT7" s="20" t="s">
        <v>1</v>
      </c>
    </row>
    <row r="8" spans="1:46">
      <c r="A8" s="23"/>
      <c r="B8" s="24" t="s">
        <v>17</v>
      </c>
      <c r="C8" s="24" t="s">
        <v>18</v>
      </c>
      <c r="D8" s="25" t="s">
        <v>19</v>
      </c>
      <c r="E8" s="24" t="s">
        <v>17</v>
      </c>
      <c r="F8" s="24" t="s">
        <v>18</v>
      </c>
      <c r="G8" s="25" t="s">
        <v>19</v>
      </c>
      <c r="H8" s="24" t="s">
        <v>17</v>
      </c>
      <c r="I8" s="24" t="s">
        <v>18</v>
      </c>
      <c r="J8" s="25" t="s">
        <v>19</v>
      </c>
      <c r="K8" s="26" t="s">
        <v>18</v>
      </c>
      <c r="L8" s="26" t="s">
        <v>18</v>
      </c>
      <c r="M8" s="26" t="s">
        <v>18</v>
      </c>
      <c r="N8" s="26" t="s">
        <v>18</v>
      </c>
      <c r="O8" s="26" t="s">
        <v>18</v>
      </c>
      <c r="P8" s="26" t="s">
        <v>18</v>
      </c>
      <c r="Q8" s="26" t="s">
        <v>18</v>
      </c>
      <c r="R8" s="26" t="s">
        <v>18</v>
      </c>
      <c r="S8" s="26" t="s">
        <v>18</v>
      </c>
      <c r="T8" s="26" t="s">
        <v>18</v>
      </c>
      <c r="U8" s="26" t="s">
        <v>18</v>
      </c>
      <c r="V8" s="26" t="s">
        <v>18</v>
      </c>
      <c r="W8" s="27" t="s">
        <v>18</v>
      </c>
      <c r="X8" s="26" t="s">
        <v>18</v>
      </c>
      <c r="Y8" s="26" t="s">
        <v>18</v>
      </c>
      <c r="Z8" s="26" t="s">
        <v>18</v>
      </c>
      <c r="AA8" s="26" t="s">
        <v>18</v>
      </c>
      <c r="AB8" s="26" t="s">
        <v>18</v>
      </c>
      <c r="AC8" s="26" t="s">
        <v>18</v>
      </c>
      <c r="AD8" s="26" t="s">
        <v>18</v>
      </c>
      <c r="AE8" s="26" t="s">
        <v>18</v>
      </c>
      <c r="AF8" s="26" t="s">
        <v>18</v>
      </c>
      <c r="AG8" s="26" t="s">
        <v>18</v>
      </c>
      <c r="AH8" s="28" t="s">
        <v>18</v>
      </c>
      <c r="AI8" s="26" t="s">
        <v>18</v>
      </c>
      <c r="AJ8" s="26" t="s">
        <v>18</v>
      </c>
      <c r="AK8" s="26" t="s">
        <v>18</v>
      </c>
      <c r="AL8" s="26" t="s">
        <v>18</v>
      </c>
      <c r="AM8" s="26" t="s">
        <v>18</v>
      </c>
      <c r="AN8" s="26" t="s">
        <v>18</v>
      </c>
      <c r="AO8" s="26" t="s">
        <v>18</v>
      </c>
      <c r="AP8" s="26" t="s">
        <v>18</v>
      </c>
      <c r="AQ8" s="26" t="s">
        <v>18</v>
      </c>
      <c r="AR8" s="26" t="s">
        <v>18</v>
      </c>
      <c r="AS8" s="26" t="s">
        <v>18</v>
      </c>
      <c r="AT8" s="26" t="s">
        <v>18</v>
      </c>
    </row>
    <row r="9" spans="1:46">
      <c r="A9" t="s">
        <v>20</v>
      </c>
      <c r="B9">
        <v>162643</v>
      </c>
      <c r="C9">
        <v>9359</v>
      </c>
      <c r="D9" s="14">
        <v>103058</v>
      </c>
      <c r="E9">
        <v>159773</v>
      </c>
      <c r="F9">
        <v>9241</v>
      </c>
      <c r="G9" s="14">
        <v>103723</v>
      </c>
      <c r="H9">
        <v>164760</v>
      </c>
      <c r="I9">
        <v>9443</v>
      </c>
      <c r="J9" s="1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9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>
      <c r="A10" s="30" t="s">
        <v>21</v>
      </c>
      <c r="B10">
        <v>14432</v>
      </c>
      <c r="C10">
        <v>240</v>
      </c>
      <c r="D10" s="14">
        <v>11099</v>
      </c>
      <c r="E10">
        <v>13699</v>
      </c>
      <c r="F10">
        <v>210</v>
      </c>
      <c r="G10" s="14">
        <v>12058</v>
      </c>
      <c r="H10">
        <v>15113</v>
      </c>
      <c r="I10">
        <v>363</v>
      </c>
      <c r="J10" s="1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9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>
      <c r="A11" s="30" t="s">
        <v>22</v>
      </c>
      <c r="B11">
        <v>17990</v>
      </c>
      <c r="C11">
        <v>1166</v>
      </c>
      <c r="D11" s="14">
        <v>7137</v>
      </c>
      <c r="E11">
        <v>16395</v>
      </c>
      <c r="F11">
        <v>1003</v>
      </c>
      <c r="G11" s="14">
        <v>7423</v>
      </c>
      <c r="H11">
        <v>18181</v>
      </c>
      <c r="I11">
        <v>1223</v>
      </c>
      <c r="J11" s="1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9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>
      <c r="A12" s="30" t="s">
        <v>23</v>
      </c>
      <c r="B12">
        <v>15117</v>
      </c>
      <c r="C12">
        <v>1613</v>
      </c>
      <c r="D12" s="14">
        <v>5828</v>
      </c>
      <c r="E12">
        <v>14138</v>
      </c>
      <c r="F12">
        <v>1200</v>
      </c>
      <c r="G12" s="14">
        <v>6212</v>
      </c>
      <c r="H12">
        <v>13455</v>
      </c>
      <c r="I12">
        <v>1400</v>
      </c>
      <c r="J12" s="1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9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>
      <c r="A13" s="30" t="s">
        <v>24</v>
      </c>
      <c r="B13">
        <v>11154</v>
      </c>
      <c r="C13">
        <v>731</v>
      </c>
      <c r="D13" s="14">
        <v>8008</v>
      </c>
      <c r="E13">
        <v>11502</v>
      </c>
      <c r="F13">
        <v>499</v>
      </c>
      <c r="G13" s="14">
        <v>8953</v>
      </c>
      <c r="H13">
        <v>12031</v>
      </c>
      <c r="I13">
        <v>641</v>
      </c>
      <c r="J13" s="1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9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>
      <c r="A14" s="30" t="s">
        <v>25</v>
      </c>
      <c r="B14">
        <v>11022</v>
      </c>
      <c r="C14">
        <v>550</v>
      </c>
      <c r="D14" s="14">
        <v>9000</v>
      </c>
      <c r="E14">
        <v>14644</v>
      </c>
      <c r="F14">
        <v>780</v>
      </c>
      <c r="G14" s="14">
        <v>8670</v>
      </c>
      <c r="H14">
        <v>13112</v>
      </c>
      <c r="I14">
        <v>474</v>
      </c>
      <c r="J14" s="1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9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>
      <c r="A15" s="30" t="s">
        <v>26</v>
      </c>
      <c r="B15">
        <v>8905</v>
      </c>
      <c r="C15">
        <v>469</v>
      </c>
      <c r="D15" s="14">
        <v>6026</v>
      </c>
      <c r="E15">
        <v>8796</v>
      </c>
      <c r="F15">
        <v>316</v>
      </c>
      <c r="G15" s="14">
        <v>6251</v>
      </c>
      <c r="H15">
        <v>9096</v>
      </c>
      <c r="I15">
        <v>620</v>
      </c>
      <c r="J15" s="1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9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>
      <c r="A16" s="30" t="s">
        <v>27</v>
      </c>
      <c r="B16">
        <v>16735</v>
      </c>
      <c r="C16">
        <v>800</v>
      </c>
      <c r="D16" s="14">
        <v>10149</v>
      </c>
      <c r="E16">
        <v>17503</v>
      </c>
      <c r="F16">
        <v>1083</v>
      </c>
      <c r="G16" s="14">
        <v>10507</v>
      </c>
      <c r="H16">
        <v>18207</v>
      </c>
      <c r="I16">
        <v>1176</v>
      </c>
      <c r="J16" s="1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9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>
      <c r="A17" s="30" t="s">
        <v>28</v>
      </c>
      <c r="B17">
        <v>3635</v>
      </c>
      <c r="C17">
        <v>96</v>
      </c>
      <c r="D17" s="14">
        <v>2050</v>
      </c>
      <c r="E17">
        <v>2337</v>
      </c>
      <c r="F17">
        <v>90</v>
      </c>
      <c r="G17" s="14">
        <v>1585</v>
      </c>
      <c r="H17">
        <v>3579</v>
      </c>
      <c r="I17">
        <v>184</v>
      </c>
      <c r="J17" s="1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9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>
      <c r="A18" s="30" t="s">
        <v>29</v>
      </c>
      <c r="B18">
        <v>15627</v>
      </c>
      <c r="C18">
        <v>1996</v>
      </c>
      <c r="D18" s="14">
        <v>9397</v>
      </c>
      <c r="E18">
        <v>15357</v>
      </c>
      <c r="F18">
        <v>1908</v>
      </c>
      <c r="G18" s="14">
        <v>9702</v>
      </c>
      <c r="H18">
        <v>14634</v>
      </c>
      <c r="I18">
        <v>1584</v>
      </c>
      <c r="J18" s="1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9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>
      <c r="A19" s="30" t="s">
        <v>30</v>
      </c>
      <c r="B19">
        <v>7270</v>
      </c>
      <c r="C19">
        <v>150</v>
      </c>
      <c r="D19" s="14">
        <v>8948</v>
      </c>
      <c r="E19">
        <v>7119</v>
      </c>
      <c r="F19">
        <v>349</v>
      </c>
      <c r="G19" s="14">
        <v>8520</v>
      </c>
      <c r="H19">
        <v>7158</v>
      </c>
      <c r="I19">
        <v>120</v>
      </c>
      <c r="J19" s="1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9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>
      <c r="A20" t="s">
        <v>31</v>
      </c>
      <c r="B20">
        <v>5955</v>
      </c>
      <c r="C20">
        <v>260</v>
      </c>
      <c r="D20" s="14">
        <v>5931</v>
      </c>
      <c r="E20">
        <v>5612</v>
      </c>
      <c r="F20">
        <v>233</v>
      </c>
      <c r="G20" s="14">
        <v>5128</v>
      </c>
      <c r="H20">
        <v>5977</v>
      </c>
      <c r="I20">
        <v>210</v>
      </c>
      <c r="J20" s="1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9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>
      <c r="A21" s="30" t="s">
        <v>32</v>
      </c>
      <c r="B21">
        <v>7666</v>
      </c>
      <c r="C21">
        <v>274</v>
      </c>
      <c r="D21" s="14">
        <v>6624</v>
      </c>
      <c r="E21">
        <v>5060</v>
      </c>
      <c r="F21">
        <v>369</v>
      </c>
      <c r="G21" s="14">
        <v>5174</v>
      </c>
      <c r="H21">
        <v>7099</v>
      </c>
      <c r="I21">
        <v>230</v>
      </c>
      <c r="J21" s="1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9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>
      <c r="A22" s="30" t="s">
        <v>33</v>
      </c>
      <c r="B22">
        <v>10857</v>
      </c>
      <c r="C22">
        <v>281</v>
      </c>
      <c r="D22" s="14">
        <v>4396</v>
      </c>
      <c r="E22">
        <v>10547</v>
      </c>
      <c r="F22">
        <v>281</v>
      </c>
      <c r="G22" s="14">
        <v>4979</v>
      </c>
      <c r="H22">
        <v>10799</v>
      </c>
      <c r="I22">
        <v>333</v>
      </c>
      <c r="J22" s="1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9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>
      <c r="A23" s="30" t="s">
        <v>34</v>
      </c>
      <c r="B23">
        <v>9873</v>
      </c>
      <c r="C23">
        <v>370</v>
      </c>
      <c r="D23" s="14">
        <v>7076</v>
      </c>
      <c r="E23">
        <v>11069</v>
      </c>
      <c r="F23">
        <v>652</v>
      </c>
      <c r="G23" s="14">
        <v>6853</v>
      </c>
      <c r="H23">
        <v>10500</v>
      </c>
      <c r="I23">
        <v>637</v>
      </c>
      <c r="J23" s="1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9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>
      <c r="A24" s="30" t="s">
        <v>35</v>
      </c>
      <c r="B24">
        <v>6405</v>
      </c>
      <c r="C24">
        <v>363</v>
      </c>
      <c r="D24" s="14">
        <v>1389</v>
      </c>
      <c r="E24">
        <v>5995</v>
      </c>
      <c r="F24">
        <v>268</v>
      </c>
      <c r="G24" s="14">
        <v>1708</v>
      </c>
      <c r="H24">
        <v>5819</v>
      </c>
      <c r="I24">
        <v>248</v>
      </c>
      <c r="J24" s="1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9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>
      <c r="A25" t="s">
        <v>36</v>
      </c>
      <c r="B25">
        <v>210616</v>
      </c>
      <c r="C25">
        <v>12324.3</v>
      </c>
      <c r="D25" s="14">
        <v>95902.1</v>
      </c>
      <c r="E25">
        <v>199893.6</v>
      </c>
      <c r="F25">
        <v>9835.9000000000015</v>
      </c>
      <c r="G25" s="14">
        <v>101383.6</v>
      </c>
      <c r="H25">
        <v>198526.40000000002</v>
      </c>
      <c r="I25">
        <v>11343.8</v>
      </c>
      <c r="J25" s="1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9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>
      <c r="A26" s="31" t="s">
        <v>37</v>
      </c>
      <c r="B26">
        <v>11649</v>
      </c>
      <c r="C26">
        <v>802</v>
      </c>
      <c r="D26" s="14">
        <v>5956</v>
      </c>
      <c r="E26">
        <v>10414</v>
      </c>
      <c r="F26">
        <v>536</v>
      </c>
      <c r="G26" s="14">
        <v>6713</v>
      </c>
      <c r="H26">
        <v>10593</v>
      </c>
      <c r="I26">
        <v>554</v>
      </c>
      <c r="J26" s="1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9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>
      <c r="A27" s="31" t="s">
        <v>38</v>
      </c>
      <c r="B27">
        <v>7718</v>
      </c>
      <c r="C27">
        <v>876</v>
      </c>
      <c r="D27" s="14">
        <v>8432</v>
      </c>
      <c r="E27">
        <v>7282</v>
      </c>
      <c r="F27">
        <v>775</v>
      </c>
      <c r="G27" s="14">
        <v>8242</v>
      </c>
      <c r="H27">
        <v>6409</v>
      </c>
      <c r="I27">
        <v>654</v>
      </c>
      <c r="J27" s="1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9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>
      <c r="A28" s="31" t="s">
        <v>39</v>
      </c>
      <c r="B28">
        <v>15033</v>
      </c>
      <c r="C28">
        <v>469</v>
      </c>
      <c r="D28" s="14">
        <v>3512</v>
      </c>
      <c r="E28">
        <v>15064</v>
      </c>
      <c r="F28">
        <v>392</v>
      </c>
      <c r="G28" s="14">
        <v>3488</v>
      </c>
      <c r="H28">
        <v>12724</v>
      </c>
      <c r="I28">
        <v>530</v>
      </c>
      <c r="J28" s="1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9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>
      <c r="A29" s="31" t="s">
        <v>40</v>
      </c>
      <c r="B29">
        <v>21579</v>
      </c>
      <c r="C29">
        <v>920</v>
      </c>
      <c r="D29" s="14">
        <v>7461</v>
      </c>
      <c r="E29">
        <v>20686</v>
      </c>
      <c r="F29">
        <v>653</v>
      </c>
      <c r="G29" s="14">
        <v>8589</v>
      </c>
      <c r="H29">
        <v>20478</v>
      </c>
      <c r="I29">
        <v>658</v>
      </c>
      <c r="J29" s="1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9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>
      <c r="A30" s="31" t="s">
        <v>41</v>
      </c>
      <c r="B30">
        <v>27210.600000000002</v>
      </c>
      <c r="C30">
        <v>2903.4</v>
      </c>
      <c r="D30" s="14">
        <v>10490.4</v>
      </c>
      <c r="E30">
        <v>25448.400000000001</v>
      </c>
      <c r="F30">
        <v>2160</v>
      </c>
      <c r="G30" s="14">
        <v>11181.6</v>
      </c>
      <c r="H30">
        <v>24219</v>
      </c>
      <c r="I30">
        <v>2520</v>
      </c>
      <c r="J30" s="1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9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>
      <c r="A31" s="31" t="s">
        <v>42</v>
      </c>
      <c r="B31">
        <v>18700.5</v>
      </c>
      <c r="C31">
        <v>984.90000000000009</v>
      </c>
      <c r="D31" s="14">
        <v>12654.6</v>
      </c>
      <c r="E31">
        <v>18471.600000000002</v>
      </c>
      <c r="F31">
        <v>663.6</v>
      </c>
      <c r="G31" s="14">
        <v>13127.1</v>
      </c>
      <c r="H31">
        <v>19101.600000000002</v>
      </c>
      <c r="I31">
        <v>1302</v>
      </c>
      <c r="J31" s="1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9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>
      <c r="A32" s="31" t="s">
        <v>43</v>
      </c>
      <c r="B32">
        <v>45315.9</v>
      </c>
      <c r="C32">
        <v>1932</v>
      </c>
      <c r="D32" s="14">
        <v>15668.1</v>
      </c>
      <c r="E32">
        <v>43440.6</v>
      </c>
      <c r="F32">
        <v>1371.3</v>
      </c>
      <c r="G32" s="14">
        <v>18036.900000000001</v>
      </c>
      <c r="H32">
        <v>43003.8</v>
      </c>
      <c r="I32">
        <v>1381.8</v>
      </c>
      <c r="J32" s="1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9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>
      <c r="A33" s="31" t="s">
        <v>44</v>
      </c>
      <c r="B33">
        <v>35980</v>
      </c>
      <c r="C33">
        <v>2332</v>
      </c>
      <c r="D33" s="14">
        <v>14274</v>
      </c>
      <c r="E33">
        <v>32790</v>
      </c>
      <c r="F33">
        <v>2006</v>
      </c>
      <c r="G33" s="14">
        <v>14846</v>
      </c>
      <c r="H33">
        <v>36362</v>
      </c>
      <c r="I33">
        <v>2446</v>
      </c>
      <c r="J33" s="1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9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>
      <c r="A34" s="31" t="s">
        <v>45</v>
      </c>
      <c r="B34">
        <v>7657</v>
      </c>
      <c r="C34">
        <v>276</v>
      </c>
      <c r="D34" s="14">
        <v>5353</v>
      </c>
      <c r="E34">
        <v>5307</v>
      </c>
      <c r="F34">
        <v>170</v>
      </c>
      <c r="G34" s="14">
        <v>4710</v>
      </c>
      <c r="H34">
        <v>6431</v>
      </c>
      <c r="I34">
        <v>179</v>
      </c>
      <c r="J34" s="1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9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>
      <c r="A35" s="31" t="s">
        <v>46</v>
      </c>
      <c r="B35">
        <v>8126</v>
      </c>
      <c r="C35">
        <v>321</v>
      </c>
      <c r="D35" s="14">
        <v>6153</v>
      </c>
      <c r="E35">
        <v>9111</v>
      </c>
      <c r="F35">
        <v>567</v>
      </c>
      <c r="G35" s="14">
        <v>5959</v>
      </c>
      <c r="H35">
        <v>8642</v>
      </c>
      <c r="I35">
        <v>554</v>
      </c>
      <c r="J35" s="1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9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>
      <c r="A36" s="31" t="s">
        <v>47</v>
      </c>
      <c r="B36">
        <v>5272</v>
      </c>
      <c r="C36">
        <v>316</v>
      </c>
      <c r="D36" s="14">
        <v>1207</v>
      </c>
      <c r="E36">
        <v>4934</v>
      </c>
      <c r="F36">
        <v>233</v>
      </c>
      <c r="G36" s="14">
        <v>1485</v>
      </c>
      <c r="H36">
        <v>4789</v>
      </c>
      <c r="I36">
        <v>215</v>
      </c>
      <c r="J36" s="1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9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>
      <c r="A37" s="31" t="s">
        <v>48</v>
      </c>
      <c r="B37">
        <v>6375</v>
      </c>
      <c r="C37">
        <v>192</v>
      </c>
      <c r="D37" s="14">
        <v>4741</v>
      </c>
      <c r="E37">
        <v>6945</v>
      </c>
      <c r="F37">
        <v>309</v>
      </c>
      <c r="G37" s="14">
        <v>5006</v>
      </c>
      <c r="H37">
        <v>5774</v>
      </c>
      <c r="I37">
        <v>350</v>
      </c>
      <c r="J37" s="1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9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>
      <c r="A38" t="s">
        <v>49</v>
      </c>
      <c r="B38">
        <v>189978.5</v>
      </c>
      <c r="C38">
        <v>8869.2000000000007</v>
      </c>
      <c r="D38" s="14">
        <v>91467.1</v>
      </c>
      <c r="E38">
        <v>187118.2</v>
      </c>
      <c r="F38">
        <v>7865.9000000000005</v>
      </c>
      <c r="G38" s="14">
        <v>97100.299999999988</v>
      </c>
      <c r="H38">
        <v>181464.8</v>
      </c>
      <c r="I38">
        <v>8122.2</v>
      </c>
      <c r="J38" s="1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9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>
      <c r="A39" s="30" t="s">
        <v>50</v>
      </c>
      <c r="B39">
        <v>6353</v>
      </c>
      <c r="C39">
        <v>762</v>
      </c>
      <c r="D39" s="14">
        <v>7332</v>
      </c>
      <c r="E39">
        <v>5993</v>
      </c>
      <c r="F39">
        <v>674</v>
      </c>
      <c r="G39" s="14">
        <v>7167</v>
      </c>
      <c r="H39">
        <v>5275</v>
      </c>
      <c r="I39">
        <v>568</v>
      </c>
      <c r="J39" s="1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9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>
      <c r="A40" s="30" t="s">
        <v>51</v>
      </c>
      <c r="B40">
        <v>12373</v>
      </c>
      <c r="C40">
        <v>408</v>
      </c>
      <c r="D40" s="14">
        <v>3054</v>
      </c>
      <c r="E40">
        <v>12398</v>
      </c>
      <c r="F40">
        <v>341</v>
      </c>
      <c r="G40" s="14">
        <v>3033</v>
      </c>
      <c r="H40">
        <v>10472</v>
      </c>
      <c r="I40">
        <v>461</v>
      </c>
      <c r="J40" s="1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9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>
      <c r="A41" s="30" t="s">
        <v>52</v>
      </c>
      <c r="B41">
        <v>17760</v>
      </c>
      <c r="C41">
        <v>800</v>
      </c>
      <c r="D41" s="14">
        <v>6488</v>
      </c>
      <c r="E41">
        <v>17025</v>
      </c>
      <c r="F41">
        <v>568</v>
      </c>
      <c r="G41" s="14">
        <v>7469</v>
      </c>
      <c r="H41">
        <v>16854</v>
      </c>
      <c r="I41">
        <v>572</v>
      </c>
      <c r="J41" s="1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9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>
      <c r="A42" s="30" t="s">
        <v>53</v>
      </c>
      <c r="B42">
        <v>30399.599999999999</v>
      </c>
      <c r="C42">
        <v>786.8</v>
      </c>
      <c r="D42" s="14">
        <v>12308.8</v>
      </c>
      <c r="E42">
        <v>29531.599999999999</v>
      </c>
      <c r="F42">
        <v>786.8</v>
      </c>
      <c r="G42" s="14">
        <v>13941.199999999999</v>
      </c>
      <c r="H42">
        <v>30237.199999999997</v>
      </c>
      <c r="I42">
        <v>932.4</v>
      </c>
      <c r="J42" s="1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9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>
      <c r="A43" s="30" t="s">
        <v>54</v>
      </c>
      <c r="B43">
        <v>20400</v>
      </c>
      <c r="C43">
        <v>614.40000000000009</v>
      </c>
      <c r="D43" s="14">
        <v>15171.2</v>
      </c>
      <c r="E43">
        <v>22224</v>
      </c>
      <c r="F43">
        <v>988.80000000000007</v>
      </c>
      <c r="G43" s="14">
        <v>16019.2</v>
      </c>
      <c r="H43">
        <v>18476.8</v>
      </c>
      <c r="I43">
        <v>1120</v>
      </c>
      <c r="J43" s="1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9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>
      <c r="A44" s="30" t="s">
        <v>55</v>
      </c>
      <c r="B44">
        <v>21088</v>
      </c>
      <c r="C44">
        <v>1264</v>
      </c>
      <c r="D44" s="14">
        <v>4828</v>
      </c>
      <c r="E44">
        <v>19736</v>
      </c>
      <c r="F44">
        <v>932</v>
      </c>
      <c r="G44" s="14">
        <v>5940</v>
      </c>
      <c r="H44">
        <v>19156</v>
      </c>
      <c r="I44">
        <v>860</v>
      </c>
      <c r="J44" s="1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9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>
      <c r="A45" t="s">
        <v>56</v>
      </c>
      <c r="B45">
        <v>23736.9</v>
      </c>
      <c r="C45">
        <v>1012.0000000000001</v>
      </c>
      <c r="D45" s="14">
        <v>8207.1</v>
      </c>
      <c r="E45">
        <v>22754.600000000002</v>
      </c>
      <c r="F45">
        <v>718.30000000000007</v>
      </c>
      <c r="G45" s="14">
        <v>9447.9000000000015</v>
      </c>
      <c r="H45">
        <v>22525.800000000003</v>
      </c>
      <c r="I45">
        <v>723.80000000000007</v>
      </c>
      <c r="J45" s="1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9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>
      <c r="A46" s="30" t="s">
        <v>57</v>
      </c>
      <c r="B46">
        <v>6302</v>
      </c>
      <c r="C46">
        <v>240</v>
      </c>
      <c r="D46" s="14">
        <v>4655</v>
      </c>
      <c r="E46">
        <v>5400</v>
      </c>
      <c r="F46">
        <v>190</v>
      </c>
      <c r="G46" s="14">
        <v>4096</v>
      </c>
      <c r="H46">
        <v>5293</v>
      </c>
      <c r="I46">
        <v>156</v>
      </c>
      <c r="J46" s="1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9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>
      <c r="A47" s="30" t="s">
        <v>58</v>
      </c>
      <c r="B47">
        <v>10675</v>
      </c>
      <c r="C47">
        <v>128</v>
      </c>
      <c r="D47" s="14">
        <v>8210</v>
      </c>
      <c r="E47">
        <v>10133</v>
      </c>
      <c r="F47">
        <v>89</v>
      </c>
      <c r="G47" s="14">
        <v>8179</v>
      </c>
      <c r="H47">
        <v>11178</v>
      </c>
      <c r="I47">
        <v>190</v>
      </c>
      <c r="J47" s="1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9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>
      <c r="A48" s="30" t="s">
        <v>59</v>
      </c>
      <c r="B48">
        <v>13307</v>
      </c>
      <c r="C48">
        <v>862</v>
      </c>
      <c r="D48" s="14">
        <v>5279</v>
      </c>
      <c r="E48">
        <v>12127</v>
      </c>
      <c r="F48">
        <v>742</v>
      </c>
      <c r="G48" s="14">
        <v>5491</v>
      </c>
      <c r="H48">
        <v>13448</v>
      </c>
      <c r="I48">
        <v>905</v>
      </c>
      <c r="J48" s="1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9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>
      <c r="A49" s="30" t="s">
        <v>60</v>
      </c>
      <c r="B49">
        <v>11182</v>
      </c>
      <c r="C49">
        <v>1193</v>
      </c>
      <c r="D49" s="14">
        <v>4311</v>
      </c>
      <c r="E49">
        <v>10457</v>
      </c>
      <c r="F49">
        <v>890</v>
      </c>
      <c r="G49" s="14">
        <v>4595</v>
      </c>
      <c r="H49">
        <v>9952</v>
      </c>
      <c r="I49">
        <v>810</v>
      </c>
      <c r="J49" s="1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9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>
      <c r="A50" s="30" t="s">
        <v>61</v>
      </c>
      <c r="B50">
        <v>8250</v>
      </c>
      <c r="C50">
        <v>541</v>
      </c>
      <c r="D50" s="14">
        <v>5923</v>
      </c>
      <c r="E50">
        <v>8507</v>
      </c>
      <c r="F50">
        <v>369</v>
      </c>
      <c r="G50" s="14">
        <v>6622</v>
      </c>
      <c r="H50">
        <v>8899</v>
      </c>
      <c r="I50">
        <v>474</v>
      </c>
      <c r="J50" s="1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9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>
      <c r="A51" s="30" t="s">
        <v>62</v>
      </c>
      <c r="B51">
        <v>8152</v>
      </c>
      <c r="C51">
        <v>258</v>
      </c>
      <c r="D51" s="14">
        <v>5700</v>
      </c>
      <c r="E51">
        <v>10832</v>
      </c>
      <c r="F51">
        <v>577</v>
      </c>
      <c r="G51" s="14">
        <v>5100</v>
      </c>
      <c r="H51">
        <v>9698</v>
      </c>
      <c r="I51">
        <v>350</v>
      </c>
      <c r="J51" s="1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9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23676-DEDF-4B0A-A6EB-6F5BED6E7D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Calculation</vt:lpstr>
      <vt:lpstr>Data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dashboard is part of my online Excel Dashboard course on Udemy.com called "visually effective Excel Dashboards"</dc:description>
  <cp:lastModifiedBy>acer</cp:lastModifiedBy>
  <cp:lastPrinted>2017-04-12T18:36:06Z</cp:lastPrinted>
  <dcterms:created xsi:type="dcterms:W3CDTF">2017-03-13T09:30:03Z</dcterms:created>
  <dcterms:modified xsi:type="dcterms:W3CDTF">2025-03-11T16:24:04Z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