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_nifty500list1" sheetId="1" r:id="rId3"/>
  </sheets>
  <definedNames/>
  <calcPr/>
</workbook>
</file>

<file path=xl/sharedStrings.xml><?xml version="1.0" encoding="utf-8"?>
<sst xmlns="http://schemas.openxmlformats.org/spreadsheetml/2006/main" count="2014" uniqueCount="1034">
  <si>
    <t>Company Name</t>
  </si>
  <si>
    <t>Industry</t>
  </si>
  <si>
    <t>Symbol</t>
  </si>
  <si>
    <t>Cash/FNO</t>
  </si>
  <si>
    <t>Price</t>
  </si>
  <si>
    <t>Change ABS</t>
  </si>
  <si>
    <t>Change In %</t>
  </si>
  <si>
    <t>Market Cap</t>
  </si>
  <si>
    <t>NIFTY</t>
  </si>
  <si>
    <t>NIFTY %</t>
  </si>
  <si>
    <t>3M India Ltd.</t>
  </si>
  <si>
    <t>CONSUMER GOODS</t>
  </si>
  <si>
    <t>NSE:3MINDIA</t>
  </si>
  <si>
    <t>Only Cash</t>
  </si>
  <si>
    <t>ABB India Ltd.</t>
  </si>
  <si>
    <t>INDUSTRIAL MANUFACTURING</t>
  </si>
  <si>
    <t>NSE:ABB</t>
  </si>
  <si>
    <t>ABB Power Products and Systems India Ltd.</t>
  </si>
  <si>
    <t>NSE:POWERINDIA</t>
  </si>
  <si>
    <t>ACC Ltd.</t>
  </si>
  <si>
    <t>CEMENT &amp; CEMENT PRODUCTS</t>
  </si>
  <si>
    <t>NSE:ACC</t>
  </si>
  <si>
    <t>FNO</t>
  </si>
  <si>
    <t>AIA Engineering Ltd.</t>
  </si>
  <si>
    <t>NSE:AIAENG</t>
  </si>
  <si>
    <t>APL Apollo Tubes Ltd.</t>
  </si>
  <si>
    <t>METALS</t>
  </si>
  <si>
    <t>NSE:APLAPOLLO</t>
  </si>
  <si>
    <t>AU Small Finance Bank Ltd.</t>
  </si>
  <si>
    <t>FINANCIAL SERVICES</t>
  </si>
  <si>
    <t>NSE:AUBANK</t>
  </si>
  <si>
    <t>Aarti Drugs Ltd.</t>
  </si>
  <si>
    <t>PHARMA</t>
  </si>
  <si>
    <t>NSE:AARTIDRUGS</t>
  </si>
  <si>
    <t>Aarti Industries Ltd.</t>
  </si>
  <si>
    <t>CHEMICALS</t>
  </si>
  <si>
    <t>NSE:AARTIIND</t>
  </si>
  <si>
    <t>Aavas Financiers Ltd.</t>
  </si>
  <si>
    <t>NSE:AAVAS</t>
  </si>
  <si>
    <t>Abbott India Ltd.</t>
  </si>
  <si>
    <t>NSE:ABBOTINDIA</t>
  </si>
  <si>
    <t>Adani Enterprises Ltd.</t>
  </si>
  <si>
    <t>NSE:ADANIENT</t>
  </si>
  <si>
    <t>Adani Green Energy Ltd.</t>
  </si>
  <si>
    <t>POWER</t>
  </si>
  <si>
    <t>NSE:ADANIGREEN</t>
  </si>
  <si>
    <t>Adani Ports and Special Economic Zone Ltd.</t>
  </si>
  <si>
    <t>SERVICES</t>
  </si>
  <si>
    <t>NSE:ADANIPORTS</t>
  </si>
  <si>
    <t>Adani Total Gas Ltd.</t>
  </si>
  <si>
    <t>OIL &amp; GAS</t>
  </si>
  <si>
    <t>NSE:ATGL</t>
  </si>
  <si>
    <t>Adani Transmission Ltd.</t>
  </si>
  <si>
    <t>NSE:ADANITRANS</t>
  </si>
  <si>
    <t>Aditya Birla Capital Ltd.</t>
  </si>
  <si>
    <t>NSE:ABCAPITAL</t>
  </si>
  <si>
    <t>Aditya Birla Fashion and Retail Ltd.</t>
  </si>
  <si>
    <t>CONSUMER SERVICES</t>
  </si>
  <si>
    <t>NSE:ABFRL</t>
  </si>
  <si>
    <t>Advanced Enzyme Tech Ltd.</t>
  </si>
  <si>
    <t>NSE:ADVENZYMES</t>
  </si>
  <si>
    <t>Aegis Logistics Ltd.</t>
  </si>
  <si>
    <t>NSE:AEGISCHEM</t>
  </si>
  <si>
    <t>Affle (India) Ltd.</t>
  </si>
  <si>
    <t>IT</t>
  </si>
  <si>
    <t>NSE:AFFLE</t>
  </si>
  <si>
    <t>Ajanta Pharmaceuticals Ltd.</t>
  </si>
  <si>
    <t>NSE:AJANTPHARM</t>
  </si>
  <si>
    <t>Akzo Nobel India Ltd.</t>
  </si>
  <si>
    <t>NSE:AKZOINDIA</t>
  </si>
  <si>
    <t>Alembic Ltd.</t>
  </si>
  <si>
    <t>NSE:ALEMBICLTD</t>
  </si>
  <si>
    <t>Alembic Pharmaceuticals Ltd.</t>
  </si>
  <si>
    <t>NSE:APLLTD</t>
  </si>
  <si>
    <t>Alkem Laboratories Ltd.</t>
  </si>
  <si>
    <t>NSE:ALKEM</t>
  </si>
  <si>
    <t>Alkyl Amines Chemicals Ltd.</t>
  </si>
  <si>
    <t>NSE:ALKYLAMINE</t>
  </si>
  <si>
    <t>Alok Industries Ltd.</t>
  </si>
  <si>
    <t>TEXTILES</t>
  </si>
  <si>
    <t>NSE:ALOKINDS</t>
  </si>
  <si>
    <t>Amara Raja Batteries Ltd.</t>
  </si>
  <si>
    <t>AUTOMOBILE</t>
  </si>
  <si>
    <t>NSE:AMARAJABAT</t>
  </si>
  <si>
    <t>Amber Enterprises India Ltd.</t>
  </si>
  <si>
    <t>NSE:AMBER</t>
  </si>
  <si>
    <t>Ambuja Cements Ltd.</t>
  </si>
  <si>
    <t>NSE:AMBUJACEM</t>
  </si>
  <si>
    <t>Angel Broking Ltd.</t>
  </si>
  <si>
    <t>NSE:ANGELBRKG</t>
  </si>
  <si>
    <t>Apollo Hospitals Enterprise Ltd.</t>
  </si>
  <si>
    <t>HEALTHCARE SERVICES</t>
  </si>
  <si>
    <t>NSE:APOLLOHOSP</t>
  </si>
  <si>
    <t>Apollo Tyres Ltd.</t>
  </si>
  <si>
    <t>NSE:APOLLOTYRE</t>
  </si>
  <si>
    <t>Asahi India Glass Ltd.</t>
  </si>
  <si>
    <t>NSE:ASAHIINDIA</t>
  </si>
  <si>
    <t>Ashok Leyland Ltd.</t>
  </si>
  <si>
    <t>NSE:ASHOKLEY</t>
  </si>
  <si>
    <t>Ashoka Buildcon Ltd.</t>
  </si>
  <si>
    <t>CONSTRUCTION</t>
  </si>
  <si>
    <t>NSE:ASHOKA</t>
  </si>
  <si>
    <t>Asian Paints Ltd.</t>
  </si>
  <si>
    <t>NSE:ASIANPAINT</t>
  </si>
  <si>
    <t>Aster DM Healthcare Ltd.</t>
  </si>
  <si>
    <t>NSE:ASTERDM</t>
  </si>
  <si>
    <t>AstraZenca Pharma India Ltd.</t>
  </si>
  <si>
    <t>NSE:ASTRAZEN</t>
  </si>
  <si>
    <t>Astral Poly Technik Ltd.</t>
  </si>
  <si>
    <t>NSE:ASTRAL</t>
  </si>
  <si>
    <t>Atul Ltd.</t>
  </si>
  <si>
    <t>NSE:ATUL</t>
  </si>
  <si>
    <t>Aurobindo Pharma Ltd.</t>
  </si>
  <si>
    <t>NSE:AUROPHARMA</t>
  </si>
  <si>
    <t>Avanti Feeds Ltd.</t>
  </si>
  <si>
    <t>NSE:AVANTIFEED</t>
  </si>
  <si>
    <t>Avenue Supermarts Ltd.</t>
  </si>
  <si>
    <t>NSE:DMART</t>
  </si>
  <si>
    <t>Axis Bank Ltd.</t>
  </si>
  <si>
    <t>NSE:AXISBANK</t>
  </si>
  <si>
    <t>BASF India Ltd.</t>
  </si>
  <si>
    <t>NSE:BASF</t>
  </si>
  <si>
    <t>BEML Ltd.</t>
  </si>
  <si>
    <t>NSE:BEML</t>
  </si>
  <si>
    <t>BSE Ltd.</t>
  </si>
  <si>
    <t>NSE:BSE</t>
  </si>
  <si>
    <t>Bajaj Auto Ltd.</t>
  </si>
  <si>
    <t>NSE:BAJAJ-AUTO</t>
  </si>
  <si>
    <t>Bajaj Consumer Care Ltd.</t>
  </si>
  <si>
    <t>NSE:BAJAJCON</t>
  </si>
  <si>
    <t>Bajaj Electricals Ltd</t>
  </si>
  <si>
    <t>NSE:BAJAJELEC</t>
  </si>
  <si>
    <t>Bajaj Finance Ltd.</t>
  </si>
  <si>
    <t>NSE:BAJFINANCE</t>
  </si>
  <si>
    <t>Bajaj Finserv Ltd.</t>
  </si>
  <si>
    <t>NSE:BAJAJFINSV</t>
  </si>
  <si>
    <t>Bajaj Holdings &amp; Investment Ltd.</t>
  </si>
  <si>
    <t>NSE:BAJAJHLDNG</t>
  </si>
  <si>
    <t>Balaji Amines Ltd.</t>
  </si>
  <si>
    <t>NSE:BALAMINES</t>
  </si>
  <si>
    <t>Balkrishna Industries Ltd.</t>
  </si>
  <si>
    <t>NSE:BALKRISIND</t>
  </si>
  <si>
    <t>Balmer Lawrie &amp; Co. Ltd.</t>
  </si>
  <si>
    <t>NSE:BALMLAWRIE</t>
  </si>
  <si>
    <t>Balrampur Chini Mills Ltd.</t>
  </si>
  <si>
    <t>NSE:BALRAMCHIN</t>
  </si>
  <si>
    <t>Bandhan Bank Ltd.</t>
  </si>
  <si>
    <t>NSE:BANDHANBNK</t>
  </si>
  <si>
    <t>Bank of Baroda</t>
  </si>
  <si>
    <t>NSE:BANKBARODA</t>
  </si>
  <si>
    <t>Bank of India</t>
  </si>
  <si>
    <t>NSE:BANKINDIA</t>
  </si>
  <si>
    <t>Bank of Maharashtra.</t>
  </si>
  <si>
    <t>NSE:MAHABANK</t>
  </si>
  <si>
    <t>Bata India Ltd.</t>
  </si>
  <si>
    <t>NSE:BATAINDIA</t>
  </si>
  <si>
    <t>Bayer Cropscience Ltd.</t>
  </si>
  <si>
    <t>FERTILISERS &amp; PESTICIDES</t>
  </si>
  <si>
    <t>NSE:BAYERCROP</t>
  </si>
  <si>
    <t>Berger Paints India Ltd.</t>
  </si>
  <si>
    <t>NSE:BERGEPAINT</t>
  </si>
  <si>
    <t>Bharat Dynamics Ltd.</t>
  </si>
  <si>
    <t>NSE:BDL</t>
  </si>
  <si>
    <t>Bharat Electronics Ltd.</t>
  </si>
  <si>
    <t>NSE:BEL</t>
  </si>
  <si>
    <t>Bharat Forge Ltd.</t>
  </si>
  <si>
    <t>NSE:BHARATFORG</t>
  </si>
  <si>
    <t>Bharat Heavy Electricals Ltd.</t>
  </si>
  <si>
    <t>NSE:BHEL</t>
  </si>
  <si>
    <t>Bharat Petroleum Corporation Ltd.</t>
  </si>
  <si>
    <t>NSE:BPCL</t>
  </si>
  <si>
    <t>Bharat Rasayan Ltd.</t>
  </si>
  <si>
    <t>NSE:BHARATRAS</t>
  </si>
  <si>
    <t>Bharti Airtel Ltd.</t>
  </si>
  <si>
    <t>TELECOM</t>
  </si>
  <si>
    <t>NSE:BHARTIARTL</t>
  </si>
  <si>
    <t>Biocon Ltd.</t>
  </si>
  <si>
    <t>NSE:BIOCON</t>
  </si>
  <si>
    <t>Birla Corporation Ltd.</t>
  </si>
  <si>
    <t>NSE:BIRLACORPN</t>
  </si>
  <si>
    <t>Birlasoft Ltd.</t>
  </si>
  <si>
    <t>NSE:BSOFT</t>
  </si>
  <si>
    <t>Bliss GVS Pharma Ltd.</t>
  </si>
  <si>
    <t>NSE:BLISSGVS</t>
  </si>
  <si>
    <t>Blue Dart Express Ltd.</t>
  </si>
  <si>
    <t>NSE:BLUEDART</t>
  </si>
  <si>
    <t>Blue Star Ltd.</t>
  </si>
  <si>
    <t>NSE:BLUESTARCO</t>
  </si>
  <si>
    <t>Bombay Burmah Trading Corporation Ltd.</t>
  </si>
  <si>
    <t>NSE:BBTC</t>
  </si>
  <si>
    <t>Bosch Ltd.</t>
  </si>
  <si>
    <t>NSE:BOSCHLTD</t>
  </si>
  <si>
    <t>Brigade Enterprises Ltd.</t>
  </si>
  <si>
    <t>NSE:BRIGADE</t>
  </si>
  <si>
    <t>Britannia Industries Ltd.</t>
  </si>
  <si>
    <t>NSE:BRITANNIA</t>
  </si>
  <si>
    <t>CCL Products (I) Ltd.</t>
  </si>
  <si>
    <t>NSE:CCL</t>
  </si>
  <si>
    <t>CESC Ltd.</t>
  </si>
  <si>
    <t>NSE:CESC</t>
  </si>
  <si>
    <t>CRISIL Ltd.</t>
  </si>
  <si>
    <t>NSE:CRISIL</t>
  </si>
  <si>
    <t>CSB Bank Ltd.</t>
  </si>
  <si>
    <t>NSE:CSBBANK</t>
  </si>
  <si>
    <t>Cadila Healthcare Ltd.</t>
  </si>
  <si>
    <t>NSE:CADILAHC</t>
  </si>
  <si>
    <t>Can Fin Homes Ltd.</t>
  </si>
  <si>
    <t>NSE:CANFINHOME</t>
  </si>
  <si>
    <t>Canara Bank</t>
  </si>
  <si>
    <t>NSE:CANBK</t>
  </si>
  <si>
    <t>Caplin Point Laboratories Ltd.</t>
  </si>
  <si>
    <t>NSE:CAPLIPOINT</t>
  </si>
  <si>
    <t>Capri Global Capital Ltd.</t>
  </si>
  <si>
    <t>NSE:CGCL</t>
  </si>
  <si>
    <t>Carborundum Universal Ltd.</t>
  </si>
  <si>
    <t>NSE:CARBORUNIV</t>
  </si>
  <si>
    <t>Castrol India Ltd.</t>
  </si>
  <si>
    <t>NSE:CASTROLIND</t>
  </si>
  <si>
    <t>Ceat Ltd.</t>
  </si>
  <si>
    <t>NSE:CEATLTD</t>
  </si>
  <si>
    <t>Central Bank of India</t>
  </si>
  <si>
    <t>NSE:CENTRALBK</t>
  </si>
  <si>
    <t>Central Depository Services (India) Ltd.</t>
  </si>
  <si>
    <t>NSE:CDSL</t>
  </si>
  <si>
    <t>Century Plyboards (India) Ltd.</t>
  </si>
  <si>
    <t>NSE:CENTURYPLY</t>
  </si>
  <si>
    <t>Century Textile &amp; Industries Ltd.</t>
  </si>
  <si>
    <t>PAPER AND JUTE</t>
  </si>
  <si>
    <t>NSE:CENTURYTEX</t>
  </si>
  <si>
    <t>Cera Sanitaryware Ltd</t>
  </si>
  <si>
    <t>NSE:CERA</t>
  </si>
  <si>
    <t>Chalet Hotels Ltd.</t>
  </si>
  <si>
    <t>NSE:CHALET</t>
  </si>
  <si>
    <t>Chambal Fertilizers &amp; Chemicals Ltd.</t>
  </si>
  <si>
    <t>NSE:CHAMBLFERT</t>
  </si>
  <si>
    <t>Cholamandalam Financial Holdings Ltd.</t>
  </si>
  <si>
    <t>NSE:CHOLAHLDNG</t>
  </si>
  <si>
    <t>Cholamandalam Investment and Finance Company Ltd.</t>
  </si>
  <si>
    <t>NSE:CHOLAFIN</t>
  </si>
  <si>
    <t>Cipla Ltd.</t>
  </si>
  <si>
    <t>NSE:CIPLA</t>
  </si>
  <si>
    <t>City Union Bank Ltd.</t>
  </si>
  <si>
    <t>NSE:CUB</t>
  </si>
  <si>
    <t>Coal India Ltd.</t>
  </si>
  <si>
    <t>NSE:COALINDIA</t>
  </si>
  <si>
    <t>Cochin Shipyard Ltd.</t>
  </si>
  <si>
    <t>NSE:COCHINSHIP</t>
  </si>
  <si>
    <t>Coforge Ltd.</t>
  </si>
  <si>
    <t>NSE:COFORGE</t>
  </si>
  <si>
    <t>Colgate Palmolive (India) Ltd.</t>
  </si>
  <si>
    <t>NSE:COLPAL</t>
  </si>
  <si>
    <t>Computer Age Management Services Ltd.</t>
  </si>
  <si>
    <t>NSE:CAMS</t>
  </si>
  <si>
    <t>Container Corporation of India Ltd.</t>
  </si>
  <si>
    <t>NSE:CONCOR</t>
  </si>
  <si>
    <t>Coromandel International Ltd.</t>
  </si>
  <si>
    <t>NSE:COROMANDEL</t>
  </si>
  <si>
    <t>CreditAccess Grameen Ltd.</t>
  </si>
  <si>
    <t>NSE:CREDITACC</t>
  </si>
  <si>
    <t>Crompton Greaves Consumer Electricals Ltd.</t>
  </si>
  <si>
    <t>NSE:CROMPTON</t>
  </si>
  <si>
    <t>Cummins India Ltd.</t>
  </si>
  <si>
    <t>NSE:CUMMINSIND</t>
  </si>
  <si>
    <t>Cyient Ltd.</t>
  </si>
  <si>
    <t>NSE:CYIENT</t>
  </si>
  <si>
    <t>DCB Bank Ltd.</t>
  </si>
  <si>
    <t>NSE:DCBBANK</t>
  </si>
  <si>
    <t>DCM Shriram Ltd.</t>
  </si>
  <si>
    <t>NSE:DCMSHRIRAM</t>
  </si>
  <si>
    <t>DLF Ltd.</t>
  </si>
  <si>
    <t>NSE:DLF</t>
  </si>
  <si>
    <t>Dabur India Ltd.</t>
  </si>
  <si>
    <t>NSE:DABUR</t>
  </si>
  <si>
    <t>Dalmia Bharat Ltd.</t>
  </si>
  <si>
    <t>NSE:DALBHARAT</t>
  </si>
  <si>
    <t>Deepak Nitrite Ltd.</t>
  </si>
  <si>
    <t>NSE:DEEPAKNTR</t>
  </si>
  <si>
    <t>Delta Corp Ltd.</t>
  </si>
  <si>
    <t>NSE:DELTACORP</t>
  </si>
  <si>
    <t>Dhani Services Ltd.</t>
  </si>
  <si>
    <t>NSE:DHANI</t>
  </si>
  <si>
    <t>Dhanuka Agritech Ltd.</t>
  </si>
  <si>
    <t>NSE:DHANUKA</t>
  </si>
  <si>
    <t>Dilip Buildcon Ltd.</t>
  </si>
  <si>
    <t>NSE:DBL</t>
  </si>
  <si>
    <t>Dish TV India Ltd.</t>
  </si>
  <si>
    <t>MEDIA ENTERTAINMENT &amp; PUBLICATION</t>
  </si>
  <si>
    <t>NSE:DISHTV</t>
  </si>
  <si>
    <t>Dishman Carbogen Amcis Ltd.</t>
  </si>
  <si>
    <t>NSE:DCAL</t>
  </si>
  <si>
    <t>Divi's Laboratories Ltd.</t>
  </si>
  <si>
    <t>NSE:DIVISLAB</t>
  </si>
  <si>
    <t>Dixon Technologies (India) Ltd.</t>
  </si>
  <si>
    <t>NSE:DIXON</t>
  </si>
  <si>
    <t>Dr. Lal Path Labs Ltd.</t>
  </si>
  <si>
    <t>NSE:LALPATHLAB</t>
  </si>
  <si>
    <t>Dr. Reddy's Laboratories Ltd.</t>
  </si>
  <si>
    <t>NSE:DRREDDY</t>
  </si>
  <si>
    <t>E.I.D. Parry (India) Ltd.</t>
  </si>
  <si>
    <t>NSE:EIDPARRY</t>
  </si>
  <si>
    <t>EIH Ltd.</t>
  </si>
  <si>
    <t>NSE:EIHOTEL</t>
  </si>
  <si>
    <t>EPL Ltd.</t>
  </si>
  <si>
    <t>NSE:EPL</t>
  </si>
  <si>
    <t>Edelweiss Financial Services Ltd.</t>
  </si>
  <si>
    <t>NSE:EDELWEISS</t>
  </si>
  <si>
    <t>Eicher Motors Ltd.</t>
  </si>
  <si>
    <t>NSE:EICHERMOT</t>
  </si>
  <si>
    <t>Elgi Equipments Ltd.</t>
  </si>
  <si>
    <t>NSE:ELGIEQUIP</t>
  </si>
  <si>
    <t>Emami Ltd.</t>
  </si>
  <si>
    <t>NSE:EMAMILTD</t>
  </si>
  <si>
    <t>Endurance Technologies Ltd.</t>
  </si>
  <si>
    <t>NSE:ENDURANCE</t>
  </si>
  <si>
    <t>Engineers India Ltd.</t>
  </si>
  <si>
    <t>NSE:ENGINERSIN</t>
  </si>
  <si>
    <t>Equitas Holdings Ltd.</t>
  </si>
  <si>
    <t>NSE:EQUITAS</t>
  </si>
  <si>
    <t>Eris Lifesciences Ltd.</t>
  </si>
  <si>
    <t>NSE:ERIS</t>
  </si>
  <si>
    <t>Escorts Ltd.</t>
  </si>
  <si>
    <t>NSE:ESCORTS</t>
  </si>
  <si>
    <t>Exide Industries Ltd.</t>
  </si>
  <si>
    <t>NSE:EXIDEIND</t>
  </si>
  <si>
    <t>FDC Ltd.</t>
  </si>
  <si>
    <t>NSE:FDC</t>
  </si>
  <si>
    <t>Federal Bank Ltd.</t>
  </si>
  <si>
    <t>NSE:FEDERALBNK</t>
  </si>
  <si>
    <t>Fine Organic Industries Ltd.</t>
  </si>
  <si>
    <t>NSE:FINEORG</t>
  </si>
  <si>
    <t>Finolex Cables Ltd.</t>
  </si>
  <si>
    <t>NSE:FINCABLES</t>
  </si>
  <si>
    <t>Finolex Industries Ltd.</t>
  </si>
  <si>
    <t>NSE:FINPIPE</t>
  </si>
  <si>
    <t>Firstsource Solutions Ltd.</t>
  </si>
  <si>
    <t>NSE:FSL</t>
  </si>
  <si>
    <t>Fortis Healthcare Ltd.</t>
  </si>
  <si>
    <t>NSE:FORTIS</t>
  </si>
  <si>
    <t>Future Consumer Ltd.</t>
  </si>
  <si>
    <t>NSE:FCONSUMER</t>
  </si>
  <si>
    <t>Future Retail Ltd.</t>
  </si>
  <si>
    <t>NSE:FRETAIL</t>
  </si>
  <si>
    <t>GAIL (India) Ltd.</t>
  </si>
  <si>
    <t>NSE:GAIL</t>
  </si>
  <si>
    <t>GE Power India Ltd.</t>
  </si>
  <si>
    <t>NSE:GEPIL</t>
  </si>
  <si>
    <t>GHCL Ltd.</t>
  </si>
  <si>
    <t>NSE:GHCL</t>
  </si>
  <si>
    <t>GMM Pfaudler Ltd.</t>
  </si>
  <si>
    <t>NSE:GMMPFAUDLR</t>
  </si>
  <si>
    <t>GMR Infrastructure Ltd.</t>
  </si>
  <si>
    <t>NSE:GMRINFRA</t>
  </si>
  <si>
    <t>Galaxy Surfactants Ltd.</t>
  </si>
  <si>
    <t>NSE:GALAXYSURF</t>
  </si>
  <si>
    <t>Garden Reach Shipbuilders &amp; Engineers Ltd.</t>
  </si>
  <si>
    <t>NSE:GRSE</t>
  </si>
  <si>
    <t>Garware Technical Fibres Ltd.</t>
  </si>
  <si>
    <t>NSE:GARFIBRES</t>
  </si>
  <si>
    <t>General Insurance Corporation of India</t>
  </si>
  <si>
    <t>NSE:GICRE</t>
  </si>
  <si>
    <t>Gillette India Ltd.</t>
  </si>
  <si>
    <t>NSE:GILLETTE</t>
  </si>
  <si>
    <t>Glaxosmithkline Pharmaceuticals Ltd.</t>
  </si>
  <si>
    <t>NSE:GLAXO</t>
  </si>
  <si>
    <t>Glenmark Pharmaceuticals Ltd.</t>
  </si>
  <si>
    <t>NSE:GLENMARK</t>
  </si>
  <si>
    <t>Godfrey Phillips India Ltd.</t>
  </si>
  <si>
    <t>NSE:GODFRYPHLP</t>
  </si>
  <si>
    <t>Godrej Agrovet Ltd.</t>
  </si>
  <si>
    <t>NSE:GODREJAGRO</t>
  </si>
  <si>
    <t>Godrej Consumer Products Ltd.</t>
  </si>
  <si>
    <t>NSE:GODREJCP</t>
  </si>
  <si>
    <t>Godrej Industries Ltd.</t>
  </si>
  <si>
    <t>NSE:GODREJIND</t>
  </si>
  <si>
    <t>Godrej Properties Ltd.</t>
  </si>
  <si>
    <t>NSE:GODREJPROP</t>
  </si>
  <si>
    <t>Granules India Ltd.</t>
  </si>
  <si>
    <t>NSE:GRANULES</t>
  </si>
  <si>
    <t>Graphite India Ltd.</t>
  </si>
  <si>
    <t>NSE:GRAPHITE</t>
  </si>
  <si>
    <t>Grasim Industries Ltd.</t>
  </si>
  <si>
    <t>NSE:GRASIM</t>
  </si>
  <si>
    <t>Great Eastern Shipping Co. Ltd.</t>
  </si>
  <si>
    <t>NSE:GESHIP</t>
  </si>
  <si>
    <t>Greaves Cotton Ltd.</t>
  </si>
  <si>
    <t>NSE:GREAVESCOT</t>
  </si>
  <si>
    <t>Grindwell Norton Ltd.</t>
  </si>
  <si>
    <t>NSE:GRINDWELL</t>
  </si>
  <si>
    <t>Gujarat Alkalies &amp; Chemicals Ltd.</t>
  </si>
  <si>
    <t>NSE:GUJALKALI</t>
  </si>
  <si>
    <t>Gujarat Ambuja Exports Ltd.</t>
  </si>
  <si>
    <t>NSE:GAEL</t>
  </si>
  <si>
    <t>Gujarat Fluorochemicals Ltd.</t>
  </si>
  <si>
    <t>NSE:FLUOROCHEM</t>
  </si>
  <si>
    <t>Gujarat Gas Ltd.</t>
  </si>
  <si>
    <t>NSE:GUJGASLTD</t>
  </si>
  <si>
    <t>Gujarat Narmada Valley Fertilizers and Chemicals Ltd.</t>
  </si>
  <si>
    <t>NSE:GNFC</t>
  </si>
  <si>
    <t>Gujarat Pipavav Port Ltd.</t>
  </si>
  <si>
    <t>NSE:GPPL</t>
  </si>
  <si>
    <t>Gujarat State Fertilizers &amp; Chemicals Ltd.</t>
  </si>
  <si>
    <t>NSE:GSFC</t>
  </si>
  <si>
    <t>Gujarat State Petronet Ltd.</t>
  </si>
  <si>
    <t>NSE:GSPL</t>
  </si>
  <si>
    <t>Gulf Oil Lubricants India Ltd.</t>
  </si>
  <si>
    <t>NSE:GULFOILLUB</t>
  </si>
  <si>
    <t>H.E.G. Ltd.</t>
  </si>
  <si>
    <t>NSE:HEG</t>
  </si>
  <si>
    <t>HCL Technologies Ltd.</t>
  </si>
  <si>
    <t>NSE:HCLTECH</t>
  </si>
  <si>
    <t>HDFC Asset Management Company Ltd.</t>
  </si>
  <si>
    <t>NSE:HDFCAMC</t>
  </si>
  <si>
    <t>HDFC Bank Ltd.</t>
  </si>
  <si>
    <t>NSE:HDFCBANK</t>
  </si>
  <si>
    <t>HDFC Life Insurance Company Ltd.</t>
  </si>
  <si>
    <t>NSE:HDFCLIFE</t>
  </si>
  <si>
    <t>HFCL Ltd.</t>
  </si>
  <si>
    <t>NSE:HFCL</t>
  </si>
  <si>
    <t>Happiest Minds Technologies Ltd.</t>
  </si>
  <si>
    <t>NSE:HAPPSTMNDS</t>
  </si>
  <si>
    <t>Hatsun Agro Product Ltd.</t>
  </si>
  <si>
    <t>NSE:HATSUN</t>
  </si>
  <si>
    <t>Havells India Ltd.</t>
  </si>
  <si>
    <t>NSE:HAVELLS</t>
  </si>
  <si>
    <t>HeidelbergCement India Ltd.</t>
  </si>
  <si>
    <t>NSE:HEIDELBERG</t>
  </si>
  <si>
    <t>Hemisphere Properties India Ltd.</t>
  </si>
  <si>
    <t>NSE:HEMIPROP</t>
  </si>
  <si>
    <t>Hero MotoCorp Ltd.</t>
  </si>
  <si>
    <t>NSE:HEROMOTOCO</t>
  </si>
  <si>
    <t>Himadri Speciality Chemical Ltd.</t>
  </si>
  <si>
    <t>NSE:HSCL</t>
  </si>
  <si>
    <t>Hindalco Industries Ltd.</t>
  </si>
  <si>
    <t>NSE:HINDALCO</t>
  </si>
  <si>
    <t>Hindustan Aeronautics Ltd.</t>
  </si>
  <si>
    <t>NSE:HAL</t>
  </si>
  <si>
    <t>Hindustan Copper Ltd.</t>
  </si>
  <si>
    <t>NSE:HINDCOPPER</t>
  </si>
  <si>
    <t>Hindustan Petroleum Corporation Ltd.</t>
  </si>
  <si>
    <t>NSE:HINDPETRO</t>
  </si>
  <si>
    <t>Hindustan Unilever Ltd.</t>
  </si>
  <si>
    <t>NSE:HINDUNILVR</t>
  </si>
  <si>
    <t>Hindustan Zinc Ltd.</t>
  </si>
  <si>
    <t>NSE:HINDZINC</t>
  </si>
  <si>
    <t>Honeywell Automation India Ltd.</t>
  </si>
  <si>
    <t>NSE:HONAUT</t>
  </si>
  <si>
    <t>Housing &amp; Urban Development Corporation Ltd.</t>
  </si>
  <si>
    <t>NSE:HUDCO</t>
  </si>
  <si>
    <t>Housing Development Finance Corporation Ltd.</t>
  </si>
  <si>
    <t>NSE:HDFC</t>
  </si>
  <si>
    <t>Huhtamaki India Ltd.</t>
  </si>
  <si>
    <t>NSE:HUHTAMAKI</t>
  </si>
  <si>
    <t>ICICI Bank Ltd.</t>
  </si>
  <si>
    <t>NSE:ICICIBANK</t>
  </si>
  <si>
    <t>ICICI Lombard General Insurance Company Ltd.</t>
  </si>
  <si>
    <t>NSE:ICICIGI</t>
  </si>
  <si>
    <t>ICICI Prudential Life Insurance Company Ltd.</t>
  </si>
  <si>
    <t>NSE:ICICIPRULI</t>
  </si>
  <si>
    <t>ICICI Securities Ltd.</t>
  </si>
  <si>
    <t>NSE:ISEC</t>
  </si>
  <si>
    <t>IDBI Bank Ltd.</t>
  </si>
  <si>
    <t>NSE:IDBI</t>
  </si>
  <si>
    <t>IDFC First Bank Ltd.</t>
  </si>
  <si>
    <t>NSE:IDFCFIRSTB</t>
  </si>
  <si>
    <t>IDFC Ltd.</t>
  </si>
  <si>
    <t>NSE:IDFC</t>
  </si>
  <si>
    <t>IFB Industries Ltd.</t>
  </si>
  <si>
    <t>NSE:IFBIND</t>
  </si>
  <si>
    <t>IIFL Finance Ltd.</t>
  </si>
  <si>
    <t>NSE:IIFL</t>
  </si>
  <si>
    <t>IIFL Wealth Management Ltd.</t>
  </si>
  <si>
    <t>NSE:IIFLWAM</t>
  </si>
  <si>
    <t>IOL Chem and Pharma Ltd.</t>
  </si>
  <si>
    <t>NSE:IOLCP</t>
  </si>
  <si>
    <t>IRB Infrastructure Developers Ltd.</t>
  </si>
  <si>
    <t>NSE:IRB</t>
  </si>
  <si>
    <t>IRCON International Ltd.</t>
  </si>
  <si>
    <t>NSE:IRCON</t>
  </si>
  <si>
    <t>ITC Ltd.</t>
  </si>
  <si>
    <t>NSE:ITC</t>
  </si>
  <si>
    <t>ITI Ltd.</t>
  </si>
  <si>
    <t>NSE:ITI</t>
  </si>
  <si>
    <t>India Cements Ltd.</t>
  </si>
  <si>
    <t>NSE:INDIACEM</t>
  </si>
  <si>
    <t>Indiabulls Housing Finance Ltd.</t>
  </si>
  <si>
    <t>NSE:IBULHSGFIN</t>
  </si>
  <si>
    <t>Indiabulls Real Estate Ltd.</t>
  </si>
  <si>
    <t>NSE:IBREALEST</t>
  </si>
  <si>
    <t>Indiamart Intermesh Ltd.</t>
  </si>
  <si>
    <t>NSE:INDIAMART</t>
  </si>
  <si>
    <t>Indian Bank</t>
  </si>
  <si>
    <t>NSE:INDIANB</t>
  </si>
  <si>
    <t>Indian Energy Exchange Ltd.</t>
  </si>
  <si>
    <t>NSE:IEX</t>
  </si>
  <si>
    <t>Indian Hotels Co. Ltd.</t>
  </si>
  <si>
    <t>NSE:INDHOTEL</t>
  </si>
  <si>
    <t>Indian Oil Corporation Ltd.</t>
  </si>
  <si>
    <t>NSE:IOC</t>
  </si>
  <si>
    <t>Indian Overseas Bank</t>
  </si>
  <si>
    <t>NSE:IOB</t>
  </si>
  <si>
    <t>Indian Railway Catering And Tourism Corporation Ltd.</t>
  </si>
  <si>
    <t>NSE:IRCTC</t>
  </si>
  <si>
    <t>Indo Count Industries Ltd.</t>
  </si>
  <si>
    <t>NSE:ICIL</t>
  </si>
  <si>
    <t>Indoco Remedies Ltd.</t>
  </si>
  <si>
    <t>NSE:INDOCO</t>
  </si>
  <si>
    <t>Indraprastha Gas Ltd.</t>
  </si>
  <si>
    <t>NSE:IGL</t>
  </si>
  <si>
    <t>Indus Towers Ltd.</t>
  </si>
  <si>
    <t>NSE:INDUSTOWER</t>
  </si>
  <si>
    <t>IndusInd Bank Ltd.</t>
  </si>
  <si>
    <t>NSE:INDUSINDBK</t>
  </si>
  <si>
    <t>Info Edge (India) Ltd.</t>
  </si>
  <si>
    <t>NSE:NAUKRI</t>
  </si>
  <si>
    <t>Infosys Ltd.</t>
  </si>
  <si>
    <t>NSE:INFY</t>
  </si>
  <si>
    <t>Ingersoll Rand (India) Ltd.</t>
  </si>
  <si>
    <t>NSE:INGERRAND</t>
  </si>
  <si>
    <t>Inox Leisure Ltd.</t>
  </si>
  <si>
    <t>NSE:INOXLEISUR</t>
  </si>
  <si>
    <t>Intellect Design Arena Ltd.</t>
  </si>
  <si>
    <t>NSE:INTELLECT</t>
  </si>
  <si>
    <t>InterGlobe Aviation Ltd.</t>
  </si>
  <si>
    <t>NSE:INDIGO</t>
  </si>
  <si>
    <t>Ipca Laboratories Ltd.</t>
  </si>
  <si>
    <t>NSE:IPCALAB</t>
  </si>
  <si>
    <t>J.B. Chemicals &amp; Pharmaceuticals Ltd.</t>
  </si>
  <si>
    <t>NSE:JBCHEPHARM</t>
  </si>
  <si>
    <t>J.K. Cement Ltd.</t>
  </si>
  <si>
    <t>NSE:JKCEMENT</t>
  </si>
  <si>
    <t>JK Lakshmi Cement Ltd.</t>
  </si>
  <si>
    <t>NSE:JKLAKSHMI</t>
  </si>
  <si>
    <t>JK Paper Ltd.</t>
  </si>
  <si>
    <t>NSE:JKPAPER</t>
  </si>
  <si>
    <t>JK Tyre &amp; Industries Ltd.</t>
  </si>
  <si>
    <t>NSE:JKTYRE</t>
  </si>
  <si>
    <t>JM Financial Ltd.</t>
  </si>
  <si>
    <t>NSE:JMFINANCIL</t>
  </si>
  <si>
    <t>JSW Energy Ltd.</t>
  </si>
  <si>
    <t>NSE:JSWENERGY</t>
  </si>
  <si>
    <t>JSW Steel Ltd.</t>
  </si>
  <si>
    <t>NSE:JSWSTEEL</t>
  </si>
  <si>
    <t>JTEKT India Ltd.</t>
  </si>
  <si>
    <t>NSE:JTEKTINDIA</t>
  </si>
  <si>
    <t>Jamna Auto Industries Ltd.</t>
  </si>
  <si>
    <t>NSE:JAMNAAUTO</t>
  </si>
  <si>
    <t>Jindal Saw Ltd.</t>
  </si>
  <si>
    <t>NSE:JINDALSAW</t>
  </si>
  <si>
    <t>Jindal Stainless (Hisar) Ltd.</t>
  </si>
  <si>
    <t>NSE:JSLHISAR</t>
  </si>
  <si>
    <t>Jindal Stainless Ltd.</t>
  </si>
  <si>
    <t>NSE:JSL</t>
  </si>
  <si>
    <t>Jindal Steel &amp; Power Ltd.</t>
  </si>
  <si>
    <t>NSE:JINDALSTEL</t>
  </si>
  <si>
    <t>Johnson Controls - Hitachi Air Conditioning India Ltd.</t>
  </si>
  <si>
    <t>NSE:JCHAC</t>
  </si>
  <si>
    <t>Jubilant Foodworks Ltd.</t>
  </si>
  <si>
    <t>NSE:JUBLFOOD</t>
  </si>
  <si>
    <t>Justdial Ltd.</t>
  </si>
  <si>
    <t>NSE:JUSTDIAL</t>
  </si>
  <si>
    <t>Jyothy Labs Ltd.</t>
  </si>
  <si>
    <t>NSE:JYOTHYLAB</t>
  </si>
  <si>
    <t>K.P.R. Mill Ltd.</t>
  </si>
  <si>
    <t>NSE:KPRMILL</t>
  </si>
  <si>
    <t>KEI Industries Ltd.</t>
  </si>
  <si>
    <t>NSE:KEI</t>
  </si>
  <si>
    <t>KNR Constructions Ltd.</t>
  </si>
  <si>
    <t>NSE:KNRCON</t>
  </si>
  <si>
    <t>KPIT Technologies Ltd.</t>
  </si>
  <si>
    <t>NSE:KPITTECH</t>
  </si>
  <si>
    <t>KRBL Ltd.</t>
  </si>
  <si>
    <t>NSE:KRBL</t>
  </si>
  <si>
    <t>KSB Ltd.</t>
  </si>
  <si>
    <t>NSE:KSB</t>
  </si>
  <si>
    <t>Kajaria Ceramics Ltd.</t>
  </si>
  <si>
    <t>NSE:KAJARIACER</t>
  </si>
  <si>
    <t>Kalpataru Power Transmission Ltd.</t>
  </si>
  <si>
    <t>NSE:KALPATPOWR</t>
  </si>
  <si>
    <t>Kansai Nerolac Paints Ltd.</t>
  </si>
  <si>
    <t>NSE:KANSAINER</t>
  </si>
  <si>
    <t>Karur Vysya Bank Ltd.</t>
  </si>
  <si>
    <t>NSE:KARURVYSYA</t>
  </si>
  <si>
    <t>Kaveri Seed Company Ltd.</t>
  </si>
  <si>
    <t>NSE:KSCL</t>
  </si>
  <si>
    <t>Kec International Ltd.</t>
  </si>
  <si>
    <t>NSE:KEC</t>
  </si>
  <si>
    <t>Kotak Mahindra Bank Ltd.</t>
  </si>
  <si>
    <t>NSE:KOTAKBANK</t>
  </si>
  <si>
    <t>L&amp;T Finance Holdings Ltd.</t>
  </si>
  <si>
    <t>NSE:L&amp;TFH</t>
  </si>
  <si>
    <t>L&amp;T Technology Services Ltd.</t>
  </si>
  <si>
    <t>NSE:LTTS</t>
  </si>
  <si>
    <t>LIC Housing Finance Ltd.</t>
  </si>
  <si>
    <t>NSE:LICHSGFIN</t>
  </si>
  <si>
    <t>La Opala RG Ltd.</t>
  </si>
  <si>
    <t>NSE:LAOPALA</t>
  </si>
  <si>
    <t>Lakshmi Machine Works Ltd.</t>
  </si>
  <si>
    <t>NSE:LAXMIMACH</t>
  </si>
  <si>
    <t>Larsen &amp; Toubro Infotech Ltd.</t>
  </si>
  <si>
    <t>NSE:LTI</t>
  </si>
  <si>
    <t>Larsen &amp; Toubro Ltd.</t>
  </si>
  <si>
    <t>NSE:LT</t>
  </si>
  <si>
    <t>Laurus Labs Ltd.</t>
  </si>
  <si>
    <t>NSE:LAURUSLABS</t>
  </si>
  <si>
    <t>Lemon Tree Hotels Ltd.</t>
  </si>
  <si>
    <t>NSE:LEMONTREE</t>
  </si>
  <si>
    <t>Linde India Ltd.</t>
  </si>
  <si>
    <t>NSE:LINDEINDIA</t>
  </si>
  <si>
    <t>Lupin Ltd.</t>
  </si>
  <si>
    <t>NSE:LUPIN</t>
  </si>
  <si>
    <t>Lux Industries Ltd.</t>
  </si>
  <si>
    <t>NSE:LUXIND</t>
  </si>
  <si>
    <t>MAS Financial Services Ltd.</t>
  </si>
  <si>
    <t>NSE:MASFIN</t>
  </si>
  <si>
    <t>MMTC Ltd.</t>
  </si>
  <si>
    <t>NSE:MMTC</t>
  </si>
  <si>
    <t>MOIL Ltd.</t>
  </si>
  <si>
    <t>NSE:MOIL</t>
  </si>
  <si>
    <t>MRF Ltd.</t>
  </si>
  <si>
    <t>NSE:MRF</t>
  </si>
  <si>
    <t>Mahanagar Gas Ltd.</t>
  </si>
  <si>
    <t>NSE:MGL</t>
  </si>
  <si>
    <t>Maharashtra Scooters Ltd.</t>
  </si>
  <si>
    <t>NSE:MAHSCOOTER</t>
  </si>
  <si>
    <t>Maharashtra Seamless Ltd.</t>
  </si>
  <si>
    <t>NSE:MAHSEAMLES</t>
  </si>
  <si>
    <t>Mahindra &amp; Mahindra Financial Services Ltd.</t>
  </si>
  <si>
    <t>NSE:M&amp;MFIN</t>
  </si>
  <si>
    <t>Mahindra &amp; Mahindra Ltd.</t>
  </si>
  <si>
    <t>NSE:M&amp;M</t>
  </si>
  <si>
    <t>Mahindra CIE Automotive Ltd.</t>
  </si>
  <si>
    <t>NSE:MAHINDCIE</t>
  </si>
  <si>
    <t>Mahindra Holidays &amp; Resorts India Ltd.</t>
  </si>
  <si>
    <t>NSE:MHRIL</t>
  </si>
  <si>
    <t>Mahindra Logistics Ltd.</t>
  </si>
  <si>
    <t>NSE:MAHLOG</t>
  </si>
  <si>
    <t>Manappuram Finance Ltd.</t>
  </si>
  <si>
    <t>NSE:MANAPPURAM</t>
  </si>
  <si>
    <t>Mangalore Refinery &amp; Petrochemicals Ltd.</t>
  </si>
  <si>
    <t>NSE:MRPL</t>
  </si>
  <si>
    <t>Marico Ltd.</t>
  </si>
  <si>
    <t>NSE:MARICO</t>
  </si>
  <si>
    <t>Maruti Suzuki India Ltd.</t>
  </si>
  <si>
    <t>NSE:MARUTI</t>
  </si>
  <si>
    <t>Max Financial Services Ltd.</t>
  </si>
  <si>
    <t>NSE:MFSL</t>
  </si>
  <si>
    <t>Max Healthcare Institute Ltd.</t>
  </si>
  <si>
    <t>NSE:MAXHEALTH</t>
  </si>
  <si>
    <t>Mazagoan Dock Shipbuilders Ltd.</t>
  </si>
  <si>
    <t>NSE:MAZDOCK</t>
  </si>
  <si>
    <t>Metropolis Healthcare Ltd.</t>
  </si>
  <si>
    <t>NSE:METROPOLIS</t>
  </si>
  <si>
    <t>MindTree Ltd.</t>
  </si>
  <si>
    <t>NSE:MINDTREE</t>
  </si>
  <si>
    <t>Minda Corporation Ltd.</t>
  </si>
  <si>
    <t>NSE:MINDACORP</t>
  </si>
  <si>
    <t>Minda Industries Ltd.</t>
  </si>
  <si>
    <t>NSE:MINDAIND</t>
  </si>
  <si>
    <t>Mishra Dhatu Nigam Ltd.</t>
  </si>
  <si>
    <t>NSE:MIDHANI</t>
  </si>
  <si>
    <t>Motherson Sumi Systems Ltd.</t>
  </si>
  <si>
    <t>NSE:MOTHERSUMI</t>
  </si>
  <si>
    <t>Motilal Oswal Financial Services Ltd.</t>
  </si>
  <si>
    <t>NSE:MOTILALOFS</t>
  </si>
  <si>
    <t>MphasiS Ltd.</t>
  </si>
  <si>
    <t>NSE:MPHASIS</t>
  </si>
  <si>
    <t>Multi Commodity Exchange of India Ltd.</t>
  </si>
  <si>
    <t>NSE:MCX</t>
  </si>
  <si>
    <t>Muthoot Finance Ltd.</t>
  </si>
  <si>
    <t>NSE:MUTHOOTFIN</t>
  </si>
  <si>
    <t>NATCO Pharma Ltd.</t>
  </si>
  <si>
    <t>NSE:NATCOPHARM</t>
  </si>
  <si>
    <t>NBCC (India) Ltd.</t>
  </si>
  <si>
    <t>NSE:NBCC</t>
  </si>
  <si>
    <t>NCC Ltd.</t>
  </si>
  <si>
    <t>NSE:NCC</t>
  </si>
  <si>
    <t>NESCO Ltd.</t>
  </si>
  <si>
    <t>NSE:NESCO</t>
  </si>
  <si>
    <t>NHPC Ltd.</t>
  </si>
  <si>
    <t>NSE:NHPC</t>
  </si>
  <si>
    <t>NLC India Ltd.</t>
  </si>
  <si>
    <t>NSE:NLCINDIA</t>
  </si>
  <si>
    <t>NMDC Ltd.</t>
  </si>
  <si>
    <t>NSE:NMDC</t>
  </si>
  <si>
    <t>NOCIL Ltd.</t>
  </si>
  <si>
    <t>NSE:NOCIL</t>
  </si>
  <si>
    <t>NTPC Ltd.</t>
  </si>
  <si>
    <t>NSE:NTPC</t>
  </si>
  <si>
    <t>Narayana Hrudayalaya Ltd.</t>
  </si>
  <si>
    <t>NSE:NH</t>
  </si>
  <si>
    <t>National Aluminium Co. Ltd.</t>
  </si>
  <si>
    <t>NSE:NATIONALUM</t>
  </si>
  <si>
    <t>National Fertilizers Ltd.</t>
  </si>
  <si>
    <t>NSE:NFL</t>
  </si>
  <si>
    <t>Navin Fluorine International Ltd.</t>
  </si>
  <si>
    <t>NSE:NAVINFLUOR</t>
  </si>
  <si>
    <t>Nestle India Ltd.</t>
  </si>
  <si>
    <t>NSE:NESTLEIND</t>
  </si>
  <si>
    <t>Network18 Media &amp; Investments Ltd.</t>
  </si>
  <si>
    <t>NSE:NETWORK18</t>
  </si>
  <si>
    <t>Nilkamal Ltd.</t>
  </si>
  <si>
    <t>NSE:NILKAMAL</t>
  </si>
  <si>
    <t>Nippon Life India Asset Management Ltd.</t>
  </si>
  <si>
    <t>NSE:NAM-INDIA</t>
  </si>
  <si>
    <t>Oberoi Realty Ltd.</t>
  </si>
  <si>
    <t>NSE:OBEROIRLTY</t>
  </si>
  <si>
    <t>Oil &amp; Natural Gas Corporation Ltd.</t>
  </si>
  <si>
    <t>NSE:ONGC</t>
  </si>
  <si>
    <t>Oil India Ltd.</t>
  </si>
  <si>
    <t>NSE:OIL</t>
  </si>
  <si>
    <t>Oracle Financial Services Software Ltd.</t>
  </si>
  <si>
    <t>NSE:OFSS</t>
  </si>
  <si>
    <t>Orient Electric Ltd.</t>
  </si>
  <si>
    <t>NSE:ORIENTELEC</t>
  </si>
  <si>
    <t>Orient Refractories Ltd.</t>
  </si>
  <si>
    <t>NSE:ORIENTREF</t>
  </si>
  <si>
    <t>PI Industries Ltd.</t>
  </si>
  <si>
    <t>NSE:PIIND</t>
  </si>
  <si>
    <t>PNB Housing Finance Ltd.</t>
  </si>
  <si>
    <t>NSE:PNBHOUSING</t>
  </si>
  <si>
    <t>PNC Infratech Ltd.</t>
  </si>
  <si>
    <t>NSE:PNCINFRA</t>
  </si>
  <si>
    <t>PVR Ltd.</t>
  </si>
  <si>
    <t>NSE:PVR</t>
  </si>
  <si>
    <t>Page Industries Ltd.</t>
  </si>
  <si>
    <t>NSE:PAGEIND</t>
  </si>
  <si>
    <t>Persistent Systems Ltd.</t>
  </si>
  <si>
    <t>NSE:PERSISTENT</t>
  </si>
  <si>
    <t>Petronet LNG Ltd.</t>
  </si>
  <si>
    <t>NSE:PETRONET</t>
  </si>
  <si>
    <t>Pfizer Ltd.</t>
  </si>
  <si>
    <t>NSE:PFIZER</t>
  </si>
  <si>
    <t>Phillips Carbon Black Ltd.</t>
  </si>
  <si>
    <t>NSE:PHILIPCARB</t>
  </si>
  <si>
    <t>Phoenix Mills Ltd.</t>
  </si>
  <si>
    <t>NSE:PHOENIXLTD</t>
  </si>
  <si>
    <t>Pidilite Industries Ltd.</t>
  </si>
  <si>
    <t>NSE:PIDILITIND</t>
  </si>
  <si>
    <t>Piramal Enterprises Ltd.</t>
  </si>
  <si>
    <t>NSE:PEL</t>
  </si>
  <si>
    <t>Poly Medicure Ltd.</t>
  </si>
  <si>
    <t>NSE:POLYMED</t>
  </si>
  <si>
    <t>Polycab India Ltd.</t>
  </si>
  <si>
    <t>NSE:POLYCAB</t>
  </si>
  <si>
    <t>Polyplex Corporation Ltd.</t>
  </si>
  <si>
    <t>NSE:POLYPLEX</t>
  </si>
  <si>
    <t>Power Finance Corporation Ltd.</t>
  </si>
  <si>
    <t>NSE:PFC</t>
  </si>
  <si>
    <t>Power Grid Corporation of India Ltd.</t>
  </si>
  <si>
    <t>NSE:POWERGRID</t>
  </si>
  <si>
    <t>Prestige Estates Projects Ltd.</t>
  </si>
  <si>
    <t>NSE:PRESTIGE</t>
  </si>
  <si>
    <t>Prince Pipes and Fittings Ltd.</t>
  </si>
  <si>
    <t>NSE:PRINCEPIPE</t>
  </si>
  <si>
    <t>Prism Johnson Ltd.</t>
  </si>
  <si>
    <t>NSE:PRSMJOHNSN</t>
  </si>
  <si>
    <t>Procter &amp; Gamble Health Ltd.</t>
  </si>
  <si>
    <t>NSE:PGHL</t>
  </si>
  <si>
    <t>Procter &amp; Gamble Hygiene &amp; Health Care Ltd.</t>
  </si>
  <si>
    <t>NSE:PGHH</t>
  </si>
  <si>
    <t>Punjab National Bank</t>
  </si>
  <si>
    <t>NSE:PNB</t>
  </si>
  <si>
    <t>Quess Corp Ltd.</t>
  </si>
  <si>
    <t>NSE:QUESS</t>
  </si>
  <si>
    <t>RBL Bank Ltd.</t>
  </si>
  <si>
    <t>NSE:RBLBANK</t>
  </si>
  <si>
    <t>REC Ltd.</t>
  </si>
  <si>
    <t>NSE:RECLTD</t>
  </si>
  <si>
    <t>RITES Ltd.</t>
  </si>
  <si>
    <t>NSE:RITES</t>
  </si>
  <si>
    <t>Radico Khaitan Ltd</t>
  </si>
  <si>
    <t>NSE:RADICO</t>
  </si>
  <si>
    <t>Rail Vikas Nigam Ltd.</t>
  </si>
  <si>
    <t>NSE:RVNL</t>
  </si>
  <si>
    <t>Rain Industries Ltd</t>
  </si>
  <si>
    <t>NSE:RAIN</t>
  </si>
  <si>
    <t>Rajesh Exports Ltd.</t>
  </si>
  <si>
    <t>NSE:RAJESHEXPO</t>
  </si>
  <si>
    <t>Rallis India Ltd.</t>
  </si>
  <si>
    <t>NSE:RALLIS</t>
  </si>
  <si>
    <t>Rashtriya Chemicals &amp; Fertilizers Ltd.</t>
  </si>
  <si>
    <t>NSE:RCF</t>
  </si>
  <si>
    <t>Ratnamani Metals &amp; Tubes Ltd.</t>
  </si>
  <si>
    <t>NSE:RATNAMANI</t>
  </si>
  <si>
    <t>Raymond Ltd.</t>
  </si>
  <si>
    <t>NSE:RAYMOND</t>
  </si>
  <si>
    <t>Redington (India) Ltd.</t>
  </si>
  <si>
    <t>NSE:REDINGTON</t>
  </si>
  <si>
    <t>Relaxo Footwears Ltd.</t>
  </si>
  <si>
    <t>NSE:RELAXO</t>
  </si>
  <si>
    <t>Reliance Industries Ltd.</t>
  </si>
  <si>
    <t>NSE:RELIANCE</t>
  </si>
  <si>
    <t>Responsive Industries Ltd.</t>
  </si>
  <si>
    <t>NSE:RESPONIND</t>
  </si>
  <si>
    <t>Rossari Biotech Ltd.</t>
  </si>
  <si>
    <t>NSE:ROSSARI</t>
  </si>
  <si>
    <t>Route Mobile Ltd.</t>
  </si>
  <si>
    <t>NSE:ROUTE</t>
  </si>
  <si>
    <t>SBI Cards and Payment Services Ltd.</t>
  </si>
  <si>
    <t>NSE:SBICARD</t>
  </si>
  <si>
    <t>SBI Life Insurance Company Ltd.</t>
  </si>
  <si>
    <t>NSE:SBILIFE</t>
  </si>
  <si>
    <t>SIS Ltd.</t>
  </si>
  <si>
    <t>NSE:SIS</t>
  </si>
  <si>
    <t>SJVN Ltd.</t>
  </si>
  <si>
    <t>NSE:SJVN</t>
  </si>
  <si>
    <t>SKF India Ltd.</t>
  </si>
  <si>
    <t>NSE:SKFINDIA</t>
  </si>
  <si>
    <t>SRF Ltd.</t>
  </si>
  <si>
    <t>NSE:SRF</t>
  </si>
  <si>
    <t>Sanofi India Ltd.</t>
  </si>
  <si>
    <t>NSE:SANOFI</t>
  </si>
  <si>
    <t>Schaeffler India Ltd.</t>
  </si>
  <si>
    <t>NSE:SCHAEFFLER</t>
  </si>
  <si>
    <t>Schneider Electric Infrastructure Ltd.</t>
  </si>
  <si>
    <t>NSE:SCHNEIDER</t>
  </si>
  <si>
    <t>Sequent Scientific Ltd.</t>
  </si>
  <si>
    <t>NSE:SEQUENT</t>
  </si>
  <si>
    <t>Sharda Cropchem Ltd.</t>
  </si>
  <si>
    <t>NSE:SHARDACROP</t>
  </si>
  <si>
    <t>Sheela Foam Ltd.</t>
  </si>
  <si>
    <t>NSE:SFL</t>
  </si>
  <si>
    <t>Shilpa Medicare Ltd.</t>
  </si>
  <si>
    <t>NSE:SHILPAMED</t>
  </si>
  <si>
    <t>Shipping Corporation of India Ltd.</t>
  </si>
  <si>
    <t>NSE:SCI</t>
  </si>
  <si>
    <t>Shoppers Stop Ltd.</t>
  </si>
  <si>
    <t>NSE:SHOPERSTOP</t>
  </si>
  <si>
    <t>Shree Cement Ltd.</t>
  </si>
  <si>
    <t>NSE:SHREECEM</t>
  </si>
  <si>
    <t>Shriram City Union Finance Ltd.</t>
  </si>
  <si>
    <t>NSE:SHRIRAMCIT</t>
  </si>
  <si>
    <t>Shriram Transport Finance Co. Ltd.</t>
  </si>
  <si>
    <t>NSE:SRTRANSFIN</t>
  </si>
  <si>
    <t>Siemens Ltd.</t>
  </si>
  <si>
    <t>NSE:SIEMENS</t>
  </si>
  <si>
    <t>Sobha Ltd.</t>
  </si>
  <si>
    <t>NSE:SOBHA</t>
  </si>
  <si>
    <t>Solar Industries India Ltd.</t>
  </si>
  <si>
    <t>NSE:SOLARINDS</t>
  </si>
  <si>
    <t>Solara Active Pharma Sciences Ltd.</t>
  </si>
  <si>
    <t>NSE:SOLARA</t>
  </si>
  <si>
    <t>Sonata Software Ltd.</t>
  </si>
  <si>
    <t>NSE:SONATSOFTW</t>
  </si>
  <si>
    <t>Spandana Sphoorty Financial Ltd.</t>
  </si>
  <si>
    <t>NSE:SPANDANA</t>
  </si>
  <si>
    <t>Spicejet Ltd.</t>
  </si>
  <si>
    <t>NSE:SPICEJET</t>
  </si>
  <si>
    <t>Star Cement Ltd.</t>
  </si>
  <si>
    <t>NSE:STARCEMENT</t>
  </si>
  <si>
    <t>State Bank of India</t>
  </si>
  <si>
    <t>NSE:SBIN</t>
  </si>
  <si>
    <t>Steel Authority of India Ltd.</t>
  </si>
  <si>
    <t>NSE:SAIL</t>
  </si>
  <si>
    <t>Sterling And Wilson Solar Ltd.</t>
  </si>
  <si>
    <t>NSE:SWSOLAR</t>
  </si>
  <si>
    <t>Sterlite Technologies Ltd.</t>
  </si>
  <si>
    <t>NSE:STLTECH</t>
  </si>
  <si>
    <t>Strides Pharma Science Ltd.</t>
  </si>
  <si>
    <t>NSE:STAR</t>
  </si>
  <si>
    <t>Sudarshan Chemical Industries Ltd.</t>
  </si>
  <si>
    <t>NSE:SUDARSCHEM</t>
  </si>
  <si>
    <t>Sumitomo Chemical India Ltd.</t>
  </si>
  <si>
    <t>NSE:SUMICHEM</t>
  </si>
  <si>
    <t>Sun Pharma Advanced Research Company Ltd.</t>
  </si>
  <si>
    <t>NSE:SPARC</t>
  </si>
  <si>
    <t>Sun Pharmaceutical Industries Ltd.</t>
  </si>
  <si>
    <t>NSE:SUNPHARMA</t>
  </si>
  <si>
    <t>Sun TV Network Ltd.</t>
  </si>
  <si>
    <t>NSE:SUNTV</t>
  </si>
  <si>
    <t>Sundaram Clayton Ltd.</t>
  </si>
  <si>
    <t>NSE:SUNCLAYLTD</t>
  </si>
  <si>
    <t>Sundaram Finance Ltd.</t>
  </si>
  <si>
    <t>NSE:SUNDARMFIN</t>
  </si>
  <si>
    <t>Sundram Fasteners Ltd.</t>
  </si>
  <si>
    <t>NSE:SUNDRMFAST</t>
  </si>
  <si>
    <t>Sunteck Realty Ltd.</t>
  </si>
  <si>
    <t>NSE:SUNTECK</t>
  </si>
  <si>
    <t>Suprajit Engineering Ltd.</t>
  </si>
  <si>
    <t>NSE:SUPRAJIT</t>
  </si>
  <si>
    <t>Supreme Industries Ltd.</t>
  </si>
  <si>
    <t>NSE:SUPREMEIND</t>
  </si>
  <si>
    <t>Supreme Petrochem Ltd.</t>
  </si>
  <si>
    <t>NSE:SUPPETRO</t>
  </si>
  <si>
    <t>Suven Pharmaceuticals Ltd.</t>
  </si>
  <si>
    <t>NSE:SUVENPHAR</t>
  </si>
  <si>
    <t>Suzlon Energy Ltd.</t>
  </si>
  <si>
    <t>NSE:SUZLON</t>
  </si>
  <si>
    <t>Swan Energy Ltd.</t>
  </si>
  <si>
    <t>NSE:SWANENERGY</t>
  </si>
  <si>
    <t>Symphony Ltd.</t>
  </si>
  <si>
    <t>NSE:SYMPHONY</t>
  </si>
  <si>
    <t>Syngene International Ltd.</t>
  </si>
  <si>
    <t>NSE:SYNGENE</t>
  </si>
  <si>
    <t>TCI Express Ltd.</t>
  </si>
  <si>
    <t>NSE:TCIEXP</t>
  </si>
  <si>
    <t>TCNS Clothing Co. Ltd.</t>
  </si>
  <si>
    <t>NSE:TCNSBRANDS</t>
  </si>
  <si>
    <t>TTK Prestige Ltd.</t>
  </si>
  <si>
    <t>NSE:TTKPRESTIG</t>
  </si>
  <si>
    <t>TV18 Broadcast Ltd.</t>
  </si>
  <si>
    <t>NSE:TV18BRDCST</t>
  </si>
  <si>
    <t>TVS Motor Company Ltd.</t>
  </si>
  <si>
    <t>NSE:TVSMOTOR</t>
  </si>
  <si>
    <t>Tanla Platforms Ltd.</t>
  </si>
  <si>
    <t>NSE:TANLA</t>
  </si>
  <si>
    <t>Tasty Bite Eatables Ltd.</t>
  </si>
  <si>
    <t>NSE:TASTYBITE</t>
  </si>
  <si>
    <t>Tata Chemicals Ltd.</t>
  </si>
  <si>
    <t>NSE:TATACHEM</t>
  </si>
  <si>
    <t>Tata Coffee Ltd.</t>
  </si>
  <si>
    <t>NSE:TATACOFFEE</t>
  </si>
  <si>
    <t>Tata Communications Ltd.</t>
  </si>
  <si>
    <t>NSE:TATACOMM</t>
  </si>
  <si>
    <t>Tata Consultancy Services Ltd.</t>
  </si>
  <si>
    <t>NSE:TCS</t>
  </si>
  <si>
    <t>Tata Consumer Products Ltd.</t>
  </si>
  <si>
    <t>NSE:TATACONSUM</t>
  </si>
  <si>
    <t>Tata Elxsi Ltd.</t>
  </si>
  <si>
    <t>NSE:TATAELXSI</t>
  </si>
  <si>
    <t>Tata Investment Corporation Ltd.</t>
  </si>
  <si>
    <t>NSE:TATAINVEST</t>
  </si>
  <si>
    <t>Tata Motors Ltd DVR</t>
  </si>
  <si>
    <t>NSE:TATAMTRDVR</t>
  </si>
  <si>
    <t>Tata Motors Ltd.</t>
  </si>
  <si>
    <t>NSE:TATAMOTORS</t>
  </si>
  <si>
    <t>Tata Power Co. Ltd.</t>
  </si>
  <si>
    <t>NSE:TATAPOWER</t>
  </si>
  <si>
    <t>Tata Steel BSL Ltd.</t>
  </si>
  <si>
    <t>NSE:TATASTLBSL</t>
  </si>
  <si>
    <t>Tata Steel Ltd.</t>
  </si>
  <si>
    <t>NSE:TATASTEEL</t>
  </si>
  <si>
    <t>Teamlease Services Ltd.</t>
  </si>
  <si>
    <t>NSE:TEAMLEASE</t>
  </si>
  <si>
    <t>Tech Mahindra Ltd.</t>
  </si>
  <si>
    <t>NSE:TECHM</t>
  </si>
  <si>
    <t>The New India Assurance Company Ltd.</t>
  </si>
  <si>
    <t>NSE:NIACL</t>
  </si>
  <si>
    <t>The Ramco Cements Ltd.</t>
  </si>
  <si>
    <t>NSE:RAMCOCEM</t>
  </si>
  <si>
    <t>Thermax Ltd.</t>
  </si>
  <si>
    <t>NSE:THERMAX</t>
  </si>
  <si>
    <t>Thyrocare Technologies Ltd.</t>
  </si>
  <si>
    <t>NSE:THYROCARE</t>
  </si>
  <si>
    <t>Timken India Ltd.</t>
  </si>
  <si>
    <t>NSE:TIMKEN</t>
  </si>
  <si>
    <t>Titan Company Ltd.</t>
  </si>
  <si>
    <t>NSE:TITAN</t>
  </si>
  <si>
    <t>Torrent Pharmaceuticals Ltd.</t>
  </si>
  <si>
    <t>NSE:TORNTPHARM</t>
  </si>
  <si>
    <t>Torrent Power Ltd.</t>
  </si>
  <si>
    <t>NSE:TORNTPOWER</t>
  </si>
  <si>
    <t>Trent Ltd.</t>
  </si>
  <si>
    <t>NSE:TRENT</t>
  </si>
  <si>
    <t>Trident Ltd.</t>
  </si>
  <si>
    <t>NSE:TRIDENT</t>
  </si>
  <si>
    <t>Triveni Turbine Ltd.</t>
  </si>
  <si>
    <t>NSE:TRITURBINE</t>
  </si>
  <si>
    <t>Tube Investments of India Ltd.</t>
  </si>
  <si>
    <t>NSE:TIINDIA</t>
  </si>
  <si>
    <t>UCO Bank</t>
  </si>
  <si>
    <t>NSE:UCOBANK</t>
  </si>
  <si>
    <t>UFLEX Ltd.</t>
  </si>
  <si>
    <t>NSE:UFLEX</t>
  </si>
  <si>
    <t>UPL Ltd.</t>
  </si>
  <si>
    <t>NSE:UPL</t>
  </si>
  <si>
    <t>UTI Asset Management Company Ltd.</t>
  </si>
  <si>
    <t>NSE:UTIAMC</t>
  </si>
  <si>
    <t>Ujjivan Financial Services Ltd.</t>
  </si>
  <si>
    <t>NSE:UJJIVAN</t>
  </si>
  <si>
    <t>Ujjivan Small Finance Bank Ltd.</t>
  </si>
  <si>
    <t>NSE:UJJIVANSFB</t>
  </si>
  <si>
    <t>UltraTech Cement Ltd.</t>
  </si>
  <si>
    <t>NSE:ULTRACEMCO</t>
  </si>
  <si>
    <t>Union Bank of India</t>
  </si>
  <si>
    <t>NSE:UNIONBANK</t>
  </si>
  <si>
    <t>United Breweries Ltd.</t>
  </si>
  <si>
    <t>NSE:UBL</t>
  </si>
  <si>
    <t>United Spirits Ltd.</t>
  </si>
  <si>
    <t>NSE:MCDOWELL-N</t>
  </si>
  <si>
    <t>V-Guard Industries Ltd.</t>
  </si>
  <si>
    <t>NSE:VGUARD</t>
  </si>
  <si>
    <t>V-Mart Retail Ltd.</t>
  </si>
  <si>
    <t>NSE:VMART</t>
  </si>
  <si>
    <t>V.I.P. Industries Ltd.</t>
  </si>
  <si>
    <t>NSE:VIPIND</t>
  </si>
  <si>
    <t>VST Industries Ltd.</t>
  </si>
  <si>
    <t>NSE:VSTIND</t>
  </si>
  <si>
    <t>Vaibhav Global Ltd.</t>
  </si>
  <si>
    <t>NSE:VAIBHAVGBL</t>
  </si>
  <si>
    <t>Vakrangee Ltd.</t>
  </si>
  <si>
    <t>NSE:VAKRANGEE</t>
  </si>
  <si>
    <t>Valiant Organics Ltd.</t>
  </si>
  <si>
    <t>NSE:VALIANTORG</t>
  </si>
  <si>
    <t>Vardhman Textiles Ltd.</t>
  </si>
  <si>
    <t>NSE:VTL</t>
  </si>
  <si>
    <t>Varroc Engineering Ltd.</t>
  </si>
  <si>
    <t>NSE:VARROC</t>
  </si>
  <si>
    <t>Varun Beverages Ltd.</t>
  </si>
  <si>
    <t>NSE:VBL</t>
  </si>
  <si>
    <t>Vedanta Ltd.</t>
  </si>
  <si>
    <t>NSE:VEDL</t>
  </si>
  <si>
    <t>Venky's (India) Ltd.</t>
  </si>
  <si>
    <t>NSE:VENKEYS</t>
  </si>
  <si>
    <t>Vinati Organics Ltd.</t>
  </si>
  <si>
    <t>NSE:VINATIORGA</t>
  </si>
  <si>
    <t>Vodafone Idea Ltd.</t>
  </si>
  <si>
    <t>NSE:IDEA</t>
  </si>
  <si>
    <t>Voltas Ltd.</t>
  </si>
  <si>
    <t>NSE:VOLTAS</t>
  </si>
  <si>
    <t>WABCO India Ltd.</t>
  </si>
  <si>
    <t>NSE:WABCOINDIA</t>
  </si>
  <si>
    <t>Welspun Corp Ltd.</t>
  </si>
  <si>
    <t>NSE:WELCORP</t>
  </si>
  <si>
    <t>Welspun India Ltd.</t>
  </si>
  <si>
    <t>NSE:WELSPUNIND</t>
  </si>
  <si>
    <t>Westlife Development Ltd.</t>
  </si>
  <si>
    <t>NSE:WESTLIFE</t>
  </si>
  <si>
    <t>Whirlpool of India Ltd.</t>
  </si>
  <si>
    <t>NSE:WHIRLPOOL</t>
  </si>
  <si>
    <t>Wipro Ltd.</t>
  </si>
  <si>
    <t>NSE:WIPRO</t>
  </si>
  <si>
    <t>Wockhardt Ltd.</t>
  </si>
  <si>
    <t>NSE:WOCKPHARMA</t>
  </si>
  <si>
    <t>Yes Bank Ltd.</t>
  </si>
  <si>
    <t>NSE:YESBANK</t>
  </si>
  <si>
    <t>Zee Entertainment Enterprises Ltd.</t>
  </si>
  <si>
    <t>NSE:ZEEL</t>
  </si>
  <si>
    <t>Zensar Technolgies Ltd.</t>
  </si>
  <si>
    <t>NSE:ZENSARTECH</t>
  </si>
  <si>
    <t>Zydus Wellness Ltd.</t>
  </si>
  <si>
    <t>NSE:ZYDUSWELL</t>
  </si>
  <si>
    <t>eClerx Services Ltd.</t>
  </si>
  <si>
    <t>NSE:ECLERX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</si>
</sst>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>
      <b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  <xf borderId="0" fillId="0" fontId="2" numFmtId="10" xfId="0" applyFont="1" applyNumberFormat="1"/>
    <xf borderId="0" fillId="2" fontId="3" numFmtId="10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38"/>
    <col customWidth="1" min="2" max="2" width="30.88"/>
    <col customWidth="1" min="3" max="3" width="22.13"/>
    <col customWidth="1" min="4" max="4" width="14.0"/>
    <col customWidth="1" min="11" max="11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tr">
        <f>IFERROR(__xludf.DUMMYFUNCTION("GOOGLEFINANCE(""INDEXNSE:NIFTY_50"",""ALL"",""01/01/2020"",TODAY(),""WEEKLY"")"),"Date")</f>
        <v>Date</v>
      </c>
      <c r="L1" s="2" t="str">
        <f>IFERROR(__xludf.DUMMYFUNCTION("""COMPUTED_VALUE"""),"Open")</f>
        <v>Open</v>
      </c>
      <c r="M1" s="2" t="str">
        <f>IFERROR(__xludf.DUMMYFUNCTION("""COMPUTED_VALUE"""),"High")</f>
        <v>High</v>
      </c>
      <c r="N1" s="2" t="str">
        <f>IFERROR(__xludf.DUMMYFUNCTION("""COMPUTED_VALUE"""),"Low")</f>
        <v>Low</v>
      </c>
      <c r="O1" s="2" t="str">
        <f>IFERROR(__xludf.DUMMYFUNCTION("""COMPUTED_VALUE"""),"Close")</f>
        <v>Close</v>
      </c>
      <c r="P1" s="2" t="str">
        <f>IFERROR(__xludf.DUMMYFUNCTION("""COMPUTED_VALUE"""),"Volume")</f>
        <v>Volume</v>
      </c>
    </row>
    <row r="2">
      <c r="A2" s="3" t="s">
        <v>10</v>
      </c>
      <c r="B2" s="3" t="s">
        <v>11</v>
      </c>
      <c r="C2" s="3" t="s">
        <v>12</v>
      </c>
      <c r="D2" s="3" t="s">
        <v>13</v>
      </c>
      <c r="E2">
        <f>IFERROR(__xludf.DUMMYFUNCTION("GOOGLEFINANCE(C2,""price"")"),22752.0)</f>
        <v>22752</v>
      </c>
      <c r="F2" s="4">
        <f>IFERROR(__xludf.DUMMYFUNCTION("GOOGLEFINANCE(C2,""change"")"),-368.25)</f>
        <v>-368.25</v>
      </c>
      <c r="G2" s="5">
        <f>IFERROR(__xludf.DUMMYFUNCTION("GOOGLEFINANCE(C2,""changepct"")/100"),-0.0159)</f>
        <v>-0.0159</v>
      </c>
      <c r="H2" s="4">
        <f>IFERROR(__xludf.DUMMYFUNCTION("GOOGLEFINANCE(C2,""changepct"")"),-1.59)</f>
        <v>-1.59</v>
      </c>
      <c r="I2" s="4">
        <f>IFERROR(__xludf.DUMMYFUNCTION("GOOGLEFINANCE(""INDEXNSE:NIFTY_50"",""PRICE"")"),17158.25)</f>
        <v>17158.25</v>
      </c>
      <c r="J2" s="6">
        <f>IFERROR(__xludf.DUMMYFUNCTION("GOOGLEFINANCE(""INDEXNSE:NIFTY_50"",""CHANGEPCT"")/100"),0.013500000000000002)</f>
        <v>0.0135</v>
      </c>
      <c r="K2" s="7">
        <f>IFERROR(__xludf.DUMMYFUNCTION("""COMPUTED_VALUE"""),43833.64583333333)</f>
        <v>43833.64583</v>
      </c>
      <c r="L2">
        <f>IFERROR(__xludf.DUMMYFUNCTION("""COMPUTED_VALUE"""),12274.9)</f>
        <v>12274.9</v>
      </c>
      <c r="M2">
        <f>IFERROR(__xludf.DUMMYFUNCTION("""COMPUTED_VALUE"""),12289.9)</f>
        <v>12289.9</v>
      </c>
      <c r="N2">
        <f>IFERROR(__xludf.DUMMYFUNCTION("""COMPUTED_VALUE"""),12151.8)</f>
        <v>12151.8</v>
      </c>
      <c r="O2">
        <f>IFERROR(__xludf.DUMMYFUNCTION("""COMPUTED_VALUE"""),12226.65)</f>
        <v>12226.65</v>
      </c>
      <c r="P2">
        <f>IFERROR(__xludf.DUMMYFUNCTION("""COMPUTED_VALUE"""),0.0)</f>
        <v>0</v>
      </c>
    </row>
    <row r="3">
      <c r="A3" s="3" t="s">
        <v>14</v>
      </c>
      <c r="B3" s="3" t="s">
        <v>15</v>
      </c>
      <c r="C3" s="3" t="s">
        <v>16</v>
      </c>
      <c r="D3" s="3" t="s">
        <v>13</v>
      </c>
      <c r="E3">
        <f>IFERROR(__xludf.DUMMYFUNCTION("GOOGLEFINANCE(C3,""price"")"),2735.0)</f>
        <v>2735</v>
      </c>
      <c r="F3" s="4">
        <f>IFERROR(__xludf.DUMMYFUNCTION("GOOGLEFINANCE(C3,""change"")"),12.75)</f>
        <v>12.75</v>
      </c>
      <c r="G3" s="5">
        <f>IFERROR(__xludf.DUMMYFUNCTION("GOOGLEFINANCE(C3,""changepct"")/100"),0.004699999999999999)</f>
        <v>0.0047</v>
      </c>
      <c r="H3" s="4">
        <f>IFERROR(__xludf.DUMMYFUNCTION("GOOGLEFINANCE(C3,""marketcap"")"),5.7891143476E11)</f>
        <v>578911434760</v>
      </c>
      <c r="K3" s="7">
        <f>IFERROR(__xludf.DUMMYFUNCTION("""COMPUTED_VALUE"""),43840.64583333333)</f>
        <v>43840.64583</v>
      </c>
      <c r="L3">
        <f>IFERROR(__xludf.DUMMYFUNCTION("""COMPUTED_VALUE"""),12170.6)</f>
        <v>12170.6</v>
      </c>
      <c r="M3">
        <f>IFERROR(__xludf.DUMMYFUNCTION("""COMPUTED_VALUE"""),12311.2)</f>
        <v>12311.2</v>
      </c>
      <c r="N3">
        <f>IFERROR(__xludf.DUMMYFUNCTION("""COMPUTED_VALUE"""),11929.6)</f>
        <v>11929.6</v>
      </c>
      <c r="O3">
        <f>IFERROR(__xludf.DUMMYFUNCTION("""COMPUTED_VALUE"""),12256.8)</f>
        <v>12256.8</v>
      </c>
      <c r="P3">
        <f>IFERROR(__xludf.DUMMYFUNCTION("""COMPUTED_VALUE"""),0.0)</f>
        <v>0</v>
      </c>
    </row>
    <row r="4">
      <c r="A4" s="3" t="s">
        <v>17</v>
      </c>
      <c r="B4" s="3" t="s">
        <v>15</v>
      </c>
      <c r="C4" s="3" t="s">
        <v>18</v>
      </c>
      <c r="D4" s="3" t="s">
        <v>13</v>
      </c>
      <c r="E4">
        <f>IFERROR(__xludf.DUMMYFUNCTION("GOOGLEFINANCE(C4,""price"")"),3227.0)</f>
        <v>3227</v>
      </c>
      <c r="F4" s="4">
        <f>IFERROR(__xludf.DUMMYFUNCTION("GOOGLEFINANCE(C4,""change"")"),0.05)</f>
        <v>0.05</v>
      </c>
      <c r="G4" s="5">
        <f>IFERROR(__xludf.DUMMYFUNCTION("GOOGLEFINANCE(C4,""changepct"")/100"),0.0)</f>
        <v>0</v>
      </c>
      <c r="H4" s="4">
        <f>IFERROR(__xludf.DUMMYFUNCTION("GOOGLEFINANCE(C4,""marketcap"")"),1.3676564909E11)</f>
        <v>136765649090</v>
      </c>
      <c r="K4" s="7">
        <f>IFERROR(__xludf.DUMMYFUNCTION("""COMPUTED_VALUE"""),43847.64583333333)</f>
        <v>43847.64583</v>
      </c>
      <c r="L4">
        <f>IFERROR(__xludf.DUMMYFUNCTION("""COMPUTED_VALUE"""),12296.7)</f>
        <v>12296.7</v>
      </c>
      <c r="M4">
        <f>IFERROR(__xludf.DUMMYFUNCTION("""COMPUTED_VALUE"""),12389.05)</f>
        <v>12389.05</v>
      </c>
      <c r="N4">
        <f>IFERROR(__xludf.DUMMYFUNCTION("""COMPUTED_VALUE"""),12278.75)</f>
        <v>12278.75</v>
      </c>
      <c r="O4">
        <f>IFERROR(__xludf.DUMMYFUNCTION("""COMPUTED_VALUE"""),12352.35)</f>
        <v>12352.35</v>
      </c>
      <c r="P4">
        <f>IFERROR(__xludf.DUMMYFUNCTION("""COMPUTED_VALUE"""),0.0)</f>
        <v>0</v>
      </c>
    </row>
    <row r="5">
      <c r="A5" s="3" t="s">
        <v>19</v>
      </c>
      <c r="B5" s="3" t="s">
        <v>20</v>
      </c>
      <c r="C5" s="3" t="s">
        <v>21</v>
      </c>
      <c r="D5" s="3" t="s">
        <v>22</v>
      </c>
      <c r="E5">
        <f>IFERROR(__xludf.DUMMYFUNCTION("GOOGLEFINANCE(C5,""price"")"),2224.8)</f>
        <v>2224.8</v>
      </c>
      <c r="F5" s="4">
        <f>IFERROR(__xludf.DUMMYFUNCTION("GOOGLEFINANCE(C5,""change"")"),44.05)</f>
        <v>44.05</v>
      </c>
      <c r="G5" s="5">
        <f>IFERROR(__xludf.DUMMYFUNCTION("GOOGLEFINANCE(C5,""changepct"")/100"),0.0202)</f>
        <v>0.0202</v>
      </c>
      <c r="H5" s="4">
        <f>IFERROR(__xludf.DUMMYFUNCTION("GOOGLEFINANCE(C5,""marketcap"")"),4.18704739179E11)</f>
        <v>418704739179</v>
      </c>
      <c r="K5" s="7">
        <f>IFERROR(__xludf.DUMMYFUNCTION("""COMPUTED_VALUE"""),43854.64583333333)</f>
        <v>43854.64583</v>
      </c>
      <c r="L5">
        <f>IFERROR(__xludf.DUMMYFUNCTION("""COMPUTED_VALUE"""),12430.5)</f>
        <v>12430.5</v>
      </c>
      <c r="M5">
        <f>IFERROR(__xludf.DUMMYFUNCTION("""COMPUTED_VALUE"""),12430.5)</f>
        <v>12430.5</v>
      </c>
      <c r="N5">
        <f>IFERROR(__xludf.DUMMYFUNCTION("""COMPUTED_VALUE"""),12087.9)</f>
        <v>12087.9</v>
      </c>
      <c r="O5">
        <f>IFERROR(__xludf.DUMMYFUNCTION("""COMPUTED_VALUE"""),12248.25)</f>
        <v>12248.25</v>
      </c>
      <c r="P5">
        <f>IFERROR(__xludf.DUMMYFUNCTION("""COMPUTED_VALUE"""),0.0)</f>
        <v>0</v>
      </c>
    </row>
    <row r="6">
      <c r="A6" s="3" t="s">
        <v>23</v>
      </c>
      <c r="B6" s="3" t="s">
        <v>15</v>
      </c>
      <c r="C6" s="3" t="s">
        <v>24</v>
      </c>
      <c r="D6" s="3" t="s">
        <v>13</v>
      </c>
      <c r="E6">
        <f>IFERROR(__xludf.DUMMYFUNCTION("GOOGLEFINANCE(C6,""price"")"),2394.0)</f>
        <v>2394</v>
      </c>
      <c r="F6" s="4">
        <f>IFERROR(__xludf.DUMMYFUNCTION("GOOGLEFINANCE(C6,""change"")"),19.15)</f>
        <v>19.15</v>
      </c>
      <c r="G6" s="5">
        <f>IFERROR(__xludf.DUMMYFUNCTION("GOOGLEFINANCE(C6,""changepct"")/100"),0.008100000000000001)</f>
        <v>0.0081</v>
      </c>
      <c r="H6" s="4">
        <f>IFERROR(__xludf.DUMMYFUNCTION("GOOGLEFINANCE(C6,""marketcap"")"),2.25487043027E11)</f>
        <v>225487043027</v>
      </c>
      <c r="K6" s="7">
        <f>IFERROR(__xludf.DUMMYFUNCTION("""COMPUTED_VALUE"""),43862.70833333333)</f>
        <v>43862.70833</v>
      </c>
      <c r="L6">
        <f>IFERROR(__xludf.DUMMYFUNCTION("""COMPUTED_VALUE"""),12197.1)</f>
        <v>12197.1</v>
      </c>
      <c r="M6">
        <f>IFERROR(__xludf.DUMMYFUNCTION("""COMPUTED_VALUE"""),12216.6)</f>
        <v>12216.6</v>
      </c>
      <c r="N6">
        <f>IFERROR(__xludf.DUMMYFUNCTION("""COMPUTED_VALUE"""),11633.3)</f>
        <v>11633.3</v>
      </c>
      <c r="O6">
        <f>IFERROR(__xludf.DUMMYFUNCTION("""COMPUTED_VALUE"""),11641.25)</f>
        <v>11641.25</v>
      </c>
      <c r="P6">
        <f>IFERROR(__xludf.DUMMYFUNCTION("""COMPUTED_VALUE"""),0.0)</f>
        <v>0</v>
      </c>
    </row>
    <row r="7">
      <c r="A7" s="3" t="s">
        <v>25</v>
      </c>
      <c r="B7" s="3" t="s">
        <v>26</v>
      </c>
      <c r="C7" s="3" t="s">
        <v>27</v>
      </c>
      <c r="D7" s="3" t="s">
        <v>13</v>
      </c>
      <c r="E7">
        <f>IFERROR(__xludf.DUMMYFUNCTION("GOOGLEFINANCE(C7,""price"")"),955.0)</f>
        <v>955</v>
      </c>
      <c r="F7" s="4">
        <f>IFERROR(__xludf.DUMMYFUNCTION("GOOGLEFINANCE(C7,""change"")"),32.3)</f>
        <v>32.3</v>
      </c>
      <c r="G7" s="5">
        <f>IFERROR(__xludf.DUMMYFUNCTION("GOOGLEFINANCE(C7,""changepct"")/100"),0.035)</f>
        <v>0.035</v>
      </c>
      <c r="H7" s="4">
        <f>IFERROR(__xludf.DUMMYFUNCTION("GOOGLEFINANCE(C7,""marketcap"")"),2.3924127971E11)</f>
        <v>239241279710</v>
      </c>
      <c r="K7" s="7">
        <f>IFERROR(__xludf.DUMMYFUNCTION("""COMPUTED_VALUE"""),43868.64583333333)</f>
        <v>43868.64583</v>
      </c>
      <c r="L7">
        <f>IFERROR(__xludf.DUMMYFUNCTION("""COMPUTED_VALUE"""),11627.45)</f>
        <v>11627.45</v>
      </c>
      <c r="M7">
        <f>IFERROR(__xludf.DUMMYFUNCTION("""COMPUTED_VALUE"""),12160.6)</f>
        <v>12160.6</v>
      </c>
      <c r="N7">
        <f>IFERROR(__xludf.DUMMYFUNCTION("""COMPUTED_VALUE"""),11614.5)</f>
        <v>11614.5</v>
      </c>
      <c r="O7">
        <f>IFERROR(__xludf.DUMMYFUNCTION("""COMPUTED_VALUE"""),12098.35)</f>
        <v>12098.35</v>
      </c>
      <c r="P7">
        <f>IFERROR(__xludf.DUMMYFUNCTION("""COMPUTED_VALUE"""),0.0)</f>
        <v>0</v>
      </c>
    </row>
    <row r="8">
      <c r="A8" s="3" t="s">
        <v>28</v>
      </c>
      <c r="B8" s="3" t="s">
        <v>29</v>
      </c>
      <c r="C8" s="3" t="s">
        <v>30</v>
      </c>
      <c r="D8" s="3" t="s">
        <v>22</v>
      </c>
      <c r="E8">
        <f>IFERROR(__xludf.DUMMYFUNCTION("GOOGLEFINANCE(C8,""price"")"),590.95)</f>
        <v>590.95</v>
      </c>
      <c r="F8" s="4">
        <f>IFERROR(__xludf.DUMMYFUNCTION("GOOGLEFINANCE(C8,""change"")"),0.15)</f>
        <v>0.15</v>
      </c>
      <c r="G8" s="5">
        <f>IFERROR(__xludf.DUMMYFUNCTION("GOOGLEFINANCE(C8,""changepct"")/100"),3.0E-4)</f>
        <v>0.0003</v>
      </c>
      <c r="H8" s="4">
        <f>IFERROR(__xludf.DUMMYFUNCTION("GOOGLEFINANCE(C8,""marketcap"")"),3.731019E11)</f>
        <v>373101900000</v>
      </c>
      <c r="K8" s="7">
        <f>IFERROR(__xludf.DUMMYFUNCTION("""COMPUTED_VALUE"""),43875.64583333333)</f>
        <v>43875.64583</v>
      </c>
      <c r="L8">
        <f>IFERROR(__xludf.DUMMYFUNCTION("""COMPUTED_VALUE"""),12102.35)</f>
        <v>12102.35</v>
      </c>
      <c r="M8">
        <f>IFERROR(__xludf.DUMMYFUNCTION("""COMPUTED_VALUE"""),12246.7)</f>
        <v>12246.7</v>
      </c>
      <c r="N8">
        <f>IFERROR(__xludf.DUMMYFUNCTION("""COMPUTED_VALUE"""),11990.75)</f>
        <v>11990.75</v>
      </c>
      <c r="O8">
        <f>IFERROR(__xludf.DUMMYFUNCTION("""COMPUTED_VALUE"""),12113.45)</f>
        <v>12113.45</v>
      </c>
      <c r="P8">
        <f>IFERROR(__xludf.DUMMYFUNCTION("""COMPUTED_VALUE"""),0.0)</f>
        <v>0</v>
      </c>
    </row>
    <row r="9">
      <c r="A9" s="3" t="s">
        <v>31</v>
      </c>
      <c r="B9" s="3" t="s">
        <v>32</v>
      </c>
      <c r="C9" s="3" t="s">
        <v>33</v>
      </c>
      <c r="D9" s="3" t="s">
        <v>13</v>
      </c>
      <c r="E9">
        <f>IFERROR(__xludf.DUMMYFUNCTION("GOOGLEFINANCE(C9,""price"")"),426.3)</f>
        <v>426.3</v>
      </c>
      <c r="F9" s="4">
        <f>IFERROR(__xludf.DUMMYFUNCTION("GOOGLEFINANCE(C9,""change"")"),20.6)</f>
        <v>20.6</v>
      </c>
      <c r="G9" s="5">
        <f>IFERROR(__xludf.DUMMYFUNCTION("GOOGLEFINANCE(C9,""changepct"")/100"),0.0508)</f>
        <v>0.0508</v>
      </c>
      <c r="H9" s="4">
        <f>IFERROR(__xludf.DUMMYFUNCTION("GOOGLEFINANCE(C9,""marketcap"")"),3.8734466658E10)</f>
        <v>38734466658</v>
      </c>
      <c r="K9" s="7">
        <f>IFERROR(__xludf.DUMMYFUNCTION("""COMPUTED_VALUE"""),43881.64583333333)</f>
        <v>43881.64583</v>
      </c>
      <c r="L9">
        <f>IFERROR(__xludf.DUMMYFUNCTION("""COMPUTED_VALUE"""),12131.8)</f>
        <v>12131.8</v>
      </c>
      <c r="M9">
        <f>IFERROR(__xludf.DUMMYFUNCTION("""COMPUTED_VALUE"""),12159.6)</f>
        <v>12159.6</v>
      </c>
      <c r="N9">
        <f>IFERROR(__xludf.DUMMYFUNCTION("""COMPUTED_VALUE"""),11908.05)</f>
        <v>11908.05</v>
      </c>
      <c r="O9">
        <f>IFERROR(__xludf.DUMMYFUNCTION("""COMPUTED_VALUE"""),12080.85)</f>
        <v>12080.85</v>
      </c>
      <c r="P9">
        <f>IFERROR(__xludf.DUMMYFUNCTION("""COMPUTED_VALUE"""),0.0)</f>
        <v>0</v>
      </c>
    </row>
    <row r="10">
      <c r="A10" s="3" t="s">
        <v>34</v>
      </c>
      <c r="B10" s="3" t="s">
        <v>35</v>
      </c>
      <c r="C10" s="3" t="s">
        <v>36</v>
      </c>
      <c r="D10" s="3" t="s">
        <v>22</v>
      </c>
      <c r="E10">
        <f>IFERROR(__xludf.DUMMYFUNCTION("GOOGLEFINANCE(C10,""price"")"),780.6)</f>
        <v>780.6</v>
      </c>
      <c r="F10" s="4">
        <f>IFERROR(__xludf.DUMMYFUNCTION("GOOGLEFINANCE(C10,""change"")"),17.1)</f>
        <v>17.1</v>
      </c>
      <c r="G10" s="5">
        <f>IFERROR(__xludf.DUMMYFUNCTION("GOOGLEFINANCE(C10,""changepct"")/100"),0.022400000000000003)</f>
        <v>0.0224</v>
      </c>
      <c r="H10" s="4">
        <f>IFERROR(__xludf.DUMMYFUNCTION("GOOGLEFINANCE(C10,""marketcap"")"),2.82970535489E11)</f>
        <v>282970535489</v>
      </c>
      <c r="K10" s="7">
        <f>IFERROR(__xludf.DUMMYFUNCTION("""COMPUTED_VALUE"""),43889.64583333333)</f>
        <v>43889.64583</v>
      </c>
      <c r="L10">
        <f>IFERROR(__xludf.DUMMYFUNCTION("""COMPUTED_VALUE"""),12012.55)</f>
        <v>12012.55</v>
      </c>
      <c r="M10">
        <f>IFERROR(__xludf.DUMMYFUNCTION("""COMPUTED_VALUE"""),12012.55)</f>
        <v>12012.55</v>
      </c>
      <c r="N10">
        <f>IFERROR(__xludf.DUMMYFUNCTION("""COMPUTED_VALUE"""),11175.05)</f>
        <v>11175.05</v>
      </c>
      <c r="O10">
        <f>IFERROR(__xludf.DUMMYFUNCTION("""COMPUTED_VALUE"""),11201.75)</f>
        <v>11201.75</v>
      </c>
      <c r="P10">
        <f>IFERROR(__xludf.DUMMYFUNCTION("""COMPUTED_VALUE"""),0.0)</f>
        <v>0</v>
      </c>
    </row>
    <row r="11">
      <c r="A11" s="3" t="s">
        <v>37</v>
      </c>
      <c r="B11" s="3" t="s">
        <v>29</v>
      </c>
      <c r="C11" s="3" t="s">
        <v>38</v>
      </c>
      <c r="D11" s="3" t="s">
        <v>13</v>
      </c>
      <c r="E11">
        <f>IFERROR(__xludf.DUMMYFUNCTION("GOOGLEFINANCE(C11,""price"")"),2382.95)</f>
        <v>2382.95</v>
      </c>
      <c r="F11" s="4">
        <f>IFERROR(__xludf.DUMMYFUNCTION("GOOGLEFINANCE(C11,""change"")"),21.45)</f>
        <v>21.45</v>
      </c>
      <c r="G11" s="5">
        <f>IFERROR(__xludf.DUMMYFUNCTION("GOOGLEFINANCE(C11,""changepct"")/100"),0.0091)</f>
        <v>0.0091</v>
      </c>
      <c r="H11" s="4">
        <f>IFERROR(__xludf.DUMMYFUNCTION("GOOGLEFINANCE(C11,""marketcap"")"),1.89307440157E11)</f>
        <v>189307440157</v>
      </c>
      <c r="K11" s="7">
        <f>IFERROR(__xludf.DUMMYFUNCTION("""COMPUTED_VALUE"""),43896.64583333333)</f>
        <v>43896.64583</v>
      </c>
      <c r="L11">
        <f>IFERROR(__xludf.DUMMYFUNCTION("""COMPUTED_VALUE"""),11387.35)</f>
        <v>11387.35</v>
      </c>
      <c r="M11">
        <f>IFERROR(__xludf.DUMMYFUNCTION("""COMPUTED_VALUE"""),11433.0)</f>
        <v>11433</v>
      </c>
      <c r="N11">
        <f>IFERROR(__xludf.DUMMYFUNCTION("""COMPUTED_VALUE"""),10827.4)</f>
        <v>10827.4</v>
      </c>
      <c r="O11">
        <f>IFERROR(__xludf.DUMMYFUNCTION("""COMPUTED_VALUE"""),10989.45)</f>
        <v>10989.45</v>
      </c>
      <c r="P11">
        <f>IFERROR(__xludf.DUMMYFUNCTION("""COMPUTED_VALUE"""),0.0)</f>
        <v>0</v>
      </c>
    </row>
    <row r="12">
      <c r="A12" s="3" t="s">
        <v>39</v>
      </c>
      <c r="B12" s="3" t="s">
        <v>32</v>
      </c>
      <c r="C12" s="3" t="s">
        <v>40</v>
      </c>
      <c r="D12" s="3" t="s">
        <v>13</v>
      </c>
      <c r="E12">
        <f>IFERROR(__xludf.DUMMYFUNCTION("GOOGLEFINANCE(C12,""price"")"),20020.0)</f>
        <v>20020</v>
      </c>
      <c r="F12" s="4">
        <f>IFERROR(__xludf.DUMMYFUNCTION("GOOGLEFINANCE(C12,""change"")"),257.7)</f>
        <v>257.7</v>
      </c>
      <c r="G12" s="5">
        <f>IFERROR(__xludf.DUMMYFUNCTION("GOOGLEFINANCE(C12,""changepct"")/100"),0.013000000000000001)</f>
        <v>0.013</v>
      </c>
      <c r="H12" s="4">
        <f>IFERROR(__xludf.DUMMYFUNCTION("GOOGLEFINANCE(C12,""marketcap"")"),4.253069E11)</f>
        <v>425306900000</v>
      </c>
      <c r="K12" s="7">
        <f>IFERROR(__xludf.DUMMYFUNCTION("""COMPUTED_VALUE"""),43903.64583333333)</f>
        <v>43903.64583</v>
      </c>
      <c r="L12">
        <f>IFERROR(__xludf.DUMMYFUNCTION("""COMPUTED_VALUE"""),10742.05)</f>
        <v>10742.05</v>
      </c>
      <c r="M12">
        <f>IFERROR(__xludf.DUMMYFUNCTION("""COMPUTED_VALUE"""),10751.55)</f>
        <v>10751.55</v>
      </c>
      <c r="N12">
        <f>IFERROR(__xludf.DUMMYFUNCTION("""COMPUTED_VALUE"""),8555.15)</f>
        <v>8555.15</v>
      </c>
      <c r="O12">
        <f>IFERROR(__xludf.DUMMYFUNCTION("""COMPUTED_VALUE"""),9955.2)</f>
        <v>9955.2</v>
      </c>
      <c r="P12">
        <f>IFERROR(__xludf.DUMMYFUNCTION("""COMPUTED_VALUE"""),0.0)</f>
        <v>0</v>
      </c>
    </row>
    <row r="13">
      <c r="A13" s="3" t="s">
        <v>41</v>
      </c>
      <c r="B13" s="3" t="s">
        <v>26</v>
      </c>
      <c r="C13" s="3" t="s">
        <v>42</v>
      </c>
      <c r="D13" s="3" t="s">
        <v>22</v>
      </c>
      <c r="E13">
        <f>IFERROR(__xludf.DUMMYFUNCTION("GOOGLEFINANCE(C13,""price"")"),2565.9)</f>
        <v>2565.9</v>
      </c>
      <c r="F13" s="4">
        <f>IFERROR(__xludf.DUMMYFUNCTION("GOOGLEFINANCE(C13,""change"")"),15.5)</f>
        <v>15.5</v>
      </c>
      <c r="G13" s="5">
        <f>IFERROR(__xludf.DUMMYFUNCTION("GOOGLEFINANCE(C13,""changepct"")/100"),0.0060999999999999995)</f>
        <v>0.0061</v>
      </c>
      <c r="H13" s="4">
        <f>IFERROR(__xludf.DUMMYFUNCTION("GOOGLEFINANCE(C13,""marketcap"")"),2.925128454571E12)</f>
        <v>2925128454571</v>
      </c>
      <c r="K13" s="7">
        <f>IFERROR(__xludf.DUMMYFUNCTION("""COMPUTED_VALUE"""),43910.64583333333)</f>
        <v>43910.64583</v>
      </c>
      <c r="L13">
        <f>IFERROR(__xludf.DUMMYFUNCTION("""COMPUTED_VALUE"""),9587.8)</f>
        <v>9587.8</v>
      </c>
      <c r="M13">
        <f>IFERROR(__xludf.DUMMYFUNCTION("""COMPUTED_VALUE"""),9602.2)</f>
        <v>9602.2</v>
      </c>
      <c r="N13">
        <f>IFERROR(__xludf.DUMMYFUNCTION("""COMPUTED_VALUE"""),7832.55)</f>
        <v>7832.55</v>
      </c>
      <c r="O13">
        <f>IFERROR(__xludf.DUMMYFUNCTION("""COMPUTED_VALUE"""),8745.45)</f>
        <v>8745.45</v>
      </c>
      <c r="P13">
        <f>IFERROR(__xludf.DUMMYFUNCTION("""COMPUTED_VALUE"""),0.0)</f>
        <v>0</v>
      </c>
    </row>
    <row r="14">
      <c r="A14" s="3" t="s">
        <v>43</v>
      </c>
      <c r="B14" s="3" t="s">
        <v>44</v>
      </c>
      <c r="C14" s="3" t="s">
        <v>45</v>
      </c>
      <c r="D14" s="3" t="s">
        <v>13</v>
      </c>
      <c r="E14">
        <f>IFERROR(__xludf.DUMMYFUNCTION("GOOGLEFINANCE(C14,""price"")"),2162.0)</f>
        <v>2162</v>
      </c>
      <c r="F14" s="4">
        <f>IFERROR(__xludf.DUMMYFUNCTION("GOOGLEFINANCE(C14,""change"")"),18.05)</f>
        <v>18.05</v>
      </c>
      <c r="G14" s="5">
        <f>IFERROR(__xludf.DUMMYFUNCTION("GOOGLEFINANCE(C14,""changepct"")/100"),0.0084)</f>
        <v>0.0084</v>
      </c>
      <c r="H14" s="4">
        <f>IFERROR(__xludf.DUMMYFUNCTION("GOOGLEFINANCE(C14,""marketcap"")"),3.438005838734E12)</f>
        <v>3438005838734</v>
      </c>
      <c r="K14" s="7">
        <f>IFERROR(__xludf.DUMMYFUNCTION("""COMPUTED_VALUE"""),43917.64583333333)</f>
        <v>43917.64583</v>
      </c>
      <c r="L14">
        <f>IFERROR(__xludf.DUMMYFUNCTION("""COMPUTED_VALUE"""),7945.7)</f>
        <v>7945.7</v>
      </c>
      <c r="M14">
        <f>IFERROR(__xludf.DUMMYFUNCTION("""COMPUTED_VALUE"""),9038.9)</f>
        <v>9038.9</v>
      </c>
      <c r="N14">
        <f>IFERROR(__xludf.DUMMYFUNCTION("""COMPUTED_VALUE"""),7511.1)</f>
        <v>7511.1</v>
      </c>
      <c r="O14">
        <f>IFERROR(__xludf.DUMMYFUNCTION("""COMPUTED_VALUE"""),8660.25)</f>
        <v>8660.25</v>
      </c>
      <c r="P14">
        <f>IFERROR(__xludf.DUMMYFUNCTION("""COMPUTED_VALUE"""),0.0)</f>
        <v>0</v>
      </c>
    </row>
    <row r="15">
      <c r="A15" s="3" t="s">
        <v>46</v>
      </c>
      <c r="B15" s="3" t="s">
        <v>47</v>
      </c>
      <c r="C15" s="3" t="s">
        <v>48</v>
      </c>
      <c r="D15" s="3" t="s">
        <v>22</v>
      </c>
      <c r="E15">
        <f>IFERROR(__xludf.DUMMYFUNCTION("GOOGLEFINANCE(C15,""price"")"),764.0)</f>
        <v>764</v>
      </c>
      <c r="F15" s="4">
        <f>IFERROR(__xludf.DUMMYFUNCTION("GOOGLEFINANCE(C15,""change"")"),-0.5)</f>
        <v>-0.5</v>
      </c>
      <c r="G15" s="5">
        <f>IFERROR(__xludf.DUMMYFUNCTION("GOOGLEFINANCE(C15,""changepct"")/100"),-7.000000000000001E-4)</f>
        <v>-0.0007</v>
      </c>
      <c r="H15" s="4">
        <f>IFERROR(__xludf.DUMMYFUNCTION("GOOGLEFINANCE(C15,""marketcap"")"),1.613430471614E12)</f>
        <v>1613430471614</v>
      </c>
      <c r="K15" s="7">
        <f>IFERROR(__xludf.DUMMYFUNCTION("""COMPUTED_VALUE"""),43924.64583333333)</f>
        <v>43924.64583</v>
      </c>
      <c r="L15">
        <f>IFERROR(__xludf.DUMMYFUNCTION("""COMPUTED_VALUE"""),8385.95)</f>
        <v>8385.95</v>
      </c>
      <c r="M15">
        <f>IFERROR(__xludf.DUMMYFUNCTION("""COMPUTED_VALUE"""),8678.3)</f>
        <v>8678.3</v>
      </c>
      <c r="N15">
        <f>IFERROR(__xludf.DUMMYFUNCTION("""COMPUTED_VALUE"""),8055.8)</f>
        <v>8055.8</v>
      </c>
      <c r="O15">
        <f>IFERROR(__xludf.DUMMYFUNCTION("""COMPUTED_VALUE"""),8083.8)</f>
        <v>8083.8</v>
      </c>
      <c r="P15">
        <f>IFERROR(__xludf.DUMMYFUNCTION("""COMPUTED_VALUE"""),0.0)</f>
        <v>0</v>
      </c>
    </row>
    <row r="16">
      <c r="A16" s="3" t="s">
        <v>49</v>
      </c>
      <c r="B16" s="3" t="s">
        <v>50</v>
      </c>
      <c r="C16" s="3" t="s">
        <v>51</v>
      </c>
      <c r="D16" s="3" t="s">
        <v>13</v>
      </c>
      <c r="E16">
        <f>IFERROR(__xludf.DUMMYFUNCTION("GOOGLEFINANCE(C16,""price"")"),3145.0)</f>
        <v>3145</v>
      </c>
      <c r="F16" s="4">
        <f>IFERROR(__xludf.DUMMYFUNCTION("GOOGLEFINANCE(C16,""change"")"),139.1)</f>
        <v>139.1</v>
      </c>
      <c r="G16" s="5">
        <f>IFERROR(__xludf.DUMMYFUNCTION("GOOGLEFINANCE(C16,""changepct"")/100"),0.0463)</f>
        <v>0.0463</v>
      </c>
      <c r="H16" s="4">
        <f>IFERROR(__xludf.DUMMYFUNCTION("GOOGLEFINANCE(C16,""marketcap"")"),3.43694552494E12)</f>
        <v>3436945524940</v>
      </c>
      <c r="K16" s="7">
        <f>IFERROR(__xludf.DUMMYFUNCTION("""COMPUTED_VALUE"""),43930.64583333333)</f>
        <v>43930.64583</v>
      </c>
      <c r="L16">
        <f>IFERROR(__xludf.DUMMYFUNCTION("""COMPUTED_VALUE"""),8446.3)</f>
        <v>8446.3</v>
      </c>
      <c r="M16">
        <f>IFERROR(__xludf.DUMMYFUNCTION("""COMPUTED_VALUE"""),9131.7)</f>
        <v>9131.7</v>
      </c>
      <c r="N16">
        <f>IFERROR(__xludf.DUMMYFUNCTION("""COMPUTED_VALUE"""),8360.95)</f>
        <v>8360.95</v>
      </c>
      <c r="O16">
        <f>IFERROR(__xludf.DUMMYFUNCTION("""COMPUTED_VALUE"""),9111.9)</f>
        <v>9111.9</v>
      </c>
      <c r="P16">
        <f>IFERROR(__xludf.DUMMYFUNCTION("""COMPUTED_VALUE"""),0.0)</f>
        <v>0</v>
      </c>
    </row>
    <row r="17">
      <c r="A17" s="3" t="s">
        <v>52</v>
      </c>
      <c r="B17" s="3" t="s">
        <v>44</v>
      </c>
      <c r="C17" s="3" t="s">
        <v>53</v>
      </c>
      <c r="D17" s="3" t="s">
        <v>13</v>
      </c>
      <c r="E17">
        <f>IFERROR(__xludf.DUMMYFUNCTION("GOOGLEFINANCE(C17,""price"")"),3130.0)</f>
        <v>3130</v>
      </c>
      <c r="F17" s="4">
        <f>IFERROR(__xludf.DUMMYFUNCTION("GOOGLEFINANCE(C17,""change"")"),117.35)</f>
        <v>117.35</v>
      </c>
      <c r="G17" s="5">
        <f>IFERROR(__xludf.DUMMYFUNCTION("GOOGLEFINANCE(C17,""changepct"")/100"),0.039)</f>
        <v>0.039</v>
      </c>
      <c r="H17" s="4">
        <f>IFERROR(__xludf.DUMMYFUNCTION("GOOGLEFINANCE(C17,""marketcap"")"),3.47010351426E12)</f>
        <v>3470103514260</v>
      </c>
      <c r="K17" s="7">
        <f>IFERROR(__xludf.DUMMYFUNCTION("""COMPUTED_VALUE"""),43938.64583333333)</f>
        <v>43938.64583</v>
      </c>
      <c r="L17">
        <f>IFERROR(__xludf.DUMMYFUNCTION("""COMPUTED_VALUE"""),9103.95)</f>
        <v>9103.95</v>
      </c>
      <c r="M17">
        <f>IFERROR(__xludf.DUMMYFUNCTION("""COMPUTED_VALUE"""),9324.0)</f>
        <v>9324</v>
      </c>
      <c r="N17">
        <f>IFERROR(__xludf.DUMMYFUNCTION("""COMPUTED_VALUE"""),8821.9)</f>
        <v>8821.9</v>
      </c>
      <c r="O17">
        <f>IFERROR(__xludf.DUMMYFUNCTION("""COMPUTED_VALUE"""),9266.75)</f>
        <v>9266.75</v>
      </c>
      <c r="P17">
        <f>IFERROR(__xludf.DUMMYFUNCTION("""COMPUTED_VALUE"""),0.0)</f>
        <v>0</v>
      </c>
    </row>
    <row r="18">
      <c r="A18" s="3" t="s">
        <v>54</v>
      </c>
      <c r="B18" s="3" t="s">
        <v>29</v>
      </c>
      <c r="C18" s="3" t="s">
        <v>55</v>
      </c>
      <c r="D18" s="3" t="s">
        <v>13</v>
      </c>
      <c r="E18">
        <f>IFERROR(__xludf.DUMMYFUNCTION("GOOGLEFINANCE(C18,""price"")"),106.1)</f>
        <v>106.1</v>
      </c>
      <c r="F18" s="4">
        <f>IFERROR(__xludf.DUMMYFUNCTION("GOOGLEFINANCE(C18,""change"")"),2.6)</f>
        <v>2.6</v>
      </c>
      <c r="G18" s="5">
        <f>IFERROR(__xludf.DUMMYFUNCTION("GOOGLEFINANCE(C18,""changepct"")/100"),0.025099999999999997)</f>
        <v>0.0251</v>
      </c>
      <c r="H18" s="4">
        <f>IFERROR(__xludf.DUMMYFUNCTION("GOOGLEFINANCE(C18,""marketcap"")"),2.56503289263E11)</f>
        <v>256503289263</v>
      </c>
      <c r="K18" s="7">
        <f>IFERROR(__xludf.DUMMYFUNCTION("""COMPUTED_VALUE"""),43945.64583333333)</f>
        <v>43945.64583</v>
      </c>
      <c r="L18">
        <f>IFERROR(__xludf.DUMMYFUNCTION("""COMPUTED_VALUE"""),9390.2)</f>
        <v>9390.2</v>
      </c>
      <c r="M18">
        <f>IFERROR(__xludf.DUMMYFUNCTION("""COMPUTED_VALUE"""),9390.85)</f>
        <v>9390.85</v>
      </c>
      <c r="N18">
        <f>IFERROR(__xludf.DUMMYFUNCTION("""COMPUTED_VALUE"""),8909.4)</f>
        <v>8909.4</v>
      </c>
      <c r="O18">
        <f>IFERROR(__xludf.DUMMYFUNCTION("""COMPUTED_VALUE"""),9154.4)</f>
        <v>9154.4</v>
      </c>
      <c r="P18">
        <f>IFERROR(__xludf.DUMMYFUNCTION("""COMPUTED_VALUE"""),0.0)</f>
        <v>0</v>
      </c>
    </row>
    <row r="19">
      <c r="A19" s="3" t="s">
        <v>56</v>
      </c>
      <c r="B19" s="3" t="s">
        <v>57</v>
      </c>
      <c r="C19" s="3" t="s">
        <v>58</v>
      </c>
      <c r="D19" s="3" t="s">
        <v>13</v>
      </c>
      <c r="E19">
        <f>IFERROR(__xludf.DUMMYFUNCTION("GOOGLEFINANCE(C19,""price"")"),269.0)</f>
        <v>269</v>
      </c>
      <c r="F19" s="4">
        <f>IFERROR(__xludf.DUMMYFUNCTION("GOOGLEFINANCE(C19,""change"")"),1.85)</f>
        <v>1.85</v>
      </c>
      <c r="G19" s="5">
        <f>IFERROR(__xludf.DUMMYFUNCTION("GOOGLEFINANCE(C19,""changepct"")/100"),0.0069)</f>
        <v>0.0069</v>
      </c>
      <c r="H19" s="4">
        <f>IFERROR(__xludf.DUMMYFUNCTION("GOOGLEFINANCE(C19,""marketcap"")"),2.53522110829E11)</f>
        <v>253522110829</v>
      </c>
      <c r="K19" s="7">
        <f>IFERROR(__xludf.DUMMYFUNCTION("""COMPUTED_VALUE"""),43951.64583333333)</f>
        <v>43951.64583</v>
      </c>
      <c r="L19">
        <f>IFERROR(__xludf.DUMMYFUNCTION("""COMPUTED_VALUE"""),9259.7)</f>
        <v>9259.7</v>
      </c>
      <c r="M19">
        <f>IFERROR(__xludf.DUMMYFUNCTION("""COMPUTED_VALUE"""),9889.05)</f>
        <v>9889.05</v>
      </c>
      <c r="N19">
        <f>IFERROR(__xludf.DUMMYFUNCTION("""COMPUTED_VALUE"""),9250.35)</f>
        <v>9250.35</v>
      </c>
      <c r="O19">
        <f>IFERROR(__xludf.DUMMYFUNCTION("""COMPUTED_VALUE"""),9859.9)</f>
        <v>9859.9</v>
      </c>
      <c r="P19">
        <f>IFERROR(__xludf.DUMMYFUNCTION("""COMPUTED_VALUE"""),0.0)</f>
        <v>0</v>
      </c>
    </row>
    <row r="20">
      <c r="A20" s="3" t="s">
        <v>59</v>
      </c>
      <c r="B20" s="3" t="s">
        <v>11</v>
      </c>
      <c r="C20" s="3" t="s">
        <v>60</v>
      </c>
      <c r="D20" s="3" t="s">
        <v>13</v>
      </c>
      <c r="E20">
        <f>IFERROR(__xludf.DUMMYFUNCTION("GOOGLEFINANCE(C20,""price"")"),288.45)</f>
        <v>288.45</v>
      </c>
      <c r="F20" s="4">
        <f>IFERROR(__xludf.DUMMYFUNCTION("GOOGLEFINANCE(C20,""change"")"),0.75)</f>
        <v>0.75</v>
      </c>
      <c r="G20" s="5">
        <f>IFERROR(__xludf.DUMMYFUNCTION("GOOGLEFINANCE(C20,""changepct"")/100"),0.0026)</f>
        <v>0.0026</v>
      </c>
      <c r="H20" s="4">
        <f>IFERROR(__xludf.DUMMYFUNCTION("GOOGLEFINANCE(C20,""marketcap"")"),3.2313641462E10)</f>
        <v>32313641462</v>
      </c>
      <c r="K20" s="7">
        <f>IFERROR(__xludf.DUMMYFUNCTION("""COMPUTED_VALUE"""),43959.64583333333)</f>
        <v>43959.64583</v>
      </c>
      <c r="L20">
        <f>IFERROR(__xludf.DUMMYFUNCTION("""COMPUTED_VALUE"""),9533.5)</f>
        <v>9533.5</v>
      </c>
      <c r="M20">
        <f>IFERROR(__xludf.DUMMYFUNCTION("""COMPUTED_VALUE"""),9533.5)</f>
        <v>9533.5</v>
      </c>
      <c r="N20">
        <f>IFERROR(__xludf.DUMMYFUNCTION("""COMPUTED_VALUE"""),9116.5)</f>
        <v>9116.5</v>
      </c>
      <c r="O20">
        <f>IFERROR(__xludf.DUMMYFUNCTION("""COMPUTED_VALUE"""),9251.5)</f>
        <v>9251.5</v>
      </c>
      <c r="P20">
        <f>IFERROR(__xludf.DUMMYFUNCTION("""COMPUTED_VALUE"""),0.0)</f>
        <v>0</v>
      </c>
    </row>
    <row r="21">
      <c r="A21" s="3" t="s">
        <v>61</v>
      </c>
      <c r="B21" s="3" t="s">
        <v>47</v>
      </c>
      <c r="C21" s="3" t="s">
        <v>62</v>
      </c>
      <c r="D21" s="3" t="s">
        <v>13</v>
      </c>
      <c r="E21">
        <f>IFERROR(__xludf.DUMMYFUNCTION("GOOGLEFINANCE(C21,""price"")"),258.0)</f>
        <v>258</v>
      </c>
      <c r="F21" s="4">
        <f>IFERROR(__xludf.DUMMYFUNCTION("GOOGLEFINANCE(C21,""change"")"),2.9)</f>
        <v>2.9</v>
      </c>
      <c r="G21" s="5">
        <f>IFERROR(__xludf.DUMMYFUNCTION("GOOGLEFINANCE(C21,""changepct"")/100"),0.011399999999999999)</f>
        <v>0.0114</v>
      </c>
      <c r="H21" s="4">
        <f>IFERROR(__xludf.DUMMYFUNCTION("GOOGLEFINANCE(C21,""marketcap"")"),9.08049597E10)</f>
        <v>90804959700</v>
      </c>
      <c r="K21" s="7">
        <f>IFERROR(__xludf.DUMMYFUNCTION("""COMPUTED_VALUE"""),43966.64583333333)</f>
        <v>43966.64583</v>
      </c>
      <c r="L21">
        <f>IFERROR(__xludf.DUMMYFUNCTION("""COMPUTED_VALUE"""),9348.15)</f>
        <v>9348.15</v>
      </c>
      <c r="M21">
        <f>IFERROR(__xludf.DUMMYFUNCTION("""COMPUTED_VALUE"""),9584.5)</f>
        <v>9584.5</v>
      </c>
      <c r="N21">
        <f>IFERROR(__xludf.DUMMYFUNCTION("""COMPUTED_VALUE"""),9043.95)</f>
        <v>9043.95</v>
      </c>
      <c r="O21">
        <f>IFERROR(__xludf.DUMMYFUNCTION("""COMPUTED_VALUE"""),9136.85)</f>
        <v>9136.85</v>
      </c>
      <c r="P21">
        <f>IFERROR(__xludf.DUMMYFUNCTION("""COMPUTED_VALUE"""),0.0)</f>
        <v>0</v>
      </c>
    </row>
    <row r="22">
      <c r="A22" s="3" t="s">
        <v>63</v>
      </c>
      <c r="B22" s="3" t="s">
        <v>64</v>
      </c>
      <c r="C22" s="3" t="s">
        <v>65</v>
      </c>
      <c r="D22" s="3" t="s">
        <v>13</v>
      </c>
      <c r="E22">
        <f>IFERROR(__xludf.DUMMYFUNCTION("GOOGLEFINANCE(C22,""price"")"),1061.0)</f>
        <v>1061</v>
      </c>
      <c r="F22" s="4">
        <f>IFERROR(__xludf.DUMMYFUNCTION("GOOGLEFINANCE(C22,""change"")"),18.45)</f>
        <v>18.45</v>
      </c>
      <c r="G22" s="5">
        <f>IFERROR(__xludf.DUMMYFUNCTION("GOOGLEFINANCE(C22,""changepct"")/100"),0.0177)</f>
        <v>0.0177</v>
      </c>
      <c r="H22" s="4">
        <f>IFERROR(__xludf.DUMMYFUNCTION("GOOGLEFINANCE(C22,""marketcap"")"),1.41336896601E11)</f>
        <v>141336896601</v>
      </c>
      <c r="K22" s="7">
        <f>IFERROR(__xludf.DUMMYFUNCTION("""COMPUTED_VALUE"""),43973.64583333333)</f>
        <v>43973.64583</v>
      </c>
      <c r="L22">
        <f>IFERROR(__xludf.DUMMYFUNCTION("""COMPUTED_VALUE"""),9158.3)</f>
        <v>9158.3</v>
      </c>
      <c r="M22">
        <f>IFERROR(__xludf.DUMMYFUNCTION("""COMPUTED_VALUE"""),9178.55)</f>
        <v>9178.55</v>
      </c>
      <c r="N22">
        <f>IFERROR(__xludf.DUMMYFUNCTION("""COMPUTED_VALUE"""),8806.75)</f>
        <v>8806.75</v>
      </c>
      <c r="O22">
        <f>IFERROR(__xludf.DUMMYFUNCTION("""COMPUTED_VALUE"""),9039.25)</f>
        <v>9039.25</v>
      </c>
      <c r="P22">
        <f>IFERROR(__xludf.DUMMYFUNCTION("""COMPUTED_VALUE"""),0.0)</f>
        <v>0</v>
      </c>
    </row>
    <row r="23">
      <c r="A23" s="3" t="s">
        <v>66</v>
      </c>
      <c r="B23" s="3" t="s">
        <v>32</v>
      </c>
      <c r="C23" s="3" t="s">
        <v>67</v>
      </c>
      <c r="D23" s="3" t="s">
        <v>13</v>
      </c>
      <c r="E23">
        <f>IFERROR(__xludf.DUMMYFUNCTION("GOOGLEFINANCE(C23,""price"")"),1275.0)</f>
        <v>1275</v>
      </c>
      <c r="F23" s="4">
        <f>IFERROR(__xludf.DUMMYFUNCTION("GOOGLEFINANCE(C23,""change"")"),2.65)</f>
        <v>2.65</v>
      </c>
      <c r="G23" s="5">
        <f>IFERROR(__xludf.DUMMYFUNCTION("GOOGLEFINANCE(C23,""changepct"")/100"),0.0021)</f>
        <v>0.0021</v>
      </c>
      <c r="H23" s="4">
        <f>IFERROR(__xludf.DUMMYFUNCTION("GOOGLEFINANCE(C23,""marketcap"")"),1.63988181531E11)</f>
        <v>163988181531</v>
      </c>
      <c r="K23" s="7">
        <f>IFERROR(__xludf.DUMMYFUNCTION("""COMPUTED_VALUE"""),43980.64583333333)</f>
        <v>43980.64583</v>
      </c>
      <c r="L23">
        <f>IFERROR(__xludf.DUMMYFUNCTION("""COMPUTED_VALUE"""),9099.75)</f>
        <v>9099.75</v>
      </c>
      <c r="M23">
        <f>IFERROR(__xludf.DUMMYFUNCTION("""COMPUTED_VALUE"""),9598.85)</f>
        <v>9598.85</v>
      </c>
      <c r="N23">
        <f>IFERROR(__xludf.DUMMYFUNCTION("""COMPUTED_VALUE"""),8996.65)</f>
        <v>8996.65</v>
      </c>
      <c r="O23">
        <f>IFERROR(__xludf.DUMMYFUNCTION("""COMPUTED_VALUE"""),9580.3)</f>
        <v>9580.3</v>
      </c>
      <c r="P23">
        <f>IFERROR(__xludf.DUMMYFUNCTION("""COMPUTED_VALUE"""),0.0)</f>
        <v>0</v>
      </c>
    </row>
    <row r="24">
      <c r="A24" s="3" t="s">
        <v>68</v>
      </c>
      <c r="B24" s="3" t="s">
        <v>11</v>
      </c>
      <c r="C24" s="3" t="s">
        <v>69</v>
      </c>
      <c r="D24" s="3" t="s">
        <v>13</v>
      </c>
      <c r="E24">
        <f>IFERROR(__xludf.DUMMYFUNCTION("GOOGLEFINANCE(C24,""price"")"),1941.05)</f>
        <v>1941.05</v>
      </c>
      <c r="F24" s="4">
        <f>IFERROR(__xludf.DUMMYFUNCTION("GOOGLEFINANCE(C24,""change"")"),-42.7)</f>
        <v>-42.7</v>
      </c>
      <c r="G24" s="5">
        <f>IFERROR(__xludf.DUMMYFUNCTION("GOOGLEFINANCE(C24,""changepct"")/100"),-0.0215)</f>
        <v>-0.0215</v>
      </c>
      <c r="H24" s="4">
        <f>IFERROR(__xludf.DUMMYFUNCTION("GOOGLEFINANCE(C24,""marketcap"")"),8.857591E10)</f>
        <v>88575910000</v>
      </c>
      <c r="K24" s="7">
        <f>IFERROR(__xludf.DUMMYFUNCTION("""COMPUTED_VALUE"""),43987.64583333333)</f>
        <v>43987.64583</v>
      </c>
      <c r="L24">
        <f>IFERROR(__xludf.DUMMYFUNCTION("""COMPUTED_VALUE"""),9726.85)</f>
        <v>9726.85</v>
      </c>
      <c r="M24">
        <f>IFERROR(__xludf.DUMMYFUNCTION("""COMPUTED_VALUE"""),10177.8)</f>
        <v>10177.8</v>
      </c>
      <c r="N24">
        <f>IFERROR(__xludf.DUMMYFUNCTION("""COMPUTED_VALUE"""),9706.95)</f>
        <v>9706.95</v>
      </c>
      <c r="O24">
        <f>IFERROR(__xludf.DUMMYFUNCTION("""COMPUTED_VALUE"""),10142.15)</f>
        <v>10142.15</v>
      </c>
      <c r="P24">
        <f>IFERROR(__xludf.DUMMYFUNCTION("""COMPUTED_VALUE"""),0.0)</f>
        <v>0</v>
      </c>
    </row>
    <row r="25">
      <c r="A25" s="3" t="s">
        <v>70</v>
      </c>
      <c r="B25" s="3" t="s">
        <v>32</v>
      </c>
      <c r="C25" s="3" t="s">
        <v>71</v>
      </c>
      <c r="D25" s="3" t="s">
        <v>13</v>
      </c>
      <c r="E25">
        <f>IFERROR(__xludf.DUMMYFUNCTION("GOOGLEFINANCE(C25,""price"")"),70.15)</f>
        <v>70.15</v>
      </c>
      <c r="F25" s="4">
        <f>IFERROR(__xludf.DUMMYFUNCTION("GOOGLEFINANCE(C25,""change"")"),0.55)</f>
        <v>0.55</v>
      </c>
      <c r="G25" s="5">
        <f>IFERROR(__xludf.DUMMYFUNCTION("GOOGLEFINANCE(C25,""changepct"")/100"),0.0079)</f>
        <v>0.0079</v>
      </c>
      <c r="H25" s="4">
        <f>IFERROR(__xludf.DUMMYFUNCTION("GOOGLEFINANCE(C25,""marketcap"")"),1.802608E10)</f>
        <v>18026080000</v>
      </c>
      <c r="K25" s="7">
        <f>IFERROR(__xludf.DUMMYFUNCTION("""COMPUTED_VALUE"""),43994.64583333333)</f>
        <v>43994.64583</v>
      </c>
      <c r="L25">
        <f>IFERROR(__xludf.DUMMYFUNCTION("""COMPUTED_VALUE"""),10326.75)</f>
        <v>10326.75</v>
      </c>
      <c r="M25">
        <f>IFERROR(__xludf.DUMMYFUNCTION("""COMPUTED_VALUE"""),10328.5)</f>
        <v>10328.5</v>
      </c>
      <c r="N25">
        <f>IFERROR(__xludf.DUMMYFUNCTION("""COMPUTED_VALUE"""),9544.35)</f>
        <v>9544.35</v>
      </c>
      <c r="O25">
        <f>IFERROR(__xludf.DUMMYFUNCTION("""COMPUTED_VALUE"""),9972.9)</f>
        <v>9972.9</v>
      </c>
      <c r="P25">
        <f>IFERROR(__xludf.DUMMYFUNCTION("""COMPUTED_VALUE"""),0.0)</f>
        <v>0</v>
      </c>
    </row>
    <row r="26">
      <c r="A26" s="3" t="s">
        <v>72</v>
      </c>
      <c r="B26" s="3" t="s">
        <v>32</v>
      </c>
      <c r="C26" s="3" t="s">
        <v>73</v>
      </c>
      <c r="D26" s="3" t="s">
        <v>22</v>
      </c>
      <c r="E26">
        <f>IFERROR(__xludf.DUMMYFUNCTION("GOOGLEFINANCE(C26,""price"")"),702.3)</f>
        <v>702.3</v>
      </c>
      <c r="F26" s="4">
        <f>IFERROR(__xludf.DUMMYFUNCTION("GOOGLEFINANCE(C26,""change"")"),1.25)</f>
        <v>1.25</v>
      </c>
      <c r="G26" s="5">
        <f>IFERROR(__xludf.DUMMYFUNCTION("GOOGLEFINANCE(C26,""changepct"")/100"),0.0018)</f>
        <v>0.0018</v>
      </c>
      <c r="H26" s="4">
        <f>IFERROR(__xludf.DUMMYFUNCTION("GOOGLEFINANCE(C26,""marketcap"")"),1.379873E11)</f>
        <v>137987300000</v>
      </c>
      <c r="K26" s="7">
        <f>IFERROR(__xludf.DUMMYFUNCTION("""COMPUTED_VALUE"""),44001.64583333333)</f>
        <v>44001.64583</v>
      </c>
      <c r="L26">
        <f>IFERROR(__xludf.DUMMYFUNCTION("""COMPUTED_VALUE"""),9919.35)</f>
        <v>9919.35</v>
      </c>
      <c r="M26">
        <f>IFERROR(__xludf.DUMMYFUNCTION("""COMPUTED_VALUE"""),10272.4)</f>
        <v>10272.4</v>
      </c>
      <c r="N26">
        <f>IFERROR(__xludf.DUMMYFUNCTION("""COMPUTED_VALUE"""),9726.35)</f>
        <v>9726.35</v>
      </c>
      <c r="O26">
        <f>IFERROR(__xludf.DUMMYFUNCTION("""COMPUTED_VALUE"""),10244.4)</f>
        <v>10244.4</v>
      </c>
      <c r="P26">
        <f>IFERROR(__xludf.DUMMYFUNCTION("""COMPUTED_VALUE"""),0.0)</f>
        <v>0</v>
      </c>
    </row>
    <row r="27">
      <c r="A27" s="3" t="s">
        <v>74</v>
      </c>
      <c r="B27" s="3" t="s">
        <v>32</v>
      </c>
      <c r="C27" s="3" t="s">
        <v>75</v>
      </c>
      <c r="D27" s="3" t="s">
        <v>22</v>
      </c>
      <c r="E27">
        <f>IFERROR(__xludf.DUMMYFUNCTION("GOOGLEFINANCE(C27,""price"")"),3225.0)</f>
        <v>3225</v>
      </c>
      <c r="F27" s="4">
        <f>IFERROR(__xludf.DUMMYFUNCTION("GOOGLEFINANCE(C27,""change"")"),-2.7)</f>
        <v>-2.7</v>
      </c>
      <c r="G27" s="5">
        <f>IFERROR(__xludf.DUMMYFUNCTION("GOOGLEFINANCE(C27,""changepct"")/100"),-8.0E-4)</f>
        <v>-0.0008</v>
      </c>
      <c r="H27" s="4">
        <f>IFERROR(__xludf.DUMMYFUNCTION("GOOGLEFINANCE(C27,""marketcap"")"),3.855968025E11)</f>
        <v>385596802500</v>
      </c>
      <c r="K27" s="7">
        <f>IFERROR(__xludf.DUMMYFUNCTION("""COMPUTED_VALUE"""),44008.64583333333)</f>
        <v>44008.64583</v>
      </c>
      <c r="L27">
        <f>IFERROR(__xludf.DUMMYFUNCTION("""COMPUTED_VALUE"""),10318.75)</f>
        <v>10318.75</v>
      </c>
      <c r="M27">
        <f>IFERROR(__xludf.DUMMYFUNCTION("""COMPUTED_VALUE"""),10553.15)</f>
        <v>10553.15</v>
      </c>
      <c r="N27">
        <f>IFERROR(__xludf.DUMMYFUNCTION("""COMPUTED_VALUE"""),10194.5)</f>
        <v>10194.5</v>
      </c>
      <c r="O27">
        <f>IFERROR(__xludf.DUMMYFUNCTION("""COMPUTED_VALUE"""),10383.0)</f>
        <v>10383</v>
      </c>
      <c r="P27">
        <f>IFERROR(__xludf.DUMMYFUNCTION("""COMPUTED_VALUE"""),0.0)</f>
        <v>0</v>
      </c>
    </row>
    <row r="28">
      <c r="A28" s="3" t="s">
        <v>76</v>
      </c>
      <c r="B28" s="3" t="s">
        <v>35</v>
      </c>
      <c r="C28" s="3" t="s">
        <v>77</v>
      </c>
      <c r="D28" s="3" t="s">
        <v>13</v>
      </c>
      <c r="E28">
        <f>IFERROR(__xludf.DUMMYFUNCTION("GOOGLEFINANCE(C28,""price"")"),2925.05)</f>
        <v>2925.05</v>
      </c>
      <c r="F28" s="4">
        <f>IFERROR(__xludf.DUMMYFUNCTION("GOOGLEFINANCE(C28,""change"")"),61.1)</f>
        <v>61.1</v>
      </c>
      <c r="G28" s="5">
        <f>IFERROR(__xludf.DUMMYFUNCTION("GOOGLEFINANCE(C28,""changepct"")/100"),0.0213)</f>
        <v>0.0213</v>
      </c>
      <c r="H28" s="4">
        <f>IFERROR(__xludf.DUMMYFUNCTION("GOOGLEFINANCE(C28,""marketcap"")"),1.496867E11)</f>
        <v>149686700000</v>
      </c>
      <c r="K28" s="7">
        <f>IFERROR(__xludf.DUMMYFUNCTION("""COMPUTED_VALUE"""),44015.64583333333)</f>
        <v>44015.64583</v>
      </c>
      <c r="L28">
        <f>IFERROR(__xludf.DUMMYFUNCTION("""COMPUTED_VALUE"""),10311.95)</f>
        <v>10311.95</v>
      </c>
      <c r="M28">
        <f>IFERROR(__xludf.DUMMYFUNCTION("""COMPUTED_VALUE"""),10631.3)</f>
        <v>10631.3</v>
      </c>
      <c r="N28">
        <f>IFERROR(__xludf.DUMMYFUNCTION("""COMPUTED_VALUE"""),10223.6)</f>
        <v>10223.6</v>
      </c>
      <c r="O28">
        <f>IFERROR(__xludf.DUMMYFUNCTION("""COMPUTED_VALUE"""),10607.35)</f>
        <v>10607.35</v>
      </c>
      <c r="P28">
        <f>IFERROR(__xludf.DUMMYFUNCTION("""COMPUTED_VALUE"""),0.0)</f>
        <v>0</v>
      </c>
    </row>
    <row r="29">
      <c r="A29" s="3" t="s">
        <v>78</v>
      </c>
      <c r="B29" s="3" t="s">
        <v>79</v>
      </c>
      <c r="C29" s="3" t="s">
        <v>80</v>
      </c>
      <c r="D29" s="3" t="s">
        <v>13</v>
      </c>
      <c r="E29">
        <f>IFERROR(__xludf.DUMMYFUNCTION("GOOGLEFINANCE(C29,""price"")"),20.0)</f>
        <v>20</v>
      </c>
      <c r="F29" s="4">
        <f>IFERROR(__xludf.DUMMYFUNCTION("GOOGLEFINANCE(C29,""change"")"),0.95)</f>
        <v>0.95</v>
      </c>
      <c r="G29" s="5">
        <f>IFERROR(__xludf.DUMMYFUNCTION("GOOGLEFINANCE(C29,""changepct"")/100"),0.0499)</f>
        <v>0.0499</v>
      </c>
      <c r="H29" s="4">
        <f>IFERROR(__xludf.DUMMYFUNCTION("GOOGLEFINANCE(C29,""marketcap"")"),9.93048E10)</f>
        <v>99304800000</v>
      </c>
      <c r="K29" s="7">
        <f>IFERROR(__xludf.DUMMYFUNCTION("""COMPUTED_VALUE"""),44022.64583333333)</f>
        <v>44022.64583</v>
      </c>
      <c r="L29">
        <f>IFERROR(__xludf.DUMMYFUNCTION("""COMPUTED_VALUE"""),10723.85)</f>
        <v>10723.85</v>
      </c>
      <c r="M29">
        <f>IFERROR(__xludf.DUMMYFUNCTION("""COMPUTED_VALUE"""),10847.85)</f>
        <v>10847.85</v>
      </c>
      <c r="N29">
        <f>IFERROR(__xludf.DUMMYFUNCTION("""COMPUTED_VALUE"""),10676.55)</f>
        <v>10676.55</v>
      </c>
      <c r="O29">
        <f>IFERROR(__xludf.DUMMYFUNCTION("""COMPUTED_VALUE"""),10768.05)</f>
        <v>10768.05</v>
      </c>
      <c r="P29">
        <f>IFERROR(__xludf.DUMMYFUNCTION("""COMPUTED_VALUE"""),0.0)</f>
        <v>0</v>
      </c>
    </row>
    <row r="30">
      <c r="A30" s="3" t="s">
        <v>81</v>
      </c>
      <c r="B30" s="3" t="s">
        <v>82</v>
      </c>
      <c r="C30" s="3" t="s">
        <v>83</v>
      </c>
      <c r="D30" s="3" t="s">
        <v>22</v>
      </c>
      <c r="E30">
        <f>IFERROR(__xludf.DUMMYFUNCTION("GOOGLEFINANCE(C30,""price"")"),491.65)</f>
        <v>491.65</v>
      </c>
      <c r="F30" s="4">
        <f>IFERROR(__xludf.DUMMYFUNCTION("GOOGLEFINANCE(C30,""change"")"),12.2)</f>
        <v>12.2</v>
      </c>
      <c r="G30" s="5">
        <f>IFERROR(__xludf.DUMMYFUNCTION("GOOGLEFINANCE(C30,""changepct"")/100"),0.0254)</f>
        <v>0.0254</v>
      </c>
      <c r="H30" s="4">
        <f>IFERROR(__xludf.DUMMYFUNCTION("GOOGLEFINANCE(C30,""marketcap"")"),8.4005057687E10)</f>
        <v>84005057687</v>
      </c>
      <c r="K30" s="7">
        <f>IFERROR(__xludf.DUMMYFUNCTION("""COMPUTED_VALUE"""),44029.64583333333)</f>
        <v>44029.64583</v>
      </c>
      <c r="L30">
        <f>IFERROR(__xludf.DUMMYFUNCTION("""COMPUTED_VALUE"""),10851.85)</f>
        <v>10851.85</v>
      </c>
      <c r="M30">
        <f>IFERROR(__xludf.DUMMYFUNCTION("""COMPUTED_VALUE"""),10933.45)</f>
        <v>10933.45</v>
      </c>
      <c r="N30">
        <f>IFERROR(__xludf.DUMMYFUNCTION("""COMPUTED_VALUE"""),10562.9)</f>
        <v>10562.9</v>
      </c>
      <c r="O30">
        <f>IFERROR(__xludf.DUMMYFUNCTION("""COMPUTED_VALUE"""),10901.7)</f>
        <v>10901.7</v>
      </c>
      <c r="P30">
        <f>IFERROR(__xludf.DUMMYFUNCTION("""COMPUTED_VALUE"""),0.0)</f>
        <v>0</v>
      </c>
    </row>
    <row r="31">
      <c r="A31" s="3" t="s">
        <v>84</v>
      </c>
      <c r="B31" s="3" t="s">
        <v>11</v>
      </c>
      <c r="C31" s="3" t="s">
        <v>85</v>
      </c>
      <c r="D31" s="3" t="s">
        <v>13</v>
      </c>
      <c r="E31">
        <f>IFERROR(__xludf.DUMMYFUNCTION("GOOGLEFINANCE(C31,""price"")"),2495.0)</f>
        <v>2495</v>
      </c>
      <c r="F31" s="4">
        <f>IFERROR(__xludf.DUMMYFUNCTION("GOOGLEFINANCE(C31,""change"")"),46.9)</f>
        <v>46.9</v>
      </c>
      <c r="G31" s="5">
        <f>IFERROR(__xludf.DUMMYFUNCTION("GOOGLEFINANCE(C31,""changepct"")/100"),0.0192)</f>
        <v>0.0192</v>
      </c>
      <c r="H31" s="4">
        <f>IFERROR(__xludf.DUMMYFUNCTION("GOOGLEFINANCE(C31,""marketcap"")"),8.402205E10)</f>
        <v>84022050000</v>
      </c>
      <c r="K31" s="7">
        <f>IFERROR(__xludf.DUMMYFUNCTION("""COMPUTED_VALUE"""),44036.64583333333)</f>
        <v>44036.64583</v>
      </c>
      <c r="L31">
        <f>IFERROR(__xludf.DUMMYFUNCTION("""COMPUTED_VALUE"""),10999.45)</f>
        <v>10999.45</v>
      </c>
      <c r="M31">
        <f>IFERROR(__xludf.DUMMYFUNCTION("""COMPUTED_VALUE"""),11239.8)</f>
        <v>11239.8</v>
      </c>
      <c r="N31">
        <f>IFERROR(__xludf.DUMMYFUNCTION("""COMPUTED_VALUE"""),10953.0)</f>
        <v>10953</v>
      </c>
      <c r="O31">
        <f>IFERROR(__xludf.DUMMYFUNCTION("""COMPUTED_VALUE"""),11194.15)</f>
        <v>11194.15</v>
      </c>
      <c r="P31">
        <f>IFERROR(__xludf.DUMMYFUNCTION("""COMPUTED_VALUE"""),0.0)</f>
        <v>0</v>
      </c>
    </row>
    <row r="32">
      <c r="A32" s="3" t="s">
        <v>86</v>
      </c>
      <c r="B32" s="3" t="s">
        <v>20</v>
      </c>
      <c r="C32" s="3" t="s">
        <v>87</v>
      </c>
      <c r="D32" s="3" t="s">
        <v>22</v>
      </c>
      <c r="E32">
        <f>IFERROR(__xludf.DUMMYFUNCTION("GOOGLEFINANCE(C32,""price"")"),374.85)</f>
        <v>374.85</v>
      </c>
      <c r="F32" s="4">
        <f>IFERROR(__xludf.DUMMYFUNCTION("GOOGLEFINANCE(C32,""change"")"),4.0)</f>
        <v>4</v>
      </c>
      <c r="G32" s="5">
        <f>IFERROR(__xludf.DUMMYFUNCTION("GOOGLEFINANCE(C32,""changepct"")/100"),0.0108)</f>
        <v>0.0108</v>
      </c>
      <c r="H32" s="4">
        <f>IFERROR(__xludf.DUMMYFUNCTION("GOOGLEFINANCE(C32,""marketcap"")"),7.4382441E11)</f>
        <v>743824410000</v>
      </c>
      <c r="K32" s="7">
        <f>IFERROR(__xludf.DUMMYFUNCTION("""COMPUTED_VALUE"""),44043.64583333333)</f>
        <v>44043.64583</v>
      </c>
      <c r="L32">
        <f>IFERROR(__xludf.DUMMYFUNCTION("""COMPUTED_VALUE"""),11225.0)</f>
        <v>11225</v>
      </c>
      <c r="M32">
        <f>IFERROR(__xludf.DUMMYFUNCTION("""COMPUTED_VALUE"""),11341.4)</f>
        <v>11341.4</v>
      </c>
      <c r="N32">
        <f>IFERROR(__xludf.DUMMYFUNCTION("""COMPUTED_VALUE"""),11026.65)</f>
        <v>11026.65</v>
      </c>
      <c r="O32">
        <f>IFERROR(__xludf.DUMMYFUNCTION("""COMPUTED_VALUE"""),11073.45)</f>
        <v>11073.45</v>
      </c>
      <c r="P32">
        <f>IFERROR(__xludf.DUMMYFUNCTION("""COMPUTED_VALUE"""),0.0)</f>
        <v>0</v>
      </c>
    </row>
    <row r="33">
      <c r="A33" s="3" t="s">
        <v>88</v>
      </c>
      <c r="B33" s="3" t="s">
        <v>29</v>
      </c>
      <c r="C33" s="3" t="s">
        <v>89</v>
      </c>
      <c r="D33" s="3" t="s">
        <v>13</v>
      </c>
      <c r="E33" t="str">
        <f>IFERROR(__xludf.DUMMYFUNCTION("GOOGLEFINANCE(C33,""price"")"),"#N/A")</f>
        <v>#N/A</v>
      </c>
      <c r="F33" s="4" t="str">
        <f>IFERROR(__xludf.DUMMYFUNCTION("GOOGLEFINANCE(C33,""change"")"),"#N/A")</f>
        <v>#N/A</v>
      </c>
      <c r="G33" s="5" t="str">
        <f>IFERROR(__xludf.DUMMYFUNCTION("GOOGLEFINANCE(C33,""changepct"")/100"),"#N/A")</f>
        <v>#N/A</v>
      </c>
      <c r="H33" s="4" t="str">
        <f>IFERROR(__xludf.DUMMYFUNCTION("GOOGLEFINANCE(C33,""marketcap"")"),"#N/A")</f>
        <v>#N/A</v>
      </c>
      <c r="K33" s="7">
        <f>IFERROR(__xludf.DUMMYFUNCTION("""COMPUTED_VALUE"""),44050.64583333333)</f>
        <v>44050.64583</v>
      </c>
      <c r="L33">
        <f>IFERROR(__xludf.DUMMYFUNCTION("""COMPUTED_VALUE"""),11057.55)</f>
        <v>11057.55</v>
      </c>
      <c r="M33">
        <f>IFERROR(__xludf.DUMMYFUNCTION("""COMPUTED_VALUE"""),11256.8)</f>
        <v>11256.8</v>
      </c>
      <c r="N33">
        <f>IFERROR(__xludf.DUMMYFUNCTION("""COMPUTED_VALUE"""),10882.25)</f>
        <v>10882.25</v>
      </c>
      <c r="O33">
        <f>IFERROR(__xludf.DUMMYFUNCTION("""COMPUTED_VALUE"""),11214.05)</f>
        <v>11214.05</v>
      </c>
      <c r="P33">
        <f>IFERROR(__xludf.DUMMYFUNCTION("""COMPUTED_VALUE"""),0.0)</f>
        <v>0</v>
      </c>
    </row>
    <row r="34">
      <c r="A34" s="3" t="s">
        <v>90</v>
      </c>
      <c r="B34" s="3" t="s">
        <v>91</v>
      </c>
      <c r="C34" s="3" t="s">
        <v>92</v>
      </c>
      <c r="D34" s="3" t="s">
        <v>22</v>
      </c>
      <c r="E34">
        <f>IFERROR(__xludf.DUMMYFUNCTION("GOOGLEFINANCE(C34,""price"")"),4197.7)</f>
        <v>4197.7</v>
      </c>
      <c r="F34" s="4">
        <f>IFERROR(__xludf.DUMMYFUNCTION("GOOGLEFINANCE(C34,""change"")"),7.2)</f>
        <v>7.2</v>
      </c>
      <c r="G34" s="5">
        <f>IFERROR(__xludf.DUMMYFUNCTION("GOOGLEFINANCE(C34,""changepct"")/100"),0.0017000000000000001)</f>
        <v>0.0017</v>
      </c>
      <c r="H34" s="4">
        <f>IFERROR(__xludf.DUMMYFUNCTION("GOOGLEFINANCE(C34,""marketcap"")"),6.05597426143E11)</f>
        <v>605597426143</v>
      </c>
      <c r="K34" s="7">
        <f>IFERROR(__xludf.DUMMYFUNCTION("""COMPUTED_VALUE"""),44057.64583333333)</f>
        <v>44057.64583</v>
      </c>
      <c r="L34">
        <f>IFERROR(__xludf.DUMMYFUNCTION("""COMPUTED_VALUE"""),11270.25)</f>
        <v>11270.25</v>
      </c>
      <c r="M34">
        <f>IFERROR(__xludf.DUMMYFUNCTION("""COMPUTED_VALUE"""),11373.6)</f>
        <v>11373.6</v>
      </c>
      <c r="N34">
        <f>IFERROR(__xludf.DUMMYFUNCTION("""COMPUTED_VALUE"""),11111.45)</f>
        <v>11111.45</v>
      </c>
      <c r="O34">
        <f>IFERROR(__xludf.DUMMYFUNCTION("""COMPUTED_VALUE"""),11178.4)</f>
        <v>11178.4</v>
      </c>
      <c r="P34">
        <f>IFERROR(__xludf.DUMMYFUNCTION("""COMPUTED_VALUE"""),0.0)</f>
        <v>0</v>
      </c>
    </row>
    <row r="35">
      <c r="A35" s="3" t="s">
        <v>93</v>
      </c>
      <c r="B35" s="3" t="s">
        <v>82</v>
      </c>
      <c r="C35" s="3" t="s">
        <v>94</v>
      </c>
      <c r="D35" s="3" t="s">
        <v>22</v>
      </c>
      <c r="E35">
        <f>IFERROR(__xludf.DUMMYFUNCTION("GOOGLEFINANCE(C35,""price"")"),219.25)</f>
        <v>219.25</v>
      </c>
      <c r="F35" s="4">
        <f>IFERROR(__xludf.DUMMYFUNCTION("GOOGLEFINANCE(C35,""change"")"),1.1)</f>
        <v>1.1</v>
      </c>
      <c r="G35" s="5">
        <f>IFERROR(__xludf.DUMMYFUNCTION("GOOGLEFINANCE(C35,""changepct"")/100"),0.005)</f>
        <v>0.005</v>
      </c>
      <c r="H35" s="4">
        <f>IFERROR(__xludf.DUMMYFUNCTION("GOOGLEFINANCE(C35,""marketcap"")"),1.39625765004E11)</f>
        <v>139625765004</v>
      </c>
      <c r="K35" s="7">
        <f>IFERROR(__xludf.DUMMYFUNCTION("""COMPUTED_VALUE"""),44064.64583333333)</f>
        <v>44064.64583</v>
      </c>
      <c r="L35">
        <f>IFERROR(__xludf.DUMMYFUNCTION("""COMPUTED_VALUE"""),11248.9)</f>
        <v>11248.9</v>
      </c>
      <c r="M35">
        <f>IFERROR(__xludf.DUMMYFUNCTION("""COMPUTED_VALUE"""),11460.35)</f>
        <v>11460.35</v>
      </c>
      <c r="N35">
        <f>IFERROR(__xludf.DUMMYFUNCTION("""COMPUTED_VALUE"""),11144.5)</f>
        <v>11144.5</v>
      </c>
      <c r="O35">
        <f>IFERROR(__xludf.DUMMYFUNCTION("""COMPUTED_VALUE"""),11371.6)</f>
        <v>11371.6</v>
      </c>
      <c r="P35">
        <f>IFERROR(__xludf.DUMMYFUNCTION("""COMPUTED_VALUE"""),0.0)</f>
        <v>0</v>
      </c>
    </row>
    <row r="36">
      <c r="A36" s="3" t="s">
        <v>95</v>
      </c>
      <c r="B36" s="3" t="s">
        <v>82</v>
      </c>
      <c r="C36" s="3" t="s">
        <v>96</v>
      </c>
      <c r="D36" s="3" t="s">
        <v>13</v>
      </c>
      <c r="E36">
        <f>IFERROR(__xludf.DUMMYFUNCTION("GOOGLEFINANCE(C36,""price"")"),590.1)</f>
        <v>590.1</v>
      </c>
      <c r="F36" s="4">
        <f>IFERROR(__xludf.DUMMYFUNCTION("GOOGLEFINANCE(C36,""change"")"),17.85)</f>
        <v>17.85</v>
      </c>
      <c r="G36" s="5">
        <f>IFERROR(__xludf.DUMMYFUNCTION("GOOGLEFINANCE(C36,""changepct"")/100"),0.031200000000000002)</f>
        <v>0.0312</v>
      </c>
      <c r="H36" s="4">
        <f>IFERROR(__xludf.DUMMYFUNCTION("GOOGLEFINANCE(C36,""marketcap"")"),1.445845302E11)</f>
        <v>144584530200</v>
      </c>
      <c r="K36" s="7">
        <f>IFERROR(__xludf.DUMMYFUNCTION("""COMPUTED_VALUE"""),44071.64583333333)</f>
        <v>44071.64583</v>
      </c>
      <c r="L36">
        <f>IFERROR(__xludf.DUMMYFUNCTION("""COMPUTED_VALUE"""),11412.0)</f>
        <v>11412</v>
      </c>
      <c r="M36">
        <f>IFERROR(__xludf.DUMMYFUNCTION("""COMPUTED_VALUE"""),11686.05)</f>
        <v>11686.05</v>
      </c>
      <c r="N36">
        <f>IFERROR(__xludf.DUMMYFUNCTION("""COMPUTED_VALUE"""),11410.65)</f>
        <v>11410.65</v>
      </c>
      <c r="O36">
        <f>IFERROR(__xludf.DUMMYFUNCTION("""COMPUTED_VALUE"""),11647.6)</f>
        <v>11647.6</v>
      </c>
      <c r="P36">
        <f>IFERROR(__xludf.DUMMYFUNCTION("""COMPUTED_VALUE"""),0.0)</f>
        <v>0</v>
      </c>
    </row>
    <row r="37">
      <c r="A37" s="3" t="s">
        <v>97</v>
      </c>
      <c r="B37" s="3" t="s">
        <v>82</v>
      </c>
      <c r="C37" s="3" t="s">
        <v>98</v>
      </c>
      <c r="D37" s="3" t="s">
        <v>22</v>
      </c>
      <c r="E37">
        <f>IFERROR(__xludf.DUMMYFUNCTION("GOOGLEFINANCE(C37,""price"")"),148.7)</f>
        <v>148.7</v>
      </c>
      <c r="F37" s="4">
        <f>IFERROR(__xludf.DUMMYFUNCTION("GOOGLEFINANCE(C37,""change"")"),3.15)</f>
        <v>3.15</v>
      </c>
      <c r="G37" s="5">
        <f>IFERROR(__xludf.DUMMYFUNCTION("GOOGLEFINANCE(C37,""changepct"")/100"),0.0216)</f>
        <v>0.0216</v>
      </c>
      <c r="H37" s="4">
        <f>IFERROR(__xludf.DUMMYFUNCTION("GOOGLEFINANCE(C37,""marketcap"")"),4.37984775417E11)</f>
        <v>437984775417</v>
      </c>
      <c r="K37" s="7">
        <f>IFERROR(__xludf.DUMMYFUNCTION("""COMPUTED_VALUE"""),44078.64583333333)</f>
        <v>44078.64583</v>
      </c>
      <c r="L37">
        <f>IFERROR(__xludf.DUMMYFUNCTION("""COMPUTED_VALUE"""),11777.55)</f>
        <v>11777.55</v>
      </c>
      <c r="M37">
        <f>IFERROR(__xludf.DUMMYFUNCTION("""COMPUTED_VALUE"""),11794.25)</f>
        <v>11794.25</v>
      </c>
      <c r="N37">
        <f>IFERROR(__xludf.DUMMYFUNCTION("""COMPUTED_VALUE"""),11303.65)</f>
        <v>11303.65</v>
      </c>
      <c r="O37">
        <f>IFERROR(__xludf.DUMMYFUNCTION("""COMPUTED_VALUE"""),11333.85)</f>
        <v>11333.85</v>
      </c>
      <c r="P37">
        <f>IFERROR(__xludf.DUMMYFUNCTION("""COMPUTED_VALUE"""),0.0)</f>
        <v>0</v>
      </c>
    </row>
    <row r="38">
      <c r="A38" s="3" t="s">
        <v>99</v>
      </c>
      <c r="B38" s="3" t="s">
        <v>100</v>
      </c>
      <c r="C38" s="3" t="s">
        <v>101</v>
      </c>
      <c r="D38" s="3" t="s">
        <v>13</v>
      </c>
      <c r="E38">
        <f>IFERROR(__xludf.DUMMYFUNCTION("GOOGLEFINANCE(C38,""price"")"),75.0)</f>
        <v>75</v>
      </c>
      <c r="F38" s="4">
        <f>IFERROR(__xludf.DUMMYFUNCTION("GOOGLEFINANCE(C38,""change"")"),0.6)</f>
        <v>0.6</v>
      </c>
      <c r="G38" s="5">
        <f>IFERROR(__xludf.DUMMYFUNCTION("GOOGLEFINANCE(C38,""changepct"")/100"),0.008100000000000001)</f>
        <v>0.0081</v>
      </c>
      <c r="H38" s="4">
        <f>IFERROR(__xludf.DUMMYFUNCTION("GOOGLEFINANCE(C38,""marketcap"")"),2.0956139211E10)</f>
        <v>20956139211</v>
      </c>
      <c r="K38" s="7">
        <f>IFERROR(__xludf.DUMMYFUNCTION("""COMPUTED_VALUE"""),44085.64583333333)</f>
        <v>44085.64583</v>
      </c>
      <c r="L38">
        <f>IFERROR(__xludf.DUMMYFUNCTION("""COMPUTED_VALUE"""),11359.6)</f>
        <v>11359.6</v>
      </c>
      <c r="M38">
        <f>IFERROR(__xludf.DUMMYFUNCTION("""COMPUTED_VALUE"""),11493.5)</f>
        <v>11493.5</v>
      </c>
      <c r="N38">
        <f>IFERROR(__xludf.DUMMYFUNCTION("""COMPUTED_VALUE"""),11185.15)</f>
        <v>11185.15</v>
      </c>
      <c r="O38">
        <f>IFERROR(__xludf.DUMMYFUNCTION("""COMPUTED_VALUE"""),11464.45)</f>
        <v>11464.45</v>
      </c>
      <c r="P38">
        <f>IFERROR(__xludf.DUMMYFUNCTION("""COMPUTED_VALUE"""),0.0)</f>
        <v>0</v>
      </c>
    </row>
    <row r="39">
      <c r="A39" s="3" t="s">
        <v>102</v>
      </c>
      <c r="B39" s="3" t="s">
        <v>11</v>
      </c>
      <c r="C39" s="3" t="s">
        <v>103</v>
      </c>
      <c r="D39" s="3" t="s">
        <v>22</v>
      </c>
      <c r="E39">
        <f>IFERROR(__xludf.DUMMYFUNCTION("GOOGLEFINANCE(C39,""price"")"),3331.95)</f>
        <v>3331.95</v>
      </c>
      <c r="F39" s="4">
        <f>IFERROR(__xludf.DUMMYFUNCTION("GOOGLEFINANCE(C39,""change"")"),59.55)</f>
        <v>59.55</v>
      </c>
      <c r="G39" s="5">
        <f>IFERROR(__xludf.DUMMYFUNCTION("GOOGLEFINANCE(C39,""changepct"")/100"),0.0182)</f>
        <v>0.0182</v>
      </c>
      <c r="H39" s="4">
        <f>IFERROR(__xludf.DUMMYFUNCTION("GOOGLEFINANCE(C39,""marketcap"")"),3.196533E12)</f>
        <v>3196533000000</v>
      </c>
      <c r="K39" s="7">
        <f>IFERROR(__xludf.DUMMYFUNCTION("""COMPUTED_VALUE"""),44092.64583333333)</f>
        <v>44092.64583</v>
      </c>
      <c r="L39">
        <f>IFERROR(__xludf.DUMMYFUNCTION("""COMPUTED_VALUE"""),11540.15)</f>
        <v>11540.15</v>
      </c>
      <c r="M39">
        <f>IFERROR(__xludf.DUMMYFUNCTION("""COMPUTED_VALUE"""),11618.1)</f>
        <v>11618.1</v>
      </c>
      <c r="N39">
        <f>IFERROR(__xludf.DUMMYFUNCTION("""COMPUTED_VALUE"""),11383.55)</f>
        <v>11383.55</v>
      </c>
      <c r="O39">
        <f>IFERROR(__xludf.DUMMYFUNCTION("""COMPUTED_VALUE"""),11504.95)</f>
        <v>11504.95</v>
      </c>
      <c r="P39">
        <f>IFERROR(__xludf.DUMMYFUNCTION("""COMPUTED_VALUE"""),0.0)</f>
        <v>0</v>
      </c>
    </row>
    <row r="40">
      <c r="A40" s="3" t="s">
        <v>104</v>
      </c>
      <c r="B40" s="3" t="s">
        <v>91</v>
      </c>
      <c r="C40" s="3" t="s">
        <v>105</v>
      </c>
      <c r="D40" s="3" t="s">
        <v>13</v>
      </c>
      <c r="E40">
        <f>IFERROR(__xludf.DUMMYFUNCTION("GOOGLEFINANCE(C40,""price"")"),228.65)</f>
        <v>228.65</v>
      </c>
      <c r="F40" s="4">
        <f>IFERROR(__xludf.DUMMYFUNCTION("GOOGLEFINANCE(C40,""change"")"),5.3)</f>
        <v>5.3</v>
      </c>
      <c r="G40" s="5">
        <f>IFERROR(__xludf.DUMMYFUNCTION("GOOGLEFINANCE(C40,""changepct"")/100"),0.023700000000000002)</f>
        <v>0.0237</v>
      </c>
      <c r="H40" s="4">
        <f>IFERROR(__xludf.DUMMYFUNCTION("GOOGLEFINANCE(C40,""marketcap"")"),1.13898179526E11)</f>
        <v>113898179526</v>
      </c>
      <c r="K40" s="7">
        <f>IFERROR(__xludf.DUMMYFUNCTION("""COMPUTED_VALUE"""),44099.64583333333)</f>
        <v>44099.64583</v>
      </c>
      <c r="L40">
        <f>IFERROR(__xludf.DUMMYFUNCTION("""COMPUTED_VALUE"""),11503.8)</f>
        <v>11503.8</v>
      </c>
      <c r="M40">
        <f>IFERROR(__xludf.DUMMYFUNCTION("""COMPUTED_VALUE"""),11535.25)</f>
        <v>11535.25</v>
      </c>
      <c r="N40">
        <f>IFERROR(__xludf.DUMMYFUNCTION("""COMPUTED_VALUE"""),10790.2)</f>
        <v>10790.2</v>
      </c>
      <c r="O40">
        <f>IFERROR(__xludf.DUMMYFUNCTION("""COMPUTED_VALUE"""),11050.25)</f>
        <v>11050.25</v>
      </c>
      <c r="P40">
        <f>IFERROR(__xludf.DUMMYFUNCTION("""COMPUTED_VALUE"""),0.0)</f>
        <v>0</v>
      </c>
    </row>
    <row r="41">
      <c r="A41" s="3" t="s">
        <v>106</v>
      </c>
      <c r="B41" s="3" t="s">
        <v>32</v>
      </c>
      <c r="C41" s="3" t="s">
        <v>107</v>
      </c>
      <c r="D41" s="3" t="s">
        <v>13</v>
      </c>
      <c r="E41">
        <f>IFERROR(__xludf.DUMMYFUNCTION("GOOGLEFINANCE(C41,""price"")"),3062.0)</f>
        <v>3062</v>
      </c>
      <c r="F41" s="4">
        <f>IFERROR(__xludf.DUMMYFUNCTION("GOOGLEFINANCE(C41,""change"")"),-5.3)</f>
        <v>-5.3</v>
      </c>
      <c r="G41" s="5">
        <f>IFERROR(__xludf.DUMMYFUNCTION("GOOGLEFINANCE(C41,""changepct"")/100"),-0.0017000000000000001)</f>
        <v>-0.0017</v>
      </c>
      <c r="H41" s="4">
        <f>IFERROR(__xludf.DUMMYFUNCTION("GOOGLEFINANCE(C41,""marketcap"")"),7.661875E10)</f>
        <v>76618750000</v>
      </c>
      <c r="K41" s="7">
        <f>IFERROR(__xludf.DUMMYFUNCTION("""COMPUTED_VALUE"""),44105.64583333333)</f>
        <v>44105.64583</v>
      </c>
      <c r="L41">
        <f>IFERROR(__xludf.DUMMYFUNCTION("""COMPUTED_VALUE"""),11140.85)</f>
        <v>11140.85</v>
      </c>
      <c r="M41">
        <f>IFERROR(__xludf.DUMMYFUNCTION("""COMPUTED_VALUE"""),11428.6)</f>
        <v>11428.6</v>
      </c>
      <c r="N41">
        <f>IFERROR(__xludf.DUMMYFUNCTION("""COMPUTED_VALUE"""),11099.85)</f>
        <v>11099.85</v>
      </c>
      <c r="O41">
        <f>IFERROR(__xludf.DUMMYFUNCTION("""COMPUTED_VALUE"""),11416.95)</f>
        <v>11416.95</v>
      </c>
      <c r="P41">
        <f>IFERROR(__xludf.DUMMYFUNCTION("""COMPUTED_VALUE"""),0.0)</f>
        <v>0</v>
      </c>
    </row>
    <row r="42">
      <c r="A42" s="3" t="s">
        <v>108</v>
      </c>
      <c r="B42" s="3" t="s">
        <v>15</v>
      </c>
      <c r="C42" s="3" t="s">
        <v>109</v>
      </c>
      <c r="D42" s="3" t="s">
        <v>13</v>
      </c>
      <c r="E42">
        <f>IFERROR(__xludf.DUMMYFUNCTION("GOOGLEFINANCE(C42,""price"")"),1817.25)</f>
        <v>1817.25</v>
      </c>
      <c r="F42" s="4">
        <f>IFERROR(__xludf.DUMMYFUNCTION("GOOGLEFINANCE(C42,""change"")"),25.55)</f>
        <v>25.55</v>
      </c>
      <c r="G42" s="5">
        <f>IFERROR(__xludf.DUMMYFUNCTION("GOOGLEFINANCE(C42,""changepct"")/100"),0.0143)</f>
        <v>0.0143</v>
      </c>
      <c r="H42" s="4">
        <f>IFERROR(__xludf.DUMMYFUNCTION("GOOGLEFINANCE(C42,""marketcap"")"),3.64235971151E11)</f>
        <v>364235971151</v>
      </c>
      <c r="K42" s="7">
        <f>IFERROR(__xludf.DUMMYFUNCTION("""COMPUTED_VALUE"""),44113.64583333333)</f>
        <v>44113.64583</v>
      </c>
      <c r="L42">
        <f>IFERROR(__xludf.DUMMYFUNCTION("""COMPUTED_VALUE"""),11487.8)</f>
        <v>11487.8</v>
      </c>
      <c r="M42">
        <f>IFERROR(__xludf.DUMMYFUNCTION("""COMPUTED_VALUE"""),11938.6)</f>
        <v>11938.6</v>
      </c>
      <c r="N42">
        <f>IFERROR(__xludf.DUMMYFUNCTION("""COMPUTED_VALUE"""),11452.3)</f>
        <v>11452.3</v>
      </c>
      <c r="O42">
        <f>IFERROR(__xludf.DUMMYFUNCTION("""COMPUTED_VALUE"""),11914.2)</f>
        <v>11914.2</v>
      </c>
      <c r="P42">
        <f>IFERROR(__xludf.DUMMYFUNCTION("""COMPUTED_VALUE"""),0.0)</f>
        <v>0</v>
      </c>
    </row>
    <row r="43">
      <c r="A43" s="3" t="s">
        <v>110</v>
      </c>
      <c r="B43" s="3" t="s">
        <v>35</v>
      </c>
      <c r="C43" s="3" t="s">
        <v>111</v>
      </c>
      <c r="D43" s="3" t="s">
        <v>13</v>
      </c>
      <c r="E43">
        <f>IFERROR(__xludf.DUMMYFUNCTION("GOOGLEFINANCE(C43,""price"")"),8904.0)</f>
        <v>8904</v>
      </c>
      <c r="F43" s="4">
        <f>IFERROR(__xludf.DUMMYFUNCTION("GOOGLEFINANCE(C43,""change"")"),198.6)</f>
        <v>198.6</v>
      </c>
      <c r="G43" s="5">
        <f>IFERROR(__xludf.DUMMYFUNCTION("GOOGLEFINANCE(C43,""changepct"")/100"),0.022799999999999997)</f>
        <v>0.0228</v>
      </c>
      <c r="H43" s="4">
        <f>IFERROR(__xludf.DUMMYFUNCTION("GOOGLEFINANCE(C43,""marketcap"")"),2.6228599107E11)</f>
        <v>262285991070</v>
      </c>
      <c r="K43" s="7">
        <f>IFERROR(__xludf.DUMMYFUNCTION("""COMPUTED_VALUE"""),44120.64583333333)</f>
        <v>44120.64583</v>
      </c>
      <c r="L43">
        <f>IFERROR(__xludf.DUMMYFUNCTION("""COMPUTED_VALUE"""),11973.55)</f>
        <v>11973.55</v>
      </c>
      <c r="M43">
        <f>IFERROR(__xludf.DUMMYFUNCTION("""COMPUTED_VALUE"""),12025.45)</f>
        <v>12025.45</v>
      </c>
      <c r="N43">
        <f>IFERROR(__xludf.DUMMYFUNCTION("""COMPUTED_VALUE"""),11661.3)</f>
        <v>11661.3</v>
      </c>
      <c r="O43">
        <f>IFERROR(__xludf.DUMMYFUNCTION("""COMPUTED_VALUE"""),11762.45)</f>
        <v>11762.45</v>
      </c>
      <c r="P43">
        <f>IFERROR(__xludf.DUMMYFUNCTION("""COMPUTED_VALUE"""),0.0)</f>
        <v>0</v>
      </c>
    </row>
    <row r="44">
      <c r="A44" s="3" t="s">
        <v>112</v>
      </c>
      <c r="B44" s="3" t="s">
        <v>32</v>
      </c>
      <c r="C44" s="3" t="s">
        <v>113</v>
      </c>
      <c r="D44" s="3" t="s">
        <v>22</v>
      </c>
      <c r="E44">
        <f>IFERROR(__xludf.DUMMYFUNCTION("GOOGLEFINANCE(C44,""price"")"),546.5)</f>
        <v>546.5</v>
      </c>
      <c r="F44" s="4">
        <f>IFERROR(__xludf.DUMMYFUNCTION("GOOGLEFINANCE(C44,""change"")"),2.75)</f>
        <v>2.75</v>
      </c>
      <c r="G44" s="5">
        <f>IFERROR(__xludf.DUMMYFUNCTION("GOOGLEFINANCE(C44,""changepct"")/100"),0.0051)</f>
        <v>0.0051</v>
      </c>
      <c r="H44" s="4">
        <f>IFERROR(__xludf.DUMMYFUNCTION("GOOGLEFINANCE(C44,""marketcap"")"),3.20272322622E11)</f>
        <v>320272322622</v>
      </c>
      <c r="K44" s="7">
        <f>IFERROR(__xludf.DUMMYFUNCTION("""COMPUTED_VALUE"""),44127.64583333333)</f>
        <v>44127.64583</v>
      </c>
      <c r="L44">
        <f>IFERROR(__xludf.DUMMYFUNCTION("""COMPUTED_VALUE"""),11879.2)</f>
        <v>11879.2</v>
      </c>
      <c r="M44">
        <f>IFERROR(__xludf.DUMMYFUNCTION("""COMPUTED_VALUE"""),12018.65)</f>
        <v>12018.65</v>
      </c>
      <c r="N44">
        <f>IFERROR(__xludf.DUMMYFUNCTION("""COMPUTED_VALUE"""),11775.75)</f>
        <v>11775.75</v>
      </c>
      <c r="O44">
        <f>IFERROR(__xludf.DUMMYFUNCTION("""COMPUTED_VALUE"""),11930.35)</f>
        <v>11930.35</v>
      </c>
      <c r="P44">
        <f>IFERROR(__xludf.DUMMYFUNCTION("""COMPUTED_VALUE"""),0.0)</f>
        <v>0</v>
      </c>
    </row>
    <row r="45">
      <c r="A45" s="3" t="s">
        <v>114</v>
      </c>
      <c r="B45" s="3" t="s">
        <v>11</v>
      </c>
      <c r="C45" s="3" t="s">
        <v>115</v>
      </c>
      <c r="D45" s="3" t="s">
        <v>13</v>
      </c>
      <c r="E45">
        <f>IFERROR(__xludf.DUMMYFUNCTION("GOOGLEFINANCE(C45,""price"")"),442.0)</f>
        <v>442</v>
      </c>
      <c r="F45" s="4">
        <f>IFERROR(__xludf.DUMMYFUNCTION("GOOGLEFINANCE(C45,""change"")"),6.5)</f>
        <v>6.5</v>
      </c>
      <c r="G45" s="5">
        <f>IFERROR(__xludf.DUMMYFUNCTION("GOOGLEFINANCE(C45,""changepct"")/100"),0.0149)</f>
        <v>0.0149</v>
      </c>
      <c r="H45" s="4">
        <f>IFERROR(__xludf.DUMMYFUNCTION("GOOGLEFINANCE(C45,""marketcap"")"),6.01252545E10)</f>
        <v>60125254500</v>
      </c>
      <c r="K45" s="7">
        <f>IFERROR(__xludf.DUMMYFUNCTION("""COMPUTED_VALUE"""),44134.64583333333)</f>
        <v>44134.64583</v>
      </c>
      <c r="L45">
        <f>IFERROR(__xludf.DUMMYFUNCTION("""COMPUTED_VALUE"""),11937.4)</f>
        <v>11937.4</v>
      </c>
      <c r="M45">
        <f>IFERROR(__xludf.DUMMYFUNCTION("""COMPUTED_VALUE"""),11942.85)</f>
        <v>11942.85</v>
      </c>
      <c r="N45">
        <f>IFERROR(__xludf.DUMMYFUNCTION("""COMPUTED_VALUE"""),11535.45)</f>
        <v>11535.45</v>
      </c>
      <c r="O45">
        <f>IFERROR(__xludf.DUMMYFUNCTION("""COMPUTED_VALUE"""),11642.4)</f>
        <v>11642.4</v>
      </c>
      <c r="P45">
        <f>IFERROR(__xludf.DUMMYFUNCTION("""COMPUTED_VALUE"""),0.0)</f>
        <v>0</v>
      </c>
    </row>
    <row r="46">
      <c r="A46" s="3" t="s">
        <v>116</v>
      </c>
      <c r="B46" s="3" t="s">
        <v>57</v>
      </c>
      <c r="C46" s="3" t="s">
        <v>117</v>
      </c>
      <c r="D46" s="3" t="s">
        <v>13</v>
      </c>
      <c r="E46">
        <f>IFERROR(__xludf.DUMMYFUNCTION("GOOGLEFINANCE(C46,""price"")"),4241.0)</f>
        <v>4241</v>
      </c>
      <c r="F46" s="4">
        <f>IFERROR(__xludf.DUMMYFUNCTION("GOOGLEFINANCE(C46,""change"")"),93.2)</f>
        <v>93.2</v>
      </c>
      <c r="G46" s="5">
        <f>IFERROR(__xludf.DUMMYFUNCTION("GOOGLEFINANCE(C46,""changepct"")/100"),0.0225)</f>
        <v>0.0225</v>
      </c>
      <c r="H46" s="4">
        <f>IFERROR(__xludf.DUMMYFUNCTION("GOOGLEFINANCE(C46,""marketcap"")"),2.750400392092E12)</f>
        <v>2750400392092</v>
      </c>
      <c r="K46" s="7">
        <f>IFERROR(__xludf.DUMMYFUNCTION("""COMPUTED_VALUE"""),44141.64583333333)</f>
        <v>44141.64583</v>
      </c>
      <c r="L46">
        <f>IFERROR(__xludf.DUMMYFUNCTION("""COMPUTED_VALUE"""),11697.35)</f>
        <v>11697.35</v>
      </c>
      <c r="M46">
        <f>IFERROR(__xludf.DUMMYFUNCTION("""COMPUTED_VALUE"""),12280.4)</f>
        <v>12280.4</v>
      </c>
      <c r="N46">
        <f>IFERROR(__xludf.DUMMYFUNCTION("""COMPUTED_VALUE"""),11557.4)</f>
        <v>11557.4</v>
      </c>
      <c r="O46">
        <f>IFERROR(__xludf.DUMMYFUNCTION("""COMPUTED_VALUE"""),12263.55)</f>
        <v>12263.55</v>
      </c>
      <c r="P46">
        <f>IFERROR(__xludf.DUMMYFUNCTION("""COMPUTED_VALUE"""),0.0)</f>
        <v>0</v>
      </c>
    </row>
    <row r="47">
      <c r="A47" s="3" t="s">
        <v>118</v>
      </c>
      <c r="B47" s="3" t="s">
        <v>29</v>
      </c>
      <c r="C47" s="3" t="s">
        <v>119</v>
      </c>
      <c r="D47" s="3" t="s">
        <v>22</v>
      </c>
      <c r="E47">
        <f>IFERROR(__xludf.DUMMYFUNCTION("GOOGLEFINANCE(C47,""price"")"),724.5)</f>
        <v>724.5</v>
      </c>
      <c r="F47" s="4">
        <f>IFERROR(__xludf.DUMMYFUNCTION("GOOGLEFINANCE(C47,""change"")"),-1.4)</f>
        <v>-1.4</v>
      </c>
      <c r="G47" s="5">
        <f>IFERROR(__xludf.DUMMYFUNCTION("GOOGLEFINANCE(C47,""changepct"")/100"),-0.0019)</f>
        <v>-0.0019</v>
      </c>
      <c r="H47" s="4">
        <f>IFERROR(__xludf.DUMMYFUNCTION("GOOGLEFINANCE(C47,""marketcap"")"),2.226198519306E12)</f>
        <v>2226198519306</v>
      </c>
      <c r="K47" s="7">
        <f>IFERROR(__xludf.DUMMYFUNCTION("""COMPUTED_VALUE"""),44148.64583333333)</f>
        <v>44148.64583</v>
      </c>
      <c r="L47">
        <f>IFERROR(__xludf.DUMMYFUNCTION("""COMPUTED_VALUE"""),12399.4)</f>
        <v>12399.4</v>
      </c>
      <c r="M47">
        <f>IFERROR(__xludf.DUMMYFUNCTION("""COMPUTED_VALUE"""),12769.75)</f>
        <v>12769.75</v>
      </c>
      <c r="N47">
        <f>IFERROR(__xludf.DUMMYFUNCTION("""COMPUTED_VALUE"""),12367.35)</f>
        <v>12367.35</v>
      </c>
      <c r="O47">
        <f>IFERROR(__xludf.DUMMYFUNCTION("""COMPUTED_VALUE"""),12719.95)</f>
        <v>12719.95</v>
      </c>
      <c r="P47">
        <f>IFERROR(__xludf.DUMMYFUNCTION("""COMPUTED_VALUE"""),0.0)</f>
        <v>0</v>
      </c>
    </row>
    <row r="48">
      <c r="A48" s="3" t="s">
        <v>120</v>
      </c>
      <c r="B48" s="3" t="s">
        <v>35</v>
      </c>
      <c r="C48" s="3" t="s">
        <v>121</v>
      </c>
      <c r="D48" s="3" t="s">
        <v>13</v>
      </c>
      <c r="E48">
        <f>IFERROR(__xludf.DUMMYFUNCTION("GOOGLEFINANCE(C48,""price"")"),2682.55)</f>
        <v>2682.55</v>
      </c>
      <c r="F48" s="4">
        <f>IFERROR(__xludf.DUMMYFUNCTION("GOOGLEFINANCE(C48,""change"")"),9.0)</f>
        <v>9</v>
      </c>
      <c r="G48" s="5">
        <f>IFERROR(__xludf.DUMMYFUNCTION("GOOGLEFINANCE(C48,""changepct"")/100"),0.0034000000000000002)</f>
        <v>0.0034</v>
      </c>
      <c r="H48" s="4">
        <f>IFERROR(__xludf.DUMMYFUNCTION("GOOGLEFINANCE(C48,""marketcap"")"),1.165206E11)</f>
        <v>116520600000</v>
      </c>
      <c r="K48" s="7">
        <f>IFERROR(__xludf.DUMMYFUNCTION("""COMPUTED_VALUE"""),44155.64583333333)</f>
        <v>44155.64583</v>
      </c>
      <c r="L48">
        <f>IFERROR(__xludf.DUMMYFUNCTION("""COMPUTED_VALUE"""),12932.5)</f>
        <v>12932.5</v>
      </c>
      <c r="M48">
        <f>IFERROR(__xludf.DUMMYFUNCTION("""COMPUTED_VALUE"""),12963.0)</f>
        <v>12963</v>
      </c>
      <c r="N48">
        <f>IFERROR(__xludf.DUMMYFUNCTION("""COMPUTED_VALUE"""),12730.25)</f>
        <v>12730.25</v>
      </c>
      <c r="O48">
        <f>IFERROR(__xludf.DUMMYFUNCTION("""COMPUTED_VALUE"""),12859.05)</f>
        <v>12859.05</v>
      </c>
      <c r="P48">
        <f>IFERROR(__xludf.DUMMYFUNCTION("""COMPUTED_VALUE"""),0.0)</f>
        <v>0</v>
      </c>
    </row>
    <row r="49">
      <c r="A49" s="3" t="s">
        <v>122</v>
      </c>
      <c r="B49" s="3" t="s">
        <v>15</v>
      </c>
      <c r="C49" s="3" t="s">
        <v>123</v>
      </c>
      <c r="D49" s="3" t="s">
        <v>13</v>
      </c>
      <c r="E49">
        <f>IFERROR(__xludf.DUMMYFUNCTION("GOOGLEFINANCE(C49,""price"")"),1272.0)</f>
        <v>1272</v>
      </c>
      <c r="F49" s="4">
        <f>IFERROR(__xludf.DUMMYFUNCTION("GOOGLEFINANCE(C49,""change"")"),12.95)</f>
        <v>12.95</v>
      </c>
      <c r="G49" s="5">
        <f>IFERROR(__xludf.DUMMYFUNCTION("GOOGLEFINANCE(C49,""changepct"")/100"),0.0103)</f>
        <v>0.0103</v>
      </c>
      <c r="H49" s="4">
        <f>IFERROR(__xludf.DUMMYFUNCTION("GOOGLEFINANCE(C49,""marketcap"")"),5.297179128E10)</f>
        <v>52971791280</v>
      </c>
      <c r="K49" s="7">
        <f>IFERROR(__xludf.DUMMYFUNCTION("""COMPUTED_VALUE"""),44162.64583333333)</f>
        <v>44162.64583</v>
      </c>
      <c r="L49">
        <f>IFERROR(__xludf.DUMMYFUNCTION("""COMPUTED_VALUE"""),12960.3)</f>
        <v>12960.3</v>
      </c>
      <c r="M49">
        <f>IFERROR(__xludf.DUMMYFUNCTION("""COMPUTED_VALUE"""),13145.85)</f>
        <v>13145.85</v>
      </c>
      <c r="N49">
        <f>IFERROR(__xludf.DUMMYFUNCTION("""COMPUTED_VALUE"""),12790.4)</f>
        <v>12790.4</v>
      </c>
      <c r="O49">
        <f>IFERROR(__xludf.DUMMYFUNCTION("""COMPUTED_VALUE"""),12968.95)</f>
        <v>12968.95</v>
      </c>
      <c r="P49">
        <f>IFERROR(__xludf.DUMMYFUNCTION("""COMPUTED_VALUE"""),0.0)</f>
        <v>0</v>
      </c>
    </row>
    <row r="50">
      <c r="A50" s="3" t="s">
        <v>124</v>
      </c>
      <c r="B50" s="3" t="s">
        <v>29</v>
      </c>
      <c r="C50" s="3" t="s">
        <v>125</v>
      </c>
      <c r="D50" s="3" t="s">
        <v>13</v>
      </c>
      <c r="E50">
        <f>IFERROR(__xludf.DUMMYFUNCTION("GOOGLEFINANCE(C50,""price"")"),679.0)</f>
        <v>679</v>
      </c>
      <c r="F50" s="4">
        <f>IFERROR(__xludf.DUMMYFUNCTION("GOOGLEFINANCE(C50,""change"")"),15.25)</f>
        <v>15.25</v>
      </c>
      <c r="G50" s="5">
        <f>IFERROR(__xludf.DUMMYFUNCTION("GOOGLEFINANCE(C50,""changepct"")/100"),0.023)</f>
        <v>0.023</v>
      </c>
      <c r="H50" s="4">
        <f>IFERROR(__xludf.DUMMYFUNCTION("GOOGLEFINANCE(C50,""marketcap"")"),9.177927E10)</f>
        <v>91779270000</v>
      </c>
      <c r="K50" s="7">
        <f>IFERROR(__xludf.DUMMYFUNCTION("""COMPUTED_VALUE"""),44169.64583333333)</f>
        <v>44169.64583</v>
      </c>
      <c r="L50">
        <f>IFERROR(__xludf.DUMMYFUNCTION("""COMPUTED_VALUE"""),13062.2)</f>
        <v>13062.2</v>
      </c>
      <c r="M50">
        <f>IFERROR(__xludf.DUMMYFUNCTION("""COMPUTED_VALUE"""),13280.05)</f>
        <v>13280.05</v>
      </c>
      <c r="N50">
        <f>IFERROR(__xludf.DUMMYFUNCTION("""COMPUTED_VALUE"""),12962.8)</f>
        <v>12962.8</v>
      </c>
      <c r="O50">
        <f>IFERROR(__xludf.DUMMYFUNCTION("""COMPUTED_VALUE"""),13258.55)</f>
        <v>13258.55</v>
      </c>
      <c r="P50">
        <f>IFERROR(__xludf.DUMMYFUNCTION("""COMPUTED_VALUE"""),0.0)</f>
        <v>0</v>
      </c>
    </row>
    <row r="51">
      <c r="A51" s="3" t="s">
        <v>126</v>
      </c>
      <c r="B51" s="3" t="s">
        <v>82</v>
      </c>
      <c r="C51" s="3" t="s">
        <v>127</v>
      </c>
      <c r="D51" s="3" t="s">
        <v>22</v>
      </c>
      <c r="E51">
        <f>IFERROR(__xludf.DUMMYFUNCTION("GOOGLEFINANCE(C51,""price"")"),3911.7)</f>
        <v>3911.7</v>
      </c>
      <c r="F51" s="4">
        <f>IFERROR(__xludf.DUMMYFUNCTION("GOOGLEFINANCE(C51,""change"")"),53.45)</f>
        <v>53.45</v>
      </c>
      <c r="G51" s="5">
        <f>IFERROR(__xludf.DUMMYFUNCTION("GOOGLEFINANCE(C51,""changepct"")/100"),0.0139)</f>
        <v>0.0139</v>
      </c>
      <c r="H51" s="4">
        <f>IFERROR(__xludf.DUMMYFUNCTION("GOOGLEFINANCE(C51,""marketcap"")"),1.1340582876E12)</f>
        <v>1134058287600</v>
      </c>
      <c r="K51" s="7">
        <f>IFERROR(__xludf.DUMMYFUNCTION("""COMPUTED_VALUE"""),44176.64583333333)</f>
        <v>44176.64583</v>
      </c>
      <c r="L51">
        <f>IFERROR(__xludf.DUMMYFUNCTION("""COMPUTED_VALUE"""),13264.85)</f>
        <v>13264.85</v>
      </c>
      <c r="M51">
        <f>IFERROR(__xludf.DUMMYFUNCTION("""COMPUTED_VALUE"""),13579.35)</f>
        <v>13579.35</v>
      </c>
      <c r="N51">
        <f>IFERROR(__xludf.DUMMYFUNCTION("""COMPUTED_VALUE"""),13241.95)</f>
        <v>13241.95</v>
      </c>
      <c r="O51">
        <f>IFERROR(__xludf.DUMMYFUNCTION("""COMPUTED_VALUE"""),13513.85)</f>
        <v>13513.85</v>
      </c>
      <c r="P51">
        <f>IFERROR(__xludf.DUMMYFUNCTION("""COMPUTED_VALUE"""),0.0)</f>
        <v>0</v>
      </c>
    </row>
    <row r="52">
      <c r="A52" s="3" t="s">
        <v>128</v>
      </c>
      <c r="B52" s="3" t="s">
        <v>11</v>
      </c>
      <c r="C52" s="3" t="s">
        <v>129</v>
      </c>
      <c r="D52" s="3" t="s">
        <v>13</v>
      </c>
      <c r="E52">
        <f>IFERROR(__xludf.DUMMYFUNCTION("GOOGLEFINANCE(C52,""price"")"),162.65)</f>
        <v>162.65</v>
      </c>
      <c r="F52" s="4">
        <f>IFERROR(__xludf.DUMMYFUNCTION("GOOGLEFINANCE(C52,""change"")"),6.0)</f>
        <v>6</v>
      </c>
      <c r="G52" s="5">
        <f>IFERROR(__xludf.DUMMYFUNCTION("GOOGLEFINANCE(C52,""changepct"")/100"),0.0383)</f>
        <v>0.0383</v>
      </c>
      <c r="H52" s="4">
        <f>IFERROR(__xludf.DUMMYFUNCTION("GOOGLEFINANCE(C52,""marketcap"")"),2.3974690425E10)</f>
        <v>23974690425</v>
      </c>
      <c r="K52" s="7">
        <f>IFERROR(__xludf.DUMMYFUNCTION("""COMPUTED_VALUE"""),44183.64583333333)</f>
        <v>44183.64583</v>
      </c>
      <c r="L52">
        <f>IFERROR(__xludf.DUMMYFUNCTION("""COMPUTED_VALUE"""),13571.45)</f>
        <v>13571.45</v>
      </c>
      <c r="M52">
        <f>IFERROR(__xludf.DUMMYFUNCTION("""COMPUTED_VALUE"""),13773.25)</f>
        <v>13773.25</v>
      </c>
      <c r="N52">
        <f>IFERROR(__xludf.DUMMYFUNCTION("""COMPUTED_VALUE"""),13447.05)</f>
        <v>13447.05</v>
      </c>
      <c r="O52">
        <f>IFERROR(__xludf.DUMMYFUNCTION("""COMPUTED_VALUE"""),13760.55)</f>
        <v>13760.55</v>
      </c>
      <c r="P52">
        <f>IFERROR(__xludf.DUMMYFUNCTION("""COMPUTED_VALUE"""),0.0)</f>
        <v>0</v>
      </c>
    </row>
    <row r="53">
      <c r="A53" s="3" t="s">
        <v>130</v>
      </c>
      <c r="B53" s="3" t="s">
        <v>11</v>
      </c>
      <c r="C53" s="3" t="s">
        <v>131</v>
      </c>
      <c r="D53" s="3" t="s">
        <v>13</v>
      </c>
      <c r="E53">
        <f>IFERROR(__xludf.DUMMYFUNCTION("GOOGLEFINANCE(C53,""price"")"),1132.75)</f>
        <v>1132.75</v>
      </c>
      <c r="F53" s="4">
        <f>IFERROR(__xludf.DUMMYFUNCTION("GOOGLEFINANCE(C53,""change"")"),18.95)</f>
        <v>18.95</v>
      </c>
      <c r="G53" s="5">
        <f>IFERROR(__xludf.DUMMYFUNCTION("GOOGLEFINANCE(C53,""changepct"")/100"),0.017)</f>
        <v>0.017</v>
      </c>
      <c r="H53" s="4">
        <f>IFERROR(__xludf.DUMMYFUNCTION("GOOGLEFINANCE(C53,""marketcap"")"),1.302041E11)</f>
        <v>130204100000</v>
      </c>
      <c r="K53" s="7">
        <f>IFERROR(__xludf.DUMMYFUNCTION("""COMPUTED_VALUE"""),44189.64583333333)</f>
        <v>44189.64583</v>
      </c>
      <c r="L53">
        <f>IFERROR(__xludf.DUMMYFUNCTION("""COMPUTED_VALUE"""),13741.9)</f>
        <v>13741.9</v>
      </c>
      <c r="M53">
        <f>IFERROR(__xludf.DUMMYFUNCTION("""COMPUTED_VALUE"""),13777.5)</f>
        <v>13777.5</v>
      </c>
      <c r="N53">
        <f>IFERROR(__xludf.DUMMYFUNCTION("""COMPUTED_VALUE"""),13131.45)</f>
        <v>13131.45</v>
      </c>
      <c r="O53">
        <f>IFERROR(__xludf.DUMMYFUNCTION("""COMPUTED_VALUE"""),13749.25)</f>
        <v>13749.25</v>
      </c>
      <c r="P53">
        <f>IFERROR(__xludf.DUMMYFUNCTION("""COMPUTED_VALUE"""),0.0)</f>
        <v>0</v>
      </c>
    </row>
    <row r="54">
      <c r="A54" s="3" t="s">
        <v>132</v>
      </c>
      <c r="B54" s="3" t="s">
        <v>29</v>
      </c>
      <c r="C54" s="3" t="s">
        <v>133</v>
      </c>
      <c r="D54" s="3" t="s">
        <v>22</v>
      </c>
      <c r="E54">
        <f>IFERROR(__xludf.DUMMYFUNCTION("GOOGLEFINANCE(C54,""price"")"),7206.0)</f>
        <v>7206</v>
      </c>
      <c r="F54" s="4">
        <f>IFERROR(__xludf.DUMMYFUNCTION("GOOGLEFINANCE(C54,""change"")"),129.4)</f>
        <v>129.4</v>
      </c>
      <c r="G54" s="5">
        <f>IFERROR(__xludf.DUMMYFUNCTION("GOOGLEFINANCE(C54,""changepct"")/100"),0.0183)</f>
        <v>0.0183</v>
      </c>
      <c r="H54" s="4">
        <f>IFERROR(__xludf.DUMMYFUNCTION("GOOGLEFINANCE(C54,""marketcap"")"),4.353484207514E12)</f>
        <v>4353484207514</v>
      </c>
      <c r="K54" s="7">
        <f>IFERROR(__xludf.DUMMYFUNCTION("""COMPUTED_VALUE"""),44197.64583333333)</f>
        <v>44197.64583</v>
      </c>
      <c r="L54">
        <f>IFERROR(__xludf.DUMMYFUNCTION("""COMPUTED_VALUE"""),13815.15)</f>
        <v>13815.15</v>
      </c>
      <c r="M54">
        <f>IFERROR(__xludf.DUMMYFUNCTION("""COMPUTED_VALUE"""),14049.85)</f>
        <v>14049.85</v>
      </c>
      <c r="N54">
        <f>IFERROR(__xludf.DUMMYFUNCTION("""COMPUTED_VALUE"""),13811.55)</f>
        <v>13811.55</v>
      </c>
      <c r="O54">
        <f>IFERROR(__xludf.DUMMYFUNCTION("""COMPUTED_VALUE"""),14018.5)</f>
        <v>14018.5</v>
      </c>
      <c r="P54">
        <f>IFERROR(__xludf.DUMMYFUNCTION("""COMPUTED_VALUE"""),0.0)</f>
        <v>0</v>
      </c>
    </row>
    <row r="55">
      <c r="A55" s="3" t="s">
        <v>134</v>
      </c>
      <c r="B55" s="3" t="s">
        <v>29</v>
      </c>
      <c r="C55" s="3" t="s">
        <v>135</v>
      </c>
      <c r="D55" s="3" t="s">
        <v>22</v>
      </c>
      <c r="E55">
        <f>IFERROR(__xludf.DUMMYFUNCTION("GOOGLEFINANCE(C55,""price"")"),15007.0)</f>
        <v>15007</v>
      </c>
      <c r="F55" s="4">
        <f>IFERROR(__xludf.DUMMYFUNCTION("GOOGLEFINANCE(C55,""change"")"),364.95)</f>
        <v>364.95</v>
      </c>
      <c r="G55" s="5">
        <f>IFERROR(__xludf.DUMMYFUNCTION("GOOGLEFINANCE(C55,""changepct"")/100"),0.024900000000000002)</f>
        <v>0.0249</v>
      </c>
      <c r="H55" s="4">
        <f>IFERROR(__xludf.DUMMYFUNCTION("GOOGLEFINANCE(C55,""marketcap"")"),2.391874303817E12)</f>
        <v>2391874303817</v>
      </c>
      <c r="K55" s="7">
        <f>IFERROR(__xludf.DUMMYFUNCTION("""COMPUTED_VALUE"""),44204.64583333333)</f>
        <v>44204.64583</v>
      </c>
      <c r="L55">
        <f>IFERROR(__xludf.DUMMYFUNCTION("""COMPUTED_VALUE"""),14104.35)</f>
        <v>14104.35</v>
      </c>
      <c r="M55">
        <f>IFERROR(__xludf.DUMMYFUNCTION("""COMPUTED_VALUE"""),14367.3)</f>
        <v>14367.3</v>
      </c>
      <c r="N55">
        <f>IFERROR(__xludf.DUMMYFUNCTION("""COMPUTED_VALUE"""),13953.75)</f>
        <v>13953.75</v>
      </c>
      <c r="O55">
        <f>IFERROR(__xludf.DUMMYFUNCTION("""COMPUTED_VALUE"""),14347.25)</f>
        <v>14347.25</v>
      </c>
      <c r="P55">
        <f>IFERROR(__xludf.DUMMYFUNCTION("""COMPUTED_VALUE"""),0.0)</f>
        <v>0</v>
      </c>
    </row>
    <row r="56">
      <c r="A56" s="3" t="s">
        <v>136</v>
      </c>
      <c r="B56" s="3" t="s">
        <v>29</v>
      </c>
      <c r="C56" s="3" t="s">
        <v>137</v>
      </c>
      <c r="D56" s="3" t="s">
        <v>13</v>
      </c>
      <c r="E56">
        <f>IFERROR(__xludf.DUMMYFUNCTION("GOOGLEFINANCE(C56,""price"")"),5171.0)</f>
        <v>5171</v>
      </c>
      <c r="F56" s="4">
        <f>IFERROR(__xludf.DUMMYFUNCTION("GOOGLEFINANCE(C56,""change"")"),-16.5)</f>
        <v>-16.5</v>
      </c>
      <c r="G56" s="5">
        <f>IFERROR(__xludf.DUMMYFUNCTION("GOOGLEFINANCE(C56,""changepct"")/100"),-0.0032)</f>
        <v>-0.0032</v>
      </c>
      <c r="H56" s="4">
        <f>IFERROR(__xludf.DUMMYFUNCTION("GOOGLEFINANCE(C56,""marketcap"")"),5.79844578806E11)</f>
        <v>579844578806</v>
      </c>
      <c r="K56" s="7">
        <f>IFERROR(__xludf.DUMMYFUNCTION("""COMPUTED_VALUE"""),44211.64583333333)</f>
        <v>44211.64583</v>
      </c>
      <c r="L56">
        <f>IFERROR(__xludf.DUMMYFUNCTION("""COMPUTED_VALUE"""),14474.05)</f>
        <v>14474.05</v>
      </c>
      <c r="M56">
        <f>IFERROR(__xludf.DUMMYFUNCTION("""COMPUTED_VALUE"""),14653.35)</f>
        <v>14653.35</v>
      </c>
      <c r="N56">
        <f>IFERROR(__xludf.DUMMYFUNCTION("""COMPUTED_VALUE"""),14357.85)</f>
        <v>14357.85</v>
      </c>
      <c r="O56">
        <f>IFERROR(__xludf.DUMMYFUNCTION("""COMPUTED_VALUE"""),14433.7)</f>
        <v>14433.7</v>
      </c>
      <c r="P56">
        <f>IFERROR(__xludf.DUMMYFUNCTION("""COMPUTED_VALUE"""),0.0)</f>
        <v>0</v>
      </c>
    </row>
    <row r="57">
      <c r="A57" s="3" t="s">
        <v>138</v>
      </c>
      <c r="B57" s="3" t="s">
        <v>35</v>
      </c>
      <c r="C57" s="3" t="s">
        <v>139</v>
      </c>
      <c r="D57" s="3" t="s">
        <v>13</v>
      </c>
      <c r="E57">
        <f>IFERROR(__xludf.DUMMYFUNCTION("GOOGLEFINANCE(C57,""price"")"),3398.0)</f>
        <v>3398</v>
      </c>
      <c r="F57" s="4">
        <f>IFERROR(__xludf.DUMMYFUNCTION("GOOGLEFINANCE(C57,""change"")"),39.15)</f>
        <v>39.15</v>
      </c>
      <c r="G57" s="5">
        <f>IFERROR(__xludf.DUMMYFUNCTION("GOOGLEFINANCE(C57,""changepct"")/100"),0.011699999999999999)</f>
        <v>0.0117</v>
      </c>
      <c r="H57" s="4">
        <f>IFERROR(__xludf.DUMMYFUNCTION("GOOGLEFINANCE(C57,""marketcap"")"),1.10118322049E11)</f>
        <v>110118322049</v>
      </c>
      <c r="K57" s="7">
        <f>IFERROR(__xludf.DUMMYFUNCTION("""COMPUTED_VALUE"""),44218.64583333333)</f>
        <v>44218.64583</v>
      </c>
      <c r="L57">
        <f>IFERROR(__xludf.DUMMYFUNCTION("""COMPUTED_VALUE"""),14453.3)</f>
        <v>14453.3</v>
      </c>
      <c r="M57">
        <f>IFERROR(__xludf.DUMMYFUNCTION("""COMPUTED_VALUE"""),14753.55)</f>
        <v>14753.55</v>
      </c>
      <c r="N57">
        <f>IFERROR(__xludf.DUMMYFUNCTION("""COMPUTED_VALUE"""),14222.8)</f>
        <v>14222.8</v>
      </c>
      <c r="O57">
        <f>IFERROR(__xludf.DUMMYFUNCTION("""COMPUTED_VALUE"""),14371.9)</f>
        <v>14371.9</v>
      </c>
      <c r="P57">
        <f>IFERROR(__xludf.DUMMYFUNCTION("""COMPUTED_VALUE"""),0.0)</f>
        <v>0</v>
      </c>
    </row>
    <row r="58">
      <c r="A58" s="3" t="s">
        <v>140</v>
      </c>
      <c r="B58" s="3" t="s">
        <v>82</v>
      </c>
      <c r="C58" s="3" t="s">
        <v>141</v>
      </c>
      <c r="D58" s="3" t="s">
        <v>22</v>
      </c>
      <c r="E58">
        <f>IFERROR(__xludf.DUMMYFUNCTION("GOOGLEFINANCE(C58,""price"")"),2300.0)</f>
        <v>2300</v>
      </c>
      <c r="F58" s="4">
        <f>IFERROR(__xludf.DUMMYFUNCTION("GOOGLEFINANCE(C58,""change"")"),21.35)</f>
        <v>21.35</v>
      </c>
      <c r="G58" s="5">
        <f>IFERROR(__xludf.DUMMYFUNCTION("GOOGLEFINANCE(C58,""changepct"")/100"),0.009399999999999999)</f>
        <v>0.0094</v>
      </c>
      <c r="H58" s="4">
        <f>IFERROR(__xludf.DUMMYFUNCTION("GOOGLEFINANCE(C58,""marketcap"")"),4.4462933E11)</f>
        <v>444629330000</v>
      </c>
      <c r="K58" s="7">
        <f>IFERROR(__xludf.DUMMYFUNCTION("""COMPUTED_VALUE"""),44225.64583333333)</f>
        <v>44225.64583</v>
      </c>
      <c r="L58">
        <f>IFERROR(__xludf.DUMMYFUNCTION("""COMPUTED_VALUE"""),14477.8)</f>
        <v>14477.8</v>
      </c>
      <c r="M58">
        <f>IFERROR(__xludf.DUMMYFUNCTION("""COMPUTED_VALUE"""),14491.1)</f>
        <v>14491.1</v>
      </c>
      <c r="N58">
        <f>IFERROR(__xludf.DUMMYFUNCTION("""COMPUTED_VALUE"""),13596.75)</f>
        <v>13596.75</v>
      </c>
      <c r="O58">
        <f>IFERROR(__xludf.DUMMYFUNCTION("""COMPUTED_VALUE"""),13634.6)</f>
        <v>13634.6</v>
      </c>
      <c r="P58">
        <f>IFERROR(__xludf.DUMMYFUNCTION("""COMPUTED_VALUE"""),0.0)</f>
        <v>0</v>
      </c>
    </row>
    <row r="59">
      <c r="A59" s="3" t="s">
        <v>142</v>
      </c>
      <c r="B59" s="3" t="s">
        <v>15</v>
      </c>
      <c r="C59" s="3" t="s">
        <v>143</v>
      </c>
      <c r="D59" s="3" t="s">
        <v>13</v>
      </c>
      <c r="E59">
        <f>IFERROR(__xludf.DUMMYFUNCTION("GOOGLEFINANCE(C59,""price"")"),111.6)</f>
        <v>111.6</v>
      </c>
      <c r="F59" s="4">
        <f>IFERROR(__xludf.DUMMYFUNCTION("GOOGLEFINANCE(C59,""change"")"),0.65)</f>
        <v>0.65</v>
      </c>
      <c r="G59" s="5">
        <f>IFERROR(__xludf.DUMMYFUNCTION("GOOGLEFINANCE(C59,""changepct"")/100"),0.0059)</f>
        <v>0.0059</v>
      </c>
      <c r="H59" s="4">
        <f>IFERROR(__xludf.DUMMYFUNCTION("GOOGLEFINANCE(C59,""marketcap"")"),1.900708E10)</f>
        <v>19007080000</v>
      </c>
      <c r="K59" s="7">
        <f>IFERROR(__xludf.DUMMYFUNCTION("""COMPUTED_VALUE"""),44232.64583333333)</f>
        <v>44232.64583</v>
      </c>
      <c r="L59">
        <f>IFERROR(__xludf.DUMMYFUNCTION("""COMPUTED_VALUE"""),13758.6)</f>
        <v>13758.6</v>
      </c>
      <c r="M59">
        <f>IFERROR(__xludf.DUMMYFUNCTION("""COMPUTED_VALUE"""),15014.65)</f>
        <v>15014.65</v>
      </c>
      <c r="N59">
        <f>IFERROR(__xludf.DUMMYFUNCTION("""COMPUTED_VALUE"""),13661.75)</f>
        <v>13661.75</v>
      </c>
      <c r="O59">
        <f>IFERROR(__xludf.DUMMYFUNCTION("""COMPUTED_VALUE"""),14924.25)</f>
        <v>14924.25</v>
      </c>
      <c r="P59">
        <f>IFERROR(__xludf.DUMMYFUNCTION("""COMPUTED_VALUE"""),0.0)</f>
        <v>0</v>
      </c>
    </row>
    <row r="60">
      <c r="A60" s="3" t="s">
        <v>144</v>
      </c>
      <c r="B60" s="3" t="s">
        <v>11</v>
      </c>
      <c r="C60" s="3" t="s">
        <v>145</v>
      </c>
      <c r="D60" s="3" t="s">
        <v>13</v>
      </c>
      <c r="E60">
        <f>IFERROR(__xludf.DUMMYFUNCTION("GOOGLEFINANCE(C60,""price"")"),394.0)</f>
        <v>394</v>
      </c>
      <c r="F60" s="4">
        <f>IFERROR(__xludf.DUMMYFUNCTION("GOOGLEFINANCE(C60,""change"")"),10.2)</f>
        <v>10.2</v>
      </c>
      <c r="G60" s="5">
        <f>IFERROR(__xludf.DUMMYFUNCTION("GOOGLEFINANCE(C60,""changepct"")/100"),0.026600000000000002)</f>
        <v>0.0266</v>
      </c>
      <c r="H60" s="4">
        <f>IFERROR(__xludf.DUMMYFUNCTION("GOOGLEFINANCE(C60,""marketcap"")"),8.039176E10)</f>
        <v>80391760000</v>
      </c>
      <c r="K60" s="7">
        <f>IFERROR(__xludf.DUMMYFUNCTION("""COMPUTED_VALUE"""),44239.64583333333)</f>
        <v>44239.64583</v>
      </c>
      <c r="L60">
        <f>IFERROR(__xludf.DUMMYFUNCTION("""COMPUTED_VALUE"""),15064.3)</f>
        <v>15064.3</v>
      </c>
      <c r="M60">
        <f>IFERROR(__xludf.DUMMYFUNCTION("""COMPUTED_VALUE"""),15257.1)</f>
        <v>15257.1</v>
      </c>
      <c r="N60">
        <f>IFERROR(__xludf.DUMMYFUNCTION("""COMPUTED_VALUE"""),14977.2)</f>
        <v>14977.2</v>
      </c>
      <c r="O60">
        <f>IFERROR(__xludf.DUMMYFUNCTION("""COMPUTED_VALUE"""),15163.3)</f>
        <v>15163.3</v>
      </c>
      <c r="P60">
        <f>IFERROR(__xludf.DUMMYFUNCTION("""COMPUTED_VALUE"""),0.0)</f>
        <v>0</v>
      </c>
    </row>
    <row r="61">
      <c r="A61" s="3" t="s">
        <v>146</v>
      </c>
      <c r="B61" s="3" t="s">
        <v>29</v>
      </c>
      <c r="C61" s="3" t="s">
        <v>147</v>
      </c>
      <c r="D61" s="3" t="s">
        <v>22</v>
      </c>
      <c r="E61">
        <f>IFERROR(__xludf.DUMMYFUNCTION("GOOGLEFINANCE(C61,""price"")"),276.5)</f>
        <v>276.5</v>
      </c>
      <c r="F61" s="4">
        <f>IFERROR(__xludf.DUMMYFUNCTION("GOOGLEFINANCE(C61,""change"")"),-4.0)</f>
        <v>-4</v>
      </c>
      <c r="G61" s="5">
        <f>IFERROR(__xludf.DUMMYFUNCTION("GOOGLEFINANCE(C61,""changepct"")/100"),-0.0143)</f>
        <v>-0.0143</v>
      </c>
      <c r="H61" s="4">
        <f>IFERROR(__xludf.DUMMYFUNCTION("GOOGLEFINANCE(C61,""marketcap"")"),4.449019E11)</f>
        <v>444901900000</v>
      </c>
      <c r="K61" s="7">
        <f>IFERROR(__xludf.DUMMYFUNCTION("""COMPUTED_VALUE"""),44246.64583333333)</f>
        <v>44246.64583</v>
      </c>
      <c r="L61">
        <f>IFERROR(__xludf.DUMMYFUNCTION("""COMPUTED_VALUE"""),15270.3)</f>
        <v>15270.3</v>
      </c>
      <c r="M61">
        <f>IFERROR(__xludf.DUMMYFUNCTION("""COMPUTED_VALUE"""),15431.75)</f>
        <v>15431.75</v>
      </c>
      <c r="N61">
        <f>IFERROR(__xludf.DUMMYFUNCTION("""COMPUTED_VALUE"""),14898.2)</f>
        <v>14898.2</v>
      </c>
      <c r="O61">
        <f>IFERROR(__xludf.DUMMYFUNCTION("""COMPUTED_VALUE"""),14981.75)</f>
        <v>14981.75</v>
      </c>
      <c r="P61">
        <f>IFERROR(__xludf.DUMMYFUNCTION("""COMPUTED_VALUE"""),0.0)</f>
        <v>0</v>
      </c>
    </row>
    <row r="62">
      <c r="A62" s="3" t="s">
        <v>148</v>
      </c>
      <c r="B62" s="3" t="s">
        <v>29</v>
      </c>
      <c r="C62" s="3" t="s">
        <v>149</v>
      </c>
      <c r="D62" s="3" t="s">
        <v>22</v>
      </c>
      <c r="E62">
        <f>IFERROR(__xludf.DUMMYFUNCTION("GOOGLEFINANCE(C62,""price"")"),116.35)</f>
        <v>116.35</v>
      </c>
      <c r="F62" s="4">
        <f>IFERROR(__xludf.DUMMYFUNCTION("GOOGLEFINANCE(C62,""change"")"),-0.8)</f>
        <v>-0.8</v>
      </c>
      <c r="G62" s="5">
        <f>IFERROR(__xludf.DUMMYFUNCTION("GOOGLEFINANCE(C62,""changepct"")/100"),-0.0068000000000000005)</f>
        <v>-0.0068</v>
      </c>
      <c r="H62" s="4">
        <f>IFERROR(__xludf.DUMMYFUNCTION("GOOGLEFINANCE(C62,""marketcap"")"),6.0142507125E11)</f>
        <v>601425071250</v>
      </c>
      <c r="K62" s="7">
        <f>IFERROR(__xludf.DUMMYFUNCTION("""COMPUTED_VALUE"""),44253.64583333333)</f>
        <v>44253.64583</v>
      </c>
      <c r="L62">
        <f>IFERROR(__xludf.DUMMYFUNCTION("""COMPUTED_VALUE"""),14999.05)</f>
        <v>14999.05</v>
      </c>
      <c r="M62">
        <f>IFERROR(__xludf.DUMMYFUNCTION("""COMPUTED_VALUE"""),15176.5)</f>
        <v>15176.5</v>
      </c>
      <c r="N62">
        <f>IFERROR(__xludf.DUMMYFUNCTION("""COMPUTED_VALUE"""),14467.75)</f>
        <v>14467.75</v>
      </c>
      <c r="O62">
        <f>IFERROR(__xludf.DUMMYFUNCTION("""COMPUTED_VALUE"""),14529.15)</f>
        <v>14529.15</v>
      </c>
      <c r="P62">
        <f>IFERROR(__xludf.DUMMYFUNCTION("""COMPUTED_VALUE"""),0.0)</f>
        <v>0</v>
      </c>
    </row>
    <row r="63">
      <c r="A63" s="3" t="s">
        <v>150</v>
      </c>
      <c r="B63" s="3" t="s">
        <v>29</v>
      </c>
      <c r="C63" s="3" t="s">
        <v>151</v>
      </c>
      <c r="D63" s="3" t="s">
        <v>13</v>
      </c>
      <c r="E63">
        <f>IFERROR(__xludf.DUMMYFUNCTION("GOOGLEFINANCE(C63,""price"")"),47.6)</f>
        <v>47.6</v>
      </c>
      <c r="F63" s="4">
        <f>IFERROR(__xludf.DUMMYFUNCTION("GOOGLEFINANCE(C63,""change"")"),-0.4)</f>
        <v>-0.4</v>
      </c>
      <c r="G63" s="5">
        <f>IFERROR(__xludf.DUMMYFUNCTION("GOOGLEFINANCE(C63,""changepct"")/100"),-0.0083)</f>
        <v>-0.0083</v>
      </c>
      <c r="H63" s="4">
        <f>IFERROR(__xludf.DUMMYFUNCTION("GOOGLEFINANCE(C63,""marketcap"")"),1.9574005363E11)</f>
        <v>195740053630</v>
      </c>
      <c r="K63" s="7">
        <f>IFERROR(__xludf.DUMMYFUNCTION("""COMPUTED_VALUE"""),44260.64583333333)</f>
        <v>44260.64583</v>
      </c>
      <c r="L63">
        <f>IFERROR(__xludf.DUMMYFUNCTION("""COMPUTED_VALUE"""),14702.5)</f>
        <v>14702.5</v>
      </c>
      <c r="M63">
        <f>IFERROR(__xludf.DUMMYFUNCTION("""COMPUTED_VALUE"""),15273.15)</f>
        <v>15273.15</v>
      </c>
      <c r="N63">
        <f>IFERROR(__xludf.DUMMYFUNCTION("""COMPUTED_VALUE"""),14638.55)</f>
        <v>14638.55</v>
      </c>
      <c r="O63">
        <f>IFERROR(__xludf.DUMMYFUNCTION("""COMPUTED_VALUE"""),14938.1)</f>
        <v>14938.1</v>
      </c>
      <c r="P63">
        <f>IFERROR(__xludf.DUMMYFUNCTION("""COMPUTED_VALUE"""),0.0)</f>
        <v>0</v>
      </c>
    </row>
    <row r="64">
      <c r="A64" s="3" t="s">
        <v>152</v>
      </c>
      <c r="B64" s="3" t="s">
        <v>29</v>
      </c>
      <c r="C64" s="3" t="s">
        <v>153</v>
      </c>
      <c r="D64" s="3" t="s">
        <v>13</v>
      </c>
      <c r="E64">
        <f>IFERROR(__xludf.DUMMYFUNCTION("GOOGLEFINANCE(C64,""price"")"),16.8)</f>
        <v>16.8</v>
      </c>
      <c r="F64" s="4">
        <f>IFERROR(__xludf.DUMMYFUNCTION("GOOGLEFINANCE(C64,""change"")"),0.05)</f>
        <v>0.05</v>
      </c>
      <c r="G64" s="5">
        <f>IFERROR(__xludf.DUMMYFUNCTION("GOOGLEFINANCE(C64,""changepct"")/100"),0.003)</f>
        <v>0.003</v>
      </c>
      <c r="H64" s="4">
        <f>IFERROR(__xludf.DUMMYFUNCTION("GOOGLEFINANCE(C64,""marketcap"")"),1.13072344465E11)</f>
        <v>113072344465</v>
      </c>
      <c r="K64" s="7">
        <f>IFERROR(__xludf.DUMMYFUNCTION("""COMPUTED_VALUE"""),44267.64583333333)</f>
        <v>44267.64583</v>
      </c>
      <c r="L64">
        <f>IFERROR(__xludf.DUMMYFUNCTION("""COMPUTED_VALUE"""),15002.45)</f>
        <v>15002.45</v>
      </c>
      <c r="M64">
        <f>IFERROR(__xludf.DUMMYFUNCTION("""COMPUTED_VALUE"""),15336.3)</f>
        <v>15336.3</v>
      </c>
      <c r="N64">
        <f>IFERROR(__xludf.DUMMYFUNCTION("""COMPUTED_VALUE"""),14919.9)</f>
        <v>14919.9</v>
      </c>
      <c r="O64">
        <f>IFERROR(__xludf.DUMMYFUNCTION("""COMPUTED_VALUE"""),15030.95)</f>
        <v>15030.95</v>
      </c>
      <c r="P64">
        <f>IFERROR(__xludf.DUMMYFUNCTION("""COMPUTED_VALUE"""),0.0)</f>
        <v>0</v>
      </c>
    </row>
    <row r="65">
      <c r="A65" s="3" t="s">
        <v>154</v>
      </c>
      <c r="B65" s="3" t="s">
        <v>11</v>
      </c>
      <c r="C65" s="3" t="s">
        <v>155</v>
      </c>
      <c r="D65" s="3" t="s">
        <v>22</v>
      </c>
      <c r="E65">
        <f>IFERROR(__xludf.DUMMYFUNCTION("GOOGLEFINANCE(C65,""price"")"),1965.0)</f>
        <v>1965</v>
      </c>
      <c r="F65" s="4">
        <f>IFERROR(__xludf.DUMMYFUNCTION("GOOGLEFINANCE(C65,""change"")"),83.55)</f>
        <v>83.55</v>
      </c>
      <c r="G65" s="5">
        <f>IFERROR(__xludf.DUMMYFUNCTION("GOOGLEFINANCE(C65,""changepct"")/100"),0.0444)</f>
        <v>0.0444</v>
      </c>
      <c r="H65" s="4">
        <f>IFERROR(__xludf.DUMMYFUNCTION("GOOGLEFINANCE(C65,""marketcap"")"),2.52409816886E11)</f>
        <v>252409816886</v>
      </c>
      <c r="K65" s="7">
        <f>IFERROR(__xludf.DUMMYFUNCTION("""COMPUTED_VALUE"""),44274.64583333333)</f>
        <v>44274.64583</v>
      </c>
      <c r="L65">
        <f>IFERROR(__xludf.DUMMYFUNCTION("""COMPUTED_VALUE"""),15048.4)</f>
        <v>15048.4</v>
      </c>
      <c r="M65">
        <f>IFERROR(__xludf.DUMMYFUNCTION("""COMPUTED_VALUE"""),15051.6)</f>
        <v>15051.6</v>
      </c>
      <c r="N65">
        <f>IFERROR(__xludf.DUMMYFUNCTION("""COMPUTED_VALUE"""),14350.1)</f>
        <v>14350.1</v>
      </c>
      <c r="O65">
        <f>IFERROR(__xludf.DUMMYFUNCTION("""COMPUTED_VALUE"""),14744.0)</f>
        <v>14744</v>
      </c>
      <c r="P65">
        <f>IFERROR(__xludf.DUMMYFUNCTION("""COMPUTED_VALUE"""),0.0)</f>
        <v>0</v>
      </c>
    </row>
    <row r="66">
      <c r="A66" s="3" t="s">
        <v>156</v>
      </c>
      <c r="B66" s="3" t="s">
        <v>157</v>
      </c>
      <c r="C66" s="3" t="s">
        <v>158</v>
      </c>
      <c r="D66" s="3" t="s">
        <v>13</v>
      </c>
      <c r="E66">
        <f>IFERROR(__xludf.DUMMYFUNCTION("GOOGLEFINANCE(C66,""price"")"),5260.0)</f>
        <v>5260</v>
      </c>
      <c r="F66" s="4">
        <f>IFERROR(__xludf.DUMMYFUNCTION("GOOGLEFINANCE(C66,""change"")"),3.15)</f>
        <v>3.15</v>
      </c>
      <c r="G66" s="5">
        <f>IFERROR(__xludf.DUMMYFUNCTION("GOOGLEFINANCE(C66,""changepct"")/100"),6.0E-4)</f>
        <v>0.0006</v>
      </c>
      <c r="H66" s="4">
        <f>IFERROR(__xludf.DUMMYFUNCTION("GOOGLEFINANCE(C66,""marketcap"")"),2.36734556242E11)</f>
        <v>236734556242</v>
      </c>
      <c r="K66" s="7">
        <f>IFERROR(__xludf.DUMMYFUNCTION("""COMPUTED_VALUE"""),44281.64583333333)</f>
        <v>44281.64583</v>
      </c>
      <c r="L66">
        <f>IFERROR(__xludf.DUMMYFUNCTION("""COMPUTED_VALUE"""),14736.3)</f>
        <v>14736.3</v>
      </c>
      <c r="M66">
        <f>IFERROR(__xludf.DUMMYFUNCTION("""COMPUTED_VALUE"""),14878.6)</f>
        <v>14878.6</v>
      </c>
      <c r="N66">
        <f>IFERROR(__xludf.DUMMYFUNCTION("""COMPUTED_VALUE"""),14264.4)</f>
        <v>14264.4</v>
      </c>
      <c r="O66">
        <f>IFERROR(__xludf.DUMMYFUNCTION("""COMPUTED_VALUE"""),14507.3)</f>
        <v>14507.3</v>
      </c>
      <c r="P66">
        <f>IFERROR(__xludf.DUMMYFUNCTION("""COMPUTED_VALUE"""),0.0)</f>
        <v>0</v>
      </c>
    </row>
    <row r="67">
      <c r="A67" s="3" t="s">
        <v>159</v>
      </c>
      <c r="B67" s="3" t="s">
        <v>11</v>
      </c>
      <c r="C67" s="3" t="s">
        <v>160</v>
      </c>
      <c r="D67" s="3" t="s">
        <v>22</v>
      </c>
      <c r="E67">
        <f>IFERROR(__xludf.DUMMYFUNCTION("GOOGLEFINANCE(C67,""price"")"),623.0)</f>
        <v>623</v>
      </c>
      <c r="F67" s="4">
        <f>IFERROR(__xludf.DUMMYFUNCTION("GOOGLEFINANCE(C67,""change"")"),5.8)</f>
        <v>5.8</v>
      </c>
      <c r="G67" s="5">
        <f>IFERROR(__xludf.DUMMYFUNCTION("GOOGLEFINANCE(C67,""changepct"")/100"),0.009399999999999999)</f>
        <v>0.0094</v>
      </c>
      <c r="H67" s="4">
        <f>IFERROR(__xludf.DUMMYFUNCTION("GOOGLEFINANCE(C67,""marketcap"")"),6.06903558259E11)</f>
        <v>606903558259</v>
      </c>
      <c r="K67" s="7">
        <f>IFERROR(__xludf.DUMMYFUNCTION("""COMPUTED_VALUE"""),44287.64583333333)</f>
        <v>44287.64583</v>
      </c>
      <c r="L67">
        <f>IFERROR(__xludf.DUMMYFUNCTION("""COMPUTED_VALUE"""),14628.5)</f>
        <v>14628.5</v>
      </c>
      <c r="M67">
        <f>IFERROR(__xludf.DUMMYFUNCTION("""COMPUTED_VALUE"""),14883.2)</f>
        <v>14883.2</v>
      </c>
      <c r="N67">
        <f>IFERROR(__xludf.DUMMYFUNCTION("""COMPUTED_VALUE"""),14617.6)</f>
        <v>14617.6</v>
      </c>
      <c r="O67">
        <f>IFERROR(__xludf.DUMMYFUNCTION("""COMPUTED_VALUE"""),14867.35)</f>
        <v>14867.35</v>
      </c>
      <c r="P67">
        <f>IFERROR(__xludf.DUMMYFUNCTION("""COMPUTED_VALUE"""),0.0)</f>
        <v>0</v>
      </c>
    </row>
    <row r="68">
      <c r="A68" s="3" t="s">
        <v>161</v>
      </c>
      <c r="B68" s="3" t="s">
        <v>15</v>
      </c>
      <c r="C68" s="3" t="s">
        <v>162</v>
      </c>
      <c r="D68" s="3" t="s">
        <v>13</v>
      </c>
      <c r="E68">
        <f>IFERROR(__xludf.DUMMYFUNCTION("GOOGLEFINANCE(C68,""price"")"),810.15)</f>
        <v>810.15</v>
      </c>
      <c r="F68" s="4">
        <f>IFERROR(__xludf.DUMMYFUNCTION("GOOGLEFINANCE(C68,""change"")"),28.0)</f>
        <v>28</v>
      </c>
      <c r="G68" s="5">
        <f>IFERROR(__xludf.DUMMYFUNCTION("GOOGLEFINANCE(C68,""changepct"")/100"),0.0358)</f>
        <v>0.0358</v>
      </c>
      <c r="H68" s="4">
        <f>IFERROR(__xludf.DUMMYFUNCTION("GOOGLEFINANCE(C68,""marketcap"")"),1.48756164061E11)</f>
        <v>148756164061</v>
      </c>
      <c r="K68" s="7">
        <f>IFERROR(__xludf.DUMMYFUNCTION("""COMPUTED_VALUE"""),44295.64583333333)</f>
        <v>44295.64583</v>
      </c>
      <c r="L68">
        <f>IFERROR(__xludf.DUMMYFUNCTION("""COMPUTED_VALUE"""),14837.7)</f>
        <v>14837.7</v>
      </c>
      <c r="M68">
        <f>IFERROR(__xludf.DUMMYFUNCTION("""COMPUTED_VALUE"""),14984.15)</f>
        <v>14984.15</v>
      </c>
      <c r="N68">
        <f>IFERROR(__xludf.DUMMYFUNCTION("""COMPUTED_VALUE"""),14459.5)</f>
        <v>14459.5</v>
      </c>
      <c r="O68">
        <f>IFERROR(__xludf.DUMMYFUNCTION("""COMPUTED_VALUE"""),14834.85)</f>
        <v>14834.85</v>
      </c>
      <c r="P68">
        <f>IFERROR(__xludf.DUMMYFUNCTION("""COMPUTED_VALUE"""),0.0)</f>
        <v>0</v>
      </c>
    </row>
    <row r="69">
      <c r="A69" s="3" t="s">
        <v>163</v>
      </c>
      <c r="B69" s="3" t="s">
        <v>15</v>
      </c>
      <c r="C69" s="3" t="s">
        <v>164</v>
      </c>
      <c r="D69" s="3" t="s">
        <v>22</v>
      </c>
      <c r="E69">
        <f>IFERROR(__xludf.DUMMYFUNCTION("GOOGLEFINANCE(C69,""price"")"),275.0)</f>
        <v>275</v>
      </c>
      <c r="F69" s="4">
        <f>IFERROR(__xludf.DUMMYFUNCTION("GOOGLEFINANCE(C69,""change"")"),2.65)</f>
        <v>2.65</v>
      </c>
      <c r="G69" s="5">
        <f>IFERROR(__xludf.DUMMYFUNCTION("GOOGLEFINANCE(C69,""changepct"")/100"),0.0097)</f>
        <v>0.0097</v>
      </c>
      <c r="H69" s="4">
        <f>IFERROR(__xludf.DUMMYFUNCTION("GOOGLEFINANCE(C69,""marketcap"")"),6.70062202611E11)</f>
        <v>670062202611</v>
      </c>
      <c r="K69" s="7">
        <f>IFERROR(__xludf.DUMMYFUNCTION("""COMPUTED_VALUE"""),44302.64583333333)</f>
        <v>44302.64583</v>
      </c>
      <c r="L69">
        <f>IFERROR(__xludf.DUMMYFUNCTION("""COMPUTED_VALUE"""),14644.65)</f>
        <v>14644.65</v>
      </c>
      <c r="M69">
        <f>IFERROR(__xludf.DUMMYFUNCTION("""COMPUTED_VALUE"""),14697.7)</f>
        <v>14697.7</v>
      </c>
      <c r="N69">
        <f>IFERROR(__xludf.DUMMYFUNCTION("""COMPUTED_VALUE"""),14248.7)</f>
        <v>14248.7</v>
      </c>
      <c r="O69">
        <f>IFERROR(__xludf.DUMMYFUNCTION("""COMPUTED_VALUE"""),14617.85)</f>
        <v>14617.85</v>
      </c>
      <c r="P69">
        <f>IFERROR(__xludf.DUMMYFUNCTION("""COMPUTED_VALUE"""),0.0)</f>
        <v>0</v>
      </c>
    </row>
    <row r="70">
      <c r="A70" s="3" t="s">
        <v>165</v>
      </c>
      <c r="B70" s="3" t="s">
        <v>15</v>
      </c>
      <c r="C70" s="3" t="s">
        <v>166</v>
      </c>
      <c r="D70" s="3" t="s">
        <v>22</v>
      </c>
      <c r="E70">
        <f>IFERROR(__xludf.DUMMYFUNCTION("GOOGLEFINANCE(C70,""price"")"),731.45)</f>
        <v>731.45</v>
      </c>
      <c r="F70" s="4">
        <f>IFERROR(__xludf.DUMMYFUNCTION("GOOGLEFINANCE(C70,""change"")"),0.7)</f>
        <v>0.7</v>
      </c>
      <c r="G70" s="5">
        <f>IFERROR(__xludf.DUMMYFUNCTION("GOOGLEFINANCE(C70,""changepct"")/100"),0.001)</f>
        <v>0.001</v>
      </c>
      <c r="H70" s="4">
        <f>IFERROR(__xludf.DUMMYFUNCTION("GOOGLEFINANCE(C70,""marketcap"")"),3.412765E11)</f>
        <v>341276500000</v>
      </c>
      <c r="K70" s="7">
        <f>IFERROR(__xludf.DUMMYFUNCTION("""COMPUTED_VALUE"""),44309.64583333333)</f>
        <v>44309.64583</v>
      </c>
      <c r="L70">
        <f>IFERROR(__xludf.DUMMYFUNCTION("""COMPUTED_VALUE"""),14306.6)</f>
        <v>14306.6</v>
      </c>
      <c r="M70">
        <f>IFERROR(__xludf.DUMMYFUNCTION("""COMPUTED_VALUE"""),14526.95)</f>
        <v>14526.95</v>
      </c>
      <c r="N70">
        <f>IFERROR(__xludf.DUMMYFUNCTION("""COMPUTED_VALUE"""),14151.4)</f>
        <v>14151.4</v>
      </c>
      <c r="O70">
        <f>IFERROR(__xludf.DUMMYFUNCTION("""COMPUTED_VALUE"""),14341.35)</f>
        <v>14341.35</v>
      </c>
      <c r="P70">
        <f>IFERROR(__xludf.DUMMYFUNCTION("""COMPUTED_VALUE"""),0.0)</f>
        <v>0</v>
      </c>
    </row>
    <row r="71">
      <c r="A71" s="3" t="s">
        <v>167</v>
      </c>
      <c r="B71" s="3" t="s">
        <v>15</v>
      </c>
      <c r="C71" s="3" t="s">
        <v>168</v>
      </c>
      <c r="D71" s="3" t="s">
        <v>22</v>
      </c>
      <c r="E71">
        <f>IFERROR(__xludf.DUMMYFUNCTION("GOOGLEFINANCE(C71,""price"")"),53.85)</f>
        <v>53.85</v>
      </c>
      <c r="F71" s="4">
        <f>IFERROR(__xludf.DUMMYFUNCTION("GOOGLEFINANCE(C71,""change"")"),0.6)</f>
        <v>0.6</v>
      </c>
      <c r="G71" s="5">
        <f>IFERROR(__xludf.DUMMYFUNCTION("GOOGLEFINANCE(C71,""changepct"")/100"),0.0113)</f>
        <v>0.0113</v>
      </c>
      <c r="H71" s="4">
        <f>IFERROR(__xludf.DUMMYFUNCTION("GOOGLEFINANCE(C71,""marketcap"")"),1.87865520376E11)</f>
        <v>187865520376</v>
      </c>
      <c r="K71" s="7">
        <f>IFERROR(__xludf.DUMMYFUNCTION("""COMPUTED_VALUE"""),44316.64583333333)</f>
        <v>44316.64583</v>
      </c>
      <c r="L71">
        <f>IFERROR(__xludf.DUMMYFUNCTION("""COMPUTED_VALUE"""),14449.45)</f>
        <v>14449.45</v>
      </c>
      <c r="M71">
        <f>IFERROR(__xludf.DUMMYFUNCTION("""COMPUTED_VALUE"""),15044.35)</f>
        <v>15044.35</v>
      </c>
      <c r="N71">
        <f>IFERROR(__xludf.DUMMYFUNCTION("""COMPUTED_VALUE"""),14421.3)</f>
        <v>14421.3</v>
      </c>
      <c r="O71">
        <f>IFERROR(__xludf.DUMMYFUNCTION("""COMPUTED_VALUE"""),14631.1)</f>
        <v>14631.1</v>
      </c>
      <c r="P71">
        <f>IFERROR(__xludf.DUMMYFUNCTION("""COMPUTED_VALUE"""),0.0)</f>
        <v>0</v>
      </c>
    </row>
    <row r="72">
      <c r="A72" s="3" t="s">
        <v>169</v>
      </c>
      <c r="B72" s="3" t="s">
        <v>50</v>
      </c>
      <c r="C72" s="3" t="s">
        <v>170</v>
      </c>
      <c r="D72" s="3" t="s">
        <v>22</v>
      </c>
      <c r="E72">
        <f>IFERROR(__xludf.DUMMYFUNCTION("GOOGLEFINANCE(C72,""price"")"),329.8)</f>
        <v>329.8</v>
      </c>
      <c r="F72" s="4">
        <f>IFERROR(__xludf.DUMMYFUNCTION("GOOGLEFINANCE(C72,""change"")"),3.75)</f>
        <v>3.75</v>
      </c>
      <c r="G72" s="5">
        <f>IFERROR(__xludf.DUMMYFUNCTION("GOOGLEFINANCE(C72,""changepct"")/100"),0.0115)</f>
        <v>0.0115</v>
      </c>
      <c r="H72" s="4">
        <f>IFERROR(__xludf.DUMMYFUNCTION("GOOGLEFINANCE(C72,""marketcap"")"),7.14461902801E11)</f>
        <v>714461902801</v>
      </c>
      <c r="K72" s="7">
        <f>IFERROR(__xludf.DUMMYFUNCTION("""COMPUTED_VALUE"""),44323.64583333333)</f>
        <v>44323.64583</v>
      </c>
      <c r="L72">
        <f>IFERROR(__xludf.DUMMYFUNCTION("""COMPUTED_VALUE"""),14481.05)</f>
        <v>14481.05</v>
      </c>
      <c r="M72">
        <f>IFERROR(__xludf.DUMMYFUNCTION("""COMPUTED_VALUE"""),14863.05)</f>
        <v>14863.05</v>
      </c>
      <c r="N72">
        <f>IFERROR(__xludf.DUMMYFUNCTION("""COMPUTED_VALUE"""),14416.25)</f>
        <v>14416.25</v>
      </c>
      <c r="O72">
        <f>IFERROR(__xludf.DUMMYFUNCTION("""COMPUTED_VALUE"""),14823.15)</f>
        <v>14823.15</v>
      </c>
      <c r="P72">
        <f>IFERROR(__xludf.DUMMYFUNCTION("""COMPUTED_VALUE"""),0.0)</f>
        <v>0</v>
      </c>
    </row>
    <row r="73">
      <c r="A73" s="3" t="s">
        <v>171</v>
      </c>
      <c r="B73" s="3" t="s">
        <v>157</v>
      </c>
      <c r="C73" s="3" t="s">
        <v>172</v>
      </c>
      <c r="D73" s="3" t="s">
        <v>13</v>
      </c>
      <c r="E73">
        <f>IFERROR(__xludf.DUMMYFUNCTION("GOOGLEFINANCE(C73,""price"")"),12114.2)</f>
        <v>12114.2</v>
      </c>
      <c r="F73" s="4">
        <f>IFERROR(__xludf.DUMMYFUNCTION("GOOGLEFINANCE(C73,""change"")"),9.15)</f>
        <v>9.15</v>
      </c>
      <c r="G73" s="5">
        <f>IFERROR(__xludf.DUMMYFUNCTION("GOOGLEFINANCE(C73,""changepct"")/100"),8.0E-4)</f>
        <v>0.0008</v>
      </c>
      <c r="H73" s="4">
        <f>IFERROR(__xludf.DUMMYFUNCTION("GOOGLEFINANCE(C73,""marketcap"")"),5.046116E10)</f>
        <v>50461160000</v>
      </c>
      <c r="K73" s="7">
        <f>IFERROR(__xludf.DUMMYFUNCTION("""COMPUTED_VALUE"""),44330.64583333333)</f>
        <v>44330.64583</v>
      </c>
      <c r="L73">
        <f>IFERROR(__xludf.DUMMYFUNCTION("""COMPUTED_VALUE"""),14928.25)</f>
        <v>14928.25</v>
      </c>
      <c r="M73">
        <f>IFERROR(__xludf.DUMMYFUNCTION("""COMPUTED_VALUE"""),14966.9)</f>
        <v>14966.9</v>
      </c>
      <c r="N73">
        <f>IFERROR(__xludf.DUMMYFUNCTION("""COMPUTED_VALUE"""),14591.9)</f>
        <v>14591.9</v>
      </c>
      <c r="O73">
        <f>IFERROR(__xludf.DUMMYFUNCTION("""COMPUTED_VALUE"""),14677.8)</f>
        <v>14677.8</v>
      </c>
      <c r="P73">
        <f>IFERROR(__xludf.DUMMYFUNCTION("""COMPUTED_VALUE"""),0.0)</f>
        <v>0</v>
      </c>
    </row>
    <row r="74">
      <c r="A74" s="3" t="s">
        <v>173</v>
      </c>
      <c r="B74" s="3" t="s">
        <v>174</v>
      </c>
      <c r="C74" s="3" t="s">
        <v>175</v>
      </c>
      <c r="D74" s="3" t="s">
        <v>22</v>
      </c>
      <c r="E74">
        <f>IFERROR(__xludf.DUMMYFUNCTION("GOOGLEFINANCE(C74,""price"")"),677.95)</f>
        <v>677.95</v>
      </c>
      <c r="F74" s="4">
        <f>IFERROR(__xludf.DUMMYFUNCTION("GOOGLEFINANCE(C74,""change"")"),11.1)</f>
        <v>11.1</v>
      </c>
      <c r="G74" s="5">
        <f>IFERROR(__xludf.DUMMYFUNCTION("GOOGLEFINANCE(C74,""changepct"")/100"),0.0166)</f>
        <v>0.0166</v>
      </c>
      <c r="H74" s="4">
        <f>IFERROR(__xludf.DUMMYFUNCTION("GOOGLEFINANCE(C74,""marketcap"")"),3.836806352079E12)</f>
        <v>3836806352079</v>
      </c>
      <c r="K74" s="7">
        <f>IFERROR(__xludf.DUMMYFUNCTION("""COMPUTED_VALUE"""),44337.64583333333)</f>
        <v>44337.64583</v>
      </c>
      <c r="L74">
        <f>IFERROR(__xludf.DUMMYFUNCTION("""COMPUTED_VALUE"""),14756.25)</f>
        <v>14756.25</v>
      </c>
      <c r="M74">
        <f>IFERROR(__xludf.DUMMYFUNCTION("""COMPUTED_VALUE"""),15190.0)</f>
        <v>15190</v>
      </c>
      <c r="N74">
        <f>IFERROR(__xludf.DUMMYFUNCTION("""COMPUTED_VALUE"""),14725.35)</f>
        <v>14725.35</v>
      </c>
      <c r="O74">
        <f>IFERROR(__xludf.DUMMYFUNCTION("""COMPUTED_VALUE"""),15175.3)</f>
        <v>15175.3</v>
      </c>
      <c r="P74">
        <f>IFERROR(__xludf.DUMMYFUNCTION("""COMPUTED_VALUE"""),0.0)</f>
        <v>0</v>
      </c>
    </row>
    <row r="75">
      <c r="A75" s="3" t="s">
        <v>176</v>
      </c>
      <c r="B75" s="3" t="s">
        <v>32</v>
      </c>
      <c r="C75" s="3" t="s">
        <v>177</v>
      </c>
      <c r="D75" s="3" t="s">
        <v>22</v>
      </c>
      <c r="E75">
        <f>IFERROR(__xludf.DUMMYFUNCTION("GOOGLEFINANCE(C75,""price"")"),307.55)</f>
        <v>307.55</v>
      </c>
      <c r="F75" s="4">
        <f>IFERROR(__xludf.DUMMYFUNCTION("GOOGLEFINANCE(C75,""change"")"),0.8)</f>
        <v>0.8</v>
      </c>
      <c r="G75" s="5">
        <f>IFERROR(__xludf.DUMMYFUNCTION("GOOGLEFINANCE(C75,""changepct"")/100"),0.0026)</f>
        <v>0.0026</v>
      </c>
      <c r="H75" s="4">
        <f>IFERROR(__xludf.DUMMYFUNCTION("GOOGLEFINANCE(C75,""marketcap"")"),3.66510524979E11)</f>
        <v>366510524979</v>
      </c>
      <c r="K75" s="7">
        <f>IFERROR(__xludf.DUMMYFUNCTION("""COMPUTED_VALUE"""),44344.64583333333)</f>
        <v>44344.64583</v>
      </c>
      <c r="L75">
        <f>IFERROR(__xludf.DUMMYFUNCTION("""COMPUTED_VALUE"""),15211.35)</f>
        <v>15211.35</v>
      </c>
      <c r="M75">
        <f>IFERROR(__xludf.DUMMYFUNCTION("""COMPUTED_VALUE"""),15469.65)</f>
        <v>15469.65</v>
      </c>
      <c r="N75">
        <f>IFERROR(__xludf.DUMMYFUNCTION("""COMPUTED_VALUE"""),15145.45)</f>
        <v>15145.45</v>
      </c>
      <c r="O75">
        <f>IFERROR(__xludf.DUMMYFUNCTION("""COMPUTED_VALUE"""),15435.65)</f>
        <v>15435.65</v>
      </c>
      <c r="P75">
        <f>IFERROR(__xludf.DUMMYFUNCTION("""COMPUTED_VALUE"""),0.0)</f>
        <v>0</v>
      </c>
    </row>
    <row r="76">
      <c r="A76" s="3" t="s">
        <v>178</v>
      </c>
      <c r="B76" s="3" t="s">
        <v>20</v>
      </c>
      <c r="C76" s="3" t="s">
        <v>179</v>
      </c>
      <c r="D76" s="3" t="s">
        <v>13</v>
      </c>
      <c r="E76">
        <f>IFERROR(__xludf.DUMMYFUNCTION("GOOGLEFINANCE(C76,""price"")"),972.0)</f>
        <v>972</v>
      </c>
      <c r="F76" s="4">
        <f>IFERROR(__xludf.DUMMYFUNCTION("GOOGLEFINANCE(C76,""change"")"),-5.6)</f>
        <v>-5.6</v>
      </c>
      <c r="G76" s="5">
        <f>IFERROR(__xludf.DUMMYFUNCTION("GOOGLEFINANCE(C76,""changepct"")/100"),-0.005699999999999999)</f>
        <v>-0.0057</v>
      </c>
      <c r="H76" s="4">
        <f>IFERROR(__xludf.DUMMYFUNCTION("GOOGLEFINANCE(C76,""marketcap"")"),7.504171E10)</f>
        <v>75041710000</v>
      </c>
      <c r="K76" s="7">
        <f>IFERROR(__xludf.DUMMYFUNCTION("""COMPUTED_VALUE"""),44351.64583333333)</f>
        <v>44351.64583</v>
      </c>
      <c r="L76">
        <f>IFERROR(__xludf.DUMMYFUNCTION("""COMPUTED_VALUE"""),15437.75)</f>
        <v>15437.75</v>
      </c>
      <c r="M76">
        <f>IFERROR(__xludf.DUMMYFUNCTION("""COMPUTED_VALUE"""),15733.6)</f>
        <v>15733.6</v>
      </c>
      <c r="N76">
        <f>IFERROR(__xludf.DUMMYFUNCTION("""COMPUTED_VALUE"""),15374.0)</f>
        <v>15374</v>
      </c>
      <c r="O76">
        <f>IFERROR(__xludf.DUMMYFUNCTION("""COMPUTED_VALUE"""),15670.25)</f>
        <v>15670.25</v>
      </c>
      <c r="P76">
        <f>IFERROR(__xludf.DUMMYFUNCTION("""COMPUTED_VALUE"""),0.0)</f>
        <v>0</v>
      </c>
    </row>
    <row r="77">
      <c r="A77" s="3" t="s">
        <v>180</v>
      </c>
      <c r="B77" s="3" t="s">
        <v>64</v>
      </c>
      <c r="C77" s="3" t="s">
        <v>181</v>
      </c>
      <c r="D77" s="3" t="s">
        <v>13</v>
      </c>
      <c r="E77">
        <f>IFERROR(__xludf.DUMMYFUNCTION("GOOGLEFINANCE(C77,""price"")"),336.3)</f>
        <v>336.3</v>
      </c>
      <c r="F77" s="4">
        <f>IFERROR(__xludf.DUMMYFUNCTION("GOOGLEFINANCE(C77,""change"")"),7.0)</f>
        <v>7</v>
      </c>
      <c r="G77" s="5">
        <f>IFERROR(__xludf.DUMMYFUNCTION("GOOGLEFINANCE(C77,""changepct"")/100"),0.0213)</f>
        <v>0.0213</v>
      </c>
      <c r="H77" s="4">
        <f>IFERROR(__xludf.DUMMYFUNCTION("GOOGLEFINANCE(C77,""marketcap"")"),9.4068664814E10)</f>
        <v>94068664814</v>
      </c>
      <c r="K77" s="7">
        <f>IFERROR(__xludf.DUMMYFUNCTION("""COMPUTED_VALUE"""),44358.64583333333)</f>
        <v>44358.64583</v>
      </c>
      <c r="L77">
        <f>IFERROR(__xludf.DUMMYFUNCTION("""COMPUTED_VALUE"""),15725.1)</f>
        <v>15725.1</v>
      </c>
      <c r="M77">
        <f>IFERROR(__xludf.DUMMYFUNCTION("""COMPUTED_VALUE"""),15835.55)</f>
        <v>15835.55</v>
      </c>
      <c r="N77">
        <f>IFERROR(__xludf.DUMMYFUNCTION("""COMPUTED_VALUE"""),15566.9)</f>
        <v>15566.9</v>
      </c>
      <c r="O77">
        <f>IFERROR(__xludf.DUMMYFUNCTION("""COMPUTED_VALUE"""),15799.35)</f>
        <v>15799.35</v>
      </c>
      <c r="P77">
        <f>IFERROR(__xludf.DUMMYFUNCTION("""COMPUTED_VALUE"""),0.0)</f>
        <v>0</v>
      </c>
    </row>
    <row r="78">
      <c r="A78" s="3" t="s">
        <v>182</v>
      </c>
      <c r="B78" s="3" t="s">
        <v>32</v>
      </c>
      <c r="C78" s="3" t="s">
        <v>183</v>
      </c>
      <c r="D78" s="3" t="s">
        <v>13</v>
      </c>
      <c r="E78">
        <f>IFERROR(__xludf.DUMMYFUNCTION("GOOGLEFINANCE(C78,""price"")"),77.25)</f>
        <v>77.25</v>
      </c>
      <c r="F78" s="4">
        <f>IFERROR(__xludf.DUMMYFUNCTION("GOOGLEFINANCE(C78,""change"")"),0.1)</f>
        <v>0.1</v>
      </c>
      <c r="G78" s="5">
        <f>IFERROR(__xludf.DUMMYFUNCTION("GOOGLEFINANCE(C78,""changepct"")/100"),0.0013)</f>
        <v>0.0013</v>
      </c>
      <c r="H78" s="4">
        <f>IFERROR(__xludf.DUMMYFUNCTION("GOOGLEFINANCE(C78,""marketcap"")"),8.0658783E9)</f>
        <v>8065878300</v>
      </c>
      <c r="K78" s="7">
        <f>IFERROR(__xludf.DUMMYFUNCTION("""COMPUTED_VALUE"""),44365.64583333333)</f>
        <v>44365.64583</v>
      </c>
      <c r="L78">
        <f>IFERROR(__xludf.DUMMYFUNCTION("""COMPUTED_VALUE"""),15791.4)</f>
        <v>15791.4</v>
      </c>
      <c r="M78">
        <f>IFERROR(__xludf.DUMMYFUNCTION("""COMPUTED_VALUE"""),15901.6)</f>
        <v>15901.6</v>
      </c>
      <c r="N78">
        <f>IFERROR(__xludf.DUMMYFUNCTION("""COMPUTED_VALUE"""),15450.9)</f>
        <v>15450.9</v>
      </c>
      <c r="O78">
        <f>IFERROR(__xludf.DUMMYFUNCTION("""COMPUTED_VALUE"""),15683.35)</f>
        <v>15683.35</v>
      </c>
      <c r="P78">
        <f>IFERROR(__xludf.DUMMYFUNCTION("""COMPUTED_VALUE"""),0.0)</f>
        <v>0</v>
      </c>
    </row>
    <row r="79">
      <c r="A79" s="3" t="s">
        <v>184</v>
      </c>
      <c r="B79" s="3" t="s">
        <v>47</v>
      </c>
      <c r="C79" s="3" t="s">
        <v>185</v>
      </c>
      <c r="D79" s="3" t="s">
        <v>13</v>
      </c>
      <c r="E79">
        <f>IFERROR(__xludf.DUMMYFUNCTION("GOOGLEFINANCE(C79,""price"")"),8550.0)</f>
        <v>8550</v>
      </c>
      <c r="F79" s="4">
        <f>IFERROR(__xludf.DUMMYFUNCTION("GOOGLEFINANCE(C79,""change"")"),249.05)</f>
        <v>249.05</v>
      </c>
      <c r="G79" s="5">
        <f>IFERROR(__xludf.DUMMYFUNCTION("GOOGLEFINANCE(C79,""changepct"")/100"),0.03)</f>
        <v>0.03</v>
      </c>
      <c r="H79" s="4">
        <f>IFERROR(__xludf.DUMMYFUNCTION("GOOGLEFINANCE(C79,""marketcap"")"),2.037625E11)</f>
        <v>203762500000</v>
      </c>
      <c r="K79" s="7">
        <f>IFERROR(__xludf.DUMMYFUNCTION("""COMPUTED_VALUE"""),44372.64583333333)</f>
        <v>44372.64583</v>
      </c>
      <c r="L79">
        <f>IFERROR(__xludf.DUMMYFUNCTION("""COMPUTED_VALUE"""),15525.85)</f>
        <v>15525.85</v>
      </c>
      <c r="M79">
        <f>IFERROR(__xludf.DUMMYFUNCTION("""COMPUTED_VALUE"""),15895.75)</f>
        <v>15895.75</v>
      </c>
      <c r="N79">
        <f>IFERROR(__xludf.DUMMYFUNCTION("""COMPUTED_VALUE"""),15505.65)</f>
        <v>15505.65</v>
      </c>
      <c r="O79">
        <f>IFERROR(__xludf.DUMMYFUNCTION("""COMPUTED_VALUE"""),15860.35)</f>
        <v>15860.35</v>
      </c>
      <c r="P79">
        <f>IFERROR(__xludf.DUMMYFUNCTION("""COMPUTED_VALUE"""),0.0)</f>
        <v>0</v>
      </c>
    </row>
    <row r="80">
      <c r="A80" s="3" t="s">
        <v>186</v>
      </c>
      <c r="B80" s="3" t="s">
        <v>11</v>
      </c>
      <c r="C80" s="3" t="s">
        <v>187</v>
      </c>
      <c r="D80" s="3" t="s">
        <v>13</v>
      </c>
      <c r="E80">
        <f>IFERROR(__xludf.DUMMYFUNCTION("GOOGLEFINANCE(C80,""price"")"),982.1)</f>
        <v>982.1</v>
      </c>
      <c r="F80" s="4">
        <f>IFERROR(__xludf.DUMMYFUNCTION("GOOGLEFINANCE(C80,""change"")"),-16.85)</f>
        <v>-16.85</v>
      </c>
      <c r="G80" s="5">
        <f>IFERROR(__xludf.DUMMYFUNCTION("GOOGLEFINANCE(C80,""changepct"")/100"),-0.0169)</f>
        <v>-0.0169</v>
      </c>
      <c r="H80" s="4">
        <f>IFERROR(__xludf.DUMMYFUNCTION("GOOGLEFINANCE(C80,""marketcap"")"),9.489326E10)</f>
        <v>94893260000</v>
      </c>
      <c r="K80" s="7">
        <f>IFERROR(__xludf.DUMMYFUNCTION("""COMPUTED_VALUE"""),44379.64583333333)</f>
        <v>44379.64583</v>
      </c>
      <c r="L80">
        <f>IFERROR(__xludf.DUMMYFUNCTION("""COMPUTED_VALUE"""),15915.35)</f>
        <v>15915.35</v>
      </c>
      <c r="M80">
        <f>IFERROR(__xludf.DUMMYFUNCTION("""COMPUTED_VALUE"""),15915.65)</f>
        <v>15915.65</v>
      </c>
      <c r="N80">
        <f>IFERROR(__xludf.DUMMYFUNCTION("""COMPUTED_VALUE"""),15635.95)</f>
        <v>15635.95</v>
      </c>
      <c r="O80">
        <f>IFERROR(__xludf.DUMMYFUNCTION("""COMPUTED_VALUE"""),15722.2)</f>
        <v>15722.2</v>
      </c>
      <c r="P80">
        <f>IFERROR(__xludf.DUMMYFUNCTION("""COMPUTED_VALUE"""),0.0)</f>
        <v>0</v>
      </c>
    </row>
    <row r="81">
      <c r="A81" s="3" t="s">
        <v>188</v>
      </c>
      <c r="B81" s="3" t="s">
        <v>11</v>
      </c>
      <c r="C81" s="3" t="s">
        <v>189</v>
      </c>
      <c r="D81" s="3" t="s">
        <v>13</v>
      </c>
      <c r="E81">
        <f>IFERROR(__xludf.DUMMYFUNCTION("GOOGLEFINANCE(C81,""price"")"),953.0)</f>
        <v>953</v>
      </c>
      <c r="F81" s="4">
        <f>IFERROR(__xludf.DUMMYFUNCTION("GOOGLEFINANCE(C81,""change"")"),14.2)</f>
        <v>14.2</v>
      </c>
      <c r="G81" s="5">
        <f>IFERROR(__xludf.DUMMYFUNCTION("GOOGLEFINANCE(C81,""changepct"")/100"),0.0151)</f>
        <v>0.0151</v>
      </c>
      <c r="H81" s="4">
        <f>IFERROR(__xludf.DUMMYFUNCTION("GOOGLEFINANCE(C81,""marketcap"")"),6.632517E10)</f>
        <v>66325170000</v>
      </c>
      <c r="K81" s="7">
        <f>IFERROR(__xludf.DUMMYFUNCTION("""COMPUTED_VALUE"""),44386.64583333333)</f>
        <v>44386.64583</v>
      </c>
      <c r="L81">
        <f>IFERROR(__xludf.DUMMYFUNCTION("""COMPUTED_VALUE"""),15793.4)</f>
        <v>15793.4</v>
      </c>
      <c r="M81">
        <f>IFERROR(__xludf.DUMMYFUNCTION("""COMPUTED_VALUE"""),15914.2)</f>
        <v>15914.2</v>
      </c>
      <c r="N81">
        <f>IFERROR(__xludf.DUMMYFUNCTION("""COMPUTED_VALUE"""),15632.75)</f>
        <v>15632.75</v>
      </c>
      <c r="O81">
        <f>IFERROR(__xludf.DUMMYFUNCTION("""COMPUTED_VALUE"""),15689.8)</f>
        <v>15689.8</v>
      </c>
      <c r="P81">
        <f>IFERROR(__xludf.DUMMYFUNCTION("""COMPUTED_VALUE"""),0.0)</f>
        <v>0</v>
      </c>
    </row>
    <row r="82">
      <c r="A82" s="3" t="s">
        <v>190</v>
      </c>
      <c r="B82" s="3" t="s">
        <v>82</v>
      </c>
      <c r="C82" s="3" t="s">
        <v>191</v>
      </c>
      <c r="D82" s="3" t="s">
        <v>22</v>
      </c>
      <c r="E82">
        <f>IFERROR(__xludf.DUMMYFUNCTION("GOOGLEFINANCE(C82,""price"")"),17063.0)</f>
        <v>17063</v>
      </c>
      <c r="F82" s="4">
        <f>IFERROR(__xludf.DUMMYFUNCTION("GOOGLEFINANCE(C82,""change"")"),491.2)</f>
        <v>491.2</v>
      </c>
      <c r="G82" s="5">
        <f>IFERROR(__xludf.DUMMYFUNCTION("GOOGLEFINANCE(C82,""changepct"")/100"),0.0296)</f>
        <v>0.0296</v>
      </c>
      <c r="H82" s="4">
        <f>IFERROR(__xludf.DUMMYFUNCTION("GOOGLEFINANCE(C82,""marketcap"")"),5.02561224224E11)</f>
        <v>502561224224</v>
      </c>
      <c r="K82" s="7">
        <f>IFERROR(__xludf.DUMMYFUNCTION("""COMPUTED_VALUE"""),44393.64583333333)</f>
        <v>44393.64583</v>
      </c>
      <c r="L82">
        <f>IFERROR(__xludf.DUMMYFUNCTION("""COMPUTED_VALUE"""),15766.8)</f>
        <v>15766.8</v>
      </c>
      <c r="M82">
        <f>IFERROR(__xludf.DUMMYFUNCTION("""COMPUTED_VALUE"""),15962.25)</f>
        <v>15962.25</v>
      </c>
      <c r="N82">
        <f>IFERROR(__xludf.DUMMYFUNCTION("""COMPUTED_VALUE"""),15644.75)</f>
        <v>15644.75</v>
      </c>
      <c r="O82">
        <f>IFERROR(__xludf.DUMMYFUNCTION("""COMPUTED_VALUE"""),15923.4)</f>
        <v>15923.4</v>
      </c>
      <c r="P82">
        <f>IFERROR(__xludf.DUMMYFUNCTION("""COMPUTED_VALUE"""),0.0)</f>
        <v>0</v>
      </c>
    </row>
    <row r="83">
      <c r="A83" s="3" t="s">
        <v>192</v>
      </c>
      <c r="B83" s="3" t="s">
        <v>100</v>
      </c>
      <c r="C83" s="3" t="s">
        <v>193</v>
      </c>
      <c r="D83" s="3" t="s">
        <v>13</v>
      </c>
      <c r="E83">
        <f>IFERROR(__xludf.DUMMYFUNCTION("GOOGLEFINANCE(C83,""price"")"),491.1)</f>
        <v>491.1</v>
      </c>
      <c r="F83" s="4">
        <f>IFERROR(__xludf.DUMMYFUNCTION("GOOGLEFINANCE(C83,""change"")"),2.75)</f>
        <v>2.75</v>
      </c>
      <c r="G83" s="5">
        <f>IFERROR(__xludf.DUMMYFUNCTION("GOOGLEFINANCE(C83,""changepct"")/100"),0.005600000000000001)</f>
        <v>0.0056</v>
      </c>
      <c r="H83" s="4">
        <f>IFERROR(__xludf.DUMMYFUNCTION("GOOGLEFINANCE(C83,""marketcap"")"),1.137257E11)</f>
        <v>113725700000</v>
      </c>
      <c r="K83" s="7">
        <f>IFERROR(__xludf.DUMMYFUNCTION("""COMPUTED_VALUE"""),44400.64583333333)</f>
        <v>44400.64583</v>
      </c>
      <c r="L83">
        <f>IFERROR(__xludf.DUMMYFUNCTION("""COMPUTED_VALUE"""),15754.5)</f>
        <v>15754.5</v>
      </c>
      <c r="M83">
        <f>IFERROR(__xludf.DUMMYFUNCTION("""COMPUTED_VALUE"""),15899.8)</f>
        <v>15899.8</v>
      </c>
      <c r="N83">
        <f>IFERROR(__xludf.DUMMYFUNCTION("""COMPUTED_VALUE"""),15578.55)</f>
        <v>15578.55</v>
      </c>
      <c r="O83">
        <f>IFERROR(__xludf.DUMMYFUNCTION("""COMPUTED_VALUE"""),15856.05)</f>
        <v>15856.05</v>
      </c>
      <c r="P83">
        <f>IFERROR(__xludf.DUMMYFUNCTION("""COMPUTED_VALUE"""),0.0)</f>
        <v>0</v>
      </c>
    </row>
    <row r="84">
      <c r="A84" s="3" t="s">
        <v>194</v>
      </c>
      <c r="B84" s="3" t="s">
        <v>11</v>
      </c>
      <c r="C84" s="3" t="s">
        <v>195</v>
      </c>
      <c r="D84" s="3" t="s">
        <v>22</v>
      </c>
      <c r="E84">
        <f>IFERROR(__xludf.DUMMYFUNCTION("GOOGLEFINANCE(C84,""price"")"),3892.6)</f>
        <v>3892.6</v>
      </c>
      <c r="F84" s="4">
        <f>IFERROR(__xludf.DUMMYFUNCTION("GOOGLEFINANCE(C84,""change"")"),23.25)</f>
        <v>23.25</v>
      </c>
      <c r="G84" s="5">
        <f>IFERROR(__xludf.DUMMYFUNCTION("GOOGLEFINANCE(C84,""changepct"")/100"),0.006)</f>
        <v>0.006</v>
      </c>
      <c r="H84" s="4">
        <f>IFERROR(__xludf.DUMMYFUNCTION("GOOGLEFINANCE(C84,""marketcap"")"),9.40689220879E11)</f>
        <v>940689220879</v>
      </c>
      <c r="K84" s="7">
        <f>IFERROR(__xludf.DUMMYFUNCTION("""COMPUTED_VALUE"""),44407.64583333333)</f>
        <v>44407.64583</v>
      </c>
      <c r="L84">
        <f>IFERROR(__xludf.DUMMYFUNCTION("""COMPUTED_VALUE"""),15849.3)</f>
        <v>15849.3</v>
      </c>
      <c r="M84">
        <f>IFERROR(__xludf.DUMMYFUNCTION("""COMPUTED_VALUE"""),15893.35)</f>
        <v>15893.35</v>
      </c>
      <c r="N84">
        <f>IFERROR(__xludf.DUMMYFUNCTION("""COMPUTED_VALUE"""),15513.45)</f>
        <v>15513.45</v>
      </c>
      <c r="O84">
        <f>IFERROR(__xludf.DUMMYFUNCTION("""COMPUTED_VALUE"""),15763.05)</f>
        <v>15763.05</v>
      </c>
      <c r="P84">
        <f>IFERROR(__xludf.DUMMYFUNCTION("""COMPUTED_VALUE"""),0.0)</f>
        <v>0</v>
      </c>
    </row>
    <row r="85">
      <c r="A85" s="3" t="s">
        <v>196</v>
      </c>
      <c r="B85" s="3" t="s">
        <v>11</v>
      </c>
      <c r="C85" s="3" t="s">
        <v>197</v>
      </c>
      <c r="D85" s="3" t="s">
        <v>13</v>
      </c>
      <c r="E85">
        <f>IFERROR(__xludf.DUMMYFUNCTION("GOOGLEFINANCE(C85,""price"")"),445.1)</f>
        <v>445.1</v>
      </c>
      <c r="F85" s="4">
        <f>IFERROR(__xludf.DUMMYFUNCTION("GOOGLEFINANCE(C85,""change"")"),20.2)</f>
        <v>20.2</v>
      </c>
      <c r="G85" s="5">
        <f>IFERROR(__xludf.DUMMYFUNCTION("GOOGLEFINANCE(C85,""changepct"")/100"),0.0475)</f>
        <v>0.0475</v>
      </c>
      <c r="H85" s="4">
        <f>IFERROR(__xludf.DUMMYFUNCTION("GOOGLEFINANCE(C85,""marketcap"")"),5.9436413011E10)</f>
        <v>59436413011</v>
      </c>
      <c r="K85" s="7">
        <f>IFERROR(__xludf.DUMMYFUNCTION("""COMPUTED_VALUE"""),44414.64583333333)</f>
        <v>44414.64583</v>
      </c>
      <c r="L85">
        <f>IFERROR(__xludf.DUMMYFUNCTION("""COMPUTED_VALUE"""),15874.9)</f>
        <v>15874.9</v>
      </c>
      <c r="M85">
        <f>IFERROR(__xludf.DUMMYFUNCTION("""COMPUTED_VALUE"""),16349.45)</f>
        <v>16349.45</v>
      </c>
      <c r="N85">
        <f>IFERROR(__xludf.DUMMYFUNCTION("""COMPUTED_VALUE"""),15834.65)</f>
        <v>15834.65</v>
      </c>
      <c r="O85">
        <f>IFERROR(__xludf.DUMMYFUNCTION("""COMPUTED_VALUE"""),16238.2)</f>
        <v>16238.2</v>
      </c>
      <c r="P85">
        <f>IFERROR(__xludf.DUMMYFUNCTION("""COMPUTED_VALUE"""),0.0)</f>
        <v>0</v>
      </c>
    </row>
    <row r="86">
      <c r="A86" s="3" t="s">
        <v>198</v>
      </c>
      <c r="B86" s="3" t="s">
        <v>44</v>
      </c>
      <c r="C86" s="3" t="s">
        <v>199</v>
      </c>
      <c r="D86" s="3" t="s">
        <v>13</v>
      </c>
      <c r="E86">
        <f>IFERROR(__xludf.DUMMYFUNCTION("GOOGLEFINANCE(C86,""price"")"),77.1)</f>
        <v>77.1</v>
      </c>
      <c r="F86" s="4">
        <f>IFERROR(__xludf.DUMMYFUNCTION("GOOGLEFINANCE(C86,""change"")"),1.65)</f>
        <v>1.65</v>
      </c>
      <c r="G86" s="5">
        <f>IFERROR(__xludf.DUMMYFUNCTION("GOOGLEFINANCE(C86,""changepct"")/100"),0.0219)</f>
        <v>0.0219</v>
      </c>
      <c r="H86" s="4">
        <f>IFERROR(__xludf.DUMMYFUNCTION("GOOGLEFINANCE(C86,""marketcap"")"),1.02135172545E11)</f>
        <v>102135172545</v>
      </c>
      <c r="K86" s="7">
        <f>IFERROR(__xludf.DUMMYFUNCTION("""COMPUTED_VALUE"""),44421.64583333333)</f>
        <v>44421.64583</v>
      </c>
      <c r="L86">
        <f>IFERROR(__xludf.DUMMYFUNCTION("""COMPUTED_VALUE"""),16281.35)</f>
        <v>16281.35</v>
      </c>
      <c r="M86">
        <f>IFERROR(__xludf.DUMMYFUNCTION("""COMPUTED_VALUE"""),16543.6)</f>
        <v>16543.6</v>
      </c>
      <c r="N86">
        <f>IFERROR(__xludf.DUMMYFUNCTION("""COMPUTED_VALUE"""),16162.55)</f>
        <v>16162.55</v>
      </c>
      <c r="O86">
        <f>IFERROR(__xludf.DUMMYFUNCTION("""COMPUTED_VALUE"""),16529.1)</f>
        <v>16529.1</v>
      </c>
      <c r="P86">
        <f>IFERROR(__xludf.DUMMYFUNCTION("""COMPUTED_VALUE"""),0.0)</f>
        <v>0</v>
      </c>
    </row>
    <row r="87">
      <c r="A87" s="3" t="s">
        <v>200</v>
      </c>
      <c r="B87" s="3" t="s">
        <v>29</v>
      </c>
      <c r="C87" s="3" t="s">
        <v>201</v>
      </c>
      <c r="D87" s="3" t="s">
        <v>13</v>
      </c>
      <c r="E87">
        <f>IFERROR(__xludf.DUMMYFUNCTION("GOOGLEFINANCE(C87,""price"")"),3126.05)</f>
        <v>3126.05</v>
      </c>
      <c r="F87" s="4">
        <f>IFERROR(__xludf.DUMMYFUNCTION("GOOGLEFINANCE(C87,""change"")"),-14.8)</f>
        <v>-14.8</v>
      </c>
      <c r="G87" s="5">
        <f>IFERROR(__xludf.DUMMYFUNCTION("GOOGLEFINANCE(C87,""changepct"")/100"),-0.004699999999999999)</f>
        <v>-0.0047</v>
      </c>
      <c r="H87" s="4">
        <f>IFERROR(__xludf.DUMMYFUNCTION("GOOGLEFINANCE(C87,""marketcap"")"),2.28269635567E11)</f>
        <v>228269635567</v>
      </c>
      <c r="K87" s="7">
        <f>IFERROR(__xludf.DUMMYFUNCTION("""COMPUTED_VALUE"""),44428.64583333333)</f>
        <v>44428.64583</v>
      </c>
      <c r="L87">
        <f>IFERROR(__xludf.DUMMYFUNCTION("""COMPUTED_VALUE"""),16518.4)</f>
        <v>16518.4</v>
      </c>
      <c r="M87">
        <f>IFERROR(__xludf.DUMMYFUNCTION("""COMPUTED_VALUE"""),16701.85)</f>
        <v>16701.85</v>
      </c>
      <c r="N87">
        <f>IFERROR(__xludf.DUMMYFUNCTION("""COMPUTED_VALUE"""),16376.05)</f>
        <v>16376.05</v>
      </c>
      <c r="O87">
        <f>IFERROR(__xludf.DUMMYFUNCTION("""COMPUTED_VALUE"""),16450.5)</f>
        <v>16450.5</v>
      </c>
      <c r="P87">
        <f>IFERROR(__xludf.DUMMYFUNCTION("""COMPUTED_VALUE"""),0.0)</f>
        <v>0</v>
      </c>
    </row>
    <row r="88">
      <c r="A88" s="3" t="s">
        <v>202</v>
      </c>
      <c r="B88" s="3" t="s">
        <v>29</v>
      </c>
      <c r="C88" s="3" t="s">
        <v>203</v>
      </c>
      <c r="D88" s="3" t="s">
        <v>13</v>
      </c>
      <c r="E88">
        <f>IFERROR(__xludf.DUMMYFUNCTION("GOOGLEFINANCE(C88,""price"")"),200.0)</f>
        <v>200</v>
      </c>
      <c r="F88" s="4">
        <f>IFERROR(__xludf.DUMMYFUNCTION("GOOGLEFINANCE(C88,""change"")"),-1.55)</f>
        <v>-1.55</v>
      </c>
      <c r="G88" s="5">
        <f>IFERROR(__xludf.DUMMYFUNCTION("GOOGLEFINANCE(C88,""changepct"")/100"),-0.0077)</f>
        <v>-0.0077</v>
      </c>
      <c r="H88" s="4">
        <f>IFERROR(__xludf.DUMMYFUNCTION("GOOGLEFINANCE(C88,""marketcap"")"),3.370559E10)</f>
        <v>33705590000</v>
      </c>
      <c r="K88" s="7">
        <f>IFERROR(__xludf.DUMMYFUNCTION("""COMPUTED_VALUE"""),44435.64583333333)</f>
        <v>44435.64583</v>
      </c>
      <c r="L88">
        <f>IFERROR(__xludf.DUMMYFUNCTION("""COMPUTED_VALUE"""),16592.25)</f>
        <v>16592.25</v>
      </c>
      <c r="M88">
        <f>IFERROR(__xludf.DUMMYFUNCTION("""COMPUTED_VALUE"""),16722.05)</f>
        <v>16722.05</v>
      </c>
      <c r="N88">
        <f>IFERROR(__xludf.DUMMYFUNCTION("""COMPUTED_VALUE"""),16395.7)</f>
        <v>16395.7</v>
      </c>
      <c r="O88">
        <f>IFERROR(__xludf.DUMMYFUNCTION("""COMPUTED_VALUE"""),16705.2)</f>
        <v>16705.2</v>
      </c>
      <c r="P88">
        <f>IFERROR(__xludf.DUMMYFUNCTION("""COMPUTED_VALUE"""),0.0)</f>
        <v>0</v>
      </c>
    </row>
    <row r="89">
      <c r="A89" s="3" t="s">
        <v>204</v>
      </c>
      <c r="B89" s="3" t="s">
        <v>32</v>
      </c>
      <c r="C89" s="3" t="s">
        <v>205</v>
      </c>
      <c r="D89" s="3" t="s">
        <v>22</v>
      </c>
      <c r="E89" t="str">
        <f>IFERROR(__xludf.DUMMYFUNCTION("GOOGLEFINANCE(C89,""price"")"),"#N/A")</f>
        <v>#N/A</v>
      </c>
      <c r="F89" s="4" t="str">
        <f>IFERROR(__xludf.DUMMYFUNCTION("GOOGLEFINANCE(C89,""change"")"),"#N/A")</f>
        <v>#N/A</v>
      </c>
      <c r="G89" s="5" t="str">
        <f>IFERROR(__xludf.DUMMYFUNCTION("GOOGLEFINANCE(C89,""changepct"")/100"),"#N/A")</f>
        <v>#N/A</v>
      </c>
      <c r="H89" s="4" t="str">
        <f>IFERROR(__xludf.DUMMYFUNCTION("GOOGLEFINANCE(C89,""marketcap"")"),"#N/A")</f>
        <v>#N/A</v>
      </c>
      <c r="K89" s="7">
        <f>IFERROR(__xludf.DUMMYFUNCTION("""COMPUTED_VALUE"""),44442.64583333333)</f>
        <v>44442.64583</v>
      </c>
      <c r="L89">
        <f>IFERROR(__xludf.DUMMYFUNCTION("""COMPUTED_VALUE"""),16775.85)</f>
        <v>16775.85</v>
      </c>
      <c r="M89">
        <f>IFERROR(__xludf.DUMMYFUNCTION("""COMPUTED_VALUE"""),17340.1)</f>
        <v>17340.1</v>
      </c>
      <c r="N89">
        <f>IFERROR(__xludf.DUMMYFUNCTION("""COMPUTED_VALUE"""),16764.85)</f>
        <v>16764.85</v>
      </c>
      <c r="O89">
        <f>IFERROR(__xludf.DUMMYFUNCTION("""COMPUTED_VALUE"""),17323.6)</f>
        <v>17323.6</v>
      </c>
      <c r="P89">
        <f>IFERROR(__xludf.DUMMYFUNCTION("""COMPUTED_VALUE"""),0.0)</f>
        <v>0</v>
      </c>
    </row>
    <row r="90">
      <c r="A90" s="3" t="s">
        <v>206</v>
      </c>
      <c r="B90" s="3" t="s">
        <v>29</v>
      </c>
      <c r="C90" s="3" t="s">
        <v>207</v>
      </c>
      <c r="D90" s="3" t="s">
        <v>13</v>
      </c>
      <c r="E90">
        <f>IFERROR(__xludf.DUMMYFUNCTION("GOOGLEFINANCE(C90,""price"")"),596.0)</f>
        <v>596</v>
      </c>
      <c r="F90" s="4">
        <f>IFERROR(__xludf.DUMMYFUNCTION("GOOGLEFINANCE(C90,""change"")"),13.0)</f>
        <v>13</v>
      </c>
      <c r="G90" s="5">
        <f>IFERROR(__xludf.DUMMYFUNCTION("GOOGLEFINANCE(C90,""changepct"")/100"),0.0223)</f>
        <v>0.0223</v>
      </c>
      <c r="H90" s="4">
        <f>IFERROR(__xludf.DUMMYFUNCTION("GOOGLEFINANCE(C90,""marketcap"")"),7.9325864759E10)</f>
        <v>79325864759</v>
      </c>
      <c r="K90" s="7">
        <f>IFERROR(__xludf.DUMMYFUNCTION("""COMPUTED_VALUE"""),44448.64583333333)</f>
        <v>44448.64583</v>
      </c>
      <c r="L90">
        <f>IFERROR(__xludf.DUMMYFUNCTION("""COMPUTED_VALUE"""),17399.35)</f>
        <v>17399.35</v>
      </c>
      <c r="M90">
        <f>IFERROR(__xludf.DUMMYFUNCTION("""COMPUTED_VALUE"""),17436.5)</f>
        <v>17436.5</v>
      </c>
      <c r="N90">
        <f>IFERROR(__xludf.DUMMYFUNCTION("""COMPUTED_VALUE"""),17254.2)</f>
        <v>17254.2</v>
      </c>
      <c r="O90">
        <f>IFERROR(__xludf.DUMMYFUNCTION("""COMPUTED_VALUE"""),17369.25)</f>
        <v>17369.25</v>
      </c>
      <c r="P90">
        <f>IFERROR(__xludf.DUMMYFUNCTION("""COMPUTED_VALUE"""),0.0)</f>
        <v>0</v>
      </c>
    </row>
    <row r="91">
      <c r="A91" s="3" t="s">
        <v>208</v>
      </c>
      <c r="B91" s="3" t="s">
        <v>29</v>
      </c>
      <c r="C91" s="3" t="s">
        <v>209</v>
      </c>
      <c r="D91" s="3" t="s">
        <v>22</v>
      </c>
      <c r="E91">
        <f>IFERROR(__xludf.DUMMYFUNCTION("GOOGLEFINANCE(C91,""price"")"),222.05)</f>
        <v>222.05</v>
      </c>
      <c r="F91" s="4">
        <f>IFERROR(__xludf.DUMMYFUNCTION("GOOGLEFINANCE(C91,""change"")"),-4.15)</f>
        <v>-4.15</v>
      </c>
      <c r="G91" s="5">
        <f>IFERROR(__xludf.DUMMYFUNCTION("GOOGLEFINANCE(C91,""changepct"")/100"),-0.0183)</f>
        <v>-0.0183</v>
      </c>
      <c r="H91" s="4">
        <f>IFERROR(__xludf.DUMMYFUNCTION("GOOGLEFINANCE(C91,""marketcap"")"),4.02559482E11)</f>
        <v>402559482000</v>
      </c>
      <c r="K91" s="7">
        <f>IFERROR(__xludf.DUMMYFUNCTION("""COMPUTED_VALUE"""),44456.64583333333)</f>
        <v>44456.64583</v>
      </c>
      <c r="L91">
        <f>IFERROR(__xludf.DUMMYFUNCTION("""COMPUTED_VALUE"""),17363.55)</f>
        <v>17363.55</v>
      </c>
      <c r="M91">
        <f>IFERROR(__xludf.DUMMYFUNCTION("""COMPUTED_VALUE"""),17792.95)</f>
        <v>17792.95</v>
      </c>
      <c r="N91">
        <f>IFERROR(__xludf.DUMMYFUNCTION("""COMPUTED_VALUE"""),17269.15)</f>
        <v>17269.15</v>
      </c>
      <c r="O91">
        <f>IFERROR(__xludf.DUMMYFUNCTION("""COMPUTED_VALUE"""),17585.15)</f>
        <v>17585.15</v>
      </c>
      <c r="P91">
        <f>IFERROR(__xludf.DUMMYFUNCTION("""COMPUTED_VALUE"""),0.0)</f>
        <v>0</v>
      </c>
    </row>
    <row r="92">
      <c r="A92" s="3" t="s">
        <v>210</v>
      </c>
      <c r="B92" s="3" t="s">
        <v>32</v>
      </c>
      <c r="C92" s="3" t="s">
        <v>211</v>
      </c>
      <c r="D92" s="3" t="s">
        <v>13</v>
      </c>
      <c r="E92">
        <f>IFERROR(__xludf.DUMMYFUNCTION("GOOGLEFINANCE(C92,""price"")"),784.0)</f>
        <v>784</v>
      </c>
      <c r="F92" s="4">
        <f>IFERROR(__xludf.DUMMYFUNCTION("GOOGLEFINANCE(C92,""change"")"),23.85)</f>
        <v>23.85</v>
      </c>
      <c r="G92" s="5">
        <f>IFERROR(__xludf.DUMMYFUNCTION("GOOGLEFINANCE(C92,""changepct"")/100"),0.031400000000000004)</f>
        <v>0.0314</v>
      </c>
      <c r="H92" s="4">
        <f>IFERROR(__xludf.DUMMYFUNCTION("GOOGLEFINANCE(C92,""marketcap"")"),5.897661E10)</f>
        <v>58976610000</v>
      </c>
      <c r="K92" s="7">
        <f>IFERROR(__xludf.DUMMYFUNCTION("""COMPUTED_VALUE"""),44463.64583333333)</f>
        <v>44463.64583</v>
      </c>
      <c r="L92">
        <f>IFERROR(__xludf.DUMMYFUNCTION("""COMPUTED_VALUE"""),17443.85)</f>
        <v>17443.85</v>
      </c>
      <c r="M92">
        <f>IFERROR(__xludf.DUMMYFUNCTION("""COMPUTED_VALUE"""),17947.65)</f>
        <v>17947.65</v>
      </c>
      <c r="N92">
        <f>IFERROR(__xludf.DUMMYFUNCTION("""COMPUTED_VALUE"""),17326.1)</f>
        <v>17326.1</v>
      </c>
      <c r="O92">
        <f>IFERROR(__xludf.DUMMYFUNCTION("""COMPUTED_VALUE"""),17853.2)</f>
        <v>17853.2</v>
      </c>
      <c r="P92">
        <f>IFERROR(__xludf.DUMMYFUNCTION("""COMPUTED_VALUE"""),0.0)</f>
        <v>0</v>
      </c>
    </row>
    <row r="93">
      <c r="A93" s="3" t="s">
        <v>212</v>
      </c>
      <c r="B93" s="3" t="s">
        <v>29</v>
      </c>
      <c r="C93" s="3" t="s">
        <v>213</v>
      </c>
      <c r="D93" s="3" t="s">
        <v>13</v>
      </c>
      <c r="E93">
        <f>IFERROR(__xludf.DUMMYFUNCTION("GOOGLEFINANCE(C93,""price"")"),681.0)</f>
        <v>681</v>
      </c>
      <c r="F93" s="4">
        <f>IFERROR(__xludf.DUMMYFUNCTION("GOOGLEFINANCE(C93,""change"")"),-18.75)</f>
        <v>-18.75</v>
      </c>
      <c r="G93" s="5">
        <f>IFERROR(__xludf.DUMMYFUNCTION("GOOGLEFINANCE(C93,""changepct"")/100"),-0.0268)</f>
        <v>-0.0268</v>
      </c>
      <c r="H93" s="4">
        <f>IFERROR(__xludf.DUMMYFUNCTION("GOOGLEFINANCE(C93,""marketcap"")"),1.208169E11)</f>
        <v>120816900000</v>
      </c>
      <c r="K93" s="7">
        <f>IFERROR(__xludf.DUMMYFUNCTION("""COMPUTED_VALUE"""),44470.64583333333)</f>
        <v>44470.64583</v>
      </c>
      <c r="L93">
        <f>IFERROR(__xludf.DUMMYFUNCTION("""COMPUTED_VALUE"""),17932.2)</f>
        <v>17932.2</v>
      </c>
      <c r="M93">
        <f>IFERROR(__xludf.DUMMYFUNCTION("""COMPUTED_VALUE"""),17943.5)</f>
        <v>17943.5</v>
      </c>
      <c r="N93">
        <f>IFERROR(__xludf.DUMMYFUNCTION("""COMPUTED_VALUE"""),17452.9)</f>
        <v>17452.9</v>
      </c>
      <c r="O93">
        <f>IFERROR(__xludf.DUMMYFUNCTION("""COMPUTED_VALUE"""),17532.05)</f>
        <v>17532.05</v>
      </c>
      <c r="P93">
        <f>IFERROR(__xludf.DUMMYFUNCTION("""COMPUTED_VALUE"""),0.0)</f>
        <v>0</v>
      </c>
    </row>
    <row r="94">
      <c r="A94" s="3" t="s">
        <v>214</v>
      </c>
      <c r="B94" s="3" t="s">
        <v>15</v>
      </c>
      <c r="C94" s="3" t="s">
        <v>215</v>
      </c>
      <c r="D94" s="3" t="s">
        <v>13</v>
      </c>
      <c r="E94">
        <f>IFERROR(__xludf.DUMMYFUNCTION("GOOGLEFINANCE(C94,""price"")"),799.0)</f>
        <v>799</v>
      </c>
      <c r="F94" s="4">
        <f>IFERROR(__xludf.DUMMYFUNCTION("GOOGLEFINANCE(C94,""change"")"),3.35)</f>
        <v>3.35</v>
      </c>
      <c r="G94" s="5">
        <f>IFERROR(__xludf.DUMMYFUNCTION("GOOGLEFINANCE(C94,""changepct"")/100"),0.0042)</f>
        <v>0.0042</v>
      </c>
      <c r="H94" s="4">
        <f>IFERROR(__xludf.DUMMYFUNCTION("GOOGLEFINANCE(C94,""marketcap"")"),1.517135607E11)</f>
        <v>151713560700</v>
      </c>
      <c r="K94" s="7">
        <f>IFERROR(__xludf.DUMMYFUNCTION("""COMPUTED_VALUE"""),44477.64583333333)</f>
        <v>44477.64583</v>
      </c>
      <c r="L94">
        <f>IFERROR(__xludf.DUMMYFUNCTION("""COMPUTED_VALUE"""),17615.55)</f>
        <v>17615.55</v>
      </c>
      <c r="M94">
        <f>IFERROR(__xludf.DUMMYFUNCTION("""COMPUTED_VALUE"""),17941.85)</f>
        <v>17941.85</v>
      </c>
      <c r="N94">
        <f>IFERROR(__xludf.DUMMYFUNCTION("""COMPUTED_VALUE"""),17581.35)</f>
        <v>17581.35</v>
      </c>
      <c r="O94">
        <f>IFERROR(__xludf.DUMMYFUNCTION("""COMPUTED_VALUE"""),17895.2)</f>
        <v>17895.2</v>
      </c>
      <c r="P94">
        <f>IFERROR(__xludf.DUMMYFUNCTION("""COMPUTED_VALUE"""),0.0)</f>
        <v>0</v>
      </c>
    </row>
    <row r="95">
      <c r="A95" s="3" t="s">
        <v>216</v>
      </c>
      <c r="B95" s="3" t="s">
        <v>50</v>
      </c>
      <c r="C95" s="3" t="s">
        <v>217</v>
      </c>
      <c r="D95" s="3" t="s">
        <v>13</v>
      </c>
      <c r="E95">
        <f>IFERROR(__xludf.DUMMYFUNCTION("GOOGLEFINANCE(C95,""price"")"),114.25)</f>
        <v>114.25</v>
      </c>
      <c r="F95" s="4">
        <f>IFERROR(__xludf.DUMMYFUNCTION("GOOGLEFINANCE(C95,""change"")"),0.75)</f>
        <v>0.75</v>
      </c>
      <c r="G95" s="5">
        <f>IFERROR(__xludf.DUMMYFUNCTION("GOOGLEFINANCE(C95,""changepct"")/100"),0.0066)</f>
        <v>0.0066</v>
      </c>
      <c r="H95" s="4">
        <f>IFERROR(__xludf.DUMMYFUNCTION("GOOGLEFINANCE(C95,""marketcap"")"),1.1241359417E11)</f>
        <v>112413594170</v>
      </c>
      <c r="K95" s="7">
        <f>IFERROR(__xludf.DUMMYFUNCTION("""COMPUTED_VALUE"""),44483.64583333333)</f>
        <v>44483.64583</v>
      </c>
      <c r="L95">
        <f>IFERROR(__xludf.DUMMYFUNCTION("""COMPUTED_VALUE"""),17867.55)</f>
        <v>17867.55</v>
      </c>
      <c r="M95">
        <f>IFERROR(__xludf.DUMMYFUNCTION("""COMPUTED_VALUE"""),18350.75)</f>
        <v>18350.75</v>
      </c>
      <c r="N95">
        <f>IFERROR(__xludf.DUMMYFUNCTION("""COMPUTED_VALUE"""),17839.1)</f>
        <v>17839.1</v>
      </c>
      <c r="O95">
        <f>IFERROR(__xludf.DUMMYFUNCTION("""COMPUTED_VALUE"""),18338.55)</f>
        <v>18338.55</v>
      </c>
      <c r="P95">
        <f>IFERROR(__xludf.DUMMYFUNCTION("""COMPUTED_VALUE"""),0.0)</f>
        <v>0</v>
      </c>
    </row>
    <row r="96">
      <c r="A96" s="3" t="s">
        <v>218</v>
      </c>
      <c r="B96" s="3" t="s">
        <v>82</v>
      </c>
      <c r="C96" s="3" t="s">
        <v>219</v>
      </c>
      <c r="D96" s="3" t="s">
        <v>13</v>
      </c>
      <c r="E96">
        <f>IFERROR(__xludf.DUMMYFUNCTION("GOOGLEFINANCE(C96,""price"")"),1260.5)</f>
        <v>1260.5</v>
      </c>
      <c r="F96" s="4">
        <f>IFERROR(__xludf.DUMMYFUNCTION("GOOGLEFINANCE(C96,""change"")"),20.3)</f>
        <v>20.3</v>
      </c>
      <c r="G96" s="5">
        <f>IFERROR(__xludf.DUMMYFUNCTION("GOOGLEFINANCE(C96,""changepct"")/100"),0.016399999999999998)</f>
        <v>0.0164</v>
      </c>
      <c r="H96" s="4">
        <f>IFERROR(__xludf.DUMMYFUNCTION("GOOGLEFINANCE(C96,""marketcap"")"),5.098936E10)</f>
        <v>50989360000</v>
      </c>
      <c r="K96" s="7">
        <f>IFERROR(__xludf.DUMMYFUNCTION("""COMPUTED_VALUE"""),44491.64583333333)</f>
        <v>44491.64583</v>
      </c>
      <c r="L96">
        <f>IFERROR(__xludf.DUMMYFUNCTION("""COMPUTED_VALUE"""),18500.1)</f>
        <v>18500.1</v>
      </c>
      <c r="M96">
        <f>IFERROR(__xludf.DUMMYFUNCTION("""COMPUTED_VALUE"""),18604.45)</f>
        <v>18604.45</v>
      </c>
      <c r="N96">
        <f>IFERROR(__xludf.DUMMYFUNCTION("""COMPUTED_VALUE"""),18034.35)</f>
        <v>18034.35</v>
      </c>
      <c r="O96">
        <f>IFERROR(__xludf.DUMMYFUNCTION("""COMPUTED_VALUE"""),18114.9)</f>
        <v>18114.9</v>
      </c>
      <c r="P96">
        <f>IFERROR(__xludf.DUMMYFUNCTION("""COMPUTED_VALUE"""),0.0)</f>
        <v>0</v>
      </c>
    </row>
    <row r="97">
      <c r="A97" s="3" t="s">
        <v>220</v>
      </c>
      <c r="B97" s="3" t="s">
        <v>29</v>
      </c>
      <c r="C97" s="3" t="s">
        <v>221</v>
      </c>
      <c r="D97" s="3" t="s">
        <v>13</v>
      </c>
      <c r="E97">
        <f>IFERROR(__xludf.DUMMYFUNCTION("GOOGLEFINANCE(C97,""price"")"),17.9)</f>
        <v>17.9</v>
      </c>
      <c r="F97" s="4">
        <f>IFERROR(__xludf.DUMMYFUNCTION("GOOGLEFINANCE(C97,""change"")"),0.15)</f>
        <v>0.15</v>
      </c>
      <c r="G97" s="5">
        <f>IFERROR(__xludf.DUMMYFUNCTION("GOOGLEFINANCE(C97,""changepct"")/100"),0.0085)</f>
        <v>0.0085</v>
      </c>
      <c r="H97" s="4">
        <f>IFERROR(__xludf.DUMMYFUNCTION("GOOGLEFINANCE(C97,""marketcap"")"),1.54954746611E11)</f>
        <v>154954746611</v>
      </c>
      <c r="K97" s="7">
        <f>IFERROR(__xludf.DUMMYFUNCTION("""COMPUTED_VALUE"""),44498.64583333333)</f>
        <v>44498.64583</v>
      </c>
      <c r="L97">
        <f>IFERROR(__xludf.DUMMYFUNCTION("""COMPUTED_VALUE"""),18229.5)</f>
        <v>18229.5</v>
      </c>
      <c r="M97">
        <f>IFERROR(__xludf.DUMMYFUNCTION("""COMPUTED_VALUE"""),18342.05)</f>
        <v>18342.05</v>
      </c>
      <c r="N97">
        <f>IFERROR(__xludf.DUMMYFUNCTION("""COMPUTED_VALUE"""),17613.1)</f>
        <v>17613.1</v>
      </c>
      <c r="O97">
        <f>IFERROR(__xludf.DUMMYFUNCTION("""COMPUTED_VALUE"""),17671.65)</f>
        <v>17671.65</v>
      </c>
      <c r="P97">
        <f>IFERROR(__xludf.DUMMYFUNCTION("""COMPUTED_VALUE"""),0.0)</f>
        <v>0</v>
      </c>
    </row>
    <row r="98">
      <c r="A98" s="3" t="s">
        <v>222</v>
      </c>
      <c r="B98" s="3" t="s">
        <v>29</v>
      </c>
      <c r="C98" s="3" t="s">
        <v>223</v>
      </c>
      <c r="D98" s="3" t="s">
        <v>13</v>
      </c>
      <c r="E98">
        <f>IFERROR(__xludf.DUMMYFUNCTION("GOOGLEFINANCE(C98,""price"")"),1131.0)</f>
        <v>1131</v>
      </c>
      <c r="F98" s="4">
        <f>IFERROR(__xludf.DUMMYFUNCTION("GOOGLEFINANCE(C98,""change"")"),17.65)</f>
        <v>17.65</v>
      </c>
      <c r="G98" s="5">
        <f>IFERROR(__xludf.DUMMYFUNCTION("GOOGLEFINANCE(C98,""changepct"")/100"),0.0159)</f>
        <v>0.0159</v>
      </c>
      <c r="H98" s="4">
        <f>IFERROR(__xludf.DUMMYFUNCTION("GOOGLEFINANCE(C98,""marketcap"")"),1.177663E11)</f>
        <v>117766300000</v>
      </c>
      <c r="K98" s="7">
        <f>IFERROR(__xludf.DUMMYFUNCTION("""COMPUTED_VALUE"""),44512.64583333333)</f>
        <v>44512.64583</v>
      </c>
      <c r="L98">
        <f>IFERROR(__xludf.DUMMYFUNCTION("""COMPUTED_VALUE"""),18040.2)</f>
        <v>18040.2</v>
      </c>
      <c r="M98">
        <f>IFERROR(__xludf.DUMMYFUNCTION("""COMPUTED_VALUE"""),18123.0)</f>
        <v>18123</v>
      </c>
      <c r="N98">
        <f>IFERROR(__xludf.DUMMYFUNCTION("""COMPUTED_VALUE"""),17798.2)</f>
        <v>17798.2</v>
      </c>
      <c r="O98">
        <f>IFERROR(__xludf.DUMMYFUNCTION("""COMPUTED_VALUE"""),18102.75)</f>
        <v>18102.75</v>
      </c>
      <c r="P98">
        <f>IFERROR(__xludf.DUMMYFUNCTION("""COMPUTED_VALUE"""),0.0)</f>
        <v>0</v>
      </c>
    </row>
    <row r="99">
      <c r="A99" s="3" t="s">
        <v>224</v>
      </c>
      <c r="B99" s="3" t="s">
        <v>11</v>
      </c>
      <c r="C99" s="3" t="s">
        <v>225</v>
      </c>
      <c r="D99" s="3" t="s">
        <v>13</v>
      </c>
      <c r="E99">
        <f>IFERROR(__xludf.DUMMYFUNCTION("GOOGLEFINANCE(C99,""price"")"),586.55)</f>
        <v>586.55</v>
      </c>
      <c r="F99" s="4">
        <f>IFERROR(__xludf.DUMMYFUNCTION("GOOGLEFINANCE(C99,""change"")"),-5.1)</f>
        <v>-5.1</v>
      </c>
      <c r="G99" s="5">
        <f>IFERROR(__xludf.DUMMYFUNCTION("GOOGLEFINANCE(C99,""changepct"")/100"),-0.0086)</f>
        <v>-0.0086</v>
      </c>
      <c r="H99" s="4">
        <f>IFERROR(__xludf.DUMMYFUNCTION("GOOGLEFINANCE(C99,""marketcap"")"),1.313153E11)</f>
        <v>131315300000</v>
      </c>
      <c r="K99" s="7">
        <f>IFERROR(__xludf.DUMMYFUNCTION("""COMPUTED_VALUE"""),44518.64583333333)</f>
        <v>44518.64583</v>
      </c>
      <c r="L99">
        <f>IFERROR(__xludf.DUMMYFUNCTION("""COMPUTED_VALUE"""),18140.95)</f>
        <v>18140.95</v>
      </c>
      <c r="M99">
        <f>IFERROR(__xludf.DUMMYFUNCTION("""COMPUTED_VALUE"""),18210.15)</f>
        <v>18210.15</v>
      </c>
      <c r="N99">
        <f>IFERROR(__xludf.DUMMYFUNCTION("""COMPUTED_VALUE"""),17688.5)</f>
        <v>17688.5</v>
      </c>
      <c r="O99">
        <f>IFERROR(__xludf.DUMMYFUNCTION("""COMPUTED_VALUE"""),17764.8)</f>
        <v>17764.8</v>
      </c>
      <c r="P99">
        <f>IFERROR(__xludf.DUMMYFUNCTION("""COMPUTED_VALUE"""),0.0)</f>
        <v>0</v>
      </c>
    </row>
    <row r="100">
      <c r="A100" s="3" t="s">
        <v>226</v>
      </c>
      <c r="B100" s="3" t="s">
        <v>227</v>
      </c>
      <c r="C100" s="3" t="s">
        <v>228</v>
      </c>
      <c r="D100" s="3" t="s">
        <v>13</v>
      </c>
      <c r="E100">
        <f>IFERROR(__xludf.DUMMYFUNCTION("GOOGLEFINANCE(C100,""price"")"),838.0)</f>
        <v>838</v>
      </c>
      <c r="F100" s="4">
        <f>IFERROR(__xludf.DUMMYFUNCTION("GOOGLEFINANCE(C100,""change"")"),27.0)</f>
        <v>27</v>
      </c>
      <c r="G100" s="5">
        <f>IFERROR(__xludf.DUMMYFUNCTION("GOOGLEFINANCE(C100,""changepct"")/100"),0.0333)</f>
        <v>0.0333</v>
      </c>
      <c r="H100" s="4">
        <f>IFERROR(__xludf.DUMMYFUNCTION("GOOGLEFINANCE(C100,""marketcap"")"),9.3716410585E10)</f>
        <v>93716410585</v>
      </c>
      <c r="K100" s="7">
        <f>IFERROR(__xludf.DUMMYFUNCTION("""COMPUTED_VALUE"""),44526.64583333333)</f>
        <v>44526.64583</v>
      </c>
      <c r="L100">
        <f>IFERROR(__xludf.DUMMYFUNCTION("""COMPUTED_VALUE"""),17796.25)</f>
        <v>17796.25</v>
      </c>
      <c r="M100">
        <f>IFERROR(__xludf.DUMMYFUNCTION("""COMPUTED_VALUE"""),17805.25)</f>
        <v>17805.25</v>
      </c>
      <c r="N100">
        <f>IFERROR(__xludf.DUMMYFUNCTION("""COMPUTED_VALUE"""),16985.7)</f>
        <v>16985.7</v>
      </c>
      <c r="O100">
        <f>IFERROR(__xludf.DUMMYFUNCTION("""COMPUTED_VALUE"""),17026.45)</f>
        <v>17026.45</v>
      </c>
      <c r="P100">
        <f>IFERROR(__xludf.DUMMYFUNCTION("""COMPUTED_VALUE"""),0.0)</f>
        <v>0</v>
      </c>
    </row>
    <row r="101">
      <c r="A101" s="3" t="s">
        <v>229</v>
      </c>
      <c r="B101" s="3" t="s">
        <v>11</v>
      </c>
      <c r="C101" s="3" t="s">
        <v>230</v>
      </c>
      <c r="D101" s="3" t="s">
        <v>13</v>
      </c>
      <c r="E101">
        <f>IFERROR(__xludf.DUMMYFUNCTION("GOOGLEFINANCE(C101,""price"")"),4735.0)</f>
        <v>4735</v>
      </c>
      <c r="F101" s="4">
        <f>IFERROR(__xludf.DUMMYFUNCTION("GOOGLEFINANCE(C101,""change"")"),186.25)</f>
        <v>186.25</v>
      </c>
      <c r="G101" s="5">
        <f>IFERROR(__xludf.DUMMYFUNCTION("GOOGLEFINANCE(C101,""changepct"")/100"),0.0409)</f>
        <v>0.0409</v>
      </c>
      <c r="H101" s="4">
        <f>IFERROR(__xludf.DUMMYFUNCTION("GOOGLEFINANCE(C101,""marketcap"")"),6.148137E10)</f>
        <v>61481370000</v>
      </c>
      <c r="K101" s="7">
        <f>IFERROR(__xludf.DUMMYFUNCTION("""COMPUTED_VALUE"""),44533.64583333333)</f>
        <v>44533.64583</v>
      </c>
      <c r="L101">
        <f>IFERROR(__xludf.DUMMYFUNCTION("""COMPUTED_VALUE"""),17055.8)</f>
        <v>17055.8</v>
      </c>
      <c r="M101">
        <f>IFERROR(__xludf.DUMMYFUNCTION("""COMPUTED_VALUE"""),17489.8)</f>
        <v>17489.8</v>
      </c>
      <c r="N101">
        <f>IFERROR(__xludf.DUMMYFUNCTION("""COMPUTED_VALUE"""),16782.4)</f>
        <v>16782.4</v>
      </c>
      <c r="O101">
        <f>IFERROR(__xludf.DUMMYFUNCTION("""COMPUTED_VALUE"""),17196.7)</f>
        <v>17196.7</v>
      </c>
      <c r="P101">
        <f>IFERROR(__xludf.DUMMYFUNCTION("""COMPUTED_VALUE"""),0.0)</f>
        <v>0</v>
      </c>
    </row>
    <row r="102">
      <c r="A102" s="3" t="s">
        <v>231</v>
      </c>
      <c r="B102" s="3" t="s">
        <v>57</v>
      </c>
      <c r="C102" s="3" t="s">
        <v>232</v>
      </c>
      <c r="D102" s="3" t="s">
        <v>13</v>
      </c>
      <c r="E102">
        <f>IFERROR(__xludf.DUMMYFUNCTION("GOOGLEFINANCE(C102,""price"")"),319.0)</f>
        <v>319</v>
      </c>
      <c r="F102" s="4">
        <f>IFERROR(__xludf.DUMMYFUNCTION("GOOGLEFINANCE(C102,""change"")"),-8.85)</f>
        <v>-8.85</v>
      </c>
      <c r="G102" s="5">
        <f>IFERROR(__xludf.DUMMYFUNCTION("GOOGLEFINANCE(C102,""changepct"")/100"),-0.027000000000000003)</f>
        <v>-0.027</v>
      </c>
      <c r="H102" s="4">
        <f>IFERROR(__xludf.DUMMYFUNCTION("GOOGLEFINANCE(C102,""marketcap"")"),6.5320600424E10)</f>
        <v>65320600424</v>
      </c>
      <c r="K102" s="7">
        <f>IFERROR(__xludf.DUMMYFUNCTION("""COMPUTED_VALUE"""),44540.64583333333)</f>
        <v>44540.64583</v>
      </c>
      <c r="L102">
        <f>IFERROR(__xludf.DUMMYFUNCTION("""COMPUTED_VALUE"""),17209.05)</f>
        <v>17209.05</v>
      </c>
      <c r="M102">
        <f>IFERROR(__xludf.DUMMYFUNCTION("""COMPUTED_VALUE"""),17543.25)</f>
        <v>17543.25</v>
      </c>
      <c r="N102">
        <f>IFERROR(__xludf.DUMMYFUNCTION("""COMPUTED_VALUE"""),16891.7)</f>
        <v>16891.7</v>
      </c>
      <c r="O102">
        <f>IFERROR(__xludf.DUMMYFUNCTION("""COMPUTED_VALUE"""),17511.3)</f>
        <v>17511.3</v>
      </c>
      <c r="P102">
        <f>IFERROR(__xludf.DUMMYFUNCTION("""COMPUTED_VALUE"""),0.0)</f>
        <v>0</v>
      </c>
    </row>
    <row r="103">
      <c r="A103" s="3" t="s">
        <v>233</v>
      </c>
      <c r="B103" s="3" t="s">
        <v>157</v>
      </c>
      <c r="C103" s="3" t="s">
        <v>234</v>
      </c>
      <c r="D103" s="3" t="s">
        <v>13</v>
      </c>
      <c r="E103">
        <f>IFERROR(__xludf.DUMMYFUNCTION("GOOGLEFINANCE(C103,""price"")"),321.8)</f>
        <v>321.8</v>
      </c>
      <c r="F103" s="4">
        <f>IFERROR(__xludf.DUMMYFUNCTION("GOOGLEFINANCE(C103,""change"")"),0.45)</f>
        <v>0.45</v>
      </c>
      <c r="G103" s="5">
        <f>IFERROR(__xludf.DUMMYFUNCTION("GOOGLEFINANCE(C103,""changepct"")/100"),0.0014000000000000002)</f>
        <v>0.0014</v>
      </c>
      <c r="H103" s="4">
        <f>IFERROR(__xludf.DUMMYFUNCTION("GOOGLEFINANCE(C103,""marketcap"")"),1.340437E11)</f>
        <v>134043700000</v>
      </c>
      <c r="K103" s="7">
        <f>IFERROR(__xludf.DUMMYFUNCTION("""COMPUTED_VALUE"""),44547.64583333333)</f>
        <v>44547.64583</v>
      </c>
      <c r="L103">
        <f>IFERROR(__xludf.DUMMYFUNCTION("""COMPUTED_VALUE"""),17619.1)</f>
        <v>17619.1</v>
      </c>
      <c r="M103">
        <f>IFERROR(__xludf.DUMMYFUNCTION("""COMPUTED_VALUE"""),17639.5)</f>
        <v>17639.5</v>
      </c>
      <c r="N103">
        <f>IFERROR(__xludf.DUMMYFUNCTION("""COMPUTED_VALUE"""),16966.45)</f>
        <v>16966.45</v>
      </c>
      <c r="O103">
        <f>IFERROR(__xludf.DUMMYFUNCTION("""COMPUTED_VALUE"""),16985.2)</f>
        <v>16985.2</v>
      </c>
      <c r="P103">
        <f>IFERROR(__xludf.DUMMYFUNCTION("""COMPUTED_VALUE"""),0.0)</f>
        <v>0</v>
      </c>
    </row>
    <row r="104">
      <c r="A104" s="3" t="s">
        <v>235</v>
      </c>
      <c r="B104" s="3" t="s">
        <v>29</v>
      </c>
      <c r="C104" s="3" t="s">
        <v>236</v>
      </c>
      <c r="D104" s="3" t="s">
        <v>13</v>
      </c>
      <c r="E104">
        <f>IFERROR(__xludf.DUMMYFUNCTION("GOOGLEFINANCE(C104,""price"")"),627.35)</f>
        <v>627.35</v>
      </c>
      <c r="F104" s="4">
        <f>IFERROR(__xludf.DUMMYFUNCTION("GOOGLEFINANCE(C104,""change"")"),-8.15)</f>
        <v>-8.15</v>
      </c>
      <c r="G104" s="5">
        <f>IFERROR(__xludf.DUMMYFUNCTION("GOOGLEFINANCE(C104,""changepct"")/100"),-0.0128)</f>
        <v>-0.0128</v>
      </c>
      <c r="H104" s="4">
        <f>IFERROR(__xludf.DUMMYFUNCTION("GOOGLEFINANCE(C104,""marketcap"")"),1.17442601551E11)</f>
        <v>117442601551</v>
      </c>
      <c r="K104" s="7">
        <f>IFERROR(__xludf.DUMMYFUNCTION("""COMPUTED_VALUE"""),44554.64583333333)</f>
        <v>44554.64583</v>
      </c>
      <c r="L104">
        <f>IFERROR(__xludf.DUMMYFUNCTION("""COMPUTED_VALUE"""),16824.25)</f>
        <v>16824.25</v>
      </c>
      <c r="M104">
        <f>IFERROR(__xludf.DUMMYFUNCTION("""COMPUTED_VALUE"""),17155.6)</f>
        <v>17155.6</v>
      </c>
      <c r="N104">
        <f>IFERROR(__xludf.DUMMYFUNCTION("""COMPUTED_VALUE"""),16410.2)</f>
        <v>16410.2</v>
      </c>
      <c r="O104">
        <f>IFERROR(__xludf.DUMMYFUNCTION("""COMPUTED_VALUE"""),17003.75)</f>
        <v>17003.75</v>
      </c>
      <c r="P104">
        <f>IFERROR(__xludf.DUMMYFUNCTION("""COMPUTED_VALUE"""),0.0)</f>
        <v>0</v>
      </c>
    </row>
    <row r="105">
      <c r="A105" s="3" t="s">
        <v>237</v>
      </c>
      <c r="B105" s="3" t="s">
        <v>29</v>
      </c>
      <c r="C105" s="3" t="s">
        <v>238</v>
      </c>
      <c r="D105" s="3" t="s">
        <v>22</v>
      </c>
      <c r="E105">
        <f>IFERROR(__xludf.DUMMYFUNCTION("GOOGLEFINANCE(C105,""price"")"),706.0)</f>
        <v>706</v>
      </c>
      <c r="F105" s="4">
        <f>IFERROR(__xludf.DUMMYFUNCTION("GOOGLEFINANCE(C105,""change"")"),15.9)</f>
        <v>15.9</v>
      </c>
      <c r="G105" s="5">
        <f>IFERROR(__xludf.DUMMYFUNCTION("GOOGLEFINANCE(C105,""changepct"")/100"),0.023)</f>
        <v>0.023</v>
      </c>
      <c r="H105" s="4">
        <f>IFERROR(__xludf.DUMMYFUNCTION("GOOGLEFINANCE(C105,""marketcap"")"),5.75039288681E11)</f>
        <v>575039288681</v>
      </c>
      <c r="K105" s="7">
        <f>IFERROR(__xludf.DUMMYFUNCTION("""COMPUTED_VALUE"""),44561.64583333333)</f>
        <v>44561.64583</v>
      </c>
      <c r="L105">
        <f>IFERROR(__xludf.DUMMYFUNCTION("""COMPUTED_VALUE"""),16937.75)</f>
        <v>16937.75</v>
      </c>
      <c r="M105">
        <f>IFERROR(__xludf.DUMMYFUNCTION("""COMPUTED_VALUE"""),17400.8)</f>
        <v>17400.8</v>
      </c>
      <c r="N105">
        <f>IFERROR(__xludf.DUMMYFUNCTION("""COMPUTED_VALUE"""),16833.2)</f>
        <v>16833.2</v>
      </c>
      <c r="O105">
        <f>IFERROR(__xludf.DUMMYFUNCTION("""COMPUTED_VALUE"""),17354.05)</f>
        <v>17354.05</v>
      </c>
      <c r="P105">
        <f>IFERROR(__xludf.DUMMYFUNCTION("""COMPUTED_VALUE"""),0.0)</f>
        <v>0</v>
      </c>
    </row>
    <row r="106">
      <c r="A106" s="3" t="s">
        <v>239</v>
      </c>
      <c r="B106" s="3" t="s">
        <v>32</v>
      </c>
      <c r="C106" s="3" t="s">
        <v>240</v>
      </c>
      <c r="D106" s="3" t="s">
        <v>22</v>
      </c>
      <c r="E106">
        <f>IFERROR(__xludf.DUMMYFUNCTION("GOOGLEFINANCE(C106,""price"")"),979.0)</f>
        <v>979</v>
      </c>
      <c r="F106" s="4">
        <f>IFERROR(__xludf.DUMMYFUNCTION("GOOGLEFINANCE(C106,""change"")"),11.55)</f>
        <v>11.55</v>
      </c>
      <c r="G106" s="5">
        <f>IFERROR(__xludf.DUMMYFUNCTION("GOOGLEFINANCE(C106,""changepct"")/100"),0.011899999999999999)</f>
        <v>0.0119</v>
      </c>
      <c r="H106" s="4">
        <f>IFERROR(__xludf.DUMMYFUNCTION("GOOGLEFINANCE(C106,""marketcap"")"),7.89238051713E11)</f>
        <v>789238051713</v>
      </c>
      <c r="K106" s="7">
        <f>IFERROR(__xludf.DUMMYFUNCTION("""COMPUTED_VALUE"""),44568.64583333333)</f>
        <v>44568.64583</v>
      </c>
      <c r="L106">
        <f>IFERROR(__xludf.DUMMYFUNCTION("""COMPUTED_VALUE"""),17387.15)</f>
        <v>17387.15</v>
      </c>
      <c r="M106">
        <f>IFERROR(__xludf.DUMMYFUNCTION("""COMPUTED_VALUE"""),17944.7)</f>
        <v>17944.7</v>
      </c>
      <c r="N106">
        <f>IFERROR(__xludf.DUMMYFUNCTION("""COMPUTED_VALUE"""),17383.3)</f>
        <v>17383.3</v>
      </c>
      <c r="O106">
        <f>IFERROR(__xludf.DUMMYFUNCTION("""COMPUTED_VALUE"""),17812.7)</f>
        <v>17812.7</v>
      </c>
      <c r="P106">
        <f>IFERROR(__xludf.DUMMYFUNCTION("""COMPUTED_VALUE"""),0.0)</f>
        <v>0</v>
      </c>
    </row>
    <row r="107">
      <c r="A107" s="3" t="s">
        <v>241</v>
      </c>
      <c r="B107" s="3" t="s">
        <v>29</v>
      </c>
      <c r="C107" s="3" t="s">
        <v>242</v>
      </c>
      <c r="D107" s="3" t="s">
        <v>22</v>
      </c>
      <c r="E107">
        <f>IFERROR(__xludf.DUMMYFUNCTION("GOOGLEFINANCE(C107,""price"")"),159.65)</f>
        <v>159.65</v>
      </c>
      <c r="F107" s="4">
        <f>IFERROR(__xludf.DUMMYFUNCTION("GOOGLEFINANCE(C107,""change"")"),-1.5)</f>
        <v>-1.5</v>
      </c>
      <c r="G107" s="5">
        <f>IFERROR(__xludf.DUMMYFUNCTION("GOOGLEFINANCE(C107,""changepct"")/100"),-0.009300000000000001)</f>
        <v>-0.0093</v>
      </c>
      <c r="H107" s="4">
        <f>IFERROR(__xludf.DUMMYFUNCTION("GOOGLEFINANCE(C107,""marketcap"")"),1.189622E11)</f>
        <v>118962200000</v>
      </c>
      <c r="K107" s="7">
        <f>IFERROR(__xludf.DUMMYFUNCTION("""COMPUTED_VALUE"""),44575.64583333333)</f>
        <v>44575.64583</v>
      </c>
      <c r="L107">
        <f>IFERROR(__xludf.DUMMYFUNCTION("""COMPUTED_VALUE"""),17913.3)</f>
        <v>17913.3</v>
      </c>
      <c r="M107">
        <f>IFERROR(__xludf.DUMMYFUNCTION("""COMPUTED_VALUE"""),18286.95)</f>
        <v>18286.95</v>
      </c>
      <c r="N107">
        <f>IFERROR(__xludf.DUMMYFUNCTION("""COMPUTED_VALUE"""),17879.15)</f>
        <v>17879.15</v>
      </c>
      <c r="O107">
        <f>IFERROR(__xludf.DUMMYFUNCTION("""COMPUTED_VALUE"""),18255.75)</f>
        <v>18255.75</v>
      </c>
      <c r="P107">
        <f>IFERROR(__xludf.DUMMYFUNCTION("""COMPUTED_VALUE"""),0.0)</f>
        <v>0</v>
      </c>
    </row>
    <row r="108">
      <c r="A108" s="3" t="s">
        <v>243</v>
      </c>
      <c r="B108" s="3" t="s">
        <v>26</v>
      </c>
      <c r="C108" s="3" t="s">
        <v>244</v>
      </c>
      <c r="D108" s="3" t="s">
        <v>22</v>
      </c>
      <c r="E108">
        <f>IFERROR(__xludf.DUMMYFUNCTION("GOOGLEFINANCE(C108,""price"")"),212.0)</f>
        <v>212</v>
      </c>
      <c r="F108" s="4">
        <f>IFERROR(__xludf.DUMMYFUNCTION("GOOGLEFINANCE(C108,""change"")"),9.15)</f>
        <v>9.15</v>
      </c>
      <c r="G108" s="5">
        <f>IFERROR(__xludf.DUMMYFUNCTION("GOOGLEFINANCE(C108,""changepct"")/100"),0.0451)</f>
        <v>0.0451</v>
      </c>
      <c r="H108" s="4">
        <f>IFERROR(__xludf.DUMMYFUNCTION("GOOGLEFINANCE(C108,""marketcap"")"),1.301852632595E12)</f>
        <v>1301852632595</v>
      </c>
      <c r="K108" s="7">
        <f>IFERROR(__xludf.DUMMYFUNCTION("""COMPUTED_VALUE"""),44582.64583333333)</f>
        <v>44582.64583</v>
      </c>
      <c r="L108">
        <f>IFERROR(__xludf.DUMMYFUNCTION("""COMPUTED_VALUE"""),18235.65)</f>
        <v>18235.65</v>
      </c>
      <c r="M108">
        <f>IFERROR(__xludf.DUMMYFUNCTION("""COMPUTED_VALUE"""),18350.95)</f>
        <v>18350.95</v>
      </c>
      <c r="N108">
        <f>IFERROR(__xludf.DUMMYFUNCTION("""COMPUTED_VALUE"""),17485.85)</f>
        <v>17485.85</v>
      </c>
      <c r="O108">
        <f>IFERROR(__xludf.DUMMYFUNCTION("""COMPUTED_VALUE"""),17617.15)</f>
        <v>17617.15</v>
      </c>
      <c r="P108">
        <f>IFERROR(__xludf.DUMMYFUNCTION("""COMPUTED_VALUE"""),0.0)</f>
        <v>0</v>
      </c>
    </row>
    <row r="109">
      <c r="A109" s="3" t="s">
        <v>245</v>
      </c>
      <c r="B109" s="3" t="s">
        <v>15</v>
      </c>
      <c r="C109" s="3" t="s">
        <v>246</v>
      </c>
      <c r="D109" s="3" t="s">
        <v>13</v>
      </c>
      <c r="E109">
        <f>IFERROR(__xludf.DUMMYFUNCTION("GOOGLEFINANCE(C109,""price"")"),333.0)</f>
        <v>333</v>
      </c>
      <c r="F109" s="4">
        <f>IFERROR(__xludf.DUMMYFUNCTION("GOOGLEFINANCE(C109,""change"")"),7.5)</f>
        <v>7.5</v>
      </c>
      <c r="G109" s="5">
        <f>IFERROR(__xludf.DUMMYFUNCTION("GOOGLEFINANCE(C109,""changepct"")/100"),0.023)</f>
        <v>0.023</v>
      </c>
      <c r="H109" s="4">
        <f>IFERROR(__xludf.DUMMYFUNCTION("GOOGLEFINANCE(C109,""marketcap"")"),4.38499062E10)</f>
        <v>43849906200</v>
      </c>
      <c r="K109" s="7">
        <f>IFERROR(__xludf.DUMMYFUNCTION("""COMPUTED_VALUE"""),44589.64583333333)</f>
        <v>44589.64583</v>
      </c>
      <c r="L109">
        <f>IFERROR(__xludf.DUMMYFUNCTION("""COMPUTED_VALUE"""),17575.15)</f>
        <v>17575.15</v>
      </c>
      <c r="M109">
        <f>IFERROR(__xludf.DUMMYFUNCTION("""COMPUTED_VALUE"""),17599.4)</f>
        <v>17599.4</v>
      </c>
      <c r="N109">
        <f>IFERROR(__xludf.DUMMYFUNCTION("""COMPUTED_VALUE"""),16836.8)</f>
        <v>16836.8</v>
      </c>
      <c r="O109">
        <f>IFERROR(__xludf.DUMMYFUNCTION("""COMPUTED_VALUE"""),17101.95)</f>
        <v>17101.95</v>
      </c>
      <c r="P109">
        <f>IFERROR(__xludf.DUMMYFUNCTION("""COMPUTED_VALUE"""),0.0)</f>
        <v>0</v>
      </c>
    </row>
    <row r="110">
      <c r="A110" s="3" t="s">
        <v>247</v>
      </c>
      <c r="B110" s="3" t="s">
        <v>64</v>
      </c>
      <c r="C110" s="3" t="s">
        <v>248</v>
      </c>
      <c r="D110" s="3" t="s">
        <v>22</v>
      </c>
      <c r="E110">
        <f>IFERROR(__xludf.DUMMYFUNCTION("GOOGLEFINANCE(C110,""price"")"),3954.0)</f>
        <v>3954</v>
      </c>
      <c r="F110" s="4">
        <f>IFERROR(__xludf.DUMMYFUNCTION("GOOGLEFINANCE(C110,""change"")"),107.95)</f>
        <v>107.95</v>
      </c>
      <c r="G110" s="5">
        <f>IFERROR(__xludf.DUMMYFUNCTION("GOOGLEFINANCE(C110,""changepct"")/100"),0.0281)</f>
        <v>0.0281</v>
      </c>
      <c r="H110" s="4">
        <f>IFERROR(__xludf.DUMMYFUNCTION("GOOGLEFINANCE(C110,""marketcap"")"),2.4120570694E11)</f>
        <v>241205706940</v>
      </c>
      <c r="K110" s="7">
        <f>IFERROR(__xludf.DUMMYFUNCTION("""COMPUTED_VALUE"""),44596.64583333333)</f>
        <v>44596.64583</v>
      </c>
      <c r="L110">
        <f>IFERROR(__xludf.DUMMYFUNCTION("""COMPUTED_VALUE"""),17301.05)</f>
        <v>17301.05</v>
      </c>
      <c r="M110">
        <f>IFERROR(__xludf.DUMMYFUNCTION("""COMPUTED_VALUE"""),17794.6)</f>
        <v>17794.6</v>
      </c>
      <c r="N110">
        <f>IFERROR(__xludf.DUMMYFUNCTION("""COMPUTED_VALUE"""),17244.55)</f>
        <v>17244.55</v>
      </c>
      <c r="O110">
        <f>IFERROR(__xludf.DUMMYFUNCTION("""COMPUTED_VALUE"""),17516.3)</f>
        <v>17516.3</v>
      </c>
      <c r="P110">
        <f>IFERROR(__xludf.DUMMYFUNCTION("""COMPUTED_VALUE"""),0.0)</f>
        <v>0</v>
      </c>
    </row>
    <row r="111">
      <c r="A111" s="3" t="s">
        <v>249</v>
      </c>
      <c r="B111" s="3" t="s">
        <v>11</v>
      </c>
      <c r="C111" s="3" t="s">
        <v>250</v>
      </c>
      <c r="D111" s="3" t="s">
        <v>22</v>
      </c>
      <c r="E111">
        <f>IFERROR(__xludf.DUMMYFUNCTION("GOOGLEFINANCE(C111,""price"")"),1586.95)</f>
        <v>1586.95</v>
      </c>
      <c r="F111" s="4">
        <f>IFERROR(__xludf.DUMMYFUNCTION("GOOGLEFINANCE(C111,""change"")"),38.1)</f>
        <v>38.1</v>
      </c>
      <c r="G111" s="5">
        <f>IFERROR(__xludf.DUMMYFUNCTION("GOOGLEFINANCE(C111,""changepct"")/100"),0.0246)</f>
        <v>0.0246</v>
      </c>
      <c r="H111" s="4">
        <f>IFERROR(__xludf.DUMMYFUNCTION("GOOGLEFINANCE(C111,""marketcap"")"),4.31258586441E11)</f>
        <v>431258586441</v>
      </c>
      <c r="K111" s="7">
        <f>IFERROR(__xludf.DUMMYFUNCTION("""COMPUTED_VALUE"""),44603.64583333333)</f>
        <v>44603.64583</v>
      </c>
      <c r="L111">
        <f>IFERROR(__xludf.DUMMYFUNCTION("""COMPUTED_VALUE"""),17456.3)</f>
        <v>17456.3</v>
      </c>
      <c r="M111">
        <f>IFERROR(__xludf.DUMMYFUNCTION("""COMPUTED_VALUE"""),17639.45)</f>
        <v>17639.45</v>
      </c>
      <c r="N111">
        <f>IFERROR(__xludf.DUMMYFUNCTION("""COMPUTED_VALUE"""),17043.65)</f>
        <v>17043.65</v>
      </c>
      <c r="O111">
        <f>IFERROR(__xludf.DUMMYFUNCTION("""COMPUTED_VALUE"""),17374.75)</f>
        <v>17374.75</v>
      </c>
      <c r="P111">
        <f>IFERROR(__xludf.DUMMYFUNCTION("""COMPUTED_VALUE"""),0.0)</f>
        <v>0</v>
      </c>
    </row>
    <row r="112">
      <c r="A112" s="3" t="s">
        <v>251</v>
      </c>
      <c r="B112" s="3" t="s">
        <v>29</v>
      </c>
      <c r="C112" s="3" t="s">
        <v>252</v>
      </c>
      <c r="D112" s="3" t="s">
        <v>13</v>
      </c>
      <c r="E112">
        <f>IFERROR(__xludf.DUMMYFUNCTION("GOOGLEFINANCE(C112,""price"")"),2458.35)</f>
        <v>2458.35</v>
      </c>
      <c r="F112" s="4">
        <f>IFERROR(__xludf.DUMMYFUNCTION("GOOGLEFINANCE(C112,""change"")"),24.7)</f>
        <v>24.7</v>
      </c>
      <c r="G112" s="5">
        <f>IFERROR(__xludf.DUMMYFUNCTION("GOOGLEFINANCE(C112,""changepct"")/100"),0.0101)</f>
        <v>0.0101</v>
      </c>
      <c r="H112" s="4">
        <f>IFERROR(__xludf.DUMMYFUNCTION("GOOGLEFINANCE(C112,""marketcap"")"),1.204512175E11)</f>
        <v>120451217500</v>
      </c>
      <c r="K112" s="7">
        <f>IFERROR(__xludf.DUMMYFUNCTION("""COMPUTED_VALUE"""),44610.64583333333)</f>
        <v>44610.64583</v>
      </c>
      <c r="L112">
        <f>IFERROR(__xludf.DUMMYFUNCTION("""COMPUTED_VALUE"""),17076.15)</f>
        <v>17076.15</v>
      </c>
      <c r="M112">
        <f>IFERROR(__xludf.DUMMYFUNCTION("""COMPUTED_VALUE"""),17490.6)</f>
        <v>17490.6</v>
      </c>
      <c r="N112">
        <f>IFERROR(__xludf.DUMMYFUNCTION("""COMPUTED_VALUE"""),16809.65)</f>
        <v>16809.65</v>
      </c>
      <c r="O112">
        <f>IFERROR(__xludf.DUMMYFUNCTION("""COMPUTED_VALUE"""),17276.3)</f>
        <v>17276.3</v>
      </c>
      <c r="P112">
        <f>IFERROR(__xludf.DUMMYFUNCTION("""COMPUTED_VALUE"""),0.0)</f>
        <v>0</v>
      </c>
    </row>
    <row r="113">
      <c r="A113" s="3" t="s">
        <v>253</v>
      </c>
      <c r="B113" s="3" t="s">
        <v>47</v>
      </c>
      <c r="C113" s="3" t="s">
        <v>254</v>
      </c>
      <c r="D113" s="3" t="s">
        <v>22</v>
      </c>
      <c r="E113">
        <f>IFERROR(__xludf.DUMMYFUNCTION("GOOGLEFINANCE(C113,""price"")"),710.25)</f>
        <v>710.25</v>
      </c>
      <c r="F113" s="4">
        <f>IFERROR(__xludf.DUMMYFUNCTION("GOOGLEFINANCE(C113,""change"")"),24.2)</f>
        <v>24.2</v>
      </c>
      <c r="G113" s="5">
        <f>IFERROR(__xludf.DUMMYFUNCTION("GOOGLEFINANCE(C113,""changepct"")/100"),0.0353)</f>
        <v>0.0353</v>
      </c>
      <c r="H113" s="4">
        <f>IFERROR(__xludf.DUMMYFUNCTION("GOOGLEFINANCE(C113,""marketcap"")"),4.34404873036E11)</f>
        <v>434404873036</v>
      </c>
      <c r="K113" s="7">
        <f>IFERROR(__xludf.DUMMYFUNCTION("""COMPUTED_VALUE"""),44617.64583333333)</f>
        <v>44617.64583</v>
      </c>
      <c r="L113">
        <f>IFERROR(__xludf.DUMMYFUNCTION("""COMPUTED_VALUE"""),17192.25)</f>
        <v>17192.25</v>
      </c>
      <c r="M113">
        <f>IFERROR(__xludf.DUMMYFUNCTION("""COMPUTED_VALUE"""),17351.05)</f>
        <v>17351.05</v>
      </c>
      <c r="N113">
        <f>IFERROR(__xludf.DUMMYFUNCTION("""COMPUTED_VALUE"""),16203.25)</f>
        <v>16203.25</v>
      </c>
      <c r="O113">
        <f>IFERROR(__xludf.DUMMYFUNCTION("""COMPUTED_VALUE"""),16658.4)</f>
        <v>16658.4</v>
      </c>
      <c r="P113">
        <f>IFERROR(__xludf.DUMMYFUNCTION("""COMPUTED_VALUE"""),0.0)</f>
        <v>0</v>
      </c>
    </row>
    <row r="114">
      <c r="A114" s="3" t="s">
        <v>255</v>
      </c>
      <c r="B114" s="3" t="s">
        <v>157</v>
      </c>
      <c r="C114" s="3" t="s">
        <v>256</v>
      </c>
      <c r="D114" s="3" t="s">
        <v>13</v>
      </c>
      <c r="E114">
        <f>IFERROR(__xludf.DUMMYFUNCTION("GOOGLEFINANCE(C114,""price"")"),1024.0)</f>
        <v>1024</v>
      </c>
      <c r="F114" s="4">
        <f>IFERROR(__xludf.DUMMYFUNCTION("GOOGLEFINANCE(C114,""change"")"),-34.9)</f>
        <v>-34.9</v>
      </c>
      <c r="G114" s="5">
        <f>IFERROR(__xludf.DUMMYFUNCTION("GOOGLEFINANCE(C114,""changepct"")/100"),-0.033)</f>
        <v>-0.033</v>
      </c>
      <c r="H114" s="4">
        <f>IFERROR(__xludf.DUMMYFUNCTION("GOOGLEFINANCE(C114,""marketcap"")"),3.01613381407E11)</f>
        <v>301613381407</v>
      </c>
      <c r="K114" s="7">
        <f>IFERROR(__xludf.DUMMYFUNCTION("""COMPUTED_VALUE"""),44624.64583333333)</f>
        <v>44624.64583</v>
      </c>
      <c r="L114">
        <f>IFERROR(__xludf.DUMMYFUNCTION("""COMPUTED_VALUE"""),16481.6)</f>
        <v>16481.6</v>
      </c>
      <c r="M114">
        <f>IFERROR(__xludf.DUMMYFUNCTION("""COMPUTED_VALUE"""),16815.9)</f>
        <v>16815.9</v>
      </c>
      <c r="N114">
        <f>IFERROR(__xludf.DUMMYFUNCTION("""COMPUTED_VALUE"""),16133.8)</f>
        <v>16133.8</v>
      </c>
      <c r="O114">
        <f>IFERROR(__xludf.DUMMYFUNCTION("""COMPUTED_VALUE"""),16245.35)</f>
        <v>16245.35</v>
      </c>
      <c r="P114">
        <f>IFERROR(__xludf.DUMMYFUNCTION("""COMPUTED_VALUE"""),0.0)</f>
        <v>0</v>
      </c>
    </row>
    <row r="115">
      <c r="A115" s="3" t="s">
        <v>257</v>
      </c>
      <c r="B115" s="3" t="s">
        <v>29</v>
      </c>
      <c r="C115" s="3" t="s">
        <v>258</v>
      </c>
      <c r="D115" s="3" t="s">
        <v>13</v>
      </c>
      <c r="E115">
        <f>IFERROR(__xludf.DUMMYFUNCTION("GOOGLEFINANCE(C115,""price"")"),1052.0)</f>
        <v>1052</v>
      </c>
      <c r="F115" s="4">
        <f>IFERROR(__xludf.DUMMYFUNCTION("GOOGLEFINANCE(C115,""change"")"),67.15)</f>
        <v>67.15</v>
      </c>
      <c r="G115" s="5">
        <f>IFERROR(__xludf.DUMMYFUNCTION("GOOGLEFINANCE(C115,""changepct"")/100"),0.0682)</f>
        <v>0.0682</v>
      </c>
      <c r="H115" s="4">
        <f>IFERROR(__xludf.DUMMYFUNCTION("GOOGLEFINANCE(C115,""marketcap"")"),1.647874E11)</f>
        <v>164787400000</v>
      </c>
      <c r="K115" s="7">
        <f>IFERROR(__xludf.DUMMYFUNCTION("""COMPUTED_VALUE"""),44631.64583333333)</f>
        <v>44631.64583</v>
      </c>
      <c r="L115">
        <f>IFERROR(__xludf.DUMMYFUNCTION("""COMPUTED_VALUE"""),15867.95)</f>
        <v>15867.95</v>
      </c>
      <c r="M115">
        <f>IFERROR(__xludf.DUMMYFUNCTION("""COMPUTED_VALUE"""),16757.3)</f>
        <v>16757.3</v>
      </c>
      <c r="N115">
        <f>IFERROR(__xludf.DUMMYFUNCTION("""COMPUTED_VALUE"""),15671.45)</f>
        <v>15671.45</v>
      </c>
      <c r="O115">
        <f>IFERROR(__xludf.DUMMYFUNCTION("""COMPUTED_VALUE"""),16630.45)</f>
        <v>16630.45</v>
      </c>
      <c r="P115">
        <f>IFERROR(__xludf.DUMMYFUNCTION("""COMPUTED_VALUE"""),0.0)</f>
        <v>0</v>
      </c>
    </row>
    <row r="116">
      <c r="A116" s="3" t="s">
        <v>259</v>
      </c>
      <c r="B116" s="3" t="s">
        <v>11</v>
      </c>
      <c r="C116" s="3" t="s">
        <v>260</v>
      </c>
      <c r="D116" s="3" t="s">
        <v>13</v>
      </c>
      <c r="E116">
        <f>IFERROR(__xludf.DUMMYFUNCTION("GOOGLEFINANCE(C116,""price"")"),394.4)</f>
        <v>394.4</v>
      </c>
      <c r="F116" s="4">
        <f>IFERROR(__xludf.DUMMYFUNCTION("GOOGLEFINANCE(C116,""change"")"),11.05)</f>
        <v>11.05</v>
      </c>
      <c r="G116" s="5">
        <f>IFERROR(__xludf.DUMMYFUNCTION("GOOGLEFINANCE(C116,""changepct"")/100"),0.0288)</f>
        <v>0.0288</v>
      </c>
      <c r="H116" s="4">
        <f>IFERROR(__xludf.DUMMYFUNCTION("GOOGLEFINANCE(C116,""marketcap"")"),2.499201E11)</f>
        <v>249920100000</v>
      </c>
      <c r="K116" s="7">
        <f>IFERROR(__xludf.DUMMYFUNCTION("""COMPUTED_VALUE"""),44637.64583333333)</f>
        <v>44637.64583</v>
      </c>
      <c r="L116">
        <f>IFERROR(__xludf.DUMMYFUNCTION("""COMPUTED_VALUE"""),16633.7)</f>
        <v>16633.7</v>
      </c>
      <c r="M116">
        <f>IFERROR(__xludf.DUMMYFUNCTION("""COMPUTED_VALUE"""),17344.6)</f>
        <v>17344.6</v>
      </c>
      <c r="N116">
        <f>IFERROR(__xludf.DUMMYFUNCTION("""COMPUTED_VALUE"""),16555.0)</f>
        <v>16555</v>
      </c>
      <c r="O116">
        <f>IFERROR(__xludf.DUMMYFUNCTION("""COMPUTED_VALUE"""),17287.05)</f>
        <v>17287.05</v>
      </c>
      <c r="P116">
        <f>IFERROR(__xludf.DUMMYFUNCTION("""COMPUTED_VALUE"""),0.0)</f>
        <v>0</v>
      </c>
    </row>
    <row r="117">
      <c r="A117" s="3" t="s">
        <v>261</v>
      </c>
      <c r="B117" s="3" t="s">
        <v>15</v>
      </c>
      <c r="C117" s="3" t="s">
        <v>262</v>
      </c>
      <c r="D117" s="3" t="s">
        <v>22</v>
      </c>
      <c r="E117">
        <f>IFERROR(__xludf.DUMMYFUNCTION("GOOGLEFINANCE(C117,""price"")"),1226.0)</f>
        <v>1226</v>
      </c>
      <c r="F117" s="4">
        <f>IFERROR(__xludf.DUMMYFUNCTION("GOOGLEFINANCE(C117,""change"")"),17.35)</f>
        <v>17.35</v>
      </c>
      <c r="G117" s="5">
        <f>IFERROR(__xludf.DUMMYFUNCTION("GOOGLEFINANCE(C117,""changepct"")/100"),0.0144)</f>
        <v>0.0144</v>
      </c>
      <c r="H117" s="4">
        <f>IFERROR(__xludf.DUMMYFUNCTION("GOOGLEFINANCE(C117,""marketcap"")"),3.40034014471E11)</f>
        <v>340034014471</v>
      </c>
      <c r="K117" s="7">
        <f>IFERROR(__xludf.DUMMYFUNCTION("""COMPUTED_VALUE"""),44645.64583333333)</f>
        <v>44645.64583</v>
      </c>
      <c r="L117">
        <f>IFERROR(__xludf.DUMMYFUNCTION("""COMPUTED_VALUE"""),17329.5)</f>
        <v>17329.5</v>
      </c>
      <c r="M117">
        <f>IFERROR(__xludf.DUMMYFUNCTION("""COMPUTED_VALUE"""),17442.4)</f>
        <v>17442.4</v>
      </c>
      <c r="N117">
        <f>IFERROR(__xludf.DUMMYFUNCTION("""COMPUTED_VALUE"""),17006.3)</f>
        <v>17006.3</v>
      </c>
      <c r="O117">
        <f>IFERROR(__xludf.DUMMYFUNCTION("""COMPUTED_VALUE"""),17153.0)</f>
        <v>17153</v>
      </c>
      <c r="P117">
        <f>IFERROR(__xludf.DUMMYFUNCTION("""COMPUTED_VALUE"""),0.0)</f>
        <v>0</v>
      </c>
    </row>
    <row r="118">
      <c r="A118" s="3" t="s">
        <v>263</v>
      </c>
      <c r="B118" s="3" t="s">
        <v>64</v>
      </c>
      <c r="C118" s="3" t="s">
        <v>264</v>
      </c>
      <c r="D118" s="3" t="s">
        <v>13</v>
      </c>
      <c r="E118">
        <f>IFERROR(__xludf.DUMMYFUNCTION("GOOGLEFINANCE(C118,""price"")"),825.5)</f>
        <v>825.5</v>
      </c>
      <c r="F118" s="4">
        <f>IFERROR(__xludf.DUMMYFUNCTION("GOOGLEFINANCE(C118,""change"")"),30.15)</f>
        <v>30.15</v>
      </c>
      <c r="G118" s="5">
        <f>IFERROR(__xludf.DUMMYFUNCTION("GOOGLEFINANCE(C118,""changepct"")/100"),0.0379)</f>
        <v>0.0379</v>
      </c>
      <c r="H118" s="4">
        <f>IFERROR(__xludf.DUMMYFUNCTION("GOOGLEFINANCE(C118,""marketcap"")"),9.1348171275E10)</f>
        <v>91348171275</v>
      </c>
      <c r="K118" s="7">
        <f>IFERROR(__xludf.DUMMYFUNCTION("""COMPUTED_VALUE"""),44652.64583333333)</f>
        <v>44652.64583</v>
      </c>
      <c r="L118">
        <f>IFERROR(__xludf.DUMMYFUNCTION("""COMPUTED_VALUE"""),17181.85)</f>
        <v>17181.85</v>
      </c>
      <c r="M118">
        <f>IFERROR(__xludf.DUMMYFUNCTION("""COMPUTED_VALUE"""),17703.7)</f>
        <v>17703.7</v>
      </c>
      <c r="N118">
        <f>IFERROR(__xludf.DUMMYFUNCTION("""COMPUTED_VALUE"""),17003.9)</f>
        <v>17003.9</v>
      </c>
      <c r="O118">
        <f>IFERROR(__xludf.DUMMYFUNCTION("""COMPUTED_VALUE"""),17670.45)</f>
        <v>17670.45</v>
      </c>
      <c r="P118">
        <f>IFERROR(__xludf.DUMMYFUNCTION("""COMPUTED_VALUE"""),0.0)</f>
        <v>0</v>
      </c>
    </row>
    <row r="119">
      <c r="A119" s="3" t="s">
        <v>265</v>
      </c>
      <c r="B119" s="3" t="s">
        <v>29</v>
      </c>
      <c r="C119" s="3" t="s">
        <v>266</v>
      </c>
      <c r="D119" s="3" t="s">
        <v>13</v>
      </c>
      <c r="E119">
        <f>IFERROR(__xludf.DUMMYFUNCTION("GOOGLEFINANCE(C119,""price"")"),88.8)</f>
        <v>88.8</v>
      </c>
      <c r="F119" s="4">
        <f>IFERROR(__xludf.DUMMYFUNCTION("GOOGLEFINANCE(C119,""change"")"),-0.3)</f>
        <v>-0.3</v>
      </c>
      <c r="G119" s="5">
        <f>IFERROR(__xludf.DUMMYFUNCTION("GOOGLEFINANCE(C119,""changepct"")/100"),-0.0034000000000000002)</f>
        <v>-0.0034</v>
      </c>
      <c r="H119" s="4">
        <f>IFERROR(__xludf.DUMMYFUNCTION("GOOGLEFINANCE(C119,""marketcap"")"),2.7619624789E10)</f>
        <v>27619624789</v>
      </c>
      <c r="K119" s="7">
        <f>IFERROR(__xludf.DUMMYFUNCTION("""COMPUTED_VALUE"""),44659.64583333333)</f>
        <v>44659.64583</v>
      </c>
      <c r="L119">
        <f>IFERROR(__xludf.DUMMYFUNCTION("""COMPUTED_VALUE"""),17809.1)</f>
        <v>17809.1</v>
      </c>
      <c r="M119">
        <f>IFERROR(__xludf.DUMMYFUNCTION("""COMPUTED_VALUE"""),18114.65)</f>
        <v>18114.65</v>
      </c>
      <c r="N119">
        <f>IFERROR(__xludf.DUMMYFUNCTION("""COMPUTED_VALUE"""),17600.55)</f>
        <v>17600.55</v>
      </c>
      <c r="O119">
        <f>IFERROR(__xludf.DUMMYFUNCTION("""COMPUTED_VALUE"""),17784.35)</f>
        <v>17784.35</v>
      </c>
      <c r="P119">
        <f>IFERROR(__xludf.DUMMYFUNCTION("""COMPUTED_VALUE"""),0.0)</f>
        <v>0</v>
      </c>
    </row>
    <row r="120">
      <c r="A120" s="3" t="s">
        <v>267</v>
      </c>
      <c r="B120" s="3" t="s">
        <v>11</v>
      </c>
      <c r="C120" s="3" t="s">
        <v>268</v>
      </c>
      <c r="D120" s="3" t="s">
        <v>13</v>
      </c>
      <c r="E120">
        <f>IFERROR(__xludf.DUMMYFUNCTION("GOOGLEFINANCE(C120,""price"")"),997.0)</f>
        <v>997</v>
      </c>
      <c r="F120" s="4">
        <f>IFERROR(__xludf.DUMMYFUNCTION("GOOGLEFINANCE(C120,""change"")"),34.65)</f>
        <v>34.65</v>
      </c>
      <c r="G120" s="5">
        <f>IFERROR(__xludf.DUMMYFUNCTION("GOOGLEFINANCE(C120,""changepct"")/100"),0.036000000000000004)</f>
        <v>0.036</v>
      </c>
      <c r="H120" s="4">
        <f>IFERROR(__xludf.DUMMYFUNCTION("GOOGLEFINANCE(C120,""marketcap"")"),1.538421847E11)</f>
        <v>153842184700</v>
      </c>
      <c r="K120" s="7">
        <f>IFERROR(__xludf.DUMMYFUNCTION("""COMPUTED_VALUE"""),44664.64583333333)</f>
        <v>44664.64583</v>
      </c>
      <c r="L120">
        <f>IFERROR(__xludf.DUMMYFUNCTION("""COMPUTED_VALUE"""),17740.9)</f>
        <v>17740.9</v>
      </c>
      <c r="M120">
        <f>IFERROR(__xludf.DUMMYFUNCTION("""COMPUTED_VALUE"""),17779.05)</f>
        <v>17779.05</v>
      </c>
      <c r="N120">
        <f>IFERROR(__xludf.DUMMYFUNCTION("""COMPUTED_VALUE"""),17442.35)</f>
        <v>17442.35</v>
      </c>
      <c r="O120">
        <f>IFERROR(__xludf.DUMMYFUNCTION("""COMPUTED_VALUE"""),17475.65)</f>
        <v>17475.65</v>
      </c>
      <c r="P120">
        <f>IFERROR(__xludf.DUMMYFUNCTION("""COMPUTED_VALUE"""),0.0)</f>
        <v>0</v>
      </c>
    </row>
    <row r="121">
      <c r="A121" s="3" t="s">
        <v>269</v>
      </c>
      <c r="B121" s="3" t="s">
        <v>100</v>
      </c>
      <c r="C121" s="3" t="s">
        <v>270</v>
      </c>
      <c r="D121" s="3" t="s">
        <v>22</v>
      </c>
      <c r="E121">
        <f>IFERROR(__xludf.DUMMYFUNCTION("GOOGLEFINANCE(C121,""price"")"),383.9)</f>
        <v>383.9</v>
      </c>
      <c r="F121" s="4">
        <f>IFERROR(__xludf.DUMMYFUNCTION("GOOGLEFINANCE(C121,""change"")"),1.9)</f>
        <v>1.9</v>
      </c>
      <c r="G121" s="5">
        <f>IFERROR(__xludf.DUMMYFUNCTION("GOOGLEFINANCE(C121,""changepct"")/100"),0.005)</f>
        <v>0.005</v>
      </c>
      <c r="H121" s="4">
        <f>IFERROR(__xludf.DUMMYFUNCTION("GOOGLEFINANCE(C121,""marketcap"")"),9.57157638E11)</f>
        <v>957157638000</v>
      </c>
      <c r="K121" s="7">
        <f>IFERROR(__xludf.DUMMYFUNCTION("""COMPUTED_VALUE"""),44673.64583333333)</f>
        <v>44673.64583</v>
      </c>
      <c r="L121">
        <f>IFERROR(__xludf.DUMMYFUNCTION("""COMPUTED_VALUE"""),17183.45)</f>
        <v>17183.45</v>
      </c>
      <c r="M121">
        <f>IFERROR(__xludf.DUMMYFUNCTION("""COMPUTED_VALUE"""),17414.7)</f>
        <v>17414.7</v>
      </c>
      <c r="N121">
        <f>IFERROR(__xludf.DUMMYFUNCTION("""COMPUTED_VALUE"""),16824.7)</f>
        <v>16824.7</v>
      </c>
      <c r="O121">
        <f>IFERROR(__xludf.DUMMYFUNCTION("""COMPUTED_VALUE"""),17171.95)</f>
        <v>17171.95</v>
      </c>
      <c r="P121">
        <f>IFERROR(__xludf.DUMMYFUNCTION("""COMPUTED_VALUE"""),0.0)</f>
        <v>0</v>
      </c>
    </row>
    <row r="122">
      <c r="A122" s="3" t="s">
        <v>271</v>
      </c>
      <c r="B122" s="3" t="s">
        <v>11</v>
      </c>
      <c r="C122" s="3" t="s">
        <v>272</v>
      </c>
      <c r="D122" s="3" t="s">
        <v>22</v>
      </c>
      <c r="E122">
        <f>IFERROR(__xludf.DUMMYFUNCTION("GOOGLEFINANCE(C122,""price"")"),583.05)</f>
        <v>583.05</v>
      </c>
      <c r="F122" s="4">
        <f>IFERROR(__xludf.DUMMYFUNCTION("GOOGLEFINANCE(C122,""change"")"),10.35)</f>
        <v>10.35</v>
      </c>
      <c r="G122" s="5">
        <f>IFERROR(__xludf.DUMMYFUNCTION("GOOGLEFINANCE(C122,""changepct"")/100"),0.0181)</f>
        <v>0.0181</v>
      </c>
      <c r="H122" s="4">
        <f>IFERROR(__xludf.DUMMYFUNCTION("GOOGLEFINANCE(C122,""marketcap"")"),1.035046081858E12)</f>
        <v>1035046081858</v>
      </c>
      <c r="K122" s="7">
        <f>IFERROR(__xludf.DUMMYFUNCTION("""COMPUTED_VALUE"""),44680.64583333333)</f>
        <v>44680.64583</v>
      </c>
      <c r="L122">
        <f>IFERROR(__xludf.DUMMYFUNCTION("""COMPUTED_VALUE"""),17009.05)</f>
        <v>17009.05</v>
      </c>
      <c r="M122">
        <f>IFERROR(__xludf.DUMMYFUNCTION("""COMPUTED_VALUE"""),17377.65)</f>
        <v>17377.65</v>
      </c>
      <c r="N122">
        <f>IFERROR(__xludf.DUMMYFUNCTION("""COMPUTED_VALUE"""),16888.7)</f>
        <v>16888.7</v>
      </c>
      <c r="O122">
        <f>IFERROR(__xludf.DUMMYFUNCTION("""COMPUTED_VALUE"""),17102.55)</f>
        <v>17102.55</v>
      </c>
      <c r="P122">
        <f>IFERROR(__xludf.DUMMYFUNCTION("""COMPUTED_VALUE"""),0.0)</f>
        <v>0</v>
      </c>
    </row>
    <row r="123">
      <c r="A123" s="3" t="s">
        <v>273</v>
      </c>
      <c r="B123" s="3" t="s">
        <v>20</v>
      </c>
      <c r="C123" s="3" t="s">
        <v>274</v>
      </c>
      <c r="D123" s="3" t="s">
        <v>13</v>
      </c>
      <c r="E123">
        <f>IFERROR(__xludf.DUMMYFUNCTION("GOOGLEFINANCE(C123,""price"")"),1599.0)</f>
        <v>1599</v>
      </c>
      <c r="F123" s="4">
        <f>IFERROR(__xludf.DUMMYFUNCTION("GOOGLEFINANCE(C123,""change"")"),13.7)</f>
        <v>13.7</v>
      </c>
      <c r="G123" s="5">
        <f>IFERROR(__xludf.DUMMYFUNCTION("GOOGLEFINANCE(C123,""changepct"")/100"),0.0086)</f>
        <v>0.0086</v>
      </c>
      <c r="H123" s="4">
        <f>IFERROR(__xludf.DUMMYFUNCTION("GOOGLEFINANCE(C123,""marketcap"")"),2.99744809942E11)</f>
        <v>299744809942</v>
      </c>
      <c r="K123" s="7">
        <f>IFERROR(__xludf.DUMMYFUNCTION("""COMPUTED_VALUE"""),44687.64583333333)</f>
        <v>44687.64583</v>
      </c>
      <c r="L123">
        <f>IFERROR(__xludf.DUMMYFUNCTION("""COMPUTED_VALUE"""),16924.45)</f>
        <v>16924.45</v>
      </c>
      <c r="M123">
        <f>IFERROR(__xludf.DUMMYFUNCTION("""COMPUTED_VALUE"""),17132.85)</f>
        <v>17132.85</v>
      </c>
      <c r="N123">
        <f>IFERROR(__xludf.DUMMYFUNCTION("""COMPUTED_VALUE"""),16340.9)</f>
        <v>16340.9</v>
      </c>
      <c r="O123">
        <f>IFERROR(__xludf.DUMMYFUNCTION("""COMPUTED_VALUE"""),16411.25)</f>
        <v>16411.25</v>
      </c>
      <c r="P123">
        <f>IFERROR(__xludf.DUMMYFUNCTION("""COMPUTED_VALUE"""),0.0)</f>
        <v>0</v>
      </c>
    </row>
    <row r="124">
      <c r="A124" s="3" t="s">
        <v>275</v>
      </c>
      <c r="B124" s="3" t="s">
        <v>35</v>
      </c>
      <c r="C124" s="3" t="s">
        <v>276</v>
      </c>
      <c r="D124" s="3" t="s">
        <v>22</v>
      </c>
      <c r="E124">
        <f>IFERROR(__xludf.DUMMYFUNCTION("GOOGLEFINANCE(C124,""price"")"),1915.0)</f>
        <v>1915</v>
      </c>
      <c r="F124" s="4">
        <f>IFERROR(__xludf.DUMMYFUNCTION("GOOGLEFINANCE(C124,""change"")"),12.4)</f>
        <v>12.4</v>
      </c>
      <c r="G124" s="5">
        <f>IFERROR(__xludf.DUMMYFUNCTION("GOOGLEFINANCE(C124,""changepct"")/100"),0.006500000000000001)</f>
        <v>0.0065</v>
      </c>
      <c r="H124" s="4">
        <f>IFERROR(__xludf.DUMMYFUNCTION("GOOGLEFINANCE(C124,""marketcap"")"),2.61808800239E11)</f>
        <v>261808800239</v>
      </c>
      <c r="K124" s="7">
        <f>IFERROR(__xludf.DUMMYFUNCTION("""COMPUTED_VALUE"""),44694.64583333333)</f>
        <v>44694.64583</v>
      </c>
      <c r="L124">
        <f>IFERROR(__xludf.DUMMYFUNCTION("""COMPUTED_VALUE"""),16227.7)</f>
        <v>16227.7</v>
      </c>
      <c r="M124">
        <f>IFERROR(__xludf.DUMMYFUNCTION("""COMPUTED_VALUE"""),16404.55)</f>
        <v>16404.55</v>
      </c>
      <c r="N124">
        <f>IFERROR(__xludf.DUMMYFUNCTION("""COMPUTED_VALUE"""),15735.75)</f>
        <v>15735.75</v>
      </c>
      <c r="O124">
        <f>IFERROR(__xludf.DUMMYFUNCTION("""COMPUTED_VALUE"""),15782.15)</f>
        <v>15782.15</v>
      </c>
      <c r="P124">
        <f>IFERROR(__xludf.DUMMYFUNCTION("""COMPUTED_VALUE"""),0.0)</f>
        <v>0</v>
      </c>
    </row>
    <row r="125">
      <c r="A125" s="3" t="s">
        <v>277</v>
      </c>
      <c r="B125" s="3" t="s">
        <v>57</v>
      </c>
      <c r="C125" s="3" t="s">
        <v>278</v>
      </c>
      <c r="D125" s="3" t="s">
        <v>13</v>
      </c>
      <c r="E125">
        <f>IFERROR(__xludf.DUMMYFUNCTION("GOOGLEFINANCE(C125,""price"")"),197.3)</f>
        <v>197.3</v>
      </c>
      <c r="F125" s="4">
        <f>IFERROR(__xludf.DUMMYFUNCTION("GOOGLEFINANCE(C125,""change"")"),4.05)</f>
        <v>4.05</v>
      </c>
      <c r="G125" s="5">
        <f>IFERROR(__xludf.DUMMYFUNCTION("GOOGLEFINANCE(C125,""changepct"")/100"),0.021)</f>
        <v>0.021</v>
      </c>
      <c r="H125" s="4">
        <f>IFERROR(__xludf.DUMMYFUNCTION("GOOGLEFINANCE(C125,""marketcap"")"),5.2994873381E10)</f>
        <v>52994873381</v>
      </c>
      <c r="K125" s="7">
        <f>IFERROR(__xludf.DUMMYFUNCTION("""COMPUTED_VALUE"""),44701.64583333333)</f>
        <v>44701.64583</v>
      </c>
      <c r="L125">
        <f>IFERROR(__xludf.DUMMYFUNCTION("""COMPUTED_VALUE"""),15845.1)</f>
        <v>15845.1</v>
      </c>
      <c r="M125">
        <f>IFERROR(__xludf.DUMMYFUNCTION("""COMPUTED_VALUE"""),16399.8)</f>
        <v>16399.8</v>
      </c>
      <c r="N125">
        <f>IFERROR(__xludf.DUMMYFUNCTION("""COMPUTED_VALUE"""),15739.65)</f>
        <v>15739.65</v>
      </c>
      <c r="O125">
        <f>IFERROR(__xludf.DUMMYFUNCTION("""COMPUTED_VALUE"""),16266.15)</f>
        <v>16266.15</v>
      </c>
      <c r="P125">
        <f>IFERROR(__xludf.DUMMYFUNCTION("""COMPUTED_VALUE"""),0.0)</f>
        <v>0</v>
      </c>
    </row>
    <row r="126">
      <c r="A126" s="3" t="s">
        <v>279</v>
      </c>
      <c r="B126" s="3" t="s">
        <v>29</v>
      </c>
      <c r="C126" s="3" t="s">
        <v>280</v>
      </c>
      <c r="D126" s="3" t="s">
        <v>13</v>
      </c>
      <c r="E126">
        <f>IFERROR(__xludf.DUMMYFUNCTION("GOOGLEFINANCE(C126,""price"")"),41.3)</f>
        <v>41.3</v>
      </c>
      <c r="F126" s="4">
        <f>IFERROR(__xludf.DUMMYFUNCTION("GOOGLEFINANCE(C126,""change"")"),1.95)</f>
        <v>1.95</v>
      </c>
      <c r="G126" s="5">
        <f>IFERROR(__xludf.DUMMYFUNCTION("GOOGLEFINANCE(C126,""changepct"")/100"),0.0496)</f>
        <v>0.0496</v>
      </c>
      <c r="H126" s="4">
        <f>IFERROR(__xludf.DUMMYFUNCTION("GOOGLEFINANCE(C126,""marketcap"")"),2.433684642E10)</f>
        <v>24336846420</v>
      </c>
      <c r="K126" s="7">
        <f>IFERROR(__xludf.DUMMYFUNCTION("""COMPUTED_VALUE"""),44708.64583333333)</f>
        <v>44708.64583</v>
      </c>
      <c r="L126">
        <f>IFERROR(__xludf.DUMMYFUNCTION("""COMPUTED_VALUE"""),16290.95)</f>
        <v>16290.95</v>
      </c>
      <c r="M126">
        <f>IFERROR(__xludf.DUMMYFUNCTION("""COMPUTED_VALUE"""),16414.7)</f>
        <v>16414.7</v>
      </c>
      <c r="N126">
        <f>IFERROR(__xludf.DUMMYFUNCTION("""COMPUTED_VALUE"""),15903.7)</f>
        <v>15903.7</v>
      </c>
      <c r="O126">
        <f>IFERROR(__xludf.DUMMYFUNCTION("""COMPUTED_VALUE"""),16352.45)</f>
        <v>16352.45</v>
      </c>
      <c r="P126">
        <f>IFERROR(__xludf.DUMMYFUNCTION("""COMPUTED_VALUE"""),0.0)</f>
        <v>0</v>
      </c>
    </row>
    <row r="127">
      <c r="A127" s="3" t="s">
        <v>281</v>
      </c>
      <c r="B127" s="3" t="s">
        <v>157</v>
      </c>
      <c r="C127" s="3" t="s">
        <v>282</v>
      </c>
      <c r="D127" s="3" t="s">
        <v>13</v>
      </c>
      <c r="E127">
        <f>IFERROR(__xludf.DUMMYFUNCTION("GOOGLEFINANCE(C127,""price"")"),694.05)</f>
        <v>694.05</v>
      </c>
      <c r="F127" s="4">
        <f>IFERROR(__xludf.DUMMYFUNCTION("GOOGLEFINANCE(C127,""change"")"),2.65)</f>
        <v>2.65</v>
      </c>
      <c r="G127" s="5">
        <f>IFERROR(__xludf.DUMMYFUNCTION("GOOGLEFINANCE(C127,""changepct"")/100"),0.0038)</f>
        <v>0.0038</v>
      </c>
      <c r="H127" s="4">
        <f>IFERROR(__xludf.DUMMYFUNCTION("GOOGLEFINANCE(C127,""marketcap"")"),3.229275E10)</f>
        <v>32292750000</v>
      </c>
      <c r="K127" s="7">
        <f>IFERROR(__xludf.DUMMYFUNCTION("""COMPUTED_VALUE"""),44715.64583333333)</f>
        <v>44715.64583</v>
      </c>
      <c r="L127">
        <f>IFERROR(__xludf.DUMMYFUNCTION("""COMPUTED_VALUE"""),16527.9)</f>
        <v>16527.9</v>
      </c>
      <c r="M127">
        <f>IFERROR(__xludf.DUMMYFUNCTION("""COMPUTED_VALUE"""),16793.85)</f>
        <v>16793.85</v>
      </c>
      <c r="N127">
        <f>IFERROR(__xludf.DUMMYFUNCTION("""COMPUTED_VALUE"""),16438.85)</f>
        <v>16438.85</v>
      </c>
      <c r="O127">
        <f>IFERROR(__xludf.DUMMYFUNCTION("""COMPUTED_VALUE"""),16584.3)</f>
        <v>16584.3</v>
      </c>
      <c r="P127">
        <f>IFERROR(__xludf.DUMMYFUNCTION("""COMPUTED_VALUE"""),0.0)</f>
        <v>0</v>
      </c>
    </row>
    <row r="128">
      <c r="A128" s="3" t="s">
        <v>283</v>
      </c>
      <c r="B128" s="3" t="s">
        <v>100</v>
      </c>
      <c r="C128" s="3" t="s">
        <v>284</v>
      </c>
      <c r="D128" s="3" t="s">
        <v>13</v>
      </c>
      <c r="E128">
        <f>IFERROR(__xludf.DUMMYFUNCTION("GOOGLEFINANCE(C128,""price"")"),235.15)</f>
        <v>235.15</v>
      </c>
      <c r="F128" s="4">
        <f>IFERROR(__xludf.DUMMYFUNCTION("GOOGLEFINANCE(C128,""change"")"),2.45)</f>
        <v>2.45</v>
      </c>
      <c r="G128" s="5">
        <f>IFERROR(__xludf.DUMMYFUNCTION("GOOGLEFINANCE(C128,""changepct"")/100"),0.0105)</f>
        <v>0.0105</v>
      </c>
      <c r="H128" s="4">
        <f>IFERROR(__xludf.DUMMYFUNCTION("GOOGLEFINANCE(C128,""marketcap"")"),3.449211E10)</f>
        <v>34492110000</v>
      </c>
      <c r="K128" s="7">
        <f>IFERROR(__xludf.DUMMYFUNCTION("""COMPUTED_VALUE"""),44722.64583333333)</f>
        <v>44722.64583</v>
      </c>
      <c r="L128">
        <f>IFERROR(__xludf.DUMMYFUNCTION("""COMPUTED_VALUE"""),16530.7)</f>
        <v>16530.7</v>
      </c>
      <c r="M128">
        <f>IFERROR(__xludf.DUMMYFUNCTION("""COMPUTED_VALUE"""),16610.95)</f>
        <v>16610.95</v>
      </c>
      <c r="N128">
        <f>IFERROR(__xludf.DUMMYFUNCTION("""COMPUTED_VALUE"""),16172.6)</f>
        <v>16172.6</v>
      </c>
      <c r="O128">
        <f>IFERROR(__xludf.DUMMYFUNCTION("""COMPUTED_VALUE"""),16201.8)</f>
        <v>16201.8</v>
      </c>
      <c r="P128">
        <f>IFERROR(__xludf.DUMMYFUNCTION("""COMPUTED_VALUE"""),0.0)</f>
        <v>0</v>
      </c>
    </row>
    <row r="129">
      <c r="A129" s="3" t="s">
        <v>285</v>
      </c>
      <c r="B129" s="3" t="s">
        <v>286</v>
      </c>
      <c r="C129" s="3" t="s">
        <v>287</v>
      </c>
      <c r="D129" s="3" t="s">
        <v>13</v>
      </c>
      <c r="E129">
        <f>IFERROR(__xludf.DUMMYFUNCTION("GOOGLEFINANCE(C129,""price"")"),11.25)</f>
        <v>11.25</v>
      </c>
      <c r="F129" s="4">
        <f>IFERROR(__xludf.DUMMYFUNCTION("GOOGLEFINANCE(C129,""change"")"),0.05)</f>
        <v>0.05</v>
      </c>
      <c r="G129" s="5">
        <f>IFERROR(__xludf.DUMMYFUNCTION("GOOGLEFINANCE(C129,""changepct"")/100"),0.0045000000000000005)</f>
        <v>0.0045</v>
      </c>
      <c r="H129" s="4">
        <f>IFERROR(__xludf.DUMMYFUNCTION("GOOGLEFINANCE(C129,""marketcap"")"),2.060443093E10)</f>
        <v>20604430930</v>
      </c>
      <c r="K129" s="7">
        <f>IFERROR(__xludf.DUMMYFUNCTION("""COMPUTED_VALUE"""),44729.64583333333)</f>
        <v>44729.64583</v>
      </c>
      <c r="L129">
        <f>IFERROR(__xludf.DUMMYFUNCTION("""COMPUTED_VALUE"""),15877.55)</f>
        <v>15877.55</v>
      </c>
      <c r="M129">
        <f>IFERROR(__xludf.DUMMYFUNCTION("""COMPUTED_VALUE"""),15886.15)</f>
        <v>15886.15</v>
      </c>
      <c r="N129">
        <f>IFERROR(__xludf.DUMMYFUNCTION("""COMPUTED_VALUE"""),15183.4)</f>
        <v>15183.4</v>
      </c>
      <c r="O129">
        <f>IFERROR(__xludf.DUMMYFUNCTION("""COMPUTED_VALUE"""),15293.5)</f>
        <v>15293.5</v>
      </c>
      <c r="P129">
        <f>IFERROR(__xludf.DUMMYFUNCTION("""COMPUTED_VALUE"""),0.0)</f>
        <v>0</v>
      </c>
    </row>
    <row r="130">
      <c r="A130" s="3" t="s">
        <v>288</v>
      </c>
      <c r="B130" s="3" t="s">
        <v>32</v>
      </c>
      <c r="C130" s="3" t="s">
        <v>289</v>
      </c>
      <c r="D130" s="3" t="s">
        <v>13</v>
      </c>
      <c r="E130">
        <f>IFERROR(__xludf.DUMMYFUNCTION("GOOGLEFINANCE(C130,""price"")"),126.0)</f>
        <v>126</v>
      </c>
      <c r="F130" s="4">
        <f>IFERROR(__xludf.DUMMYFUNCTION("GOOGLEFINANCE(C130,""change"")"),0.75)</f>
        <v>0.75</v>
      </c>
      <c r="G130" s="5">
        <f>IFERROR(__xludf.DUMMYFUNCTION("GOOGLEFINANCE(C130,""changepct"")/100"),0.006)</f>
        <v>0.006</v>
      </c>
      <c r="H130" s="4">
        <f>IFERROR(__xludf.DUMMYFUNCTION("GOOGLEFINANCE(C130,""marketcap"")"),1.984874E10)</f>
        <v>19848740000</v>
      </c>
      <c r="K130" s="7">
        <f>IFERROR(__xludf.DUMMYFUNCTION("""COMPUTED_VALUE"""),44736.64583333333)</f>
        <v>44736.64583</v>
      </c>
      <c r="L130">
        <f>IFERROR(__xludf.DUMMYFUNCTION("""COMPUTED_VALUE"""),15334.5)</f>
        <v>15334.5</v>
      </c>
      <c r="M130">
        <f>IFERROR(__xludf.DUMMYFUNCTION("""COMPUTED_VALUE"""),15749.25)</f>
        <v>15749.25</v>
      </c>
      <c r="N130">
        <f>IFERROR(__xludf.DUMMYFUNCTION("""COMPUTED_VALUE"""),15191.1)</f>
        <v>15191.1</v>
      </c>
      <c r="O130">
        <f>IFERROR(__xludf.DUMMYFUNCTION("""COMPUTED_VALUE"""),15699.25)</f>
        <v>15699.25</v>
      </c>
      <c r="P130">
        <f>IFERROR(__xludf.DUMMYFUNCTION("""COMPUTED_VALUE"""),0.0)</f>
        <v>0</v>
      </c>
    </row>
    <row r="131">
      <c r="A131" s="3" t="s">
        <v>290</v>
      </c>
      <c r="B131" s="3" t="s">
        <v>32</v>
      </c>
      <c r="C131" s="3" t="s">
        <v>291</v>
      </c>
      <c r="D131" s="3" t="s">
        <v>22</v>
      </c>
      <c r="E131">
        <f>IFERROR(__xludf.DUMMYFUNCTION("GOOGLEFINANCE(C131,""price"")"),3827.0)</f>
        <v>3827</v>
      </c>
      <c r="F131" s="4">
        <f>IFERROR(__xludf.DUMMYFUNCTION("GOOGLEFINANCE(C131,""change"")"),-22.65)</f>
        <v>-22.65</v>
      </c>
      <c r="G131" s="5">
        <f>IFERROR(__xludf.DUMMYFUNCTION("GOOGLEFINANCE(C131,""changepct"")/100"),-0.0059)</f>
        <v>-0.0059</v>
      </c>
      <c r="H131" s="4">
        <f>IFERROR(__xludf.DUMMYFUNCTION("GOOGLEFINANCE(C131,""marketcap"")"),1.01671961265E12)</f>
        <v>1016719612650</v>
      </c>
      <c r="K131" s="7">
        <f>IFERROR(__xludf.DUMMYFUNCTION("""COMPUTED_VALUE"""),44743.64583333333)</f>
        <v>44743.64583</v>
      </c>
      <c r="L131">
        <f>IFERROR(__xludf.DUMMYFUNCTION("""COMPUTED_VALUE"""),15926.2)</f>
        <v>15926.2</v>
      </c>
      <c r="M131">
        <f>IFERROR(__xludf.DUMMYFUNCTION("""COMPUTED_VALUE"""),15927.45)</f>
        <v>15927.45</v>
      </c>
      <c r="N131">
        <f>IFERROR(__xludf.DUMMYFUNCTION("""COMPUTED_VALUE"""),15511.05)</f>
        <v>15511.05</v>
      </c>
      <c r="O131">
        <f>IFERROR(__xludf.DUMMYFUNCTION("""COMPUTED_VALUE"""),15752.05)</f>
        <v>15752.05</v>
      </c>
      <c r="P131">
        <f>IFERROR(__xludf.DUMMYFUNCTION("""COMPUTED_VALUE"""),0.0)</f>
        <v>0</v>
      </c>
    </row>
    <row r="132">
      <c r="A132" s="3" t="s">
        <v>292</v>
      </c>
      <c r="B132" s="3" t="s">
        <v>11</v>
      </c>
      <c r="C132" s="3" t="s">
        <v>293</v>
      </c>
      <c r="D132" s="3" t="s">
        <v>13</v>
      </c>
      <c r="E132">
        <f>IFERROR(__xludf.DUMMYFUNCTION("GOOGLEFINANCE(C132,""price"")"),3696.9)</f>
        <v>3696.9</v>
      </c>
      <c r="F132" s="4">
        <f>IFERROR(__xludf.DUMMYFUNCTION("GOOGLEFINANCE(C132,""change"")"),118.4)</f>
        <v>118.4</v>
      </c>
      <c r="G132" s="5">
        <f>IFERROR(__xludf.DUMMYFUNCTION("GOOGLEFINANCE(C132,""changepct"")/100"),0.0331)</f>
        <v>0.0331</v>
      </c>
      <c r="H132" s="4">
        <f>IFERROR(__xludf.DUMMYFUNCTION("GOOGLEFINANCE(C132,""marketcap"")"),2.19571074702E11)</f>
        <v>219571074702</v>
      </c>
      <c r="K132" s="7">
        <f>IFERROR(__xludf.DUMMYFUNCTION("""COMPUTED_VALUE"""),44750.64583333333)</f>
        <v>44750.64583</v>
      </c>
      <c r="L132">
        <f>IFERROR(__xludf.DUMMYFUNCTION("""COMPUTED_VALUE"""),15710.5)</f>
        <v>15710.5</v>
      </c>
      <c r="M132">
        <f>IFERROR(__xludf.DUMMYFUNCTION("""COMPUTED_VALUE"""),16275.5)</f>
        <v>16275.5</v>
      </c>
      <c r="N132">
        <f>IFERROR(__xludf.DUMMYFUNCTION("""COMPUTED_VALUE"""),15661.8)</f>
        <v>15661.8</v>
      </c>
      <c r="O132">
        <f>IFERROR(__xludf.DUMMYFUNCTION("""COMPUTED_VALUE"""),16220.6)</f>
        <v>16220.6</v>
      </c>
      <c r="P132">
        <f>IFERROR(__xludf.DUMMYFUNCTION("""COMPUTED_VALUE"""),0.0)</f>
        <v>0</v>
      </c>
    </row>
    <row r="133">
      <c r="A133" s="3" t="s">
        <v>294</v>
      </c>
      <c r="B133" s="3" t="s">
        <v>91</v>
      </c>
      <c r="C133" s="3" t="s">
        <v>295</v>
      </c>
      <c r="D133" s="3" t="s">
        <v>22</v>
      </c>
      <c r="E133">
        <f>IFERROR(__xludf.DUMMYFUNCTION("GOOGLEFINANCE(C133,""price"")"),2302.0)</f>
        <v>2302</v>
      </c>
      <c r="F133" s="4">
        <f>IFERROR(__xludf.DUMMYFUNCTION("GOOGLEFINANCE(C133,""change"")"),157.5)</f>
        <v>157.5</v>
      </c>
      <c r="G133" s="5">
        <f>IFERROR(__xludf.DUMMYFUNCTION("GOOGLEFINANCE(C133,""changepct"")/100"),0.07339999999999999)</f>
        <v>0.0734</v>
      </c>
      <c r="H133" s="4">
        <f>IFERROR(__xludf.DUMMYFUNCTION("GOOGLEFINANCE(C133,""marketcap"")"),1.90769828185E11)</f>
        <v>190769828185</v>
      </c>
      <c r="K133" s="7">
        <f>IFERROR(__xludf.DUMMYFUNCTION("""COMPUTED_VALUE"""),44757.64583333333)</f>
        <v>44757.64583</v>
      </c>
      <c r="L133">
        <f>IFERROR(__xludf.DUMMYFUNCTION("""COMPUTED_VALUE"""),16136.15)</f>
        <v>16136.15</v>
      </c>
      <c r="M133">
        <f>IFERROR(__xludf.DUMMYFUNCTION("""COMPUTED_VALUE"""),16248.55)</f>
        <v>16248.55</v>
      </c>
      <c r="N133">
        <f>IFERROR(__xludf.DUMMYFUNCTION("""COMPUTED_VALUE"""),15858.2)</f>
        <v>15858.2</v>
      </c>
      <c r="O133">
        <f>IFERROR(__xludf.DUMMYFUNCTION("""COMPUTED_VALUE"""),16049.2)</f>
        <v>16049.2</v>
      </c>
      <c r="P133">
        <f>IFERROR(__xludf.DUMMYFUNCTION("""COMPUTED_VALUE"""),0.0)</f>
        <v>0</v>
      </c>
    </row>
    <row r="134">
      <c r="A134" s="3" t="s">
        <v>296</v>
      </c>
      <c r="B134" s="3" t="s">
        <v>32</v>
      </c>
      <c r="C134" s="3" t="s">
        <v>297</v>
      </c>
      <c r="D134" s="3" t="s">
        <v>22</v>
      </c>
      <c r="E134">
        <f>IFERROR(__xludf.DUMMYFUNCTION("GOOGLEFINANCE(C134,""price"")"),4091.0)</f>
        <v>4091</v>
      </c>
      <c r="F134" s="4">
        <f>IFERROR(__xludf.DUMMYFUNCTION("GOOGLEFINANCE(C134,""change"")"),-169.05)</f>
        <v>-169.05</v>
      </c>
      <c r="G134" s="5">
        <f>IFERROR(__xludf.DUMMYFUNCTION("GOOGLEFINANCE(C134,""changepct"")/100"),-0.0397)</f>
        <v>-0.0397</v>
      </c>
      <c r="H134" s="4">
        <f>IFERROR(__xludf.DUMMYFUNCTION("GOOGLEFINANCE(C134,""marketcap"")"),8.43497385E9)</f>
        <v>8434973850</v>
      </c>
      <c r="K134" s="7">
        <f>IFERROR(__xludf.DUMMYFUNCTION("""COMPUTED_VALUE"""),44764.64583333333)</f>
        <v>44764.64583</v>
      </c>
      <c r="L134">
        <f>IFERROR(__xludf.DUMMYFUNCTION("""COMPUTED_VALUE"""),16151.4)</f>
        <v>16151.4</v>
      </c>
      <c r="M134">
        <f>IFERROR(__xludf.DUMMYFUNCTION("""COMPUTED_VALUE"""),16752.25)</f>
        <v>16752.25</v>
      </c>
      <c r="N134">
        <f>IFERROR(__xludf.DUMMYFUNCTION("""COMPUTED_VALUE"""),16142.2)</f>
        <v>16142.2</v>
      </c>
      <c r="O134">
        <f>IFERROR(__xludf.DUMMYFUNCTION("""COMPUTED_VALUE"""),16719.45)</f>
        <v>16719.45</v>
      </c>
      <c r="P134">
        <f>IFERROR(__xludf.DUMMYFUNCTION("""COMPUTED_VALUE"""),0.0)</f>
        <v>0</v>
      </c>
    </row>
    <row r="135">
      <c r="A135" s="3" t="s">
        <v>298</v>
      </c>
      <c r="B135" s="3" t="s">
        <v>11</v>
      </c>
      <c r="C135" s="3" t="s">
        <v>299</v>
      </c>
      <c r="D135" s="3" t="s">
        <v>13</v>
      </c>
      <c r="E135">
        <f>IFERROR(__xludf.DUMMYFUNCTION("GOOGLEFINANCE(C135,""price"")"),561.0)</f>
        <v>561</v>
      </c>
      <c r="F135" s="4">
        <f>IFERROR(__xludf.DUMMYFUNCTION("GOOGLEFINANCE(C135,""change"")"),6.8)</f>
        <v>6.8</v>
      </c>
      <c r="G135" s="5">
        <f>IFERROR(__xludf.DUMMYFUNCTION("GOOGLEFINANCE(C135,""changepct"")/100"),0.0123)</f>
        <v>0.0123</v>
      </c>
      <c r="H135" s="4">
        <f>IFERROR(__xludf.DUMMYFUNCTION("GOOGLEFINANCE(C135,""marketcap"")"),9.95438961E10)</f>
        <v>99543896100</v>
      </c>
      <c r="K135" s="7">
        <f>IFERROR(__xludf.DUMMYFUNCTION("""COMPUTED_VALUE"""),44771.64583333333)</f>
        <v>44771.64583</v>
      </c>
      <c r="L135">
        <f>IFERROR(__xludf.DUMMYFUNCTION("""COMPUTED_VALUE"""),16662.55)</f>
        <v>16662.55</v>
      </c>
      <c r="M135">
        <f>IFERROR(__xludf.DUMMYFUNCTION("""COMPUTED_VALUE"""),17172.8)</f>
        <v>17172.8</v>
      </c>
      <c r="N135">
        <f>IFERROR(__xludf.DUMMYFUNCTION("""COMPUTED_VALUE"""),16438.75)</f>
        <v>16438.75</v>
      </c>
      <c r="O135">
        <f>IFERROR(__xludf.DUMMYFUNCTION("""COMPUTED_VALUE"""),17158.25)</f>
        <v>17158.25</v>
      </c>
      <c r="P135">
        <f>IFERROR(__xludf.DUMMYFUNCTION("""COMPUTED_VALUE"""),0.0)</f>
        <v>0</v>
      </c>
    </row>
    <row r="136">
      <c r="A136" s="3" t="s">
        <v>300</v>
      </c>
      <c r="B136" s="3" t="s">
        <v>57</v>
      </c>
      <c r="C136" s="3" t="s">
        <v>301</v>
      </c>
      <c r="D136" s="3" t="s">
        <v>13</v>
      </c>
      <c r="E136">
        <f>IFERROR(__xludf.DUMMYFUNCTION("GOOGLEFINANCE(C136,""price"")"),152.0)</f>
        <v>152</v>
      </c>
      <c r="F136" s="4">
        <f>IFERROR(__xludf.DUMMYFUNCTION("GOOGLEFINANCE(C136,""change"")"),-0.6)</f>
        <v>-0.6</v>
      </c>
      <c r="G136" s="5">
        <f>IFERROR(__xludf.DUMMYFUNCTION("GOOGLEFINANCE(C136,""changepct"")/100"),-0.0039000000000000003)</f>
        <v>-0.0039</v>
      </c>
      <c r="H136" s="4">
        <f>IFERROR(__xludf.DUMMYFUNCTION("GOOGLEFINANCE(C136,""marketcap"")"),9.45562302E10)</f>
        <v>94556230200</v>
      </c>
    </row>
    <row r="137">
      <c r="A137" s="3" t="s">
        <v>302</v>
      </c>
      <c r="B137" s="3" t="s">
        <v>15</v>
      </c>
      <c r="C137" s="3" t="s">
        <v>303</v>
      </c>
      <c r="D137" s="3" t="s">
        <v>13</v>
      </c>
      <c r="E137">
        <f>IFERROR(__xludf.DUMMYFUNCTION("GOOGLEFINANCE(C137,""price"")"),173.0)</f>
        <v>173</v>
      </c>
      <c r="F137" s="4">
        <f>IFERROR(__xludf.DUMMYFUNCTION("GOOGLEFINANCE(C137,""change"")"),2.45)</f>
        <v>2.45</v>
      </c>
      <c r="G137" s="5">
        <f>IFERROR(__xludf.DUMMYFUNCTION("GOOGLEFINANCE(C137,""changepct"")/100"),0.0144)</f>
        <v>0.0144</v>
      </c>
      <c r="H137" s="4">
        <f>IFERROR(__xludf.DUMMYFUNCTION("GOOGLEFINANCE(C137,""marketcap"")"),5.4471620263E10)</f>
        <v>54471620263</v>
      </c>
    </row>
    <row r="138">
      <c r="A138" s="3" t="s">
        <v>304</v>
      </c>
      <c r="B138" s="3" t="s">
        <v>29</v>
      </c>
      <c r="C138" s="3" t="s">
        <v>305</v>
      </c>
      <c r="D138" s="3" t="s">
        <v>13</v>
      </c>
      <c r="E138">
        <f>IFERROR(__xludf.DUMMYFUNCTION("GOOGLEFINANCE(C138,""price"")"),58.2)</f>
        <v>58.2</v>
      </c>
      <c r="F138" s="4">
        <f>IFERROR(__xludf.DUMMYFUNCTION("GOOGLEFINANCE(C138,""change"")"),0.55)</f>
        <v>0.55</v>
      </c>
      <c r="G138" s="5">
        <f>IFERROR(__xludf.DUMMYFUNCTION("GOOGLEFINANCE(C138,""changepct"")/100"),0.0095)</f>
        <v>0.0095</v>
      </c>
      <c r="H138" s="4">
        <f>IFERROR(__xludf.DUMMYFUNCTION("GOOGLEFINANCE(C138,""marketcap"")"),5.2275496765E10)</f>
        <v>52275496765</v>
      </c>
    </row>
    <row r="139">
      <c r="A139" s="3" t="s">
        <v>306</v>
      </c>
      <c r="B139" s="3" t="s">
        <v>82</v>
      </c>
      <c r="C139" s="3" t="s">
        <v>307</v>
      </c>
      <c r="D139" s="3" t="s">
        <v>22</v>
      </c>
      <c r="E139">
        <f>IFERROR(__xludf.DUMMYFUNCTION("GOOGLEFINANCE(C139,""price"")"),3079.25)</f>
        <v>3079.25</v>
      </c>
      <c r="F139" s="4">
        <f>IFERROR(__xludf.DUMMYFUNCTION("GOOGLEFINANCE(C139,""change"")"),25.25)</f>
        <v>25.25</v>
      </c>
      <c r="G139" s="5">
        <f>IFERROR(__xludf.DUMMYFUNCTION("GOOGLEFINANCE(C139,""changepct"")/100"),0.0083)</f>
        <v>0.0083</v>
      </c>
      <c r="H139" s="4">
        <f>IFERROR(__xludf.DUMMYFUNCTION("GOOGLEFINANCE(C139,""marketcap"")"),8.45743271726E11)</f>
        <v>845743271726</v>
      </c>
    </row>
    <row r="140">
      <c r="A140" s="3" t="s">
        <v>308</v>
      </c>
      <c r="B140" s="3" t="s">
        <v>15</v>
      </c>
      <c r="C140" s="3" t="s">
        <v>309</v>
      </c>
      <c r="D140" s="3" t="s">
        <v>13</v>
      </c>
      <c r="E140">
        <f>IFERROR(__xludf.DUMMYFUNCTION("GOOGLEFINANCE(C140,""price"")"),370.6)</f>
        <v>370.6</v>
      </c>
      <c r="F140" s="4">
        <f>IFERROR(__xludf.DUMMYFUNCTION("GOOGLEFINANCE(C140,""change"")"),0.45)</f>
        <v>0.45</v>
      </c>
      <c r="G140" s="5">
        <f>IFERROR(__xludf.DUMMYFUNCTION("GOOGLEFINANCE(C140,""changepct"")/100"),0.0012)</f>
        <v>0.0012</v>
      </c>
      <c r="H140" s="4">
        <f>IFERROR(__xludf.DUMMYFUNCTION("GOOGLEFINANCE(C140,""marketcap"")"),1.17207406768E11)</f>
        <v>117207406768</v>
      </c>
    </row>
    <row r="141">
      <c r="A141" s="3" t="s">
        <v>310</v>
      </c>
      <c r="B141" s="3" t="s">
        <v>11</v>
      </c>
      <c r="C141" s="3" t="s">
        <v>311</v>
      </c>
      <c r="D141" s="3" t="s">
        <v>13</v>
      </c>
      <c r="E141">
        <f>IFERROR(__xludf.DUMMYFUNCTION("GOOGLEFINANCE(C141,""price"")"),452.0)</f>
        <v>452</v>
      </c>
      <c r="F141" s="4">
        <f>IFERROR(__xludf.DUMMYFUNCTION("GOOGLEFINANCE(C141,""change"")"),-2.3)</f>
        <v>-2.3</v>
      </c>
      <c r="G141" s="5">
        <f>IFERROR(__xludf.DUMMYFUNCTION("GOOGLEFINANCE(C141,""changepct"")/100"),-0.0051)</f>
        <v>-0.0051</v>
      </c>
      <c r="H141" s="4">
        <f>IFERROR(__xludf.DUMMYFUNCTION("GOOGLEFINANCE(C141,""marketcap"")"),1.98369028174E11)</f>
        <v>198369028174</v>
      </c>
    </row>
    <row r="142">
      <c r="A142" s="3" t="s">
        <v>312</v>
      </c>
      <c r="B142" s="3" t="s">
        <v>82</v>
      </c>
      <c r="C142" s="3" t="s">
        <v>313</v>
      </c>
      <c r="D142" s="3" t="s">
        <v>13</v>
      </c>
      <c r="E142">
        <f>IFERROR(__xludf.DUMMYFUNCTION("GOOGLEFINANCE(C142,""price"")"),1451.2)</f>
        <v>1451.2</v>
      </c>
      <c r="F142" s="4">
        <f>IFERROR(__xludf.DUMMYFUNCTION("GOOGLEFINANCE(C142,""change"")"),17.6)</f>
        <v>17.6</v>
      </c>
      <c r="G142" s="5">
        <f>IFERROR(__xludf.DUMMYFUNCTION("GOOGLEFINANCE(C142,""changepct"")/100"),0.0123)</f>
        <v>0.0123</v>
      </c>
      <c r="H142" s="4">
        <f>IFERROR(__xludf.DUMMYFUNCTION("GOOGLEFINANCE(C142,""marketcap"")"),2.03664353505E11)</f>
        <v>203664353505</v>
      </c>
    </row>
    <row r="143">
      <c r="A143" s="3" t="s">
        <v>314</v>
      </c>
      <c r="B143" s="3" t="s">
        <v>100</v>
      </c>
      <c r="C143" s="3" t="s">
        <v>315</v>
      </c>
      <c r="D143" s="3" t="s">
        <v>13</v>
      </c>
      <c r="E143">
        <f>IFERROR(__xludf.DUMMYFUNCTION("GOOGLEFINANCE(C143,""price"")"),66.95)</f>
        <v>66.95</v>
      </c>
      <c r="F143" s="4">
        <f>IFERROR(__xludf.DUMMYFUNCTION("GOOGLEFINANCE(C143,""change"")"),0.75)</f>
        <v>0.75</v>
      </c>
      <c r="G143" s="5">
        <f>IFERROR(__xludf.DUMMYFUNCTION("GOOGLEFINANCE(C143,""changepct"")/100"),0.0113)</f>
        <v>0.0113</v>
      </c>
      <c r="H143" s="4">
        <f>IFERROR(__xludf.DUMMYFUNCTION("GOOGLEFINANCE(C143,""marketcap"")"),3.7684981657E10)</f>
        <v>37684981657</v>
      </c>
    </row>
    <row r="144">
      <c r="A144" s="3" t="s">
        <v>316</v>
      </c>
      <c r="B144" s="3" t="s">
        <v>29</v>
      </c>
      <c r="C144" s="3" t="s">
        <v>317</v>
      </c>
      <c r="D144" s="3" t="s">
        <v>13</v>
      </c>
      <c r="E144">
        <f>IFERROR(__xludf.DUMMYFUNCTION("GOOGLEFINANCE(C144,""price"")"),101.0)</f>
        <v>101</v>
      </c>
      <c r="F144" s="4">
        <f>IFERROR(__xludf.DUMMYFUNCTION("GOOGLEFINANCE(C144,""change"")"),-3.3)</f>
        <v>-3.3</v>
      </c>
      <c r="G144" s="5">
        <f>IFERROR(__xludf.DUMMYFUNCTION("GOOGLEFINANCE(C144,""changepct"")/100"),-0.0316)</f>
        <v>-0.0316</v>
      </c>
      <c r="H144" s="4">
        <f>IFERROR(__xludf.DUMMYFUNCTION("GOOGLEFINANCE(C144,""marketcap"")"),3.4452443123E10)</f>
        <v>34452443123</v>
      </c>
    </row>
    <row r="145">
      <c r="A145" s="3" t="s">
        <v>318</v>
      </c>
      <c r="B145" s="3" t="s">
        <v>32</v>
      </c>
      <c r="C145" s="3" t="s">
        <v>319</v>
      </c>
      <c r="D145" s="3" t="s">
        <v>13</v>
      </c>
      <c r="E145">
        <f>IFERROR(__xludf.DUMMYFUNCTION("GOOGLEFINANCE(C145,""price"")"),672.35)</f>
        <v>672.35</v>
      </c>
      <c r="F145" s="4">
        <f>IFERROR(__xludf.DUMMYFUNCTION("GOOGLEFINANCE(C145,""change"")"),-6.65)</f>
        <v>-6.65</v>
      </c>
      <c r="G145" s="5">
        <f>IFERROR(__xludf.DUMMYFUNCTION("GOOGLEFINANCE(C145,""changepct"")/100"),-0.0098)</f>
        <v>-0.0098</v>
      </c>
      <c r="H145" s="4">
        <f>IFERROR(__xludf.DUMMYFUNCTION("GOOGLEFINANCE(C145,""marketcap"")"),9.142117429E10)</f>
        <v>91421174290</v>
      </c>
    </row>
    <row r="146">
      <c r="A146" s="3" t="s">
        <v>320</v>
      </c>
      <c r="B146" s="3" t="s">
        <v>82</v>
      </c>
      <c r="C146" s="3" t="s">
        <v>321</v>
      </c>
      <c r="D146" s="3" t="s">
        <v>22</v>
      </c>
      <c r="E146">
        <f>IFERROR(__xludf.DUMMYFUNCTION("GOOGLEFINANCE(C146,""price"")"),1730.15)</f>
        <v>1730.15</v>
      </c>
      <c r="F146" s="4">
        <f>IFERROR(__xludf.DUMMYFUNCTION("GOOGLEFINANCE(C146,""change"")"),7.95)</f>
        <v>7.95</v>
      </c>
      <c r="G146" s="5">
        <f>IFERROR(__xludf.DUMMYFUNCTION("GOOGLEFINANCE(C146,""changepct"")/100"),0.0046)</f>
        <v>0.0046</v>
      </c>
      <c r="H146" s="4">
        <f>IFERROR(__xludf.DUMMYFUNCTION("GOOGLEFINANCE(C146,""marketcap"")"),2.24774775878E11)</f>
        <v>224774775878</v>
      </c>
    </row>
    <row r="147">
      <c r="A147" s="3" t="s">
        <v>322</v>
      </c>
      <c r="B147" s="3" t="s">
        <v>82</v>
      </c>
      <c r="C147" s="3" t="s">
        <v>323</v>
      </c>
      <c r="D147" s="3" t="s">
        <v>22</v>
      </c>
      <c r="E147">
        <f>IFERROR(__xludf.DUMMYFUNCTION("GOOGLEFINANCE(C147,""price"")"),158.4)</f>
        <v>158.4</v>
      </c>
      <c r="F147" s="4">
        <f>IFERROR(__xludf.DUMMYFUNCTION("GOOGLEFINANCE(C147,""change"")"),2.4)</f>
        <v>2.4</v>
      </c>
      <c r="G147" s="5">
        <f>IFERROR(__xludf.DUMMYFUNCTION("GOOGLEFINANCE(C147,""changepct"")/100"),0.0154)</f>
        <v>0.0154</v>
      </c>
      <c r="H147" s="4">
        <f>IFERROR(__xludf.DUMMYFUNCTION("GOOGLEFINANCE(C147,""marketcap"")"),1.34682497406E11)</f>
        <v>134682497406</v>
      </c>
    </row>
    <row r="148">
      <c r="A148" s="3" t="s">
        <v>324</v>
      </c>
      <c r="B148" s="3" t="s">
        <v>32</v>
      </c>
      <c r="C148" s="3" t="s">
        <v>325</v>
      </c>
      <c r="D148" s="3" t="s">
        <v>13</v>
      </c>
      <c r="E148">
        <f>IFERROR(__xludf.DUMMYFUNCTION("GOOGLEFINANCE(C148,""price"")"),252.15)</f>
        <v>252.15</v>
      </c>
      <c r="F148" s="4">
        <f>IFERROR(__xludf.DUMMYFUNCTION("GOOGLEFINANCE(C148,""change"")"),0.75)</f>
        <v>0.75</v>
      </c>
      <c r="G148" s="5">
        <f>IFERROR(__xludf.DUMMYFUNCTION("GOOGLEFINANCE(C148,""changepct"")/100"),0.003)</f>
        <v>0.003</v>
      </c>
      <c r="H148" s="4">
        <f>IFERROR(__xludf.DUMMYFUNCTION("GOOGLEFINANCE(C148,""marketcap"")"),4.205821E10)</f>
        <v>42058210000</v>
      </c>
    </row>
    <row r="149">
      <c r="A149" s="3" t="s">
        <v>326</v>
      </c>
      <c r="B149" s="3" t="s">
        <v>29</v>
      </c>
      <c r="C149" s="3" t="s">
        <v>327</v>
      </c>
      <c r="D149" s="3" t="s">
        <v>22</v>
      </c>
      <c r="E149">
        <f>IFERROR(__xludf.DUMMYFUNCTION("GOOGLEFINANCE(C149,""price"")"),106.55)</f>
        <v>106.55</v>
      </c>
      <c r="F149" s="4">
        <f>IFERROR(__xludf.DUMMYFUNCTION("GOOGLEFINANCE(C149,""change"")"),-0.75)</f>
        <v>-0.75</v>
      </c>
      <c r="G149" s="5">
        <f>IFERROR(__xludf.DUMMYFUNCTION("GOOGLEFINANCE(C149,""changepct"")/100"),-0.006999999999999999)</f>
        <v>-0.007</v>
      </c>
      <c r="H149" s="4">
        <f>IFERROR(__xludf.DUMMYFUNCTION("GOOGLEFINANCE(C149,""marketcap"")"),2.24475536761E11)</f>
        <v>224475536761</v>
      </c>
    </row>
    <row r="150">
      <c r="A150" s="3" t="s">
        <v>328</v>
      </c>
      <c r="B150" s="3" t="s">
        <v>35</v>
      </c>
      <c r="C150" s="3" t="s">
        <v>329</v>
      </c>
      <c r="D150" s="3" t="s">
        <v>13</v>
      </c>
      <c r="E150">
        <f>IFERROR(__xludf.DUMMYFUNCTION("GOOGLEFINANCE(C150,""price"")"),5409.0)</f>
        <v>5409</v>
      </c>
      <c r="F150" s="4">
        <f>IFERROR(__xludf.DUMMYFUNCTION("GOOGLEFINANCE(C150,""change"")"),-40.7)</f>
        <v>-40.7</v>
      </c>
      <c r="G150" s="5">
        <f>IFERROR(__xludf.DUMMYFUNCTION("GOOGLEFINANCE(C150,""changepct"")/100"),-0.0075)</f>
        <v>-0.0075</v>
      </c>
      <c r="H150" s="4">
        <f>IFERROR(__xludf.DUMMYFUNCTION("GOOGLEFINANCE(C150,""marketcap"")"),1.6583977773E11)</f>
        <v>165839777730</v>
      </c>
    </row>
    <row r="151">
      <c r="A151" s="3" t="s">
        <v>330</v>
      </c>
      <c r="B151" s="3" t="s">
        <v>15</v>
      </c>
      <c r="C151" s="3" t="s">
        <v>331</v>
      </c>
      <c r="D151" s="3" t="s">
        <v>13</v>
      </c>
      <c r="E151">
        <f>IFERROR(__xludf.DUMMYFUNCTION("GOOGLEFINANCE(C151,""price"")"),424.0)</f>
        <v>424</v>
      </c>
      <c r="F151" s="4">
        <f>IFERROR(__xludf.DUMMYFUNCTION("GOOGLEFINANCE(C151,""change"")"),26.3)</f>
        <v>26.3</v>
      </c>
      <c r="G151" s="5">
        <f>IFERROR(__xludf.DUMMYFUNCTION("GOOGLEFINANCE(C151,""changepct"")/100"),0.0661)</f>
        <v>0.0661</v>
      </c>
      <c r="H151" s="4">
        <f>IFERROR(__xludf.DUMMYFUNCTION("GOOGLEFINANCE(C151,""marketcap"")"),6.48544464E10)</f>
        <v>64854446400</v>
      </c>
    </row>
    <row r="152">
      <c r="A152" s="3" t="s">
        <v>332</v>
      </c>
      <c r="B152" s="3" t="s">
        <v>15</v>
      </c>
      <c r="C152" s="3" t="s">
        <v>333</v>
      </c>
      <c r="D152" s="3" t="s">
        <v>13</v>
      </c>
      <c r="E152">
        <f>IFERROR(__xludf.DUMMYFUNCTION("GOOGLEFINANCE(C152,""price"")"),133.0)</f>
        <v>133</v>
      </c>
      <c r="F152" s="4">
        <f>IFERROR(__xludf.DUMMYFUNCTION("GOOGLEFINANCE(C152,""change"")"),-0.3)</f>
        <v>-0.3</v>
      </c>
      <c r="G152" s="5">
        <f>IFERROR(__xludf.DUMMYFUNCTION("GOOGLEFINANCE(C152,""changepct"")/100"),-0.0023)</f>
        <v>-0.0023</v>
      </c>
      <c r="H152" s="4">
        <f>IFERROR(__xludf.DUMMYFUNCTION("GOOGLEFINANCE(C152,""marketcap"")"),8.2053576125E10)</f>
        <v>82053576125</v>
      </c>
    </row>
    <row r="153">
      <c r="A153" s="3" t="s">
        <v>334</v>
      </c>
      <c r="B153" s="3" t="s">
        <v>64</v>
      </c>
      <c r="C153" s="3" t="s">
        <v>335</v>
      </c>
      <c r="D153" s="3" t="s">
        <v>13</v>
      </c>
      <c r="E153">
        <f>IFERROR(__xludf.DUMMYFUNCTION("GOOGLEFINANCE(C153,""price"")"),111.4)</f>
        <v>111.4</v>
      </c>
      <c r="F153" s="4">
        <f>IFERROR(__xludf.DUMMYFUNCTION("GOOGLEFINANCE(C153,""change"")"),1.75)</f>
        <v>1.75</v>
      </c>
      <c r="G153" s="5">
        <f>IFERROR(__xludf.DUMMYFUNCTION("GOOGLEFINANCE(C153,""changepct"")/100"),0.016)</f>
        <v>0.016</v>
      </c>
      <c r="H153" s="4">
        <f>IFERROR(__xludf.DUMMYFUNCTION("GOOGLEFINANCE(C153,""marketcap"")"),7.5839639418E10)</f>
        <v>75839639418</v>
      </c>
    </row>
    <row r="154">
      <c r="A154" s="3" t="s">
        <v>336</v>
      </c>
      <c r="B154" s="3" t="s">
        <v>91</v>
      </c>
      <c r="C154" s="3" t="s">
        <v>337</v>
      </c>
      <c r="D154" s="3" t="s">
        <v>13</v>
      </c>
      <c r="E154">
        <f>IFERROR(__xludf.DUMMYFUNCTION("GOOGLEFINANCE(C154,""price"")"),278.5)</f>
        <v>278.5</v>
      </c>
      <c r="F154" s="4">
        <f>IFERROR(__xludf.DUMMYFUNCTION("GOOGLEFINANCE(C154,""change"")"),1.8)</f>
        <v>1.8</v>
      </c>
      <c r="G154" s="5">
        <f>IFERROR(__xludf.DUMMYFUNCTION("GOOGLEFINANCE(C154,""changepct"")/100"),0.006500000000000001)</f>
        <v>0.0065</v>
      </c>
      <c r="H154" s="4">
        <f>IFERROR(__xludf.DUMMYFUNCTION("GOOGLEFINANCE(C154,""marketcap"")"),2.10103205217E11)</f>
        <v>210103205217</v>
      </c>
    </row>
    <row r="155">
      <c r="A155" s="3" t="s">
        <v>338</v>
      </c>
      <c r="B155" s="3" t="s">
        <v>57</v>
      </c>
      <c r="C155" s="3" t="s">
        <v>339</v>
      </c>
      <c r="D155" s="3" t="s">
        <v>13</v>
      </c>
      <c r="E155">
        <f>IFERROR(__xludf.DUMMYFUNCTION("GOOGLEFINANCE(C155,""price"")"),1.8)</f>
        <v>1.8</v>
      </c>
      <c r="F155" s="4">
        <f>IFERROR(__xludf.DUMMYFUNCTION("GOOGLEFINANCE(C155,""change"")"),0.0)</f>
        <v>0</v>
      </c>
      <c r="G155" s="5">
        <f>IFERROR(__xludf.DUMMYFUNCTION("GOOGLEFINANCE(C155,""changepct"")/100"),0.0)</f>
        <v>0</v>
      </c>
      <c r="H155" s="4">
        <f>IFERROR(__xludf.DUMMYFUNCTION("GOOGLEFINANCE(C155,""marketcap"")"),3.570446982E9)</f>
        <v>3570446982</v>
      </c>
    </row>
    <row r="156">
      <c r="A156" s="3" t="s">
        <v>340</v>
      </c>
      <c r="B156" s="3" t="s">
        <v>57</v>
      </c>
      <c r="C156" s="3" t="s">
        <v>341</v>
      </c>
      <c r="D156" s="3" t="s">
        <v>13</v>
      </c>
      <c r="E156">
        <f>IFERROR(__xludf.DUMMYFUNCTION("GOOGLEFINANCE(C156,""price"")"),6.0)</f>
        <v>6</v>
      </c>
      <c r="F156" s="4">
        <f>IFERROR(__xludf.DUMMYFUNCTION("GOOGLEFINANCE(C156,""change"")"),0.25)</f>
        <v>0.25</v>
      </c>
      <c r="G156" s="5">
        <f>IFERROR(__xludf.DUMMYFUNCTION("GOOGLEFINANCE(C156,""changepct"")/100"),0.0435)</f>
        <v>0.0435</v>
      </c>
      <c r="H156" s="4">
        <f>IFERROR(__xludf.DUMMYFUNCTION("GOOGLEFINANCE(C156,""marketcap"")"),3.2835552E9)</f>
        <v>3283555200</v>
      </c>
    </row>
    <row r="157">
      <c r="A157" s="3" t="s">
        <v>342</v>
      </c>
      <c r="B157" s="3" t="s">
        <v>50</v>
      </c>
      <c r="C157" s="3" t="s">
        <v>343</v>
      </c>
      <c r="D157" s="3" t="s">
        <v>22</v>
      </c>
      <c r="E157">
        <f>IFERROR(__xludf.DUMMYFUNCTION("GOOGLEFINANCE(C157,""price"")"),146.55)</f>
        <v>146.55</v>
      </c>
      <c r="F157" s="4">
        <f>IFERROR(__xludf.DUMMYFUNCTION("GOOGLEFINANCE(C157,""change"")"),0.6)</f>
        <v>0.6</v>
      </c>
      <c r="G157" s="5">
        <f>IFERROR(__xludf.DUMMYFUNCTION("GOOGLEFINANCE(C157,""changepct"")/100"),0.0040999999999999995)</f>
        <v>0.0041</v>
      </c>
      <c r="H157" s="4">
        <f>IFERROR(__xludf.DUMMYFUNCTION("GOOGLEFINANCE(C157,""marketcap"")"),6.41511616932E11)</f>
        <v>641511616932</v>
      </c>
    </row>
    <row r="158">
      <c r="A158" s="3" t="s">
        <v>344</v>
      </c>
      <c r="B158" s="3" t="s">
        <v>15</v>
      </c>
      <c r="C158" s="3" t="s">
        <v>345</v>
      </c>
      <c r="D158" s="3" t="s">
        <v>13</v>
      </c>
      <c r="E158">
        <f>IFERROR(__xludf.DUMMYFUNCTION("GOOGLEFINANCE(C158,""price"")"),135.55)</f>
        <v>135.55</v>
      </c>
      <c r="F158" s="4">
        <f>IFERROR(__xludf.DUMMYFUNCTION("GOOGLEFINANCE(C158,""change"")"),7.55)</f>
        <v>7.55</v>
      </c>
      <c r="G158" s="5">
        <f>IFERROR(__xludf.DUMMYFUNCTION("GOOGLEFINANCE(C158,""changepct"")/100"),0.059000000000000004)</f>
        <v>0.059</v>
      </c>
      <c r="H158" s="4">
        <f>IFERROR(__xludf.DUMMYFUNCTION("GOOGLEFINANCE(C158,""marketcap"")"),9.112683763E9)</f>
        <v>9112683763</v>
      </c>
    </row>
    <row r="159">
      <c r="A159" s="3" t="s">
        <v>346</v>
      </c>
      <c r="B159" s="3" t="s">
        <v>35</v>
      </c>
      <c r="C159" s="3" t="s">
        <v>347</v>
      </c>
      <c r="D159" s="3" t="s">
        <v>13</v>
      </c>
      <c r="E159">
        <f>IFERROR(__xludf.DUMMYFUNCTION("GOOGLEFINANCE(C159,""price"")"),640.25)</f>
        <v>640.25</v>
      </c>
      <c r="F159" s="4">
        <f>IFERROR(__xludf.DUMMYFUNCTION("GOOGLEFINANCE(C159,""change"")"),-31.0)</f>
        <v>-31</v>
      </c>
      <c r="G159" s="5">
        <f>IFERROR(__xludf.DUMMYFUNCTION("GOOGLEFINANCE(C159,""changepct"")/100"),-0.0462)</f>
        <v>-0.0462</v>
      </c>
      <c r="H159" s="4">
        <f>IFERROR(__xludf.DUMMYFUNCTION("GOOGLEFINANCE(C159,""marketcap"")"),6.1198795645E10)</f>
        <v>61198795645</v>
      </c>
    </row>
    <row r="160">
      <c r="A160" s="3" t="s">
        <v>348</v>
      </c>
      <c r="B160" s="3" t="s">
        <v>15</v>
      </c>
      <c r="C160" s="3" t="s">
        <v>349</v>
      </c>
      <c r="D160" s="3" t="s">
        <v>13</v>
      </c>
      <c r="E160">
        <f>IFERROR(__xludf.DUMMYFUNCTION("GOOGLEFINANCE(C160,""price"")"),1611.95)</f>
        <v>1611.95</v>
      </c>
      <c r="F160" s="4">
        <f>IFERROR(__xludf.DUMMYFUNCTION("GOOGLEFINANCE(C160,""change"")"),268.65)</f>
        <v>268.65</v>
      </c>
      <c r="G160" s="5">
        <f>IFERROR(__xludf.DUMMYFUNCTION("GOOGLEFINANCE(C160,""changepct"")/100"),0.2)</f>
        <v>0.2</v>
      </c>
      <c r="H160" s="4">
        <f>IFERROR(__xludf.DUMMYFUNCTION("GOOGLEFINANCE(C160,""marketcap"")"),7.021878981E10)</f>
        <v>70218789810</v>
      </c>
    </row>
    <row r="161">
      <c r="A161" s="3" t="s">
        <v>350</v>
      </c>
      <c r="B161" s="3" t="s">
        <v>100</v>
      </c>
      <c r="C161" s="3" t="s">
        <v>351</v>
      </c>
      <c r="D161" s="3" t="s">
        <v>22</v>
      </c>
      <c r="E161">
        <f>IFERROR(__xludf.DUMMYFUNCTION("GOOGLEFINANCE(C161,""price"")"),37.2)</f>
        <v>37.2</v>
      </c>
      <c r="F161" s="4">
        <f>IFERROR(__xludf.DUMMYFUNCTION("GOOGLEFINANCE(C161,""change"")"),1.75)</f>
        <v>1.75</v>
      </c>
      <c r="G161" s="5">
        <f>IFERROR(__xludf.DUMMYFUNCTION("GOOGLEFINANCE(C161,""changepct"")/100"),0.049400000000000006)</f>
        <v>0.0494</v>
      </c>
      <c r="H161" s="4">
        <f>IFERROR(__xludf.DUMMYFUNCTION("GOOGLEFINANCE(C161,""marketcap"")"),2.26331005751E11)</f>
        <v>226331005751</v>
      </c>
    </row>
    <row r="162">
      <c r="A162" s="3" t="s">
        <v>352</v>
      </c>
      <c r="B162" s="3" t="s">
        <v>35</v>
      </c>
      <c r="C162" s="3" t="s">
        <v>353</v>
      </c>
      <c r="D162" s="3" t="s">
        <v>13</v>
      </c>
      <c r="E162">
        <f>IFERROR(__xludf.DUMMYFUNCTION("GOOGLEFINANCE(C162,""price"")"),3085.0)</f>
        <v>3085</v>
      </c>
      <c r="F162" s="4">
        <f>IFERROR(__xludf.DUMMYFUNCTION("GOOGLEFINANCE(C162,""change"")"),50.45)</f>
        <v>50.45</v>
      </c>
      <c r="G162" s="5">
        <f>IFERROR(__xludf.DUMMYFUNCTION("GOOGLEFINANCE(C162,""changepct"")/100"),0.0166)</f>
        <v>0.0166</v>
      </c>
      <c r="H162" s="4">
        <f>IFERROR(__xludf.DUMMYFUNCTION("GOOGLEFINANCE(C162,""marketcap"")"),1.093779346E11)</f>
        <v>109377934600</v>
      </c>
    </row>
    <row r="163">
      <c r="A163" s="3" t="s">
        <v>354</v>
      </c>
      <c r="B163" s="3" t="s">
        <v>15</v>
      </c>
      <c r="C163" s="3" t="s">
        <v>355</v>
      </c>
      <c r="D163" s="3" t="s">
        <v>13</v>
      </c>
      <c r="E163">
        <f>IFERROR(__xludf.DUMMYFUNCTION("GOOGLEFINANCE(C163,""price"")"),257.7)</f>
        <v>257.7</v>
      </c>
      <c r="F163" s="4">
        <f>IFERROR(__xludf.DUMMYFUNCTION("GOOGLEFINANCE(C163,""change"")"),2.65)</f>
        <v>2.65</v>
      </c>
      <c r="G163" s="5">
        <f>IFERROR(__xludf.DUMMYFUNCTION("GOOGLEFINANCE(C163,""changepct"")/100"),0.0104)</f>
        <v>0.0104</v>
      </c>
      <c r="H163" s="4">
        <f>IFERROR(__xludf.DUMMYFUNCTION("GOOGLEFINANCE(C163,""marketcap"")"),2.9468094E10)</f>
        <v>29468094000</v>
      </c>
    </row>
    <row r="164">
      <c r="A164" s="3" t="s">
        <v>356</v>
      </c>
      <c r="B164" s="3" t="s">
        <v>79</v>
      </c>
      <c r="C164" s="3" t="s">
        <v>357</v>
      </c>
      <c r="D164" s="3" t="s">
        <v>13</v>
      </c>
      <c r="E164">
        <f>IFERROR(__xludf.DUMMYFUNCTION("GOOGLEFINANCE(C164,""price"")"),3292.0)</f>
        <v>3292</v>
      </c>
      <c r="F164" s="4">
        <f>IFERROR(__xludf.DUMMYFUNCTION("GOOGLEFINANCE(C164,""change"")"),54.95)</f>
        <v>54.95</v>
      </c>
      <c r="G164" s="5">
        <f>IFERROR(__xludf.DUMMYFUNCTION("GOOGLEFINANCE(C164,""changepct"")/100"),0.017)</f>
        <v>0.017</v>
      </c>
      <c r="H164" s="4">
        <f>IFERROR(__xludf.DUMMYFUNCTION("GOOGLEFINANCE(C164,""marketcap"")"),6.8021084902E10)</f>
        <v>68021084902</v>
      </c>
    </row>
    <row r="165">
      <c r="A165" s="3" t="s">
        <v>358</v>
      </c>
      <c r="B165" s="3" t="s">
        <v>29</v>
      </c>
      <c r="C165" s="3" t="s">
        <v>359</v>
      </c>
      <c r="D165" s="3" t="s">
        <v>13</v>
      </c>
      <c r="E165">
        <f>IFERROR(__xludf.DUMMYFUNCTION("GOOGLEFINANCE(C165,""price"")"),116.3)</f>
        <v>116.3</v>
      </c>
      <c r="F165" s="4">
        <f>IFERROR(__xludf.DUMMYFUNCTION("GOOGLEFINANCE(C165,""change"")"),1.55)</f>
        <v>1.55</v>
      </c>
      <c r="G165" s="5">
        <f>IFERROR(__xludf.DUMMYFUNCTION("GOOGLEFINANCE(C165,""changepct"")/100"),0.013500000000000002)</f>
        <v>0.0135</v>
      </c>
      <c r="H165" s="4">
        <f>IFERROR(__xludf.DUMMYFUNCTION("GOOGLEFINANCE(C165,""marketcap"")"),2.04036609054E11)</f>
        <v>204036609054</v>
      </c>
    </row>
    <row r="166">
      <c r="A166" s="3" t="s">
        <v>360</v>
      </c>
      <c r="B166" s="3" t="s">
        <v>11</v>
      </c>
      <c r="C166" s="3" t="s">
        <v>361</v>
      </c>
      <c r="D166" s="3" t="s">
        <v>13</v>
      </c>
      <c r="E166">
        <f>IFERROR(__xludf.DUMMYFUNCTION("GOOGLEFINANCE(C166,""price"")"),5219.0)</f>
        <v>5219</v>
      </c>
      <c r="F166" s="4">
        <f>IFERROR(__xludf.DUMMYFUNCTION("GOOGLEFINANCE(C166,""change"")"),-2.1)</f>
        <v>-2.1</v>
      </c>
      <c r="G166" s="5">
        <f>IFERROR(__xludf.DUMMYFUNCTION("GOOGLEFINANCE(C166,""changepct"")/100"),-4.0E-4)</f>
        <v>-0.0004</v>
      </c>
      <c r="H166" s="4">
        <f>IFERROR(__xludf.DUMMYFUNCTION("GOOGLEFINANCE(C166,""marketcap"")"),1.7006226318E11)</f>
        <v>170062263180</v>
      </c>
    </row>
    <row r="167">
      <c r="A167" s="3" t="s">
        <v>362</v>
      </c>
      <c r="B167" s="3" t="s">
        <v>32</v>
      </c>
      <c r="C167" s="3" t="s">
        <v>363</v>
      </c>
      <c r="D167" s="3" t="s">
        <v>13</v>
      </c>
      <c r="E167">
        <f>IFERROR(__xludf.DUMMYFUNCTION("GOOGLEFINANCE(C167,""price"")"),1407.6)</f>
        <v>1407.6</v>
      </c>
      <c r="F167" s="4">
        <f>IFERROR(__xludf.DUMMYFUNCTION("GOOGLEFINANCE(C167,""change"")"),8.4)</f>
        <v>8.4</v>
      </c>
      <c r="G167" s="5">
        <f>IFERROR(__xludf.DUMMYFUNCTION("GOOGLEFINANCE(C167,""changepct"")/100"),0.006)</f>
        <v>0.006</v>
      </c>
      <c r="H167" s="4">
        <f>IFERROR(__xludf.DUMMYFUNCTION("GOOGLEFINANCE(C167,""marketcap"")"),2.38455881464E11)</f>
        <v>238455881464</v>
      </c>
    </row>
    <row r="168">
      <c r="A168" s="3" t="s">
        <v>364</v>
      </c>
      <c r="B168" s="3" t="s">
        <v>32</v>
      </c>
      <c r="C168" s="3" t="s">
        <v>365</v>
      </c>
      <c r="D168" s="3" t="s">
        <v>22</v>
      </c>
      <c r="E168">
        <f>IFERROR(__xludf.DUMMYFUNCTION("GOOGLEFINANCE(C168,""price"")"),380.0)</f>
        <v>380</v>
      </c>
      <c r="F168" s="4">
        <f>IFERROR(__xludf.DUMMYFUNCTION("GOOGLEFINANCE(C168,""change"")"),-0.05)</f>
        <v>-0.05</v>
      </c>
      <c r="G168" s="5">
        <f>IFERROR(__xludf.DUMMYFUNCTION("GOOGLEFINANCE(C168,""changepct"")/100"),-1.0E-4)</f>
        <v>-0.0001</v>
      </c>
      <c r="H168" s="4">
        <f>IFERROR(__xludf.DUMMYFUNCTION("GOOGLEFINANCE(C168,""marketcap"")"),1.07350094002E11)</f>
        <v>107350094002</v>
      </c>
    </row>
    <row r="169">
      <c r="A169" s="3" t="s">
        <v>366</v>
      </c>
      <c r="B169" s="3" t="s">
        <v>11</v>
      </c>
      <c r="C169" s="3" t="s">
        <v>367</v>
      </c>
      <c r="D169" s="3" t="s">
        <v>13</v>
      </c>
      <c r="E169">
        <f>IFERROR(__xludf.DUMMYFUNCTION("GOOGLEFINANCE(C169,""price"")"),1143.0)</f>
        <v>1143</v>
      </c>
      <c r="F169" s="4">
        <f>IFERROR(__xludf.DUMMYFUNCTION("GOOGLEFINANCE(C169,""change"")"),45.75)</f>
        <v>45.75</v>
      </c>
      <c r="G169" s="5">
        <f>IFERROR(__xludf.DUMMYFUNCTION("GOOGLEFINANCE(C169,""changepct"")/100"),0.0417)</f>
        <v>0.0417</v>
      </c>
      <c r="H169" s="4">
        <f>IFERROR(__xludf.DUMMYFUNCTION("GOOGLEFINANCE(C169,""marketcap"")"),5.932246E10)</f>
        <v>59322460000</v>
      </c>
    </row>
    <row r="170">
      <c r="A170" s="3" t="s">
        <v>368</v>
      </c>
      <c r="B170" s="3" t="s">
        <v>11</v>
      </c>
      <c r="C170" s="3" t="s">
        <v>369</v>
      </c>
      <c r="D170" s="3" t="s">
        <v>13</v>
      </c>
      <c r="E170">
        <f>IFERROR(__xludf.DUMMYFUNCTION("GOOGLEFINANCE(C170,""price"")"),508.0)</f>
        <v>508</v>
      </c>
      <c r="F170" s="4">
        <f>IFERROR(__xludf.DUMMYFUNCTION("GOOGLEFINANCE(C170,""change"")"),3.8)</f>
        <v>3.8</v>
      </c>
      <c r="G170" s="5">
        <f>IFERROR(__xludf.DUMMYFUNCTION("GOOGLEFINANCE(C170,""changepct"")/100"),0.0075)</f>
        <v>0.0075</v>
      </c>
      <c r="H170" s="4">
        <f>IFERROR(__xludf.DUMMYFUNCTION("GOOGLEFINANCE(C170,""marketcap"")"),9.780209325E10)</f>
        <v>97802093250</v>
      </c>
    </row>
    <row r="171">
      <c r="A171" s="3" t="s">
        <v>370</v>
      </c>
      <c r="B171" s="3" t="s">
        <v>11</v>
      </c>
      <c r="C171" s="3" t="s">
        <v>371</v>
      </c>
      <c r="D171" s="3" t="s">
        <v>22</v>
      </c>
      <c r="E171">
        <f>IFERROR(__xludf.DUMMYFUNCTION("GOOGLEFINANCE(C171,""price"")"),852.1)</f>
        <v>852.1</v>
      </c>
      <c r="F171" s="4">
        <f>IFERROR(__xludf.DUMMYFUNCTION("GOOGLEFINANCE(C171,""change"")"),0.15)</f>
        <v>0.15</v>
      </c>
      <c r="G171" s="5">
        <f>IFERROR(__xludf.DUMMYFUNCTION("GOOGLEFINANCE(C171,""changepct"")/100"),2.0E-4)</f>
        <v>0.0002</v>
      </c>
      <c r="H171" s="4">
        <f>IFERROR(__xludf.DUMMYFUNCTION("GOOGLEFINANCE(C171,""marketcap"")"),8.71341245134E11)</f>
        <v>871341245134</v>
      </c>
    </row>
    <row r="172">
      <c r="A172" s="3" t="s">
        <v>372</v>
      </c>
      <c r="B172" s="3" t="s">
        <v>11</v>
      </c>
      <c r="C172" s="3" t="s">
        <v>373</v>
      </c>
      <c r="D172" s="3" t="s">
        <v>13</v>
      </c>
      <c r="E172">
        <f>IFERROR(__xludf.DUMMYFUNCTION("GOOGLEFINANCE(C172,""price"")"),444.95)</f>
        <v>444.95</v>
      </c>
      <c r="F172" s="4">
        <f>IFERROR(__xludf.DUMMYFUNCTION("GOOGLEFINANCE(C172,""change"")"),-1.4)</f>
        <v>-1.4</v>
      </c>
      <c r="G172" s="5">
        <f>IFERROR(__xludf.DUMMYFUNCTION("GOOGLEFINANCE(C172,""changepct"")/100"),-0.0031)</f>
        <v>-0.0031</v>
      </c>
      <c r="H172" s="4">
        <f>IFERROR(__xludf.DUMMYFUNCTION("GOOGLEFINANCE(C172,""marketcap"")"),1.496189E11)</f>
        <v>149618900000</v>
      </c>
    </row>
    <row r="173">
      <c r="A173" s="3" t="s">
        <v>374</v>
      </c>
      <c r="B173" s="3" t="s">
        <v>100</v>
      </c>
      <c r="C173" s="3" t="s">
        <v>375</v>
      </c>
      <c r="D173" s="3" t="s">
        <v>22</v>
      </c>
      <c r="E173">
        <f>IFERROR(__xludf.DUMMYFUNCTION("GOOGLEFINANCE(C173,""price"")"),1513.0)</f>
        <v>1513</v>
      </c>
      <c r="F173" s="4">
        <f>IFERROR(__xludf.DUMMYFUNCTION("GOOGLEFINANCE(C173,""change"")"),53.0)</f>
        <v>53</v>
      </c>
      <c r="G173" s="5">
        <f>IFERROR(__xludf.DUMMYFUNCTION("GOOGLEFINANCE(C173,""changepct"")/100"),0.0363)</f>
        <v>0.0363</v>
      </c>
      <c r="H173" s="4">
        <f>IFERROR(__xludf.DUMMYFUNCTION("GOOGLEFINANCE(C173,""marketcap"")"),4.1851611865E11)</f>
        <v>418516118650</v>
      </c>
    </row>
    <row r="174">
      <c r="A174" s="3" t="s">
        <v>376</v>
      </c>
      <c r="B174" s="3" t="s">
        <v>32</v>
      </c>
      <c r="C174" s="3" t="s">
        <v>377</v>
      </c>
      <c r="D174" s="3" t="s">
        <v>22</v>
      </c>
      <c r="E174">
        <f>IFERROR(__xludf.DUMMYFUNCTION("GOOGLEFINANCE(C174,""price"")"),297.0)</f>
        <v>297</v>
      </c>
      <c r="F174" s="4">
        <f>IFERROR(__xludf.DUMMYFUNCTION("GOOGLEFINANCE(C174,""change"")"),-3.15)</f>
        <v>-3.15</v>
      </c>
      <c r="G174" s="5">
        <f>IFERROR(__xludf.DUMMYFUNCTION("GOOGLEFINANCE(C174,""changepct"")/100"),-0.0105)</f>
        <v>-0.0105</v>
      </c>
      <c r="H174" s="4">
        <f>IFERROR(__xludf.DUMMYFUNCTION("GOOGLEFINANCE(C174,""marketcap"")"),7.4240629666E10)</f>
        <v>74240629666</v>
      </c>
    </row>
    <row r="175">
      <c r="A175" s="3" t="s">
        <v>378</v>
      </c>
      <c r="B175" s="3" t="s">
        <v>15</v>
      </c>
      <c r="C175" s="3" t="s">
        <v>379</v>
      </c>
      <c r="D175" s="3" t="s">
        <v>13</v>
      </c>
      <c r="E175">
        <f>IFERROR(__xludf.DUMMYFUNCTION("GOOGLEFINANCE(C175,""price"")"),425.95)</f>
        <v>425.95</v>
      </c>
      <c r="F175" s="4">
        <f>IFERROR(__xludf.DUMMYFUNCTION("GOOGLEFINANCE(C175,""change"")"),18.0)</f>
        <v>18</v>
      </c>
      <c r="G175" s="5">
        <f>IFERROR(__xludf.DUMMYFUNCTION("GOOGLEFINANCE(C175,""changepct"")/100"),0.0441)</f>
        <v>0.0441</v>
      </c>
      <c r="H175" s="4">
        <f>IFERROR(__xludf.DUMMYFUNCTION("GOOGLEFINANCE(C175,""marketcap"")"),8.3159222661E10)</f>
        <v>83159222661</v>
      </c>
    </row>
    <row r="176">
      <c r="A176" s="3" t="s">
        <v>380</v>
      </c>
      <c r="B176" s="3" t="s">
        <v>20</v>
      </c>
      <c r="C176" s="3" t="s">
        <v>381</v>
      </c>
      <c r="D176" s="3" t="s">
        <v>22</v>
      </c>
      <c r="E176">
        <f>IFERROR(__xludf.DUMMYFUNCTION("GOOGLEFINANCE(C176,""price"")"),1573.25)</f>
        <v>1573.25</v>
      </c>
      <c r="F176" s="4">
        <f>IFERROR(__xludf.DUMMYFUNCTION("GOOGLEFINANCE(C176,""change"")"),22.65)</f>
        <v>22.65</v>
      </c>
      <c r="G176" s="5">
        <f>IFERROR(__xludf.DUMMYFUNCTION("GOOGLEFINANCE(C176,""changepct"")/100"),0.0146)</f>
        <v>0.0146</v>
      </c>
      <c r="H176" s="4">
        <f>IFERROR(__xludf.DUMMYFUNCTION("GOOGLEFINANCE(C176,""marketcap"")"),1.033181E12)</f>
        <v>1033181000000</v>
      </c>
    </row>
    <row r="177">
      <c r="A177" s="3" t="s">
        <v>382</v>
      </c>
      <c r="B177" s="3" t="s">
        <v>47</v>
      </c>
      <c r="C177" s="3" t="s">
        <v>383</v>
      </c>
      <c r="D177" s="3" t="s">
        <v>13</v>
      </c>
      <c r="E177">
        <f>IFERROR(__xludf.DUMMYFUNCTION("GOOGLEFINANCE(C177,""price"")"),474.0)</f>
        <v>474</v>
      </c>
      <c r="F177" s="4">
        <f>IFERROR(__xludf.DUMMYFUNCTION("GOOGLEFINANCE(C177,""change"")"),21.5)</f>
        <v>21.5</v>
      </c>
      <c r="G177" s="5">
        <f>IFERROR(__xludf.DUMMYFUNCTION("GOOGLEFINANCE(C177,""changepct"")/100"),0.0475)</f>
        <v>0.0475</v>
      </c>
      <c r="H177" s="4">
        <f>IFERROR(__xludf.DUMMYFUNCTION("GOOGLEFINANCE(C177,""marketcap"")"),6.786864585E10)</f>
        <v>67868645850</v>
      </c>
    </row>
    <row r="178">
      <c r="A178" s="3" t="s">
        <v>384</v>
      </c>
      <c r="B178" s="3" t="s">
        <v>15</v>
      </c>
      <c r="C178" s="3" t="s">
        <v>385</v>
      </c>
      <c r="D178" s="3" t="s">
        <v>13</v>
      </c>
      <c r="E178">
        <f>IFERROR(__xludf.DUMMYFUNCTION("GOOGLEFINANCE(C178,""price"")"),162.5)</f>
        <v>162.5</v>
      </c>
      <c r="F178" s="4">
        <f>IFERROR(__xludf.DUMMYFUNCTION("GOOGLEFINANCE(C178,""change"")"),2.15)</f>
        <v>2.15</v>
      </c>
      <c r="G178" s="5">
        <f>IFERROR(__xludf.DUMMYFUNCTION("GOOGLEFINANCE(C178,""changepct"")/100"),0.0134)</f>
        <v>0.0134</v>
      </c>
      <c r="H178" s="4">
        <f>IFERROR(__xludf.DUMMYFUNCTION("GOOGLEFINANCE(C178,""marketcap"")"),3.7663688006E10)</f>
        <v>37663688006</v>
      </c>
    </row>
    <row r="179">
      <c r="A179" s="3" t="s">
        <v>386</v>
      </c>
      <c r="B179" s="3" t="s">
        <v>15</v>
      </c>
      <c r="C179" s="3" t="s">
        <v>387</v>
      </c>
      <c r="D179" s="3" t="s">
        <v>13</v>
      </c>
      <c r="E179">
        <f>IFERROR(__xludf.DUMMYFUNCTION("GOOGLEFINANCE(C179,""price"")"),1739.95)</f>
        <v>1739.95</v>
      </c>
      <c r="F179" s="4">
        <f>IFERROR(__xludf.DUMMYFUNCTION("GOOGLEFINANCE(C179,""change"")"),3.8)</f>
        <v>3.8</v>
      </c>
      <c r="G179" s="5">
        <f>IFERROR(__xludf.DUMMYFUNCTION("GOOGLEFINANCE(C179,""changepct"")/100"),0.0022)</f>
        <v>0.0022</v>
      </c>
      <c r="H179" s="4">
        <f>IFERROR(__xludf.DUMMYFUNCTION("GOOGLEFINANCE(C179,""marketcap"")"),1.94967561546E11)</f>
        <v>194967561546</v>
      </c>
    </row>
    <row r="180">
      <c r="A180" s="3" t="s">
        <v>388</v>
      </c>
      <c r="B180" s="3" t="s">
        <v>35</v>
      </c>
      <c r="C180" s="3" t="s">
        <v>389</v>
      </c>
      <c r="D180" s="3" t="s">
        <v>13</v>
      </c>
      <c r="E180">
        <f>IFERROR(__xludf.DUMMYFUNCTION("GOOGLEFINANCE(C180,""price"")"),750.95)</f>
        <v>750.95</v>
      </c>
      <c r="F180" s="4">
        <f>IFERROR(__xludf.DUMMYFUNCTION("GOOGLEFINANCE(C180,""change"")"),6.65)</f>
        <v>6.65</v>
      </c>
      <c r="G180" s="5">
        <f>IFERROR(__xludf.DUMMYFUNCTION("GOOGLEFINANCE(C180,""changepct"")/100"),0.0089)</f>
        <v>0.0089</v>
      </c>
      <c r="H180" s="4">
        <f>IFERROR(__xludf.DUMMYFUNCTION("GOOGLEFINANCE(C180,""marketcap"")"),5.514745597E10)</f>
        <v>55147455970</v>
      </c>
    </row>
    <row r="181">
      <c r="A181" s="3" t="s">
        <v>390</v>
      </c>
      <c r="B181" s="3" t="s">
        <v>11</v>
      </c>
      <c r="C181" s="3" t="s">
        <v>391</v>
      </c>
      <c r="D181" s="3" t="s">
        <v>13</v>
      </c>
      <c r="E181">
        <f>IFERROR(__xludf.DUMMYFUNCTION("GOOGLEFINANCE(C181,""price"")"),302.8)</f>
        <v>302.8</v>
      </c>
      <c r="F181" s="4">
        <f>IFERROR(__xludf.DUMMYFUNCTION("GOOGLEFINANCE(C181,""change"")"),4.2)</f>
        <v>4.2</v>
      </c>
      <c r="G181" s="5">
        <f>IFERROR(__xludf.DUMMYFUNCTION("GOOGLEFINANCE(C181,""changepct"")/100"),0.0141)</f>
        <v>0.0141</v>
      </c>
      <c r="H181" s="4">
        <f>IFERROR(__xludf.DUMMYFUNCTION("GOOGLEFINANCE(C181,""marketcap"")"),6.959255629E10)</f>
        <v>69592556290</v>
      </c>
    </row>
    <row r="182">
      <c r="A182" s="3" t="s">
        <v>392</v>
      </c>
      <c r="B182" s="3" t="s">
        <v>35</v>
      </c>
      <c r="C182" s="3" t="s">
        <v>393</v>
      </c>
      <c r="D182" s="3" t="s">
        <v>13</v>
      </c>
      <c r="E182">
        <f>IFERROR(__xludf.DUMMYFUNCTION("GOOGLEFINANCE(C182,""price"")"),3340.0)</f>
        <v>3340</v>
      </c>
      <c r="F182" s="4">
        <f>IFERROR(__xludf.DUMMYFUNCTION("GOOGLEFINANCE(C182,""change"")"),93.75)</f>
        <v>93.75</v>
      </c>
      <c r="G182" s="5">
        <f>IFERROR(__xludf.DUMMYFUNCTION("GOOGLEFINANCE(C182,""changepct"")/100"),0.028900000000000002)</f>
        <v>0.0289</v>
      </c>
      <c r="H182" s="4">
        <f>IFERROR(__xludf.DUMMYFUNCTION("GOOGLEFINANCE(C182,""marketcap"")"),3.676180797E11)</f>
        <v>367618079700</v>
      </c>
    </row>
    <row r="183">
      <c r="A183" s="3" t="s">
        <v>394</v>
      </c>
      <c r="B183" s="3" t="s">
        <v>50</v>
      </c>
      <c r="C183" s="3" t="s">
        <v>395</v>
      </c>
      <c r="D183" s="3" t="s">
        <v>22</v>
      </c>
      <c r="E183">
        <f>IFERROR(__xludf.DUMMYFUNCTION("GOOGLEFINANCE(C183,""price"")"),446.9)</f>
        <v>446.9</v>
      </c>
      <c r="F183" s="4">
        <f>IFERROR(__xludf.DUMMYFUNCTION("GOOGLEFINANCE(C183,""change"")"),2.7)</f>
        <v>2.7</v>
      </c>
      <c r="G183" s="5">
        <f>IFERROR(__xludf.DUMMYFUNCTION("GOOGLEFINANCE(C183,""changepct"")/100"),0.0060999999999999995)</f>
        <v>0.0061</v>
      </c>
      <c r="H183" s="4">
        <f>IFERROR(__xludf.DUMMYFUNCTION("GOOGLEFINANCE(C183,""marketcap"")"),3.06166842304E11)</f>
        <v>306166842304</v>
      </c>
    </row>
    <row r="184">
      <c r="A184" s="3" t="s">
        <v>396</v>
      </c>
      <c r="B184" s="3" t="s">
        <v>35</v>
      </c>
      <c r="C184" s="3" t="s">
        <v>397</v>
      </c>
      <c r="D184" s="3" t="s">
        <v>13</v>
      </c>
      <c r="E184">
        <f>IFERROR(__xludf.DUMMYFUNCTION("GOOGLEFINANCE(C184,""price"")"),720.25)</f>
        <v>720.25</v>
      </c>
      <c r="F184" s="4">
        <f>IFERROR(__xludf.DUMMYFUNCTION("GOOGLEFINANCE(C184,""change"")"),4.35)</f>
        <v>4.35</v>
      </c>
      <c r="G184" s="5">
        <f>IFERROR(__xludf.DUMMYFUNCTION("GOOGLEFINANCE(C184,""changepct"")/100"),0.0060999999999999995)</f>
        <v>0.0061</v>
      </c>
      <c r="H184" s="4">
        <f>IFERROR(__xludf.DUMMYFUNCTION("GOOGLEFINANCE(C184,""marketcap"")"),1.121813E11)</f>
        <v>112181300000</v>
      </c>
    </row>
    <row r="185">
      <c r="A185" s="3" t="s">
        <v>398</v>
      </c>
      <c r="B185" s="3" t="s">
        <v>47</v>
      </c>
      <c r="C185" s="3" t="s">
        <v>399</v>
      </c>
      <c r="D185" s="3" t="s">
        <v>13</v>
      </c>
      <c r="E185">
        <f>IFERROR(__xludf.DUMMYFUNCTION("GOOGLEFINANCE(C185,""price"")"),78.0)</f>
        <v>78</v>
      </c>
      <c r="F185" s="4">
        <f>IFERROR(__xludf.DUMMYFUNCTION("GOOGLEFINANCE(C185,""change"")"),-0.05)</f>
        <v>-0.05</v>
      </c>
      <c r="G185" s="5">
        <f>IFERROR(__xludf.DUMMYFUNCTION("GOOGLEFINANCE(C185,""changepct"")/100"),-6.0E-4)</f>
        <v>-0.0006</v>
      </c>
      <c r="H185" s="4">
        <f>IFERROR(__xludf.DUMMYFUNCTION("GOOGLEFINANCE(C185,""marketcap"")"),3.7756655452E10)</f>
        <v>37756655452</v>
      </c>
    </row>
    <row r="186">
      <c r="A186" s="3" t="s">
        <v>400</v>
      </c>
      <c r="B186" s="3" t="s">
        <v>157</v>
      </c>
      <c r="C186" s="3" t="s">
        <v>401</v>
      </c>
      <c r="D186" s="3" t="s">
        <v>13</v>
      </c>
      <c r="E186">
        <f>IFERROR(__xludf.DUMMYFUNCTION("GOOGLEFINANCE(C186,""price"")"),157.5)</f>
        <v>157.5</v>
      </c>
      <c r="F186" s="4">
        <f>IFERROR(__xludf.DUMMYFUNCTION("GOOGLEFINANCE(C186,""change"")"),-0.9)</f>
        <v>-0.9</v>
      </c>
      <c r="G186" s="5">
        <f>IFERROR(__xludf.DUMMYFUNCTION("GOOGLEFINANCE(C186,""changepct"")/100"),-0.005699999999999999)</f>
        <v>-0.0057</v>
      </c>
      <c r="H186" s="4">
        <f>IFERROR(__xludf.DUMMYFUNCTION("GOOGLEFINANCE(C186,""marketcap"")"),6.29788158E10)</f>
        <v>62978815800</v>
      </c>
    </row>
    <row r="187">
      <c r="A187" s="3" t="s">
        <v>402</v>
      </c>
      <c r="B187" s="3" t="s">
        <v>50</v>
      </c>
      <c r="C187" s="3" t="s">
        <v>403</v>
      </c>
      <c r="D187" s="3" t="s">
        <v>13</v>
      </c>
      <c r="E187">
        <f>IFERROR(__xludf.DUMMYFUNCTION("GOOGLEFINANCE(C187,""price"")"),231.5)</f>
        <v>231.5</v>
      </c>
      <c r="F187" s="4">
        <f>IFERROR(__xludf.DUMMYFUNCTION("GOOGLEFINANCE(C187,""change"")"),1.0)</f>
        <v>1</v>
      </c>
      <c r="G187" s="5">
        <f>IFERROR(__xludf.DUMMYFUNCTION("GOOGLEFINANCE(C187,""changepct"")/100"),0.0043)</f>
        <v>0.0043</v>
      </c>
      <c r="H187" s="4">
        <f>IFERROR(__xludf.DUMMYFUNCTION("GOOGLEFINANCE(C187,""marketcap"")"),1.3115255045E11)</f>
        <v>131152550450</v>
      </c>
    </row>
    <row r="188">
      <c r="A188" s="3" t="s">
        <v>404</v>
      </c>
      <c r="B188" s="3" t="s">
        <v>50</v>
      </c>
      <c r="C188" s="3" t="s">
        <v>405</v>
      </c>
      <c r="D188" s="3" t="s">
        <v>13</v>
      </c>
      <c r="E188">
        <f>IFERROR(__xludf.DUMMYFUNCTION("GOOGLEFINANCE(C188,""price"")"),419.5)</f>
        <v>419.5</v>
      </c>
      <c r="F188" s="4">
        <f>IFERROR(__xludf.DUMMYFUNCTION("GOOGLEFINANCE(C188,""change"")"),3.55)</f>
        <v>3.55</v>
      </c>
      <c r="G188" s="5">
        <f>IFERROR(__xludf.DUMMYFUNCTION("GOOGLEFINANCE(C188,""changepct"")/100"),0.0085)</f>
        <v>0.0085</v>
      </c>
      <c r="H188" s="4">
        <f>IFERROR(__xludf.DUMMYFUNCTION("GOOGLEFINANCE(C188,""marketcap"")"),2.057247E10)</f>
        <v>20572470000</v>
      </c>
    </row>
    <row r="189">
      <c r="A189" s="3" t="s">
        <v>406</v>
      </c>
      <c r="B189" s="3" t="s">
        <v>15</v>
      </c>
      <c r="C189" s="3" t="s">
        <v>407</v>
      </c>
      <c r="D189" s="3" t="s">
        <v>13</v>
      </c>
      <c r="E189">
        <f>IFERROR(__xludf.DUMMYFUNCTION("GOOGLEFINANCE(C189,""price"")"),1179.5)</f>
        <v>1179.5</v>
      </c>
      <c r="F189" s="4">
        <f>IFERROR(__xludf.DUMMYFUNCTION("GOOGLEFINANCE(C189,""change"")"),92.35)</f>
        <v>92.35</v>
      </c>
      <c r="G189" s="5">
        <f>IFERROR(__xludf.DUMMYFUNCTION("GOOGLEFINANCE(C189,""changepct"")/100"),0.0849)</f>
        <v>0.0849</v>
      </c>
      <c r="H189" s="4">
        <f>IFERROR(__xludf.DUMMYFUNCTION("GOOGLEFINANCE(C189,""marketcap"")"),4.5363257164E10)</f>
        <v>45363257164</v>
      </c>
    </row>
    <row r="190">
      <c r="A190" s="3" t="s">
        <v>408</v>
      </c>
      <c r="B190" s="3" t="s">
        <v>64</v>
      </c>
      <c r="C190" s="3" t="s">
        <v>409</v>
      </c>
      <c r="D190" s="3" t="s">
        <v>22</v>
      </c>
      <c r="E190">
        <f>IFERROR(__xludf.DUMMYFUNCTION("GOOGLEFINANCE(C190,""price"")"),948.0)</f>
        <v>948</v>
      </c>
      <c r="F190" s="4">
        <f>IFERROR(__xludf.DUMMYFUNCTION("GOOGLEFINANCE(C190,""change"")"),1.9)</f>
        <v>1.9</v>
      </c>
      <c r="G190" s="5">
        <f>IFERROR(__xludf.DUMMYFUNCTION("GOOGLEFINANCE(C190,""changepct"")/100"),0.002)</f>
        <v>0.002</v>
      </c>
      <c r="H190" s="4">
        <f>IFERROR(__xludf.DUMMYFUNCTION("GOOGLEFINANCE(C190,""marketcap"")"),2.569423725E12)</f>
        <v>2569423725000</v>
      </c>
    </row>
    <row r="191">
      <c r="A191" s="3" t="s">
        <v>410</v>
      </c>
      <c r="B191" s="3" t="s">
        <v>29</v>
      </c>
      <c r="C191" s="3" t="s">
        <v>411</v>
      </c>
      <c r="D191" s="3" t="s">
        <v>22</v>
      </c>
      <c r="E191">
        <f>IFERROR(__xludf.DUMMYFUNCTION("GOOGLEFINANCE(C191,""price"")"),1942.0)</f>
        <v>1942</v>
      </c>
      <c r="F191" s="4">
        <f>IFERROR(__xludf.DUMMYFUNCTION("GOOGLEFINANCE(C191,""change"")"),-3.15)</f>
        <v>-3.15</v>
      </c>
      <c r="G191" s="5">
        <f>IFERROR(__xludf.DUMMYFUNCTION("GOOGLEFINANCE(C191,""changepct"")/100"),-0.0016)</f>
        <v>-0.0016</v>
      </c>
      <c r="H191" s="4">
        <f>IFERROR(__xludf.DUMMYFUNCTION("GOOGLEFINANCE(C191,""marketcap"")"),4.15860654053E11)</f>
        <v>415860654053</v>
      </c>
    </row>
    <row r="192">
      <c r="A192" s="3" t="s">
        <v>412</v>
      </c>
      <c r="B192" s="3" t="s">
        <v>29</v>
      </c>
      <c r="C192" s="3" t="s">
        <v>413</v>
      </c>
      <c r="D192" s="3" t="s">
        <v>22</v>
      </c>
      <c r="E192">
        <f>IFERROR(__xludf.DUMMYFUNCTION("GOOGLEFINANCE(C192,""price"")"),1436.4)</f>
        <v>1436.4</v>
      </c>
      <c r="F192" s="4">
        <f>IFERROR(__xludf.DUMMYFUNCTION("GOOGLEFINANCE(C192,""change"")"),19.55)</f>
        <v>19.55</v>
      </c>
      <c r="G192" s="5">
        <f>IFERROR(__xludf.DUMMYFUNCTION("GOOGLEFINANCE(C192,""changepct"")/100"),0.0138)</f>
        <v>0.0138</v>
      </c>
      <c r="H192" s="4">
        <f>IFERROR(__xludf.DUMMYFUNCTION("GOOGLEFINANCE(C192,""marketcap"")"),1.02408021555E11)</f>
        <v>102408021555</v>
      </c>
    </row>
    <row r="193">
      <c r="A193" s="3" t="s">
        <v>414</v>
      </c>
      <c r="B193" s="3" t="s">
        <v>29</v>
      </c>
      <c r="C193" s="3" t="s">
        <v>415</v>
      </c>
      <c r="D193" s="3" t="s">
        <v>22</v>
      </c>
      <c r="E193">
        <f>IFERROR(__xludf.DUMMYFUNCTION("GOOGLEFINANCE(C193,""price"")"),554.5)</f>
        <v>554.5</v>
      </c>
      <c r="F193" s="4">
        <f>IFERROR(__xludf.DUMMYFUNCTION("GOOGLEFINANCE(C193,""change"")"),22.9)</f>
        <v>22.9</v>
      </c>
      <c r="G193" s="5">
        <f>IFERROR(__xludf.DUMMYFUNCTION("GOOGLEFINANCE(C193,""changepct"")/100"),0.0431)</f>
        <v>0.0431</v>
      </c>
      <c r="H193" s="4">
        <f>IFERROR(__xludf.DUMMYFUNCTION("GOOGLEFINANCE(C193,""marketcap"")"),1.173972678804E12)</f>
        <v>1173972678804</v>
      </c>
    </row>
    <row r="194">
      <c r="A194" s="3" t="s">
        <v>416</v>
      </c>
      <c r="B194" s="3" t="s">
        <v>174</v>
      </c>
      <c r="C194" s="3" t="s">
        <v>417</v>
      </c>
      <c r="D194" s="3" t="s">
        <v>13</v>
      </c>
      <c r="E194">
        <f>IFERROR(__xludf.DUMMYFUNCTION("GOOGLEFINANCE(C194,""price"")"),66.35)</f>
        <v>66.35</v>
      </c>
      <c r="F194" s="4">
        <f>IFERROR(__xludf.DUMMYFUNCTION("GOOGLEFINANCE(C194,""change"")"),0.1)</f>
        <v>0.1</v>
      </c>
      <c r="G194" s="5">
        <f>IFERROR(__xludf.DUMMYFUNCTION("GOOGLEFINANCE(C194,""changepct"")/100"),0.0015)</f>
        <v>0.0015</v>
      </c>
      <c r="H194" s="4">
        <f>IFERROR(__xludf.DUMMYFUNCTION("GOOGLEFINANCE(C194,""marketcap"")"),9.7337779E10)</f>
        <v>97337779000</v>
      </c>
    </row>
    <row r="195">
      <c r="A195" s="3" t="s">
        <v>418</v>
      </c>
      <c r="B195" s="3" t="s">
        <v>64</v>
      </c>
      <c r="C195" s="3" t="s">
        <v>419</v>
      </c>
      <c r="D195" s="3" t="s">
        <v>13</v>
      </c>
      <c r="E195">
        <f>IFERROR(__xludf.DUMMYFUNCTION("GOOGLEFINANCE(C195,""price"")"),966.4)</f>
        <v>966.4</v>
      </c>
      <c r="F195" s="4">
        <f>IFERROR(__xludf.DUMMYFUNCTION("GOOGLEFINANCE(C195,""change"")"),2.7)</f>
        <v>2.7</v>
      </c>
      <c r="G195" s="5">
        <f>IFERROR(__xludf.DUMMYFUNCTION("GOOGLEFINANCE(C195,""changepct"")/100"),0.0028000000000000004)</f>
        <v>0.0028</v>
      </c>
      <c r="H195" s="4">
        <f>IFERROR(__xludf.DUMMYFUNCTION("GOOGLEFINANCE(C195,""marketcap"")"),1.38122603126E11)</f>
        <v>138122603126</v>
      </c>
    </row>
    <row r="196">
      <c r="A196" s="3" t="s">
        <v>420</v>
      </c>
      <c r="B196" s="3" t="s">
        <v>11</v>
      </c>
      <c r="C196" s="3" t="s">
        <v>421</v>
      </c>
      <c r="D196" s="3" t="s">
        <v>13</v>
      </c>
      <c r="E196">
        <f>IFERROR(__xludf.DUMMYFUNCTION("GOOGLEFINANCE(C196,""price"")"),992.25)</f>
        <v>992.25</v>
      </c>
      <c r="F196" s="4">
        <f>IFERROR(__xludf.DUMMYFUNCTION("GOOGLEFINANCE(C196,""change"")"),31.45)</f>
        <v>31.45</v>
      </c>
      <c r="G196" s="5">
        <f>IFERROR(__xludf.DUMMYFUNCTION("GOOGLEFINANCE(C196,""changepct"")/100"),0.0327)</f>
        <v>0.0327</v>
      </c>
      <c r="H196" s="4">
        <f>IFERROR(__xludf.DUMMYFUNCTION("GOOGLEFINANCE(C196,""marketcap"")"),2.138925852E11)</f>
        <v>213892585200</v>
      </c>
    </row>
    <row r="197">
      <c r="A197" s="3" t="s">
        <v>422</v>
      </c>
      <c r="B197" s="3" t="s">
        <v>11</v>
      </c>
      <c r="C197" s="3" t="s">
        <v>423</v>
      </c>
      <c r="D197" s="3" t="s">
        <v>22</v>
      </c>
      <c r="E197">
        <f>IFERROR(__xludf.DUMMYFUNCTION("GOOGLEFINANCE(C197,""price"")"),1248.8)</f>
        <v>1248.8</v>
      </c>
      <c r="F197" s="4">
        <f>IFERROR(__xludf.DUMMYFUNCTION("GOOGLEFINANCE(C197,""change"")"),23.55)</f>
        <v>23.55</v>
      </c>
      <c r="G197" s="5">
        <f>IFERROR(__xludf.DUMMYFUNCTION("GOOGLEFINANCE(C197,""changepct"")/100"),0.0192)</f>
        <v>0.0192</v>
      </c>
      <c r="H197" s="4">
        <f>IFERROR(__xludf.DUMMYFUNCTION("GOOGLEFINANCE(C197,""marketcap"")"),7.81619081336E11)</f>
        <v>781619081336</v>
      </c>
    </row>
    <row r="198">
      <c r="A198" s="3" t="s">
        <v>424</v>
      </c>
      <c r="B198" s="3" t="s">
        <v>20</v>
      </c>
      <c r="C198" s="3" t="s">
        <v>425</v>
      </c>
      <c r="D198" s="3" t="s">
        <v>13</v>
      </c>
      <c r="E198">
        <f>IFERROR(__xludf.DUMMYFUNCTION("GOOGLEFINANCE(C198,""price"")"),184.0)</f>
        <v>184</v>
      </c>
      <c r="F198" s="4">
        <f>IFERROR(__xludf.DUMMYFUNCTION("GOOGLEFINANCE(C198,""change"")"),2.1)</f>
        <v>2.1</v>
      </c>
      <c r="G198" s="5">
        <f>IFERROR(__xludf.DUMMYFUNCTION("GOOGLEFINANCE(C198,""changepct"")/100"),0.0115)</f>
        <v>0.0115</v>
      </c>
      <c r="H198" s="4">
        <f>IFERROR(__xludf.DUMMYFUNCTION("GOOGLEFINANCE(C198,""marketcap"")"),4.16175E10)</f>
        <v>41617500000</v>
      </c>
    </row>
    <row r="199">
      <c r="A199" s="3" t="s">
        <v>426</v>
      </c>
      <c r="B199" s="3" t="s">
        <v>100</v>
      </c>
      <c r="C199" s="3" t="s">
        <v>427</v>
      </c>
      <c r="D199" s="3" t="s">
        <v>13</v>
      </c>
      <c r="E199">
        <f>IFERROR(__xludf.DUMMYFUNCTION("GOOGLEFINANCE(C199,""price"")"),105.8)</f>
        <v>105.8</v>
      </c>
      <c r="F199" s="4">
        <f>IFERROR(__xludf.DUMMYFUNCTION("GOOGLEFINANCE(C199,""change"")"),1.15)</f>
        <v>1.15</v>
      </c>
      <c r="G199" s="5">
        <f>IFERROR(__xludf.DUMMYFUNCTION("GOOGLEFINANCE(C199,""changepct"")/100"),0.011000000000000001)</f>
        <v>0.011</v>
      </c>
      <c r="H199" s="4">
        <f>IFERROR(__xludf.DUMMYFUNCTION("GOOGLEFINANCE(C199,""marketcap"")"),3.0081500685E10)</f>
        <v>30081500685</v>
      </c>
    </row>
    <row r="200">
      <c r="A200" s="3" t="s">
        <v>428</v>
      </c>
      <c r="B200" s="3" t="s">
        <v>82</v>
      </c>
      <c r="C200" s="3" t="s">
        <v>429</v>
      </c>
      <c r="D200" s="3" t="s">
        <v>22</v>
      </c>
      <c r="E200">
        <f>IFERROR(__xludf.DUMMYFUNCTION("GOOGLEFINANCE(C200,""price"")"),2807.05)</f>
        <v>2807.05</v>
      </c>
      <c r="F200" s="4">
        <f>IFERROR(__xludf.DUMMYFUNCTION("GOOGLEFINANCE(C200,""change"")"),26.35)</f>
        <v>26.35</v>
      </c>
      <c r="G200" s="5">
        <f>IFERROR(__xludf.DUMMYFUNCTION("GOOGLEFINANCE(C200,""changepct"")/100"),0.0095)</f>
        <v>0.0095</v>
      </c>
      <c r="H200" s="4">
        <f>IFERROR(__xludf.DUMMYFUNCTION("GOOGLEFINANCE(C200,""marketcap"")"),5.630989E11)</f>
        <v>563098900000</v>
      </c>
    </row>
    <row r="201">
      <c r="A201" s="3" t="s">
        <v>430</v>
      </c>
      <c r="B201" s="3" t="s">
        <v>35</v>
      </c>
      <c r="C201" s="3" t="s">
        <v>431</v>
      </c>
      <c r="D201" s="3" t="s">
        <v>13</v>
      </c>
      <c r="E201">
        <f>IFERROR(__xludf.DUMMYFUNCTION("GOOGLEFINANCE(C201,""price"")"),81.2)</f>
        <v>81.2</v>
      </c>
      <c r="F201" s="4">
        <f>IFERROR(__xludf.DUMMYFUNCTION("GOOGLEFINANCE(C201,""change"")"),-0.7)</f>
        <v>-0.7</v>
      </c>
      <c r="G201" s="5">
        <f>IFERROR(__xludf.DUMMYFUNCTION("GOOGLEFINANCE(C201,""changepct"")/100"),-0.0085)</f>
        <v>-0.0085</v>
      </c>
      <c r="H201" s="4">
        <f>IFERROR(__xludf.DUMMYFUNCTION("GOOGLEFINANCE(C201,""marketcap"")"),3.4092310759E10)</f>
        <v>34092310759</v>
      </c>
    </row>
    <row r="202">
      <c r="A202" s="3" t="s">
        <v>432</v>
      </c>
      <c r="B202" s="3" t="s">
        <v>26</v>
      </c>
      <c r="C202" s="3" t="s">
        <v>433</v>
      </c>
      <c r="D202" s="3" t="s">
        <v>22</v>
      </c>
      <c r="E202">
        <f>IFERROR(__xludf.DUMMYFUNCTION("GOOGLEFINANCE(C202,""price"")"),416.0)</f>
        <v>416</v>
      </c>
      <c r="F202" s="4">
        <f>IFERROR(__xludf.DUMMYFUNCTION("GOOGLEFINANCE(C202,""change"")"),23.6)</f>
        <v>23.6</v>
      </c>
      <c r="G202" s="5">
        <f>IFERROR(__xludf.DUMMYFUNCTION("GOOGLEFINANCE(C202,""changepct"")/100"),0.0601)</f>
        <v>0.0601</v>
      </c>
      <c r="H202" s="4">
        <f>IFERROR(__xludf.DUMMYFUNCTION("GOOGLEFINANCE(C202,""marketcap"")"),9.30316661751E11)</f>
        <v>930316661751</v>
      </c>
    </row>
    <row r="203">
      <c r="A203" s="3" t="s">
        <v>434</v>
      </c>
      <c r="B203" s="3" t="s">
        <v>15</v>
      </c>
      <c r="C203" s="3" t="s">
        <v>435</v>
      </c>
      <c r="D203" s="3" t="s">
        <v>13</v>
      </c>
      <c r="E203">
        <f>IFERROR(__xludf.DUMMYFUNCTION("GOOGLEFINANCE(C203,""price"")"),2030.0)</f>
        <v>2030</v>
      </c>
      <c r="F203" s="4">
        <f>IFERROR(__xludf.DUMMYFUNCTION("GOOGLEFINANCE(C203,""change"")"),5.35)</f>
        <v>5.35</v>
      </c>
      <c r="G203" s="5">
        <f>IFERROR(__xludf.DUMMYFUNCTION("GOOGLEFINANCE(C203,""changepct"")/100"),0.0026)</f>
        <v>0.0026</v>
      </c>
      <c r="H203" s="4">
        <f>IFERROR(__xludf.DUMMYFUNCTION("GOOGLEFINANCE(C203,""marketcap"")"),6.7729547795E11)</f>
        <v>677295477950</v>
      </c>
    </row>
    <row r="204">
      <c r="A204" s="3" t="s">
        <v>436</v>
      </c>
      <c r="B204" s="3" t="s">
        <v>26</v>
      </c>
      <c r="C204" s="3" t="s">
        <v>437</v>
      </c>
      <c r="D204" s="3" t="s">
        <v>13</v>
      </c>
      <c r="E204">
        <f>IFERROR(__xludf.DUMMYFUNCTION("GOOGLEFINANCE(C204,""price"")"),102.8)</f>
        <v>102.8</v>
      </c>
      <c r="F204" s="4">
        <f>IFERROR(__xludf.DUMMYFUNCTION("GOOGLEFINANCE(C204,""change"")"),3.05)</f>
        <v>3.05</v>
      </c>
      <c r="G204" s="5">
        <f>IFERROR(__xludf.DUMMYFUNCTION("GOOGLEFINANCE(C204,""changepct"")/100"),0.030600000000000002)</f>
        <v>0.0306</v>
      </c>
      <c r="H204" s="4">
        <f>IFERROR(__xludf.DUMMYFUNCTION("GOOGLEFINANCE(C204,""marketcap"")"),9.9702042417E10)</f>
        <v>99702042417</v>
      </c>
    </row>
    <row r="205">
      <c r="A205" s="3" t="s">
        <v>438</v>
      </c>
      <c r="B205" s="3" t="s">
        <v>50</v>
      </c>
      <c r="C205" s="3" t="s">
        <v>439</v>
      </c>
      <c r="D205" s="3" t="s">
        <v>22</v>
      </c>
      <c r="E205">
        <f>IFERROR(__xludf.DUMMYFUNCTION("GOOGLEFINANCE(C205,""price"")"),240.2)</f>
        <v>240.2</v>
      </c>
      <c r="F205" s="4">
        <f>IFERROR(__xludf.DUMMYFUNCTION("GOOGLEFINANCE(C205,""change"")"),6.8)</f>
        <v>6.8</v>
      </c>
      <c r="G205" s="5">
        <f>IFERROR(__xludf.DUMMYFUNCTION("GOOGLEFINANCE(C205,""changepct"")/100"),0.0291)</f>
        <v>0.0291</v>
      </c>
      <c r="H205" s="4">
        <f>IFERROR(__xludf.DUMMYFUNCTION("GOOGLEFINANCE(C205,""marketcap"")"),3.41588619E11)</f>
        <v>341588619000</v>
      </c>
    </row>
    <row r="206">
      <c r="A206" s="3" t="s">
        <v>440</v>
      </c>
      <c r="B206" s="3" t="s">
        <v>11</v>
      </c>
      <c r="C206" s="3" t="s">
        <v>441</v>
      </c>
      <c r="D206" s="3" t="s">
        <v>22</v>
      </c>
      <c r="E206">
        <f>IFERROR(__xludf.DUMMYFUNCTION("GOOGLEFINANCE(C206,""price"")"),2631.75)</f>
        <v>2631.75</v>
      </c>
      <c r="F206" s="4">
        <f>IFERROR(__xludf.DUMMYFUNCTION("GOOGLEFINANCE(C206,""change"")"),11.65)</f>
        <v>11.65</v>
      </c>
      <c r="G206" s="5">
        <f>IFERROR(__xludf.DUMMYFUNCTION("GOOGLEFINANCE(C206,""changepct"")/100"),0.0044)</f>
        <v>0.0044</v>
      </c>
      <c r="H206" s="4">
        <f>IFERROR(__xludf.DUMMYFUNCTION("GOOGLEFINANCE(C206,""marketcap"")"),6.194319491007E12)</f>
        <v>6194319491007</v>
      </c>
    </row>
    <row r="207">
      <c r="A207" s="3" t="s">
        <v>442</v>
      </c>
      <c r="B207" s="3" t="s">
        <v>26</v>
      </c>
      <c r="C207" s="3" t="s">
        <v>443</v>
      </c>
      <c r="D207" s="3" t="s">
        <v>13</v>
      </c>
      <c r="E207">
        <f>IFERROR(__xludf.DUMMYFUNCTION("GOOGLEFINANCE(C207,""price"")"),269.75)</f>
        <v>269.75</v>
      </c>
      <c r="F207" s="4">
        <f>IFERROR(__xludf.DUMMYFUNCTION("GOOGLEFINANCE(C207,""change"")"),5.25)</f>
        <v>5.25</v>
      </c>
      <c r="G207" s="5">
        <f>IFERROR(__xludf.DUMMYFUNCTION("GOOGLEFINANCE(C207,""changepct"")/100"),0.019799999999999998)</f>
        <v>0.0198</v>
      </c>
      <c r="H207" s="4">
        <f>IFERROR(__xludf.DUMMYFUNCTION("GOOGLEFINANCE(C207,""marketcap"")"),1.13912495666E12)</f>
        <v>1139124956660</v>
      </c>
    </row>
    <row r="208">
      <c r="A208" s="3" t="s">
        <v>444</v>
      </c>
      <c r="B208" s="3" t="s">
        <v>15</v>
      </c>
      <c r="C208" s="3" t="s">
        <v>445</v>
      </c>
      <c r="D208" s="3" t="s">
        <v>13</v>
      </c>
      <c r="E208">
        <f>IFERROR(__xludf.DUMMYFUNCTION("GOOGLEFINANCE(C208,""price"")"),40079.0)</f>
        <v>40079</v>
      </c>
      <c r="F208" s="4">
        <f>IFERROR(__xludf.DUMMYFUNCTION("GOOGLEFINANCE(C208,""change"")"),442.8)</f>
        <v>442.8</v>
      </c>
      <c r="G208" s="5">
        <f>IFERROR(__xludf.DUMMYFUNCTION("GOOGLEFINANCE(C208,""changepct"")/100"),0.011200000000000002)</f>
        <v>0.0112</v>
      </c>
      <c r="H208" s="4">
        <f>IFERROR(__xludf.DUMMYFUNCTION("GOOGLEFINANCE(C208,""marketcap"")"),3.54359400317E11)</f>
        <v>354359400317</v>
      </c>
    </row>
    <row r="209">
      <c r="A209" s="3" t="s">
        <v>446</v>
      </c>
      <c r="B209" s="3" t="s">
        <v>29</v>
      </c>
      <c r="C209" s="3" t="s">
        <v>447</v>
      </c>
      <c r="D209" s="3" t="s">
        <v>13</v>
      </c>
      <c r="E209">
        <f>IFERROR(__xludf.DUMMYFUNCTION("GOOGLEFINANCE(C209,""price"")"),36.7)</f>
        <v>36.7</v>
      </c>
      <c r="F209" s="4">
        <f>IFERROR(__xludf.DUMMYFUNCTION("GOOGLEFINANCE(C209,""change"")"),0.8)</f>
        <v>0.8</v>
      </c>
      <c r="G209" s="5">
        <f>IFERROR(__xludf.DUMMYFUNCTION("GOOGLEFINANCE(C209,""changepct"")/100"),0.0223)</f>
        <v>0.0223</v>
      </c>
      <c r="H209" s="4">
        <f>IFERROR(__xludf.DUMMYFUNCTION("GOOGLEFINANCE(C209,""marketcap"")"),7.346973E10)</f>
        <v>73469730000</v>
      </c>
    </row>
    <row r="210">
      <c r="A210" s="3" t="s">
        <v>448</v>
      </c>
      <c r="B210" s="3" t="s">
        <v>29</v>
      </c>
      <c r="C210" s="3" t="s">
        <v>449</v>
      </c>
      <c r="D210" s="3" t="s">
        <v>22</v>
      </c>
      <c r="E210">
        <f>IFERROR(__xludf.DUMMYFUNCTION("GOOGLEFINANCE(C210,""price"")"),2389.0)</f>
        <v>2389</v>
      </c>
      <c r="F210" s="4">
        <f>IFERROR(__xludf.DUMMYFUNCTION("GOOGLEFINANCE(C210,""change"")"),51.45)</f>
        <v>51.45</v>
      </c>
      <c r="G210" s="5">
        <f>IFERROR(__xludf.DUMMYFUNCTION("GOOGLEFINANCE(C210,""changepct"")/100"),0.022000000000000002)</f>
        <v>0.022</v>
      </c>
      <c r="H210" s="4">
        <f>IFERROR(__xludf.DUMMYFUNCTION("GOOGLEFINANCE(C210,""marketcap"")"),4.319232436293E12)</f>
        <v>4319232436293</v>
      </c>
    </row>
    <row r="211">
      <c r="A211" s="3" t="s">
        <v>450</v>
      </c>
      <c r="B211" s="3" t="s">
        <v>15</v>
      </c>
      <c r="C211" s="3" t="s">
        <v>451</v>
      </c>
      <c r="D211" s="3" t="s">
        <v>13</v>
      </c>
      <c r="E211">
        <f>IFERROR(__xludf.DUMMYFUNCTION("GOOGLEFINANCE(C211,""price"")"),194.1)</f>
        <v>194.1</v>
      </c>
      <c r="F211" s="4">
        <f>IFERROR(__xludf.DUMMYFUNCTION("GOOGLEFINANCE(C211,""change"")"),-1.2)</f>
        <v>-1.2</v>
      </c>
      <c r="G211" s="5">
        <f>IFERROR(__xludf.DUMMYFUNCTION("GOOGLEFINANCE(C211,""changepct"")/100"),-0.0060999999999999995)</f>
        <v>-0.0061</v>
      </c>
      <c r="H211" s="4">
        <f>IFERROR(__xludf.DUMMYFUNCTION("GOOGLEFINANCE(C211,""marketcap"")"),1.4738189273E10)</f>
        <v>14738189273</v>
      </c>
    </row>
    <row r="212">
      <c r="A212" s="3" t="s">
        <v>452</v>
      </c>
      <c r="B212" s="3" t="s">
        <v>29</v>
      </c>
      <c r="C212" s="3" t="s">
        <v>453</v>
      </c>
      <c r="D212" s="3" t="s">
        <v>22</v>
      </c>
      <c r="E212">
        <f>IFERROR(__xludf.DUMMYFUNCTION("GOOGLEFINANCE(C212,""price"")"),818.7)</f>
        <v>818.7</v>
      </c>
      <c r="F212" s="4">
        <f>IFERROR(__xludf.DUMMYFUNCTION("GOOGLEFINANCE(C212,""change"")"),4.1)</f>
        <v>4.1</v>
      </c>
      <c r="G212" s="5">
        <f>IFERROR(__xludf.DUMMYFUNCTION("GOOGLEFINANCE(C212,""changepct"")/100"),0.005)</f>
        <v>0.005</v>
      </c>
      <c r="H212" s="4">
        <f>IFERROR(__xludf.DUMMYFUNCTION("GOOGLEFINANCE(C212,""marketcap"")"),7.174931105E10)</f>
        <v>71749311050</v>
      </c>
    </row>
    <row r="213">
      <c r="A213" s="3" t="s">
        <v>454</v>
      </c>
      <c r="B213" s="3" t="s">
        <v>29</v>
      </c>
      <c r="C213" s="3" t="s">
        <v>455</v>
      </c>
      <c r="D213" s="3" t="s">
        <v>22</v>
      </c>
      <c r="E213">
        <f>IFERROR(__xludf.DUMMYFUNCTION("GOOGLEFINANCE(C213,""price"")"),1224.0)</f>
        <v>1224</v>
      </c>
      <c r="F213" s="4">
        <f>IFERROR(__xludf.DUMMYFUNCTION("GOOGLEFINANCE(C213,""change"")"),34.8)</f>
        <v>34.8</v>
      </c>
      <c r="G213" s="5">
        <f>IFERROR(__xludf.DUMMYFUNCTION("GOOGLEFINANCE(C213,""changepct"")/100"),0.029300000000000003)</f>
        <v>0.0293</v>
      </c>
      <c r="H213" s="4">
        <f>IFERROR(__xludf.DUMMYFUNCTION("GOOGLEFINANCE(C213,""marketcap"")"),5.99104613029E11)</f>
        <v>599104613029</v>
      </c>
    </row>
    <row r="214">
      <c r="A214" s="3" t="s">
        <v>456</v>
      </c>
      <c r="B214" s="3" t="s">
        <v>29</v>
      </c>
      <c r="C214" s="3" t="s">
        <v>457</v>
      </c>
      <c r="D214" s="3" t="s">
        <v>22</v>
      </c>
      <c r="E214">
        <f>IFERROR(__xludf.DUMMYFUNCTION("GOOGLEFINANCE(C214,""price"")"),555.0)</f>
        <v>555</v>
      </c>
      <c r="F214" s="4">
        <f>IFERROR(__xludf.DUMMYFUNCTION("GOOGLEFINANCE(C214,""change"")"),25.0)</f>
        <v>25</v>
      </c>
      <c r="G214" s="5">
        <f>IFERROR(__xludf.DUMMYFUNCTION("GOOGLEFINANCE(C214,""changepct"")/100"),0.0472)</f>
        <v>0.0472</v>
      </c>
      <c r="H214" s="4">
        <f>IFERROR(__xludf.DUMMYFUNCTION("GOOGLEFINANCE(C214,""marketcap"")"),7.96308879398E11)</f>
        <v>796308879398</v>
      </c>
    </row>
    <row r="215">
      <c r="A215" s="3" t="s">
        <v>458</v>
      </c>
      <c r="B215" s="3" t="s">
        <v>29</v>
      </c>
      <c r="C215" s="3" t="s">
        <v>459</v>
      </c>
      <c r="D215" s="3" t="s">
        <v>13</v>
      </c>
      <c r="E215">
        <f>IFERROR(__xludf.DUMMYFUNCTION("GOOGLEFINANCE(C215,""price"")"),479.85)</f>
        <v>479.85</v>
      </c>
      <c r="F215" s="4">
        <f>IFERROR(__xludf.DUMMYFUNCTION("GOOGLEFINANCE(C215,""change"")"),6.75)</f>
        <v>6.75</v>
      </c>
      <c r="G215" s="5">
        <f>IFERROR(__xludf.DUMMYFUNCTION("GOOGLEFINANCE(C215,""changepct"")/100"),0.0143)</f>
        <v>0.0143</v>
      </c>
      <c r="H215" s="4">
        <f>IFERROR(__xludf.DUMMYFUNCTION("GOOGLEFINANCE(C215,""marketcap"")"),1.5488454542E11)</f>
        <v>154884545420</v>
      </c>
    </row>
    <row r="216">
      <c r="A216" s="3" t="s">
        <v>460</v>
      </c>
      <c r="B216" s="3" t="s">
        <v>29</v>
      </c>
      <c r="C216" s="3" t="s">
        <v>461</v>
      </c>
      <c r="D216" s="3" t="s">
        <v>13</v>
      </c>
      <c r="E216">
        <f>IFERROR(__xludf.DUMMYFUNCTION("GOOGLEFINANCE(C216,""price"")"),35.4)</f>
        <v>35.4</v>
      </c>
      <c r="F216" s="4">
        <f>IFERROR(__xludf.DUMMYFUNCTION("GOOGLEFINANCE(C216,""change"")"),0.15)</f>
        <v>0.15</v>
      </c>
      <c r="G216" s="5">
        <f>IFERROR(__xludf.DUMMYFUNCTION("GOOGLEFINANCE(C216,""changepct"")/100"),0.0043)</f>
        <v>0.0043</v>
      </c>
      <c r="H216" s="4">
        <f>IFERROR(__xludf.DUMMYFUNCTION("GOOGLEFINANCE(C216,""marketcap"")"),3.80634976406E11)</f>
        <v>380634976406</v>
      </c>
    </row>
    <row r="217">
      <c r="A217" s="3" t="s">
        <v>462</v>
      </c>
      <c r="B217" s="3" t="s">
        <v>29</v>
      </c>
      <c r="C217" s="3" t="s">
        <v>463</v>
      </c>
      <c r="D217" s="3" t="s">
        <v>22</v>
      </c>
      <c r="E217">
        <f>IFERROR(__xludf.DUMMYFUNCTION("GOOGLEFINANCE(C217,""price"")"),37.4)</f>
        <v>37.4</v>
      </c>
      <c r="F217" s="4">
        <f>IFERROR(__xludf.DUMMYFUNCTION("GOOGLEFINANCE(C217,""change"")"),0.8)</f>
        <v>0.8</v>
      </c>
      <c r="G217" s="5">
        <f>IFERROR(__xludf.DUMMYFUNCTION("GOOGLEFINANCE(C217,""changepct"")/100"),0.0219)</f>
        <v>0.0219</v>
      </c>
      <c r="H217" s="4">
        <f>IFERROR(__xludf.DUMMYFUNCTION("GOOGLEFINANCE(C217,""marketcap"")"),2.33534184555E11)</f>
        <v>233534184555</v>
      </c>
    </row>
    <row r="218">
      <c r="A218" s="3" t="s">
        <v>464</v>
      </c>
      <c r="B218" s="3" t="s">
        <v>29</v>
      </c>
      <c r="C218" s="3" t="s">
        <v>465</v>
      </c>
      <c r="D218" s="3" t="s">
        <v>13</v>
      </c>
      <c r="E218">
        <f>IFERROR(__xludf.DUMMYFUNCTION("GOOGLEFINANCE(C218,""price"")"),54.5)</f>
        <v>54.5</v>
      </c>
      <c r="F218" s="4">
        <f>IFERROR(__xludf.DUMMYFUNCTION("GOOGLEFINANCE(C218,""change"")"),0.45)</f>
        <v>0.45</v>
      </c>
      <c r="G218" s="5">
        <f>IFERROR(__xludf.DUMMYFUNCTION("GOOGLEFINANCE(C218,""changepct"")/100"),0.0083)</f>
        <v>0.0083</v>
      </c>
      <c r="H218" s="4">
        <f>IFERROR(__xludf.DUMMYFUNCTION("GOOGLEFINANCE(C218,""marketcap"")"),8.7168624563E10)</f>
        <v>87168624563</v>
      </c>
    </row>
    <row r="219">
      <c r="A219" s="3" t="s">
        <v>466</v>
      </c>
      <c r="B219" s="3" t="s">
        <v>11</v>
      </c>
      <c r="C219" s="3" t="s">
        <v>467</v>
      </c>
      <c r="D219" s="3" t="s">
        <v>13</v>
      </c>
      <c r="E219">
        <f>IFERROR(__xludf.DUMMYFUNCTION("GOOGLEFINANCE(C219,""price"")"),1000.0)</f>
        <v>1000</v>
      </c>
      <c r="F219" s="4">
        <f>IFERROR(__xludf.DUMMYFUNCTION("GOOGLEFINANCE(C219,""change"")"),-1.15)</f>
        <v>-1.15</v>
      </c>
      <c r="G219" s="5">
        <f>IFERROR(__xludf.DUMMYFUNCTION("GOOGLEFINANCE(C219,""changepct"")/100"),-0.0011)</f>
        <v>-0.0011</v>
      </c>
      <c r="H219" s="4">
        <f>IFERROR(__xludf.DUMMYFUNCTION("GOOGLEFINANCE(C219,""marketcap"")"),4.051879E10)</f>
        <v>40518790000</v>
      </c>
    </row>
    <row r="220">
      <c r="A220" s="3" t="s">
        <v>468</v>
      </c>
      <c r="B220" s="3" t="s">
        <v>29</v>
      </c>
      <c r="C220" s="3" t="s">
        <v>469</v>
      </c>
      <c r="D220" s="3" t="s">
        <v>13</v>
      </c>
      <c r="E220">
        <f>IFERROR(__xludf.DUMMYFUNCTION("GOOGLEFINANCE(C220,""price"")"),344.15)</f>
        <v>344.15</v>
      </c>
      <c r="F220" s="4">
        <f>IFERROR(__xludf.DUMMYFUNCTION("GOOGLEFINANCE(C220,""change"")"),-8.3)</f>
        <v>-8.3</v>
      </c>
      <c r="G220" s="5">
        <f>IFERROR(__xludf.DUMMYFUNCTION("GOOGLEFINANCE(C220,""changepct"")/100"),-0.0235)</f>
        <v>-0.0235</v>
      </c>
      <c r="H220" s="4">
        <f>IFERROR(__xludf.DUMMYFUNCTION("GOOGLEFINANCE(C220,""marketcap"")"),1.31732088469E11)</f>
        <v>131732088469</v>
      </c>
    </row>
    <row r="221">
      <c r="A221" s="3" t="s">
        <v>470</v>
      </c>
      <c r="B221" s="3" t="s">
        <v>29</v>
      </c>
      <c r="C221" s="3" t="s">
        <v>471</v>
      </c>
      <c r="D221" s="3" t="s">
        <v>13</v>
      </c>
      <c r="E221">
        <f>IFERROR(__xludf.DUMMYFUNCTION("GOOGLEFINANCE(C221,""price"")"),1685.0)</f>
        <v>1685</v>
      </c>
      <c r="F221" s="4">
        <f>IFERROR(__xludf.DUMMYFUNCTION("GOOGLEFINANCE(C221,""change"")"),73.5)</f>
        <v>73.5</v>
      </c>
      <c r="G221" s="5">
        <f>IFERROR(__xludf.DUMMYFUNCTION("GOOGLEFINANCE(C221,""changepct"")/100"),0.045599999999999995)</f>
        <v>0.0456</v>
      </c>
      <c r="H221" s="4">
        <f>IFERROR(__xludf.DUMMYFUNCTION("GOOGLEFINANCE(C221,""marketcap"")"),1.47673560924E11)</f>
        <v>147673560924</v>
      </c>
    </row>
    <row r="222">
      <c r="A222" s="3" t="s">
        <v>472</v>
      </c>
      <c r="B222" s="3" t="s">
        <v>32</v>
      </c>
      <c r="C222" s="3" t="s">
        <v>473</v>
      </c>
      <c r="D222" s="3" t="s">
        <v>13</v>
      </c>
      <c r="E222">
        <f>IFERROR(__xludf.DUMMYFUNCTION("GOOGLEFINANCE(C222,""price"")"),356.65)</f>
        <v>356.65</v>
      </c>
      <c r="F222" s="4">
        <f>IFERROR(__xludf.DUMMYFUNCTION("GOOGLEFINANCE(C222,""change"")"),5.2)</f>
        <v>5.2</v>
      </c>
      <c r="G222" s="5">
        <f>IFERROR(__xludf.DUMMYFUNCTION("GOOGLEFINANCE(C222,""changepct"")/100"),0.0148)</f>
        <v>0.0148</v>
      </c>
      <c r="H222" s="4">
        <f>IFERROR(__xludf.DUMMYFUNCTION("GOOGLEFINANCE(C222,""marketcap"")"),2.0961515352E10)</f>
        <v>20961515352</v>
      </c>
    </row>
    <row r="223">
      <c r="A223" s="3" t="s">
        <v>474</v>
      </c>
      <c r="B223" s="3" t="s">
        <v>100</v>
      </c>
      <c r="C223" s="3" t="s">
        <v>475</v>
      </c>
      <c r="D223" s="3" t="s">
        <v>13</v>
      </c>
      <c r="E223">
        <f>IFERROR(__xludf.DUMMYFUNCTION("GOOGLEFINANCE(C223,""price"")"),212.55)</f>
        <v>212.55</v>
      </c>
      <c r="F223" s="4">
        <f>IFERROR(__xludf.DUMMYFUNCTION("GOOGLEFINANCE(C223,""change"")"),-0.9)</f>
        <v>-0.9</v>
      </c>
      <c r="G223" s="5">
        <f>IFERROR(__xludf.DUMMYFUNCTION("GOOGLEFINANCE(C223,""changepct"")/100"),-0.0042)</f>
        <v>-0.0042</v>
      </c>
      <c r="H223" s="4">
        <f>IFERROR(__xludf.DUMMYFUNCTION("GOOGLEFINANCE(C223,""marketcap"")"),1.29204360367E11)</f>
        <v>129204360367</v>
      </c>
    </row>
    <row r="224">
      <c r="A224" s="3" t="s">
        <v>476</v>
      </c>
      <c r="B224" s="3" t="s">
        <v>100</v>
      </c>
      <c r="C224" s="3" t="s">
        <v>477</v>
      </c>
      <c r="D224" s="3" t="s">
        <v>13</v>
      </c>
      <c r="E224">
        <f>IFERROR(__xludf.DUMMYFUNCTION("GOOGLEFINANCE(C224,""price"")"),37.55)</f>
        <v>37.55</v>
      </c>
      <c r="F224" s="4">
        <f>IFERROR(__xludf.DUMMYFUNCTION("GOOGLEFINANCE(C224,""change"")"),0.15)</f>
        <v>0.15</v>
      </c>
      <c r="G224" s="5">
        <f>IFERROR(__xludf.DUMMYFUNCTION("GOOGLEFINANCE(C224,""changepct"")/100"),0.004)</f>
        <v>0.004</v>
      </c>
      <c r="H224" s="4">
        <f>IFERROR(__xludf.DUMMYFUNCTION("GOOGLEFINANCE(C224,""marketcap"")"),3.536339E10)</f>
        <v>35363390000</v>
      </c>
    </row>
    <row r="225">
      <c r="A225" s="3" t="s">
        <v>478</v>
      </c>
      <c r="B225" s="3" t="s">
        <v>11</v>
      </c>
      <c r="C225" s="3" t="s">
        <v>479</v>
      </c>
      <c r="D225" s="3" t="s">
        <v>22</v>
      </c>
      <c r="E225">
        <f>IFERROR(__xludf.DUMMYFUNCTION("GOOGLEFINANCE(C225,""price"")"),303.9)</f>
        <v>303.9</v>
      </c>
      <c r="F225" s="4">
        <f>IFERROR(__xludf.DUMMYFUNCTION("GOOGLEFINANCE(C225,""change"")"),0.45)</f>
        <v>0.45</v>
      </c>
      <c r="G225" s="5">
        <f>IFERROR(__xludf.DUMMYFUNCTION("GOOGLEFINANCE(C225,""changepct"")/100"),0.0015)</f>
        <v>0.0015</v>
      </c>
      <c r="H225" s="4">
        <f>IFERROR(__xludf.DUMMYFUNCTION("GOOGLEFINANCE(C225,""marketcap"")"),3.752732686212E12)</f>
        <v>3752732686212</v>
      </c>
    </row>
    <row r="226">
      <c r="A226" s="3" t="s">
        <v>480</v>
      </c>
      <c r="B226" s="3" t="s">
        <v>174</v>
      </c>
      <c r="C226" s="3" t="s">
        <v>481</v>
      </c>
      <c r="D226" s="3" t="s">
        <v>13</v>
      </c>
      <c r="E226">
        <f>IFERROR(__xludf.DUMMYFUNCTION("GOOGLEFINANCE(C226,""price"")"),116.65)</f>
        <v>116.65</v>
      </c>
      <c r="F226" s="4">
        <f>IFERROR(__xludf.DUMMYFUNCTION("GOOGLEFINANCE(C226,""change"")"),-0.45)</f>
        <v>-0.45</v>
      </c>
      <c r="G226" s="5">
        <f>IFERROR(__xludf.DUMMYFUNCTION("GOOGLEFINANCE(C226,""changepct"")/100"),-0.0038)</f>
        <v>-0.0038</v>
      </c>
      <c r="H226" s="4">
        <f>IFERROR(__xludf.DUMMYFUNCTION("GOOGLEFINANCE(C226,""marketcap"")"),1.09866080707E11)</f>
        <v>109866080707</v>
      </c>
    </row>
    <row r="227">
      <c r="A227" s="3" t="s">
        <v>482</v>
      </c>
      <c r="B227" s="3" t="s">
        <v>20</v>
      </c>
      <c r="C227" s="3" t="s">
        <v>483</v>
      </c>
      <c r="D227" s="3" t="s">
        <v>13</v>
      </c>
      <c r="E227">
        <f>IFERROR(__xludf.DUMMYFUNCTION("GOOGLEFINANCE(C227,""price"")"),196.5)</f>
        <v>196.5</v>
      </c>
      <c r="F227" s="4">
        <f>IFERROR(__xludf.DUMMYFUNCTION("GOOGLEFINANCE(C227,""change"")"),8.85)</f>
        <v>8.85</v>
      </c>
      <c r="G227" s="5">
        <f>IFERROR(__xludf.DUMMYFUNCTION("GOOGLEFINANCE(C227,""changepct"")/100"),0.0472)</f>
        <v>0.0472</v>
      </c>
      <c r="H227" s="4">
        <f>IFERROR(__xludf.DUMMYFUNCTION("GOOGLEFINANCE(C227,""marketcap"")"),6.1003246026E10)</f>
        <v>61003246026</v>
      </c>
    </row>
    <row r="228">
      <c r="A228" s="3" t="s">
        <v>484</v>
      </c>
      <c r="B228" s="3" t="s">
        <v>29</v>
      </c>
      <c r="C228" s="3" t="s">
        <v>485</v>
      </c>
      <c r="D228" s="3" t="s">
        <v>22</v>
      </c>
      <c r="E228">
        <f>IFERROR(__xludf.DUMMYFUNCTION("GOOGLEFINANCE(C228,""price"")"),110.1)</f>
        <v>110.1</v>
      </c>
      <c r="F228" s="4">
        <f>IFERROR(__xludf.DUMMYFUNCTION("GOOGLEFINANCE(C228,""change"")"),-4.65)</f>
        <v>-4.65</v>
      </c>
      <c r="G228" s="5">
        <f>IFERROR(__xludf.DUMMYFUNCTION("GOOGLEFINANCE(C228,""changepct"")/100"),-0.0405)</f>
        <v>-0.0405</v>
      </c>
      <c r="H228" s="4">
        <f>IFERROR(__xludf.DUMMYFUNCTION("GOOGLEFINANCE(C228,""marketcap"")"),5.1899196264E10)</f>
        <v>51899196264</v>
      </c>
    </row>
    <row r="229">
      <c r="A229" s="3" t="s">
        <v>486</v>
      </c>
      <c r="B229" s="3" t="s">
        <v>100</v>
      </c>
      <c r="C229" s="3" t="s">
        <v>487</v>
      </c>
      <c r="D229" s="3" t="s">
        <v>13</v>
      </c>
      <c r="E229">
        <f>IFERROR(__xludf.DUMMYFUNCTION("GOOGLEFINANCE(C229,""price"")"),72.45)</f>
        <v>72.45</v>
      </c>
      <c r="F229" s="4">
        <f>IFERROR(__xludf.DUMMYFUNCTION("GOOGLEFINANCE(C229,""change"")"),-0.75)</f>
        <v>-0.75</v>
      </c>
      <c r="G229" s="5">
        <f>IFERROR(__xludf.DUMMYFUNCTION("GOOGLEFINANCE(C229,""changepct"")/100"),-0.0102)</f>
        <v>-0.0102</v>
      </c>
      <c r="H229" s="4">
        <f>IFERROR(__xludf.DUMMYFUNCTION("GOOGLEFINANCE(C229,""marketcap"")"),3.9167947407E10)</f>
        <v>39167947407</v>
      </c>
    </row>
    <row r="230">
      <c r="A230" s="3" t="s">
        <v>488</v>
      </c>
      <c r="B230" s="3" t="s">
        <v>57</v>
      </c>
      <c r="C230" s="3" t="s">
        <v>489</v>
      </c>
      <c r="D230" s="3" t="s">
        <v>13</v>
      </c>
      <c r="E230">
        <f>IFERROR(__xludf.DUMMYFUNCTION("GOOGLEFINANCE(C230,""price"")"),4245.0)</f>
        <v>4245</v>
      </c>
      <c r="F230" s="4">
        <f>IFERROR(__xludf.DUMMYFUNCTION("GOOGLEFINANCE(C230,""change"")"),86.8)</f>
        <v>86.8</v>
      </c>
      <c r="G230" s="5">
        <f>IFERROR(__xludf.DUMMYFUNCTION("GOOGLEFINANCE(C230,""changepct"")/100"),0.0209)</f>
        <v>0.0209</v>
      </c>
      <c r="H230" s="4">
        <f>IFERROR(__xludf.DUMMYFUNCTION("GOOGLEFINANCE(C230,""marketcap"")"),1.291460686E11)</f>
        <v>129146068600</v>
      </c>
    </row>
    <row r="231">
      <c r="A231" s="3" t="s">
        <v>490</v>
      </c>
      <c r="B231" s="3" t="s">
        <v>29</v>
      </c>
      <c r="C231" s="3" t="s">
        <v>491</v>
      </c>
      <c r="D231" s="3" t="s">
        <v>13</v>
      </c>
      <c r="E231">
        <f>IFERROR(__xludf.DUMMYFUNCTION("GOOGLEFINANCE(C231,""price"")"),176.35)</f>
        <v>176.35</v>
      </c>
      <c r="F231" s="4">
        <f>IFERROR(__xludf.DUMMYFUNCTION("GOOGLEFINANCE(C231,""change"")"),-1.4)</f>
        <v>-1.4</v>
      </c>
      <c r="G231" s="5">
        <f>IFERROR(__xludf.DUMMYFUNCTION("GOOGLEFINANCE(C231,""changepct"")/100"),-0.0079)</f>
        <v>-0.0079</v>
      </c>
      <c r="H231" s="4">
        <f>IFERROR(__xludf.DUMMYFUNCTION("GOOGLEFINANCE(C231,""marketcap"")"),2.19633351601E11)</f>
        <v>219633351601</v>
      </c>
    </row>
    <row r="232">
      <c r="A232" s="3" t="s">
        <v>492</v>
      </c>
      <c r="B232" s="3" t="s">
        <v>29</v>
      </c>
      <c r="C232" s="3" t="s">
        <v>493</v>
      </c>
      <c r="D232" s="3" t="s">
        <v>13</v>
      </c>
      <c r="E232">
        <f>IFERROR(__xludf.DUMMYFUNCTION("GOOGLEFINANCE(C232,""price"")"),159.6)</f>
        <v>159.6</v>
      </c>
      <c r="F232" s="4">
        <f>IFERROR(__xludf.DUMMYFUNCTION("GOOGLEFINANCE(C232,""change"")"),4.65)</f>
        <v>4.65</v>
      </c>
      <c r="G232" s="5">
        <f>IFERROR(__xludf.DUMMYFUNCTION("GOOGLEFINANCE(C232,""changepct"")/100"),0.03)</f>
        <v>0.03</v>
      </c>
      <c r="H232" s="4">
        <f>IFERROR(__xludf.DUMMYFUNCTION("GOOGLEFINANCE(C232,""marketcap"")"),1.43059789165E11)</f>
        <v>143059789165</v>
      </c>
    </row>
    <row r="233">
      <c r="A233" s="3" t="s">
        <v>494</v>
      </c>
      <c r="B233" s="3" t="s">
        <v>57</v>
      </c>
      <c r="C233" s="3" t="s">
        <v>495</v>
      </c>
      <c r="D233" s="3" t="s">
        <v>13</v>
      </c>
      <c r="E233">
        <f>IFERROR(__xludf.DUMMYFUNCTION("GOOGLEFINANCE(C233,""price"")"),262.75)</f>
        <v>262.75</v>
      </c>
      <c r="F233" s="4">
        <f>IFERROR(__xludf.DUMMYFUNCTION("GOOGLEFINANCE(C233,""change"")"),-0.4)</f>
        <v>-0.4</v>
      </c>
      <c r="G233" s="5">
        <f>IFERROR(__xludf.DUMMYFUNCTION("GOOGLEFINANCE(C233,""changepct"")/100"),-0.0015)</f>
        <v>-0.0015</v>
      </c>
      <c r="H233" s="4">
        <f>IFERROR(__xludf.DUMMYFUNCTION("GOOGLEFINANCE(C233,""marketcap"")"),3.73138834638E11)</f>
        <v>373138834638</v>
      </c>
    </row>
    <row r="234">
      <c r="A234" s="3" t="s">
        <v>496</v>
      </c>
      <c r="B234" s="3" t="s">
        <v>50</v>
      </c>
      <c r="C234" s="3" t="s">
        <v>497</v>
      </c>
      <c r="D234" s="3" t="s">
        <v>22</v>
      </c>
      <c r="E234">
        <f>IFERROR(__xludf.DUMMYFUNCTION("GOOGLEFINANCE(C234,""price"")"),72.65)</f>
        <v>72.65</v>
      </c>
      <c r="F234" s="4">
        <f>IFERROR(__xludf.DUMMYFUNCTION("GOOGLEFINANCE(C234,""change"")"),0.6)</f>
        <v>0.6</v>
      </c>
      <c r="G234" s="5">
        <f>IFERROR(__xludf.DUMMYFUNCTION("GOOGLEFINANCE(C234,""changepct"")/100"),0.0083)</f>
        <v>0.0083</v>
      </c>
      <c r="H234" s="4">
        <f>IFERROR(__xludf.DUMMYFUNCTION("GOOGLEFINANCE(C234,""marketcap"")"),1.030143685405E12)</f>
        <v>1030143685405</v>
      </c>
    </row>
    <row r="235">
      <c r="A235" s="3" t="s">
        <v>498</v>
      </c>
      <c r="B235" s="3" t="s">
        <v>29</v>
      </c>
      <c r="C235" s="3" t="s">
        <v>499</v>
      </c>
      <c r="D235" s="3" t="s">
        <v>13</v>
      </c>
      <c r="E235">
        <f>IFERROR(__xludf.DUMMYFUNCTION("GOOGLEFINANCE(C235,""price"")"),17.3)</f>
        <v>17.3</v>
      </c>
      <c r="F235" s="4">
        <f>IFERROR(__xludf.DUMMYFUNCTION("GOOGLEFINANCE(C235,""change"")"),0.15)</f>
        <v>0.15</v>
      </c>
      <c r="G235" s="5">
        <f>IFERROR(__xludf.DUMMYFUNCTION("GOOGLEFINANCE(C235,""changepct"")/100"),0.0087)</f>
        <v>0.0087</v>
      </c>
      <c r="H235" s="4">
        <f>IFERROR(__xludf.DUMMYFUNCTION("GOOGLEFINANCE(C235,""marketcap"")"),3.25118685E11)</f>
        <v>325118685000</v>
      </c>
    </row>
    <row r="236">
      <c r="A236" s="3" t="s">
        <v>500</v>
      </c>
      <c r="B236" s="3" t="s">
        <v>47</v>
      </c>
      <c r="C236" s="3" t="s">
        <v>501</v>
      </c>
      <c r="D236" s="3" t="s">
        <v>22</v>
      </c>
      <c r="E236">
        <f>IFERROR(__xludf.DUMMYFUNCTION("GOOGLEFINANCE(C236,""price"")"),638.25)</f>
        <v>638.25</v>
      </c>
      <c r="F236" s="4">
        <f>IFERROR(__xludf.DUMMYFUNCTION("GOOGLEFINANCE(C236,""change"")"),35.75)</f>
        <v>35.75</v>
      </c>
      <c r="G236" s="5">
        <f>IFERROR(__xludf.DUMMYFUNCTION("GOOGLEFINANCE(C236,""changepct"")/100"),0.0593)</f>
        <v>0.0593</v>
      </c>
      <c r="H236" s="4">
        <f>IFERROR(__xludf.DUMMYFUNCTION("GOOGLEFINANCE(C236,""marketcap"")"),5.10162423257E11)</f>
        <v>510162423257</v>
      </c>
    </row>
    <row r="237">
      <c r="A237" s="3" t="s">
        <v>502</v>
      </c>
      <c r="B237" s="3" t="s">
        <v>79</v>
      </c>
      <c r="C237" s="3" t="s">
        <v>503</v>
      </c>
      <c r="D237" s="3" t="s">
        <v>13</v>
      </c>
      <c r="E237">
        <f>IFERROR(__xludf.DUMMYFUNCTION("GOOGLEFINANCE(C237,""price"")"),137.8)</f>
        <v>137.8</v>
      </c>
      <c r="F237" s="4">
        <f>IFERROR(__xludf.DUMMYFUNCTION("GOOGLEFINANCE(C237,""change"")"),0.25)</f>
        <v>0.25</v>
      </c>
      <c r="G237" s="5">
        <f>IFERROR(__xludf.DUMMYFUNCTION("GOOGLEFINANCE(C237,""changepct"")/100"),0.0018)</f>
        <v>0.0018</v>
      </c>
      <c r="H237" s="4">
        <f>IFERROR(__xludf.DUMMYFUNCTION("GOOGLEFINANCE(C237,""marketcap"")"),2.7112464675E10)</f>
        <v>27112464675</v>
      </c>
    </row>
    <row r="238">
      <c r="A238" s="3" t="s">
        <v>504</v>
      </c>
      <c r="B238" s="3" t="s">
        <v>32</v>
      </c>
      <c r="C238" s="3" t="s">
        <v>505</v>
      </c>
      <c r="D238" s="3" t="s">
        <v>13</v>
      </c>
      <c r="E238">
        <f>IFERROR(__xludf.DUMMYFUNCTION("GOOGLEFINANCE(C238,""price"")"),386.0)</f>
        <v>386</v>
      </c>
      <c r="F238" s="4">
        <f>IFERROR(__xludf.DUMMYFUNCTION("GOOGLEFINANCE(C238,""change"")"),3.6)</f>
        <v>3.6</v>
      </c>
      <c r="G238" s="5">
        <f>IFERROR(__xludf.DUMMYFUNCTION("GOOGLEFINANCE(C238,""changepct"")/100"),0.009399999999999999)</f>
        <v>0.0094</v>
      </c>
      <c r="H238" s="4">
        <f>IFERROR(__xludf.DUMMYFUNCTION("GOOGLEFINANCE(C238,""marketcap"")"),3.550553E10)</f>
        <v>35505530000</v>
      </c>
    </row>
    <row r="239">
      <c r="A239" s="3" t="s">
        <v>506</v>
      </c>
      <c r="B239" s="3" t="s">
        <v>50</v>
      </c>
      <c r="C239" s="3" t="s">
        <v>507</v>
      </c>
      <c r="D239" s="3" t="s">
        <v>22</v>
      </c>
      <c r="E239">
        <f>IFERROR(__xludf.DUMMYFUNCTION("GOOGLEFINANCE(C239,""price"")"),346.0)</f>
        <v>346</v>
      </c>
      <c r="F239" s="4">
        <f>IFERROR(__xludf.DUMMYFUNCTION("GOOGLEFINANCE(C239,""change"")"),0.5)</f>
        <v>0.5</v>
      </c>
      <c r="G239" s="5">
        <f>IFERROR(__xludf.DUMMYFUNCTION("GOOGLEFINANCE(C239,""changepct"")/100"),0.0014000000000000002)</f>
        <v>0.0014</v>
      </c>
      <c r="H239" s="4">
        <f>IFERROR(__xludf.DUMMYFUNCTION("GOOGLEFINANCE(C239,""marketcap"")"),2.42136752767E11)</f>
        <v>242136752767</v>
      </c>
    </row>
    <row r="240">
      <c r="A240" s="3" t="s">
        <v>508</v>
      </c>
      <c r="B240" s="3" t="s">
        <v>174</v>
      </c>
      <c r="C240" s="3" t="s">
        <v>509</v>
      </c>
      <c r="D240" s="3" t="s">
        <v>22</v>
      </c>
      <c r="E240">
        <f>IFERROR(__xludf.DUMMYFUNCTION("GOOGLEFINANCE(C240,""price"")"),222.5)</f>
        <v>222.5</v>
      </c>
      <c r="F240" s="4">
        <f>IFERROR(__xludf.DUMMYFUNCTION("GOOGLEFINANCE(C240,""change"")"),-0.55)</f>
        <v>-0.55</v>
      </c>
      <c r="G240" s="5">
        <f>IFERROR(__xludf.DUMMYFUNCTION("GOOGLEFINANCE(C240,""changepct"")/100"),-0.0025)</f>
        <v>-0.0025</v>
      </c>
      <c r="H240" s="4">
        <f>IFERROR(__xludf.DUMMYFUNCTION("GOOGLEFINANCE(C240,""marketcap"")"),5.9950756E11)</f>
        <v>599507560000</v>
      </c>
    </row>
    <row r="241">
      <c r="A241" s="3" t="s">
        <v>510</v>
      </c>
      <c r="B241" s="3" t="s">
        <v>29</v>
      </c>
      <c r="C241" s="3" t="s">
        <v>511</v>
      </c>
      <c r="D241" s="3" t="s">
        <v>22</v>
      </c>
      <c r="E241">
        <f>IFERROR(__xludf.DUMMYFUNCTION("GOOGLEFINANCE(C241,""price"")"),1040.0)</f>
        <v>1040</v>
      </c>
      <c r="F241" s="4">
        <f>IFERROR(__xludf.DUMMYFUNCTION("GOOGLEFINANCE(C241,""change"")"),22.3)</f>
        <v>22.3</v>
      </c>
      <c r="G241" s="5">
        <f>IFERROR(__xludf.DUMMYFUNCTION("GOOGLEFINANCE(C241,""changepct"")/100"),0.0219)</f>
        <v>0.0219</v>
      </c>
      <c r="H241" s="4">
        <f>IFERROR(__xludf.DUMMYFUNCTION("GOOGLEFINANCE(C241,""marketcap"")"),8.08814307742E11)</f>
        <v>808814307742</v>
      </c>
    </row>
    <row r="242">
      <c r="A242" s="3" t="s">
        <v>512</v>
      </c>
      <c r="B242" s="3" t="s">
        <v>57</v>
      </c>
      <c r="C242" s="3" t="s">
        <v>513</v>
      </c>
      <c r="D242" s="3" t="s">
        <v>22</v>
      </c>
      <c r="E242">
        <f>IFERROR(__xludf.DUMMYFUNCTION("GOOGLEFINANCE(C242,""price"")"),4332.0)</f>
        <v>4332</v>
      </c>
      <c r="F242" s="4">
        <f>IFERROR(__xludf.DUMMYFUNCTION("GOOGLEFINANCE(C242,""change"")"),245.85)</f>
        <v>245.85</v>
      </c>
      <c r="G242" s="5">
        <f>IFERROR(__xludf.DUMMYFUNCTION("GOOGLEFINANCE(C242,""changepct"")/100"),0.0602)</f>
        <v>0.0602</v>
      </c>
      <c r="H242" s="4">
        <f>IFERROR(__xludf.DUMMYFUNCTION("GOOGLEFINANCE(C242,""marketcap"")"),5.57827160703E11)</f>
        <v>557827160703</v>
      </c>
    </row>
    <row r="243">
      <c r="A243" s="3" t="s">
        <v>514</v>
      </c>
      <c r="B243" s="3" t="s">
        <v>64</v>
      </c>
      <c r="C243" s="3" t="s">
        <v>515</v>
      </c>
      <c r="D243" s="3" t="s">
        <v>22</v>
      </c>
      <c r="E243">
        <f>IFERROR(__xludf.DUMMYFUNCTION("GOOGLEFINANCE(C243,""price"")"),1546.0)</f>
        <v>1546</v>
      </c>
      <c r="F243" s="4">
        <f>IFERROR(__xludf.DUMMYFUNCTION("GOOGLEFINANCE(C243,""change"")"),28.6)</f>
        <v>28.6</v>
      </c>
      <c r="G243" s="5">
        <f>IFERROR(__xludf.DUMMYFUNCTION("GOOGLEFINANCE(C243,""changepct"")/100"),0.018799999999999997)</f>
        <v>0.0188</v>
      </c>
      <c r="H243" s="4">
        <f>IFERROR(__xludf.DUMMYFUNCTION("GOOGLEFINANCE(C243,""marketcap"")"),8.0501007804E10)</f>
        <v>80501007804</v>
      </c>
    </row>
    <row r="244">
      <c r="A244" s="3" t="s">
        <v>516</v>
      </c>
      <c r="B244" s="3" t="s">
        <v>15</v>
      </c>
      <c r="C244" s="3" t="s">
        <v>517</v>
      </c>
      <c r="D244" s="3" t="s">
        <v>13</v>
      </c>
      <c r="E244">
        <f>IFERROR(__xludf.DUMMYFUNCTION("GOOGLEFINANCE(C244,""price"")"),1644.9)</f>
        <v>1644.9</v>
      </c>
      <c r="F244" s="4">
        <f>IFERROR(__xludf.DUMMYFUNCTION("GOOGLEFINANCE(C244,""change"")"),9.75)</f>
        <v>9.75</v>
      </c>
      <c r="G244" s="5">
        <f>IFERROR(__xludf.DUMMYFUNCTION("GOOGLEFINANCE(C244,""changepct"")/100"),0.006)</f>
        <v>0.006</v>
      </c>
      <c r="H244" s="4">
        <f>IFERROR(__xludf.DUMMYFUNCTION("GOOGLEFINANCE(C244,""marketcap"")"),5.1640383968E10)</f>
        <v>51640383968</v>
      </c>
    </row>
    <row r="245">
      <c r="A245" s="3" t="s">
        <v>518</v>
      </c>
      <c r="B245" s="3" t="s">
        <v>286</v>
      </c>
      <c r="C245" s="3" t="s">
        <v>519</v>
      </c>
      <c r="D245" s="3" t="s">
        <v>13</v>
      </c>
      <c r="E245">
        <f>IFERROR(__xludf.DUMMYFUNCTION("GOOGLEFINANCE(C245,""price"")"),587.6)</f>
        <v>587.6</v>
      </c>
      <c r="F245" s="4">
        <f>IFERROR(__xludf.DUMMYFUNCTION("GOOGLEFINANCE(C245,""change"")"),14.95)</f>
        <v>14.95</v>
      </c>
      <c r="G245" s="5">
        <f>IFERROR(__xludf.DUMMYFUNCTION("GOOGLEFINANCE(C245,""changepct"")/100"),0.026099999999999998)</f>
        <v>0.0261</v>
      </c>
      <c r="H245" s="4">
        <f>IFERROR(__xludf.DUMMYFUNCTION("GOOGLEFINANCE(C245,""marketcap"")"),7.1801955296E10)</f>
        <v>71801955296</v>
      </c>
    </row>
    <row r="246">
      <c r="A246" s="3" t="s">
        <v>520</v>
      </c>
      <c r="B246" s="3" t="s">
        <v>64</v>
      </c>
      <c r="C246" s="3" t="s">
        <v>521</v>
      </c>
      <c r="D246" s="3" t="s">
        <v>13</v>
      </c>
      <c r="E246">
        <f>IFERROR(__xludf.DUMMYFUNCTION("GOOGLEFINANCE(C246,""price"")"),631.1)</f>
        <v>631.1</v>
      </c>
      <c r="F246" s="4">
        <f>IFERROR(__xludf.DUMMYFUNCTION("GOOGLEFINANCE(C246,""change"")"),-35.75)</f>
        <v>-35.75</v>
      </c>
      <c r="G246" s="5">
        <f>IFERROR(__xludf.DUMMYFUNCTION("GOOGLEFINANCE(C246,""changepct"")/100"),-0.0536)</f>
        <v>-0.0536</v>
      </c>
      <c r="H246" s="4">
        <f>IFERROR(__xludf.DUMMYFUNCTION("GOOGLEFINANCE(C246,""marketcap"")"),8.5126766126E10)</f>
        <v>85126766126</v>
      </c>
    </row>
    <row r="247">
      <c r="A247" s="3" t="s">
        <v>522</v>
      </c>
      <c r="B247" s="3" t="s">
        <v>47</v>
      </c>
      <c r="C247" s="3" t="s">
        <v>523</v>
      </c>
      <c r="D247" s="3" t="s">
        <v>22</v>
      </c>
      <c r="E247">
        <f>IFERROR(__xludf.DUMMYFUNCTION("GOOGLEFINANCE(C247,""price"")"),1867.0)</f>
        <v>1867</v>
      </c>
      <c r="F247" s="4">
        <f>IFERROR(__xludf.DUMMYFUNCTION("GOOGLEFINANCE(C247,""change"")"),24.0)</f>
        <v>24</v>
      </c>
      <c r="G247" s="5">
        <f>IFERROR(__xludf.DUMMYFUNCTION("GOOGLEFINANCE(C247,""changepct"")/100"),0.013000000000000001)</f>
        <v>0.013</v>
      </c>
      <c r="H247" s="4">
        <f>IFERROR(__xludf.DUMMYFUNCTION("GOOGLEFINANCE(C247,""marketcap"")"),7.192705249E11)</f>
        <v>719270524900</v>
      </c>
    </row>
    <row r="248">
      <c r="A248" s="3" t="s">
        <v>524</v>
      </c>
      <c r="B248" s="3" t="s">
        <v>32</v>
      </c>
      <c r="C248" s="3" t="s">
        <v>525</v>
      </c>
      <c r="D248" s="3" t="s">
        <v>13</v>
      </c>
      <c r="E248">
        <f>IFERROR(__xludf.DUMMYFUNCTION("GOOGLEFINANCE(C248,""price"")"),1005.0)</f>
        <v>1005</v>
      </c>
      <c r="F248" s="4">
        <f>IFERROR(__xludf.DUMMYFUNCTION("GOOGLEFINANCE(C248,""change"")"),9.7)</f>
        <v>9.7</v>
      </c>
      <c r="G248" s="5">
        <f>IFERROR(__xludf.DUMMYFUNCTION("GOOGLEFINANCE(C248,""changepct"")/100"),0.0097)</f>
        <v>0.0097</v>
      </c>
      <c r="H248" s="4">
        <f>IFERROR(__xludf.DUMMYFUNCTION("GOOGLEFINANCE(C248,""marketcap"")"),2.54972721E11)</f>
        <v>254972721000</v>
      </c>
    </row>
    <row r="249">
      <c r="A249" s="3" t="s">
        <v>526</v>
      </c>
      <c r="B249" s="3" t="s">
        <v>32</v>
      </c>
      <c r="C249" s="3" t="s">
        <v>527</v>
      </c>
      <c r="D249" s="3" t="s">
        <v>13</v>
      </c>
      <c r="E249">
        <f>IFERROR(__xludf.DUMMYFUNCTION("GOOGLEFINANCE(C249,""price"")"),1765.8)</f>
        <v>1765.8</v>
      </c>
      <c r="F249" s="4">
        <f>IFERROR(__xludf.DUMMYFUNCTION("GOOGLEFINANCE(C249,""change"")"),32.25)</f>
        <v>32.25</v>
      </c>
      <c r="G249" s="5">
        <f>IFERROR(__xludf.DUMMYFUNCTION("GOOGLEFINANCE(C249,""changepct"")/100"),0.018600000000000002)</f>
        <v>0.0186</v>
      </c>
      <c r="H249" s="4">
        <f>IFERROR(__xludf.DUMMYFUNCTION("GOOGLEFINANCE(C249,""marketcap"")"),1.36464700637E11)</f>
        <v>136464700637</v>
      </c>
    </row>
    <row r="250">
      <c r="A250" s="3" t="s">
        <v>528</v>
      </c>
      <c r="B250" s="3" t="s">
        <v>20</v>
      </c>
      <c r="C250" s="3" t="s">
        <v>529</v>
      </c>
      <c r="D250" s="3" t="s">
        <v>13</v>
      </c>
      <c r="E250">
        <f>IFERROR(__xludf.DUMMYFUNCTION("GOOGLEFINANCE(C250,""price"")"),2496.9)</f>
        <v>2496.9</v>
      </c>
      <c r="F250" s="4">
        <f>IFERROR(__xludf.DUMMYFUNCTION("GOOGLEFINANCE(C250,""change"")"),60.7)</f>
        <v>60.7</v>
      </c>
      <c r="G250" s="5">
        <f>IFERROR(__xludf.DUMMYFUNCTION("GOOGLEFINANCE(C250,""changepct"")/100"),0.024900000000000002)</f>
        <v>0.0249</v>
      </c>
      <c r="H250" s="4">
        <f>IFERROR(__xludf.DUMMYFUNCTION("GOOGLEFINANCE(C250,""marketcap"")"),1.934913E11)</f>
        <v>193491300000</v>
      </c>
    </row>
    <row r="251">
      <c r="A251" s="3" t="s">
        <v>530</v>
      </c>
      <c r="B251" s="3" t="s">
        <v>20</v>
      </c>
      <c r="C251" s="3" t="s">
        <v>531</v>
      </c>
      <c r="D251" s="3" t="s">
        <v>13</v>
      </c>
      <c r="E251">
        <f>IFERROR(__xludf.DUMMYFUNCTION("GOOGLEFINANCE(C251,""price"")"),442.45)</f>
        <v>442.45</v>
      </c>
      <c r="F251" s="4">
        <f>IFERROR(__xludf.DUMMYFUNCTION("GOOGLEFINANCE(C251,""change"")"),5.6)</f>
        <v>5.6</v>
      </c>
      <c r="G251" s="5">
        <f>IFERROR(__xludf.DUMMYFUNCTION("GOOGLEFINANCE(C251,""changepct"")/100"),0.0128)</f>
        <v>0.0128</v>
      </c>
      <c r="H251" s="4">
        <f>IFERROR(__xludf.DUMMYFUNCTION("GOOGLEFINANCE(C251,""marketcap"")"),5.1927930467E10)</f>
        <v>51927930467</v>
      </c>
    </row>
    <row r="252">
      <c r="A252" s="3" t="s">
        <v>532</v>
      </c>
      <c r="B252" s="3" t="s">
        <v>227</v>
      </c>
      <c r="C252" s="3" t="s">
        <v>533</v>
      </c>
      <c r="D252" s="3" t="s">
        <v>13</v>
      </c>
      <c r="E252">
        <f>IFERROR(__xludf.DUMMYFUNCTION("GOOGLEFINANCE(C252,""price"")"),345.6)</f>
        <v>345.6</v>
      </c>
      <c r="F252" s="4">
        <f>IFERROR(__xludf.DUMMYFUNCTION("GOOGLEFINANCE(C252,""change"")"),5.55)</f>
        <v>5.55</v>
      </c>
      <c r="G252" s="5">
        <f>IFERROR(__xludf.DUMMYFUNCTION("GOOGLEFINANCE(C252,""changepct"")/100"),0.0163)</f>
        <v>0.0163</v>
      </c>
      <c r="H252" s="4">
        <f>IFERROR(__xludf.DUMMYFUNCTION("GOOGLEFINANCE(C252,""marketcap"")"),5.8646307884E10)</f>
        <v>58646307884</v>
      </c>
    </row>
    <row r="253">
      <c r="A253" s="3" t="s">
        <v>534</v>
      </c>
      <c r="B253" s="3" t="s">
        <v>82</v>
      </c>
      <c r="C253" s="3" t="s">
        <v>535</v>
      </c>
      <c r="D253" s="3" t="s">
        <v>13</v>
      </c>
      <c r="E253">
        <f>IFERROR(__xludf.DUMMYFUNCTION("GOOGLEFINANCE(C253,""price"")"),118.0)</f>
        <v>118</v>
      </c>
      <c r="F253" s="4">
        <f>IFERROR(__xludf.DUMMYFUNCTION("GOOGLEFINANCE(C253,""change"")"),0.5)</f>
        <v>0.5</v>
      </c>
      <c r="G253" s="5">
        <f>IFERROR(__xludf.DUMMYFUNCTION("GOOGLEFINANCE(C253,""changepct"")/100"),0.0043)</f>
        <v>0.0043</v>
      </c>
      <c r="H253" s="4">
        <f>IFERROR(__xludf.DUMMYFUNCTION("GOOGLEFINANCE(C253,""marketcap"")"),2.9055212498E10)</f>
        <v>29055212498</v>
      </c>
    </row>
    <row r="254">
      <c r="A254" s="3" t="s">
        <v>536</v>
      </c>
      <c r="B254" s="3" t="s">
        <v>29</v>
      </c>
      <c r="C254" s="3" t="s">
        <v>537</v>
      </c>
      <c r="D254" s="3" t="s">
        <v>13</v>
      </c>
      <c r="E254">
        <f>IFERROR(__xludf.DUMMYFUNCTION("GOOGLEFINANCE(C254,""price"")"),63.65)</f>
        <v>63.65</v>
      </c>
      <c r="F254" s="4">
        <f>IFERROR(__xludf.DUMMYFUNCTION("GOOGLEFINANCE(C254,""change"")"),0.55)</f>
        <v>0.55</v>
      </c>
      <c r="G254" s="5">
        <f>IFERROR(__xludf.DUMMYFUNCTION("GOOGLEFINANCE(C254,""changepct"")/100"),0.0087)</f>
        <v>0.0087</v>
      </c>
      <c r="H254" s="4">
        <f>IFERROR(__xludf.DUMMYFUNCTION("GOOGLEFINANCE(C254,""marketcap"")"),6.0770615486E10)</f>
        <v>60770615486</v>
      </c>
    </row>
    <row r="255">
      <c r="A255" s="3" t="s">
        <v>538</v>
      </c>
      <c r="B255" s="3" t="s">
        <v>44</v>
      </c>
      <c r="C255" s="3" t="s">
        <v>539</v>
      </c>
      <c r="D255" s="3" t="s">
        <v>13</v>
      </c>
      <c r="E255">
        <f>IFERROR(__xludf.DUMMYFUNCTION("GOOGLEFINANCE(C255,""price"")"),239.0)</f>
        <v>239</v>
      </c>
      <c r="F255" s="4">
        <f>IFERROR(__xludf.DUMMYFUNCTION("GOOGLEFINANCE(C255,""change"")"),-3.8)</f>
        <v>-3.8</v>
      </c>
      <c r="G255" s="5">
        <f>IFERROR(__xludf.DUMMYFUNCTION("GOOGLEFINANCE(C255,""changepct"")/100"),-0.015700000000000002)</f>
        <v>-0.0157</v>
      </c>
      <c r="H255" s="4">
        <f>IFERROR(__xludf.DUMMYFUNCTION("GOOGLEFINANCE(C255,""marketcap"")"),3.90660207902E11)</f>
        <v>390660207902</v>
      </c>
    </row>
    <row r="256">
      <c r="A256" s="3" t="s">
        <v>540</v>
      </c>
      <c r="B256" s="3" t="s">
        <v>26</v>
      </c>
      <c r="C256" s="3" t="s">
        <v>541</v>
      </c>
      <c r="D256" s="3" t="s">
        <v>22</v>
      </c>
      <c r="E256">
        <f>IFERROR(__xludf.DUMMYFUNCTION("GOOGLEFINANCE(C256,""price"")"),631.0)</f>
        <v>631</v>
      </c>
      <c r="F256" s="4">
        <f>IFERROR(__xludf.DUMMYFUNCTION("GOOGLEFINANCE(C256,""change"")"),14.3)</f>
        <v>14.3</v>
      </c>
      <c r="G256" s="5">
        <f>IFERROR(__xludf.DUMMYFUNCTION("GOOGLEFINANCE(C256,""changepct"")/100"),0.0232)</f>
        <v>0.0232</v>
      </c>
      <c r="H256" s="4">
        <f>IFERROR(__xludf.DUMMYFUNCTION("GOOGLEFINANCE(C256,""marketcap"")"),1.511720039256E12)</f>
        <v>1511720039256</v>
      </c>
    </row>
    <row r="257">
      <c r="A257" s="3" t="s">
        <v>542</v>
      </c>
      <c r="B257" s="3" t="s">
        <v>82</v>
      </c>
      <c r="C257" s="3" t="s">
        <v>543</v>
      </c>
      <c r="D257" s="3" t="s">
        <v>13</v>
      </c>
      <c r="E257">
        <f>IFERROR(__xludf.DUMMYFUNCTION("GOOGLEFINANCE(C257,""price"")"),84.6)</f>
        <v>84.6</v>
      </c>
      <c r="F257" s="4">
        <f>IFERROR(__xludf.DUMMYFUNCTION("GOOGLEFINANCE(C257,""change"")"),1.45)</f>
        <v>1.45</v>
      </c>
      <c r="G257" s="5">
        <f>IFERROR(__xludf.DUMMYFUNCTION("GOOGLEFINANCE(C257,""changepct"")/100"),0.0174)</f>
        <v>0.0174</v>
      </c>
      <c r="H257" s="4">
        <f>IFERROR(__xludf.DUMMYFUNCTION("GOOGLEFINANCE(C257,""marketcap"")"),2.06212617E10)</f>
        <v>20621261700</v>
      </c>
    </row>
    <row r="258">
      <c r="A258" s="3" t="s">
        <v>544</v>
      </c>
      <c r="B258" s="3" t="s">
        <v>82</v>
      </c>
      <c r="C258" s="3" t="s">
        <v>545</v>
      </c>
      <c r="D258" s="3" t="s">
        <v>13</v>
      </c>
      <c r="E258">
        <f>IFERROR(__xludf.DUMMYFUNCTION("GOOGLEFINANCE(C258,""price"")"),126.0)</f>
        <v>126</v>
      </c>
      <c r="F258" s="4">
        <f>IFERROR(__xludf.DUMMYFUNCTION("GOOGLEFINANCE(C258,""change"")"),-2.45)</f>
        <v>-2.45</v>
      </c>
      <c r="G258" s="5">
        <f>IFERROR(__xludf.DUMMYFUNCTION("GOOGLEFINANCE(C258,""changepct"")/100"),-0.0191)</f>
        <v>-0.0191</v>
      </c>
      <c r="H258" s="4">
        <f>IFERROR(__xludf.DUMMYFUNCTION("GOOGLEFINANCE(C258,""marketcap"")"),5.0206527E10)</f>
        <v>50206527000</v>
      </c>
    </row>
    <row r="259">
      <c r="A259" s="3" t="s">
        <v>546</v>
      </c>
      <c r="B259" s="3" t="s">
        <v>26</v>
      </c>
      <c r="C259" s="3" t="s">
        <v>547</v>
      </c>
      <c r="D259" s="3" t="s">
        <v>13</v>
      </c>
      <c r="E259">
        <f>IFERROR(__xludf.DUMMYFUNCTION("GOOGLEFINANCE(C259,""price"")"),85.6)</f>
        <v>85.6</v>
      </c>
      <c r="F259" s="4">
        <f>IFERROR(__xludf.DUMMYFUNCTION("GOOGLEFINANCE(C259,""change"")"),1.6)</f>
        <v>1.6</v>
      </c>
      <c r="G259" s="5">
        <f>IFERROR(__xludf.DUMMYFUNCTION("GOOGLEFINANCE(C259,""changepct"")/100"),0.019)</f>
        <v>0.019</v>
      </c>
      <c r="H259" s="4">
        <f>IFERROR(__xludf.DUMMYFUNCTION("GOOGLEFINANCE(C259,""marketcap"")"),2.7320748984E10)</f>
        <v>27320748984</v>
      </c>
    </row>
    <row r="260">
      <c r="A260" s="3" t="s">
        <v>548</v>
      </c>
      <c r="B260" s="3" t="s">
        <v>26</v>
      </c>
      <c r="C260" s="3" t="s">
        <v>549</v>
      </c>
      <c r="D260" s="3" t="s">
        <v>13</v>
      </c>
      <c r="E260">
        <f>IFERROR(__xludf.DUMMYFUNCTION("GOOGLEFINANCE(C260,""price"")"),238.0)</f>
        <v>238</v>
      </c>
      <c r="F260" s="4">
        <f>IFERROR(__xludf.DUMMYFUNCTION("GOOGLEFINANCE(C260,""change"")"),11.75)</f>
        <v>11.75</v>
      </c>
      <c r="G260" s="5">
        <f>IFERROR(__xludf.DUMMYFUNCTION("GOOGLEFINANCE(C260,""changepct"")/100"),0.0519)</f>
        <v>0.0519</v>
      </c>
      <c r="H260" s="4">
        <f>IFERROR(__xludf.DUMMYFUNCTION("GOOGLEFINANCE(C260,""marketcap"")"),5.61524348E10)</f>
        <v>56152434800</v>
      </c>
    </row>
    <row r="261">
      <c r="A261" s="3" t="s">
        <v>550</v>
      </c>
      <c r="B261" s="3" t="s">
        <v>26</v>
      </c>
      <c r="C261" s="3" t="s">
        <v>551</v>
      </c>
      <c r="D261" s="3" t="s">
        <v>13</v>
      </c>
      <c r="E261">
        <f>IFERROR(__xludf.DUMMYFUNCTION("GOOGLEFINANCE(C261,""price"")"),119.0)</f>
        <v>119</v>
      </c>
      <c r="F261" s="4">
        <f>IFERROR(__xludf.DUMMYFUNCTION("GOOGLEFINANCE(C261,""change"")"),4.6)</f>
        <v>4.6</v>
      </c>
      <c r="G261" s="5">
        <f>IFERROR(__xludf.DUMMYFUNCTION("GOOGLEFINANCE(C261,""changepct"")/100"),0.04019999999999999)</f>
        <v>0.0402</v>
      </c>
      <c r="H261" s="4">
        <f>IFERROR(__xludf.DUMMYFUNCTION("GOOGLEFINANCE(C261,""marketcap"")"),6.2697938035E10)</f>
        <v>62697938035</v>
      </c>
    </row>
    <row r="262">
      <c r="A262" s="3" t="s">
        <v>552</v>
      </c>
      <c r="B262" s="3" t="s">
        <v>26</v>
      </c>
      <c r="C262" s="3" t="s">
        <v>553</v>
      </c>
      <c r="D262" s="3" t="s">
        <v>22</v>
      </c>
      <c r="E262">
        <f>IFERROR(__xludf.DUMMYFUNCTION("GOOGLEFINANCE(C262,""price"")"),388.35)</f>
        <v>388.35</v>
      </c>
      <c r="F262" s="4">
        <f>IFERROR(__xludf.DUMMYFUNCTION("GOOGLEFINANCE(C262,""change"")"),11.15)</f>
        <v>11.15</v>
      </c>
      <c r="G262" s="5">
        <f>IFERROR(__xludf.DUMMYFUNCTION("GOOGLEFINANCE(C262,""changepct"")/100"),0.0296)</f>
        <v>0.0296</v>
      </c>
      <c r="H262" s="4">
        <f>IFERROR(__xludf.DUMMYFUNCTION("GOOGLEFINANCE(C262,""marketcap"")"),3.97595368E11)</f>
        <v>397595368000</v>
      </c>
    </row>
    <row r="263">
      <c r="A263" s="3" t="s">
        <v>554</v>
      </c>
      <c r="B263" s="3" t="s">
        <v>11</v>
      </c>
      <c r="C263" s="3" t="s">
        <v>555</v>
      </c>
      <c r="D263" s="3" t="s">
        <v>13</v>
      </c>
      <c r="E263">
        <f>IFERROR(__xludf.DUMMYFUNCTION("GOOGLEFINANCE(C263,""price"")"),1565.0)</f>
        <v>1565</v>
      </c>
      <c r="F263" s="4">
        <f>IFERROR(__xludf.DUMMYFUNCTION("GOOGLEFINANCE(C263,""change"")"),-4.85)</f>
        <v>-4.85</v>
      </c>
      <c r="G263" s="5">
        <f>IFERROR(__xludf.DUMMYFUNCTION("GOOGLEFINANCE(C263,""changepct"")/100"),-0.0031)</f>
        <v>-0.0031</v>
      </c>
      <c r="H263" s="4">
        <f>IFERROR(__xludf.DUMMYFUNCTION("GOOGLEFINANCE(C263,""marketcap"")"),4.259996E10)</f>
        <v>42599960000</v>
      </c>
    </row>
    <row r="264">
      <c r="A264" s="3" t="s">
        <v>556</v>
      </c>
      <c r="B264" s="3" t="s">
        <v>57</v>
      </c>
      <c r="C264" s="3" t="s">
        <v>557</v>
      </c>
      <c r="D264" s="3" t="s">
        <v>22</v>
      </c>
      <c r="E264">
        <f>IFERROR(__xludf.DUMMYFUNCTION("GOOGLEFINANCE(C264,""price"")"),551.65)</f>
        <v>551.65</v>
      </c>
      <c r="F264" s="4">
        <f>IFERROR(__xludf.DUMMYFUNCTION("GOOGLEFINANCE(C264,""change"")"),-13.8)</f>
        <v>-13.8</v>
      </c>
      <c r="G264" s="5">
        <f>IFERROR(__xludf.DUMMYFUNCTION("GOOGLEFINANCE(C264,""changepct"")/100"),-0.024399999999999998)</f>
        <v>-0.0244</v>
      </c>
      <c r="H264" s="4">
        <f>IFERROR(__xludf.DUMMYFUNCTION("GOOGLEFINANCE(C264,""marketcap"")"),3.62264226936E11)</f>
        <v>362264226936</v>
      </c>
    </row>
    <row r="265">
      <c r="A265" s="3" t="s">
        <v>558</v>
      </c>
      <c r="B265" s="3" t="s">
        <v>57</v>
      </c>
      <c r="C265" s="3" t="s">
        <v>559</v>
      </c>
      <c r="D265" s="3" t="s">
        <v>13</v>
      </c>
      <c r="E265">
        <f>IFERROR(__xludf.DUMMYFUNCTION("GOOGLEFINANCE(C265,""price"")"),581.45)</f>
        <v>581.45</v>
      </c>
      <c r="F265" s="4">
        <f>IFERROR(__xludf.DUMMYFUNCTION("GOOGLEFINANCE(C265,""change"")"),19.15)</f>
        <v>19.15</v>
      </c>
      <c r="G265" s="5">
        <f>IFERROR(__xludf.DUMMYFUNCTION("GOOGLEFINANCE(C265,""changepct"")/100"),0.0341)</f>
        <v>0.0341</v>
      </c>
      <c r="H265" s="4">
        <f>IFERROR(__xludf.DUMMYFUNCTION("GOOGLEFINANCE(C265,""marketcap"")"),4.9027846619E10)</f>
        <v>49027846619</v>
      </c>
    </row>
    <row r="266">
      <c r="A266" s="3" t="s">
        <v>560</v>
      </c>
      <c r="B266" s="3" t="s">
        <v>11</v>
      </c>
      <c r="C266" s="3" t="s">
        <v>561</v>
      </c>
      <c r="D266" s="3" t="s">
        <v>13</v>
      </c>
      <c r="E266">
        <f>IFERROR(__xludf.DUMMYFUNCTION("GOOGLEFINANCE(C266,""price"")"),171.2)</f>
        <v>171.2</v>
      </c>
      <c r="F266" s="4">
        <f>IFERROR(__xludf.DUMMYFUNCTION("GOOGLEFINANCE(C266,""change"")"),2.15)</f>
        <v>2.15</v>
      </c>
      <c r="G266" s="5">
        <f>IFERROR(__xludf.DUMMYFUNCTION("GOOGLEFINANCE(C266,""changepct"")/100"),0.0127)</f>
        <v>0.0127</v>
      </c>
      <c r="H266" s="4">
        <f>IFERROR(__xludf.DUMMYFUNCTION("GOOGLEFINANCE(C266,""marketcap"")"),6.2866111199E10)</f>
        <v>62866111199</v>
      </c>
    </row>
    <row r="267">
      <c r="A267" s="3" t="s">
        <v>562</v>
      </c>
      <c r="B267" s="3" t="s">
        <v>79</v>
      </c>
      <c r="C267" s="3" t="s">
        <v>563</v>
      </c>
      <c r="D267" s="3" t="s">
        <v>13</v>
      </c>
      <c r="E267">
        <f>IFERROR(__xludf.DUMMYFUNCTION("GOOGLEFINANCE(C267,""price"")"),584.2)</f>
        <v>584.2</v>
      </c>
      <c r="F267" s="4">
        <f>IFERROR(__xludf.DUMMYFUNCTION("GOOGLEFINANCE(C267,""change"")"),6.05)</f>
        <v>6.05</v>
      </c>
      <c r="G267" s="5">
        <f>IFERROR(__xludf.DUMMYFUNCTION("GOOGLEFINANCE(C267,""changepct"")/100"),0.0105)</f>
        <v>0.0105</v>
      </c>
      <c r="H267" s="4">
        <f>IFERROR(__xludf.DUMMYFUNCTION("GOOGLEFINANCE(C267,""marketcap"")"),2.00810638849E11)</f>
        <v>200810638849</v>
      </c>
    </row>
    <row r="268">
      <c r="A268" s="3" t="s">
        <v>564</v>
      </c>
      <c r="B268" s="3" t="s">
        <v>15</v>
      </c>
      <c r="C268" s="3" t="s">
        <v>565</v>
      </c>
      <c r="D268" s="3" t="s">
        <v>13</v>
      </c>
      <c r="E268">
        <f>IFERROR(__xludf.DUMMYFUNCTION("GOOGLEFINANCE(C268,""price"")"),1233.85)</f>
        <v>1233.85</v>
      </c>
      <c r="F268" s="4">
        <f>IFERROR(__xludf.DUMMYFUNCTION("GOOGLEFINANCE(C268,""change"")"),-13.25)</f>
        <v>-13.25</v>
      </c>
      <c r="G268" s="5">
        <f>IFERROR(__xludf.DUMMYFUNCTION("GOOGLEFINANCE(C268,""changepct"")/100"),-0.0106)</f>
        <v>-0.0106</v>
      </c>
      <c r="H268" s="4">
        <f>IFERROR(__xludf.DUMMYFUNCTION("GOOGLEFINANCE(C268,""marketcap"")"),1.11176607282E11)</f>
        <v>111176607282</v>
      </c>
    </row>
    <row r="269">
      <c r="A269" s="3" t="s">
        <v>566</v>
      </c>
      <c r="B269" s="3" t="s">
        <v>100</v>
      </c>
      <c r="C269" s="3" t="s">
        <v>567</v>
      </c>
      <c r="D269" s="3" t="s">
        <v>13</v>
      </c>
      <c r="E269">
        <f>IFERROR(__xludf.DUMMYFUNCTION("GOOGLEFINANCE(C269,""price"")"),263.75)</f>
        <v>263.75</v>
      </c>
      <c r="F269" s="4">
        <f>IFERROR(__xludf.DUMMYFUNCTION("GOOGLEFINANCE(C269,""change"")"),6.4)</f>
        <v>6.4</v>
      </c>
      <c r="G269" s="5">
        <f>IFERROR(__xludf.DUMMYFUNCTION("GOOGLEFINANCE(C269,""changepct"")/100"),0.024900000000000002)</f>
        <v>0.0249</v>
      </c>
      <c r="H269" s="4">
        <f>IFERROR(__xludf.DUMMYFUNCTION("GOOGLEFINANCE(C269,""marketcap"")"),7.4175599375E10)</f>
        <v>74175599375</v>
      </c>
    </row>
    <row r="270">
      <c r="A270" s="3" t="s">
        <v>568</v>
      </c>
      <c r="B270" s="3" t="s">
        <v>64</v>
      </c>
      <c r="C270" s="3" t="s">
        <v>569</v>
      </c>
      <c r="D270" s="3" t="s">
        <v>13</v>
      </c>
      <c r="E270">
        <f>IFERROR(__xludf.DUMMYFUNCTION("GOOGLEFINANCE(C270,""price"")"),547.0)</f>
        <v>547</v>
      </c>
      <c r="F270" s="4">
        <f>IFERROR(__xludf.DUMMYFUNCTION("GOOGLEFINANCE(C270,""change"")"),11.0)</f>
        <v>11</v>
      </c>
      <c r="G270" s="5">
        <f>IFERROR(__xludf.DUMMYFUNCTION("GOOGLEFINANCE(C270,""changepct"")/100"),0.020499999999999997)</f>
        <v>0.0205</v>
      </c>
      <c r="H270" s="4">
        <f>IFERROR(__xludf.DUMMYFUNCTION("GOOGLEFINANCE(C270,""marketcap"")"),1.4783578575E11)</f>
        <v>147835785750</v>
      </c>
    </row>
    <row r="271">
      <c r="A271" s="3" t="s">
        <v>570</v>
      </c>
      <c r="B271" s="3" t="s">
        <v>11</v>
      </c>
      <c r="C271" s="3" t="s">
        <v>571</v>
      </c>
      <c r="D271" s="3" t="s">
        <v>13</v>
      </c>
      <c r="E271">
        <f>IFERROR(__xludf.DUMMYFUNCTION("GOOGLEFINANCE(C271,""price"")"),244.65)</f>
        <v>244.65</v>
      </c>
      <c r="F271" s="4">
        <f>IFERROR(__xludf.DUMMYFUNCTION("GOOGLEFINANCE(C271,""change"")"),3.45)</f>
        <v>3.45</v>
      </c>
      <c r="G271" s="5">
        <f>IFERROR(__xludf.DUMMYFUNCTION("GOOGLEFINANCE(C271,""changepct"")/100"),0.0143)</f>
        <v>0.0143</v>
      </c>
      <c r="H271" s="4">
        <f>IFERROR(__xludf.DUMMYFUNCTION("GOOGLEFINANCE(C271,""marketcap"")"),5.7529474818E10)</f>
        <v>57529474818</v>
      </c>
    </row>
    <row r="272">
      <c r="A272" s="3" t="s">
        <v>572</v>
      </c>
      <c r="B272" s="3" t="s">
        <v>15</v>
      </c>
      <c r="C272" s="3" t="s">
        <v>573</v>
      </c>
      <c r="D272" s="3" t="s">
        <v>13</v>
      </c>
      <c r="E272">
        <f>IFERROR(__xludf.DUMMYFUNCTION("GOOGLEFINANCE(C272,""price"")"),1468.05)</f>
        <v>1468.05</v>
      </c>
      <c r="F272" s="4">
        <f>IFERROR(__xludf.DUMMYFUNCTION("GOOGLEFINANCE(C272,""change"")"),27.65)</f>
        <v>27.65</v>
      </c>
      <c r="G272" s="5">
        <f>IFERROR(__xludf.DUMMYFUNCTION("GOOGLEFINANCE(C272,""changepct"")/100"),0.0192)</f>
        <v>0.0192</v>
      </c>
      <c r="H272" s="4">
        <f>IFERROR(__xludf.DUMMYFUNCTION("GOOGLEFINANCE(C272,""marketcap"")"),5.129366472E10)</f>
        <v>51293664720</v>
      </c>
    </row>
    <row r="273">
      <c r="A273" s="3" t="s">
        <v>574</v>
      </c>
      <c r="B273" s="3" t="s">
        <v>11</v>
      </c>
      <c r="C273" s="3" t="s">
        <v>575</v>
      </c>
      <c r="D273" s="3" t="s">
        <v>13</v>
      </c>
      <c r="E273">
        <f>IFERROR(__xludf.DUMMYFUNCTION("GOOGLEFINANCE(C273,""price"")"),1177.0)</f>
        <v>1177</v>
      </c>
      <c r="F273" s="4">
        <f>IFERROR(__xludf.DUMMYFUNCTION("GOOGLEFINANCE(C273,""change"")"),51.8)</f>
        <v>51.8</v>
      </c>
      <c r="G273" s="5">
        <f>IFERROR(__xludf.DUMMYFUNCTION("GOOGLEFINANCE(C273,""changepct"")/100"),0.046)</f>
        <v>0.046</v>
      </c>
      <c r="H273" s="4">
        <f>IFERROR(__xludf.DUMMYFUNCTION("GOOGLEFINANCE(C273,""marketcap"")"),1.87383108E11)</f>
        <v>187383108000</v>
      </c>
    </row>
    <row r="274">
      <c r="A274" s="3" t="s">
        <v>576</v>
      </c>
      <c r="B274" s="3" t="s">
        <v>44</v>
      </c>
      <c r="C274" s="3" t="s">
        <v>577</v>
      </c>
      <c r="D274" s="3" t="s">
        <v>13</v>
      </c>
      <c r="E274">
        <f>IFERROR(__xludf.DUMMYFUNCTION("GOOGLEFINANCE(C274,""price"")"),371.0)</f>
        <v>371</v>
      </c>
      <c r="F274" s="4">
        <f>IFERROR(__xludf.DUMMYFUNCTION("GOOGLEFINANCE(C274,""change"")"),-0.3)</f>
        <v>-0.3</v>
      </c>
      <c r="G274" s="5">
        <f>IFERROR(__xludf.DUMMYFUNCTION("GOOGLEFINANCE(C274,""changepct"")/100"),-8.0E-4)</f>
        <v>-0.0008</v>
      </c>
      <c r="H274" s="4">
        <f>IFERROR(__xludf.DUMMYFUNCTION("GOOGLEFINANCE(C274,""marketcap"")"),5.52453132E10)</f>
        <v>55245313200</v>
      </c>
    </row>
    <row r="275">
      <c r="A275" s="3" t="s">
        <v>578</v>
      </c>
      <c r="B275" s="3" t="s">
        <v>11</v>
      </c>
      <c r="C275" s="3" t="s">
        <v>579</v>
      </c>
      <c r="D275" s="3" t="s">
        <v>13</v>
      </c>
      <c r="E275">
        <f>IFERROR(__xludf.DUMMYFUNCTION("GOOGLEFINANCE(C275,""price"")"),400.8)</f>
        <v>400.8</v>
      </c>
      <c r="F275" s="4">
        <f>IFERROR(__xludf.DUMMYFUNCTION("GOOGLEFINANCE(C275,""change"")"),-4.1)</f>
        <v>-4.1</v>
      </c>
      <c r="G275" s="5">
        <f>IFERROR(__xludf.DUMMYFUNCTION("GOOGLEFINANCE(C275,""changepct"")/100"),-0.0101)</f>
        <v>-0.0101</v>
      </c>
      <c r="H275" s="4">
        <f>IFERROR(__xludf.DUMMYFUNCTION("GOOGLEFINANCE(C275,""marketcap"")"),2.15999049261E11)</f>
        <v>215999049261</v>
      </c>
    </row>
    <row r="276">
      <c r="A276" s="3" t="s">
        <v>580</v>
      </c>
      <c r="B276" s="3" t="s">
        <v>29</v>
      </c>
      <c r="C276" s="3" t="s">
        <v>581</v>
      </c>
      <c r="D276" s="3" t="s">
        <v>13</v>
      </c>
      <c r="E276">
        <f>IFERROR(__xludf.DUMMYFUNCTION("GOOGLEFINANCE(C276,""price"")"),58.65)</f>
        <v>58.65</v>
      </c>
      <c r="F276" s="4">
        <f>IFERROR(__xludf.DUMMYFUNCTION("GOOGLEFINANCE(C276,""change"")"),0.7)</f>
        <v>0.7</v>
      </c>
      <c r="G276" s="5">
        <f>IFERROR(__xludf.DUMMYFUNCTION("GOOGLEFINANCE(C276,""changepct"")/100"),0.0121)</f>
        <v>0.0121</v>
      </c>
      <c r="H276" s="4">
        <f>IFERROR(__xludf.DUMMYFUNCTION("GOOGLEFINANCE(C276,""marketcap"")"),4.692714479E10)</f>
        <v>46927144790</v>
      </c>
    </row>
    <row r="277">
      <c r="A277" s="3" t="s">
        <v>582</v>
      </c>
      <c r="B277" s="3" t="s">
        <v>11</v>
      </c>
      <c r="C277" s="3" t="s">
        <v>583</v>
      </c>
      <c r="D277" s="3" t="s">
        <v>13</v>
      </c>
      <c r="E277">
        <f>IFERROR(__xludf.DUMMYFUNCTION("GOOGLEFINANCE(C277,""price"")"),484.95)</f>
        <v>484.95</v>
      </c>
      <c r="F277" s="4">
        <f>IFERROR(__xludf.DUMMYFUNCTION("GOOGLEFINANCE(C277,""change"")"),-0.25)</f>
        <v>-0.25</v>
      </c>
      <c r="G277" s="5">
        <f>IFERROR(__xludf.DUMMYFUNCTION("GOOGLEFINANCE(C277,""changepct"")/100"),-5.0E-4)</f>
        <v>-0.0005</v>
      </c>
      <c r="H277" s="4">
        <f>IFERROR(__xludf.DUMMYFUNCTION("GOOGLEFINANCE(C277,""marketcap"")"),2.7858515993E10)</f>
        <v>27858515993</v>
      </c>
    </row>
    <row r="278">
      <c r="A278" s="3" t="s">
        <v>584</v>
      </c>
      <c r="B278" s="3" t="s">
        <v>44</v>
      </c>
      <c r="C278" s="3" t="s">
        <v>585</v>
      </c>
      <c r="D278" s="3" t="s">
        <v>13</v>
      </c>
      <c r="E278">
        <f>IFERROR(__xludf.DUMMYFUNCTION("GOOGLEFINANCE(C278,""price"")"),458.0)</f>
        <v>458</v>
      </c>
      <c r="F278" s="4">
        <f>IFERROR(__xludf.DUMMYFUNCTION("GOOGLEFINANCE(C278,""change"")"),-13.5)</f>
        <v>-13.5</v>
      </c>
      <c r="G278" s="5">
        <f>IFERROR(__xludf.DUMMYFUNCTION("GOOGLEFINANCE(C278,""changepct"")/100"),-0.0286)</f>
        <v>-0.0286</v>
      </c>
      <c r="H278" s="4">
        <f>IFERROR(__xludf.DUMMYFUNCTION("GOOGLEFINANCE(C278,""marketcap"")"),1.177464414E11)</f>
        <v>117746441400</v>
      </c>
    </row>
    <row r="279">
      <c r="A279" s="3" t="s">
        <v>586</v>
      </c>
      <c r="B279" s="3" t="s">
        <v>29</v>
      </c>
      <c r="C279" s="3" t="s">
        <v>587</v>
      </c>
      <c r="D279" s="3" t="s">
        <v>22</v>
      </c>
      <c r="E279">
        <f>IFERROR(__xludf.DUMMYFUNCTION("GOOGLEFINANCE(C279,""price"")"),1814.0)</f>
        <v>1814</v>
      </c>
      <c r="F279" s="4">
        <f>IFERROR(__xludf.DUMMYFUNCTION("GOOGLEFINANCE(C279,""change"")"),-14.5)</f>
        <v>-14.5</v>
      </c>
      <c r="G279" s="5">
        <f>IFERROR(__xludf.DUMMYFUNCTION("GOOGLEFINANCE(C279,""changepct"")/100"),-0.0079)</f>
        <v>-0.0079</v>
      </c>
      <c r="H279" s="4">
        <f>IFERROR(__xludf.DUMMYFUNCTION("GOOGLEFINANCE(C279,""marketcap"")"),3.600848329096E12)</f>
        <v>3600848329096</v>
      </c>
    </row>
    <row r="280">
      <c r="A280" s="3" t="s">
        <v>588</v>
      </c>
      <c r="B280" s="3" t="s">
        <v>29</v>
      </c>
      <c r="C280" s="3" t="s">
        <v>589</v>
      </c>
      <c r="D280" s="3" t="s">
        <v>22</v>
      </c>
      <c r="E280">
        <f>IFERROR(__xludf.DUMMYFUNCTION("GOOGLEFINANCE(C280,""price"")"),75.1)</f>
        <v>75.1</v>
      </c>
      <c r="F280" s="4">
        <f>IFERROR(__xludf.DUMMYFUNCTION("GOOGLEFINANCE(C280,""change"")"),0.85)</f>
        <v>0.85</v>
      </c>
      <c r="G280" s="5">
        <f>IFERROR(__xludf.DUMMYFUNCTION("GOOGLEFINANCE(C280,""changepct"")/100"),0.011399999999999999)</f>
        <v>0.0114</v>
      </c>
      <c r="H280" s="4">
        <f>IFERROR(__xludf.DUMMYFUNCTION("GOOGLEFINANCE(C280,""marketcap"")"),1.85952743461E11)</f>
        <v>185952743461</v>
      </c>
    </row>
    <row r="281">
      <c r="A281" s="3" t="s">
        <v>590</v>
      </c>
      <c r="B281" s="3" t="s">
        <v>47</v>
      </c>
      <c r="C281" s="3" t="s">
        <v>591</v>
      </c>
      <c r="D281" s="3" t="s">
        <v>22</v>
      </c>
      <c r="E281">
        <f>IFERROR(__xludf.DUMMYFUNCTION("GOOGLEFINANCE(C281,""price"")"),3508.0)</f>
        <v>3508</v>
      </c>
      <c r="F281" s="4">
        <f>IFERROR(__xludf.DUMMYFUNCTION("GOOGLEFINANCE(C281,""change"")"),108.5)</f>
        <v>108.5</v>
      </c>
      <c r="G281" s="5">
        <f>IFERROR(__xludf.DUMMYFUNCTION("GOOGLEFINANCE(C281,""changepct"")/100"),0.0319)</f>
        <v>0.0319</v>
      </c>
      <c r="H281" s="4">
        <f>IFERROR(__xludf.DUMMYFUNCTION("GOOGLEFINANCE(C281,""marketcap"")"),3.7060415097E11)</f>
        <v>370604150970</v>
      </c>
    </row>
    <row r="282">
      <c r="A282" s="3" t="s">
        <v>592</v>
      </c>
      <c r="B282" s="3" t="s">
        <v>29</v>
      </c>
      <c r="C282" s="3" t="s">
        <v>593</v>
      </c>
      <c r="D282" s="3" t="s">
        <v>22</v>
      </c>
      <c r="E282">
        <f>IFERROR(__xludf.DUMMYFUNCTION("GOOGLEFINANCE(C282,""price"")"),384.3)</f>
        <v>384.3</v>
      </c>
      <c r="F282" s="4">
        <f>IFERROR(__xludf.DUMMYFUNCTION("GOOGLEFINANCE(C282,""change"")"),1.55)</f>
        <v>1.55</v>
      </c>
      <c r="G282" s="5">
        <f>IFERROR(__xludf.DUMMYFUNCTION("GOOGLEFINANCE(C282,""changepct"")/100"),0.004)</f>
        <v>0.004</v>
      </c>
      <c r="H282" s="4">
        <f>IFERROR(__xludf.DUMMYFUNCTION("GOOGLEFINANCE(C282,""marketcap"")"),2.11389165755E11)</f>
        <v>211389165755</v>
      </c>
    </row>
    <row r="283">
      <c r="A283" s="3" t="s">
        <v>594</v>
      </c>
      <c r="B283" s="3" t="s">
        <v>11</v>
      </c>
      <c r="C283" s="3" t="s">
        <v>595</v>
      </c>
      <c r="D283" s="3" t="s">
        <v>13</v>
      </c>
      <c r="E283">
        <f>IFERROR(__xludf.DUMMYFUNCTION("GOOGLEFINANCE(C283,""price"")"),290.55)</f>
        <v>290.55</v>
      </c>
      <c r="F283" s="4">
        <f>IFERROR(__xludf.DUMMYFUNCTION("GOOGLEFINANCE(C283,""change"")"),-5.6)</f>
        <v>-5.6</v>
      </c>
      <c r="G283" s="5">
        <f>IFERROR(__xludf.DUMMYFUNCTION("GOOGLEFINANCE(C283,""changepct"")/100"),-0.0189)</f>
        <v>-0.0189</v>
      </c>
      <c r="H283" s="4">
        <f>IFERROR(__xludf.DUMMYFUNCTION("GOOGLEFINANCE(C283,""marketcap"")"),3.2239763371E10)</f>
        <v>32239763371</v>
      </c>
    </row>
    <row r="284">
      <c r="A284" s="3" t="s">
        <v>596</v>
      </c>
      <c r="B284" s="3" t="s">
        <v>15</v>
      </c>
      <c r="C284" s="3" t="s">
        <v>597</v>
      </c>
      <c r="D284" s="3" t="s">
        <v>13</v>
      </c>
      <c r="E284">
        <f>IFERROR(__xludf.DUMMYFUNCTION("GOOGLEFINANCE(C284,""price"")"),10416.0)</f>
        <v>10416</v>
      </c>
      <c r="F284" s="4">
        <f>IFERROR(__xludf.DUMMYFUNCTION("GOOGLEFINANCE(C284,""change"")"),50.3)</f>
        <v>50.3</v>
      </c>
      <c r="G284" s="5">
        <f>IFERROR(__xludf.DUMMYFUNCTION("GOOGLEFINANCE(C284,""changepct"")/100"),0.0049)</f>
        <v>0.0049</v>
      </c>
      <c r="H284" s="4">
        <f>IFERROR(__xludf.DUMMYFUNCTION("GOOGLEFINANCE(C284,""marketcap"")"),1.11725E11)</f>
        <v>111725000000</v>
      </c>
    </row>
    <row r="285">
      <c r="A285" s="3" t="s">
        <v>598</v>
      </c>
      <c r="B285" s="3" t="s">
        <v>64</v>
      </c>
      <c r="C285" s="3" t="s">
        <v>599</v>
      </c>
      <c r="D285" s="3" t="s">
        <v>22</v>
      </c>
      <c r="E285">
        <f>IFERROR(__xludf.DUMMYFUNCTION("GOOGLEFINANCE(C285,""price"")"),4722.0)</f>
        <v>4722</v>
      </c>
      <c r="F285" s="4">
        <f>IFERROR(__xludf.DUMMYFUNCTION("GOOGLEFINANCE(C285,""change"")"),72.9)</f>
        <v>72.9</v>
      </c>
      <c r="G285" s="5">
        <f>IFERROR(__xludf.DUMMYFUNCTION("GOOGLEFINANCE(C285,""changepct"")/100"),0.015700000000000002)</f>
        <v>0.0157</v>
      </c>
      <c r="H285" s="4">
        <f>IFERROR(__xludf.DUMMYFUNCTION("GOOGLEFINANCE(C285,""marketcap"")"),8.29537883737E11)</f>
        <v>829537883737</v>
      </c>
    </row>
    <row r="286">
      <c r="A286" s="3" t="s">
        <v>600</v>
      </c>
      <c r="B286" s="3" t="s">
        <v>100</v>
      </c>
      <c r="C286" s="3" t="s">
        <v>601</v>
      </c>
      <c r="D286" s="3" t="s">
        <v>22</v>
      </c>
      <c r="E286">
        <f>IFERROR(__xludf.DUMMYFUNCTION("GOOGLEFINANCE(C286,""price"")"),1804.05)</f>
        <v>1804.05</v>
      </c>
      <c r="F286" s="4">
        <f>IFERROR(__xludf.DUMMYFUNCTION("GOOGLEFINANCE(C286,""change"")"),2.8)</f>
        <v>2.8</v>
      </c>
      <c r="G286" s="5">
        <f>IFERROR(__xludf.DUMMYFUNCTION("GOOGLEFINANCE(C286,""changepct"")/100"),0.0016)</f>
        <v>0.0016</v>
      </c>
      <c r="H286" s="4">
        <f>IFERROR(__xludf.DUMMYFUNCTION("GOOGLEFINANCE(C286,""marketcap"")"),2.539316255945E12)</f>
        <v>2539316255945</v>
      </c>
    </row>
    <row r="287">
      <c r="A287" s="3" t="s">
        <v>602</v>
      </c>
      <c r="B287" s="3" t="s">
        <v>32</v>
      </c>
      <c r="C287" s="3" t="s">
        <v>603</v>
      </c>
      <c r="D287" s="3" t="s">
        <v>13</v>
      </c>
      <c r="E287">
        <f>IFERROR(__xludf.DUMMYFUNCTION("GOOGLEFINANCE(C287,""price"")"),521.05)</f>
        <v>521.05</v>
      </c>
      <c r="F287" s="4">
        <f>IFERROR(__xludf.DUMMYFUNCTION("GOOGLEFINANCE(C287,""change"")"),-4.2)</f>
        <v>-4.2</v>
      </c>
      <c r="G287" s="5">
        <f>IFERROR(__xludf.DUMMYFUNCTION("GOOGLEFINANCE(C287,""changepct"")/100"),-0.008)</f>
        <v>-0.008</v>
      </c>
      <c r="H287" s="4">
        <f>IFERROR(__xludf.DUMMYFUNCTION("GOOGLEFINANCE(C287,""marketcap"")"),2.80522339275E11)</f>
        <v>280522339275</v>
      </c>
    </row>
    <row r="288">
      <c r="A288" s="3" t="s">
        <v>604</v>
      </c>
      <c r="B288" s="3" t="s">
        <v>57</v>
      </c>
      <c r="C288" s="3" t="s">
        <v>605</v>
      </c>
      <c r="D288" s="3" t="s">
        <v>13</v>
      </c>
      <c r="E288">
        <f>IFERROR(__xludf.DUMMYFUNCTION("GOOGLEFINANCE(C288,""price"")"),65.95)</f>
        <v>65.95</v>
      </c>
      <c r="F288" s="4">
        <f>IFERROR(__xludf.DUMMYFUNCTION("GOOGLEFINANCE(C288,""change"")"),-0.45)</f>
        <v>-0.45</v>
      </c>
      <c r="G288" s="5">
        <f>IFERROR(__xludf.DUMMYFUNCTION("GOOGLEFINANCE(C288,""changepct"")/100"),-0.0068000000000000005)</f>
        <v>-0.0068</v>
      </c>
      <c r="H288" s="4">
        <f>IFERROR(__xludf.DUMMYFUNCTION("GOOGLEFINANCE(C288,""marketcap"")"),5.2106419898E10)</f>
        <v>52106419898</v>
      </c>
    </row>
    <row r="289">
      <c r="A289" s="3" t="s">
        <v>606</v>
      </c>
      <c r="B289" s="3" t="s">
        <v>35</v>
      </c>
      <c r="C289" s="3" t="s">
        <v>607</v>
      </c>
      <c r="D289" s="3" t="s">
        <v>13</v>
      </c>
      <c r="E289">
        <f>IFERROR(__xludf.DUMMYFUNCTION("GOOGLEFINANCE(C289,""price"")"),3650.0)</f>
        <v>3650</v>
      </c>
      <c r="F289" s="4">
        <f>IFERROR(__xludf.DUMMYFUNCTION("GOOGLEFINANCE(C289,""change"")"),49.9)</f>
        <v>49.9</v>
      </c>
      <c r="G289" s="5">
        <f>IFERROR(__xludf.DUMMYFUNCTION("GOOGLEFINANCE(C289,""changepct"")/100"),0.0139)</f>
        <v>0.0139</v>
      </c>
      <c r="H289" s="4">
        <f>IFERROR(__xludf.DUMMYFUNCTION("GOOGLEFINANCE(C289,""marketcap"")"),3.10239066365E11)</f>
        <v>310239066365</v>
      </c>
    </row>
    <row r="290">
      <c r="A290" s="3" t="s">
        <v>608</v>
      </c>
      <c r="B290" s="3" t="s">
        <v>32</v>
      </c>
      <c r="C290" s="3" t="s">
        <v>609</v>
      </c>
      <c r="D290" s="3" t="s">
        <v>22</v>
      </c>
      <c r="E290">
        <f>IFERROR(__xludf.DUMMYFUNCTION("GOOGLEFINANCE(C290,""price"")"),641.8)</f>
        <v>641.8</v>
      </c>
      <c r="F290" s="4">
        <f>IFERROR(__xludf.DUMMYFUNCTION("GOOGLEFINANCE(C290,""change"")"),0.2)</f>
        <v>0.2</v>
      </c>
      <c r="G290" s="5">
        <f>IFERROR(__xludf.DUMMYFUNCTION("GOOGLEFINANCE(C290,""changepct"")/100"),3.0E-4)</f>
        <v>0.0003</v>
      </c>
      <c r="H290" s="4">
        <f>IFERROR(__xludf.DUMMYFUNCTION("GOOGLEFINANCE(C290,""marketcap"")"),2.93175624507E11)</f>
        <v>293175624507</v>
      </c>
    </row>
    <row r="291">
      <c r="A291" s="3" t="s">
        <v>610</v>
      </c>
      <c r="B291" s="3" t="s">
        <v>79</v>
      </c>
      <c r="C291" s="3" t="s">
        <v>611</v>
      </c>
      <c r="D291" s="3" t="s">
        <v>13</v>
      </c>
      <c r="E291">
        <f>IFERROR(__xludf.DUMMYFUNCTION("GOOGLEFINANCE(C291,""price"")"),1855.0)</f>
        <v>1855</v>
      </c>
      <c r="F291" s="4">
        <f>IFERROR(__xludf.DUMMYFUNCTION("GOOGLEFINANCE(C291,""change"")"),12.9)</f>
        <v>12.9</v>
      </c>
      <c r="G291" s="5">
        <f>IFERROR(__xludf.DUMMYFUNCTION("GOOGLEFINANCE(C291,""changepct"")/100"),0.006999999999999999)</f>
        <v>0.007</v>
      </c>
      <c r="H291" s="4">
        <f>IFERROR(__xludf.DUMMYFUNCTION("GOOGLEFINANCE(C291,""marketcap"")"),5.5739250891E10)</f>
        <v>55739250891</v>
      </c>
    </row>
    <row r="292">
      <c r="A292" s="3" t="s">
        <v>612</v>
      </c>
      <c r="B292" s="3" t="s">
        <v>29</v>
      </c>
      <c r="C292" s="3" t="s">
        <v>613</v>
      </c>
      <c r="D292" s="3" t="s">
        <v>13</v>
      </c>
      <c r="E292">
        <f>IFERROR(__xludf.DUMMYFUNCTION("GOOGLEFINANCE(C292,""price"")"),543.0)</f>
        <v>543</v>
      </c>
      <c r="F292" s="4">
        <f>IFERROR(__xludf.DUMMYFUNCTION("GOOGLEFINANCE(C292,""change"")"),5.0)</f>
        <v>5</v>
      </c>
      <c r="G292" s="5">
        <f>IFERROR(__xludf.DUMMYFUNCTION("GOOGLEFINANCE(C292,""changepct"")/100"),0.009300000000000001)</f>
        <v>0.0093</v>
      </c>
      <c r="H292" s="4">
        <f>IFERROR(__xludf.DUMMYFUNCTION("GOOGLEFINANCE(C292,""marketcap"")"),2.95175E10)</f>
        <v>29517500000</v>
      </c>
    </row>
    <row r="293">
      <c r="A293" s="3" t="s">
        <v>614</v>
      </c>
      <c r="B293" s="3" t="s">
        <v>47</v>
      </c>
      <c r="C293" s="3" t="s">
        <v>615</v>
      </c>
      <c r="D293" s="3" t="s">
        <v>13</v>
      </c>
      <c r="E293">
        <f>IFERROR(__xludf.DUMMYFUNCTION("GOOGLEFINANCE(C293,""price"")"),40.05)</f>
        <v>40.05</v>
      </c>
      <c r="F293" s="4">
        <f>IFERROR(__xludf.DUMMYFUNCTION("GOOGLEFINANCE(C293,""change"")"),0.65)</f>
        <v>0.65</v>
      </c>
      <c r="G293" s="5">
        <f>IFERROR(__xludf.DUMMYFUNCTION("GOOGLEFINANCE(C293,""changepct"")/100"),0.0165)</f>
        <v>0.0165</v>
      </c>
      <c r="H293" s="4">
        <f>IFERROR(__xludf.DUMMYFUNCTION("GOOGLEFINANCE(C293,""marketcap"")"),6.0073074683E10)</f>
        <v>60073074683</v>
      </c>
    </row>
    <row r="294">
      <c r="A294" s="3" t="s">
        <v>616</v>
      </c>
      <c r="B294" s="3" t="s">
        <v>26</v>
      </c>
      <c r="C294" s="3" t="s">
        <v>617</v>
      </c>
      <c r="D294" s="3" t="s">
        <v>13</v>
      </c>
      <c r="E294">
        <f>IFERROR(__xludf.DUMMYFUNCTION("GOOGLEFINANCE(C294,""price"")"),156.7)</f>
        <v>156.7</v>
      </c>
      <c r="F294" s="4">
        <f>IFERROR(__xludf.DUMMYFUNCTION("GOOGLEFINANCE(C294,""change"")"),1.4)</f>
        <v>1.4</v>
      </c>
      <c r="G294" s="5">
        <f>IFERROR(__xludf.DUMMYFUNCTION("GOOGLEFINANCE(C294,""changepct"")/100"),0.009000000000000001)</f>
        <v>0.009</v>
      </c>
      <c r="H294" s="4">
        <f>IFERROR(__xludf.DUMMYFUNCTION("GOOGLEFINANCE(C294,""marketcap"")"),3.1886130219E10)</f>
        <v>31886130219</v>
      </c>
    </row>
    <row r="295">
      <c r="A295" s="3" t="s">
        <v>618</v>
      </c>
      <c r="B295" s="3" t="s">
        <v>82</v>
      </c>
      <c r="C295" s="3" t="s">
        <v>619</v>
      </c>
      <c r="D295" s="3" t="s">
        <v>22</v>
      </c>
      <c r="E295">
        <f>IFERROR(__xludf.DUMMYFUNCTION("GOOGLEFINANCE(C295,""price"")"),83560.0)</f>
        <v>83560</v>
      </c>
      <c r="F295" s="4">
        <f>IFERROR(__xludf.DUMMYFUNCTION("GOOGLEFINANCE(C295,""change"")"),513.5)</f>
        <v>513.5</v>
      </c>
      <c r="G295" s="5">
        <f>IFERROR(__xludf.DUMMYFUNCTION("GOOGLEFINANCE(C295,""changepct"")/100"),0.0062)</f>
        <v>0.0062</v>
      </c>
      <c r="H295" s="4">
        <f>IFERROR(__xludf.DUMMYFUNCTION("GOOGLEFINANCE(C295,""marketcap"")"),3.554848E11)</f>
        <v>355484800000</v>
      </c>
    </row>
    <row r="296">
      <c r="A296" s="3" t="s">
        <v>620</v>
      </c>
      <c r="B296" s="3" t="s">
        <v>50</v>
      </c>
      <c r="C296" s="3" t="s">
        <v>621</v>
      </c>
      <c r="D296" s="3" t="s">
        <v>22</v>
      </c>
      <c r="E296">
        <f>IFERROR(__xludf.DUMMYFUNCTION("GOOGLEFINANCE(C296,""price"")"),754.0)</f>
        <v>754</v>
      </c>
      <c r="F296" s="4">
        <f>IFERROR(__xludf.DUMMYFUNCTION("GOOGLEFINANCE(C296,""change"")"),6.35)</f>
        <v>6.35</v>
      </c>
      <c r="G296" s="5">
        <f>IFERROR(__xludf.DUMMYFUNCTION("GOOGLEFINANCE(C296,""changepct"")/100"),0.0085)</f>
        <v>0.0085</v>
      </c>
      <c r="H296" s="4">
        <f>IFERROR(__xludf.DUMMYFUNCTION("GOOGLEFINANCE(C296,""marketcap"")"),7.447843858E10)</f>
        <v>74478438580</v>
      </c>
    </row>
    <row r="297">
      <c r="A297" s="3" t="s">
        <v>622</v>
      </c>
      <c r="B297" s="3" t="s">
        <v>29</v>
      </c>
      <c r="C297" s="3" t="s">
        <v>623</v>
      </c>
      <c r="D297" s="3" t="s">
        <v>13</v>
      </c>
      <c r="E297">
        <f>IFERROR(__xludf.DUMMYFUNCTION("GOOGLEFINANCE(C297,""price"")"),3910.0)</f>
        <v>3910</v>
      </c>
      <c r="F297" s="4">
        <f>IFERROR(__xludf.DUMMYFUNCTION("GOOGLEFINANCE(C297,""change"")"),28.95)</f>
        <v>28.95</v>
      </c>
      <c r="G297" s="5">
        <f>IFERROR(__xludf.DUMMYFUNCTION("GOOGLEFINANCE(C297,""changepct"")/100"),0.0075)</f>
        <v>0.0075</v>
      </c>
      <c r="H297" s="4">
        <f>IFERROR(__xludf.DUMMYFUNCTION("GOOGLEFINANCE(C297,""marketcap"")"),4.4818709948E10)</f>
        <v>44818709948</v>
      </c>
    </row>
    <row r="298">
      <c r="A298" s="3" t="s">
        <v>624</v>
      </c>
      <c r="B298" s="3" t="s">
        <v>26</v>
      </c>
      <c r="C298" s="3" t="s">
        <v>625</v>
      </c>
      <c r="D298" s="3" t="s">
        <v>13</v>
      </c>
      <c r="E298">
        <f>IFERROR(__xludf.DUMMYFUNCTION("GOOGLEFINANCE(C298,""price"")"),731.45)</f>
        <v>731.45</v>
      </c>
      <c r="F298" s="4">
        <f>IFERROR(__xludf.DUMMYFUNCTION("GOOGLEFINANCE(C298,""change"")"),-5.95)</f>
        <v>-5.95</v>
      </c>
      <c r="G298" s="5">
        <f>IFERROR(__xludf.DUMMYFUNCTION("GOOGLEFINANCE(C298,""changepct"")/100"),-0.008100000000000001)</f>
        <v>-0.0081</v>
      </c>
      <c r="H298" s="4">
        <f>IFERROR(__xludf.DUMMYFUNCTION("GOOGLEFINANCE(C298,""marketcap"")"),4.8735801132E10)</f>
        <v>48735801132</v>
      </c>
    </row>
    <row r="299">
      <c r="A299" s="3" t="s">
        <v>626</v>
      </c>
      <c r="B299" s="3" t="s">
        <v>29</v>
      </c>
      <c r="C299" s="3" t="s">
        <v>627</v>
      </c>
      <c r="D299" s="3" t="s">
        <v>22</v>
      </c>
      <c r="E299">
        <f>IFERROR(__xludf.DUMMYFUNCTION("GOOGLEFINANCE(C299,""price"")"),186.8)</f>
        <v>186.8</v>
      </c>
      <c r="F299" s="4">
        <f>IFERROR(__xludf.DUMMYFUNCTION("GOOGLEFINANCE(C299,""change"")"),-10.4)</f>
        <v>-10.4</v>
      </c>
      <c r="G299" s="5">
        <f>IFERROR(__xludf.DUMMYFUNCTION("GOOGLEFINANCE(C299,""changepct"")/100"),-0.0527)</f>
        <v>-0.0527</v>
      </c>
      <c r="H299" s="4">
        <f>IFERROR(__xludf.DUMMYFUNCTION("GOOGLEFINANCE(C299,""marketcap"")"),2.30378949363E11)</f>
        <v>230378949363</v>
      </c>
    </row>
    <row r="300">
      <c r="A300" s="3" t="s">
        <v>628</v>
      </c>
      <c r="B300" s="3" t="s">
        <v>82</v>
      </c>
      <c r="C300" s="3" t="s">
        <v>629</v>
      </c>
      <c r="D300" s="3" t="s">
        <v>22</v>
      </c>
      <c r="E300">
        <f>IFERROR(__xludf.DUMMYFUNCTION("GOOGLEFINANCE(C300,""price"")"),1162.65)</f>
        <v>1162.65</v>
      </c>
      <c r="F300" s="4">
        <f>IFERROR(__xludf.DUMMYFUNCTION("GOOGLEFINANCE(C300,""change"")"),13.5)</f>
        <v>13.5</v>
      </c>
      <c r="G300" s="5">
        <f>IFERROR(__xludf.DUMMYFUNCTION("GOOGLEFINANCE(C300,""changepct"")/100"),0.011699999999999999)</f>
        <v>0.0117</v>
      </c>
      <c r="H300" s="4">
        <f>IFERROR(__xludf.DUMMYFUNCTION("GOOGLEFINANCE(C300,""marketcap"")"),1.39212667125E12)</f>
        <v>1392126671250</v>
      </c>
    </row>
    <row r="301">
      <c r="A301" s="3" t="s">
        <v>630</v>
      </c>
      <c r="B301" s="3" t="s">
        <v>15</v>
      </c>
      <c r="C301" s="3" t="s">
        <v>631</v>
      </c>
      <c r="D301" s="3" t="s">
        <v>13</v>
      </c>
      <c r="E301">
        <f>IFERROR(__xludf.DUMMYFUNCTION("GOOGLEFINANCE(C301,""price"")"),267.6)</f>
        <v>267.6</v>
      </c>
      <c r="F301" s="4">
        <f>IFERROR(__xludf.DUMMYFUNCTION("GOOGLEFINANCE(C301,""change"")"),10.0)</f>
        <v>10</v>
      </c>
      <c r="G301" s="5">
        <f>IFERROR(__xludf.DUMMYFUNCTION("GOOGLEFINANCE(C301,""changepct"")/100"),0.0388)</f>
        <v>0.0388</v>
      </c>
      <c r="H301" s="4">
        <f>IFERROR(__xludf.DUMMYFUNCTION("GOOGLEFINANCE(C301,""marketcap"")"),1.01456260714E11)</f>
        <v>101456260714</v>
      </c>
    </row>
    <row r="302">
      <c r="A302" s="3" t="s">
        <v>632</v>
      </c>
      <c r="B302" s="3" t="s">
        <v>57</v>
      </c>
      <c r="C302" s="3" t="s">
        <v>633</v>
      </c>
      <c r="D302" s="3" t="s">
        <v>13</v>
      </c>
      <c r="E302">
        <f>IFERROR(__xludf.DUMMYFUNCTION("GOOGLEFINANCE(C302,""price"")"),235.0)</f>
        <v>235</v>
      </c>
      <c r="F302" s="4">
        <f>IFERROR(__xludf.DUMMYFUNCTION("GOOGLEFINANCE(C302,""change"")"),1.75)</f>
        <v>1.75</v>
      </c>
      <c r="G302" s="5">
        <f>IFERROR(__xludf.DUMMYFUNCTION("GOOGLEFINANCE(C302,""changepct"")/100"),0.0075)</f>
        <v>0.0075</v>
      </c>
      <c r="H302" s="4">
        <f>IFERROR(__xludf.DUMMYFUNCTION("GOOGLEFINANCE(C302,""marketcap"")"),4.70442035E10)</f>
        <v>47044203500</v>
      </c>
    </row>
    <row r="303">
      <c r="A303" s="3" t="s">
        <v>634</v>
      </c>
      <c r="B303" s="3" t="s">
        <v>47</v>
      </c>
      <c r="C303" s="3" t="s">
        <v>635</v>
      </c>
      <c r="D303" s="3" t="s">
        <v>13</v>
      </c>
      <c r="E303">
        <f>IFERROR(__xludf.DUMMYFUNCTION("GOOGLEFINANCE(C303,""price"")"),466.0)</f>
        <v>466</v>
      </c>
      <c r="F303" s="4">
        <f>IFERROR(__xludf.DUMMYFUNCTION("GOOGLEFINANCE(C303,""change"")"),-8.0)</f>
        <v>-8</v>
      </c>
      <c r="G303" s="5">
        <f>IFERROR(__xludf.DUMMYFUNCTION("GOOGLEFINANCE(C303,""changepct"")/100"),-0.0169)</f>
        <v>-0.0169</v>
      </c>
      <c r="H303" s="4">
        <f>IFERROR(__xludf.DUMMYFUNCTION("GOOGLEFINANCE(C303,""marketcap"")"),3.346319326E10)</f>
        <v>33463193260</v>
      </c>
    </row>
    <row r="304">
      <c r="A304" s="3" t="s">
        <v>636</v>
      </c>
      <c r="B304" s="3" t="s">
        <v>29</v>
      </c>
      <c r="C304" s="3" t="s">
        <v>637</v>
      </c>
      <c r="D304" s="3" t="s">
        <v>22</v>
      </c>
      <c r="E304">
        <f>IFERROR(__xludf.DUMMYFUNCTION("GOOGLEFINANCE(C304,""price"")"),98.4)</f>
        <v>98.4</v>
      </c>
      <c r="F304" s="4">
        <f>IFERROR(__xludf.DUMMYFUNCTION("GOOGLEFINANCE(C304,""change"")"),1.15)</f>
        <v>1.15</v>
      </c>
      <c r="G304" s="5">
        <f>IFERROR(__xludf.DUMMYFUNCTION("GOOGLEFINANCE(C304,""changepct"")/100"),0.0118)</f>
        <v>0.0118</v>
      </c>
      <c r="H304" s="4">
        <f>IFERROR(__xludf.DUMMYFUNCTION("GOOGLEFINANCE(C304,""marketcap"")"),8.3289199385E10)</f>
        <v>83289199385</v>
      </c>
    </row>
    <row r="305">
      <c r="A305" s="3" t="s">
        <v>638</v>
      </c>
      <c r="B305" s="3" t="s">
        <v>50</v>
      </c>
      <c r="C305" s="3" t="s">
        <v>639</v>
      </c>
      <c r="D305" s="3" t="s">
        <v>13</v>
      </c>
      <c r="E305">
        <f>IFERROR(__xludf.DUMMYFUNCTION("GOOGLEFINANCE(C305,""price"")"),72.85)</f>
        <v>72.85</v>
      </c>
      <c r="F305" s="4">
        <f>IFERROR(__xludf.DUMMYFUNCTION("GOOGLEFINANCE(C305,""change"")"),-1.75)</f>
        <v>-1.75</v>
      </c>
      <c r="G305" s="5">
        <f>IFERROR(__xludf.DUMMYFUNCTION("GOOGLEFINANCE(C305,""changepct"")/100"),-0.0235)</f>
        <v>-0.0235</v>
      </c>
      <c r="H305" s="4">
        <f>IFERROR(__xludf.DUMMYFUNCTION("GOOGLEFINANCE(C305,""marketcap"")"),1.27414274141E11)</f>
        <v>127414274141</v>
      </c>
    </row>
    <row r="306">
      <c r="A306" s="3" t="s">
        <v>640</v>
      </c>
      <c r="B306" s="3" t="s">
        <v>11</v>
      </c>
      <c r="C306" s="3" t="s">
        <v>641</v>
      </c>
      <c r="D306" s="3" t="s">
        <v>22</v>
      </c>
      <c r="E306">
        <f>IFERROR(__xludf.DUMMYFUNCTION("GOOGLEFINANCE(C306,""price"")"),519.0)</f>
        <v>519</v>
      </c>
      <c r="F306" s="4">
        <f>IFERROR(__xludf.DUMMYFUNCTION("GOOGLEFINANCE(C306,""change"")"),4.5)</f>
        <v>4.5</v>
      </c>
      <c r="G306" s="5">
        <f>IFERROR(__xludf.DUMMYFUNCTION("GOOGLEFINANCE(C306,""changepct"")/100"),0.0087)</f>
        <v>0.0087</v>
      </c>
      <c r="H306" s="4">
        <f>IFERROR(__xludf.DUMMYFUNCTION("GOOGLEFINANCE(C306,""marketcap"")"),6.68667856078E11)</f>
        <v>668667856078</v>
      </c>
    </row>
    <row r="307">
      <c r="A307" s="3" t="s">
        <v>642</v>
      </c>
      <c r="B307" s="3" t="s">
        <v>82</v>
      </c>
      <c r="C307" s="3" t="s">
        <v>643</v>
      </c>
      <c r="D307" s="3" t="s">
        <v>22</v>
      </c>
      <c r="E307">
        <f>IFERROR(__xludf.DUMMYFUNCTION("GOOGLEFINANCE(C307,""price"")"),8766.0)</f>
        <v>8766</v>
      </c>
      <c r="F307" s="4">
        <f>IFERROR(__xludf.DUMMYFUNCTION("GOOGLEFINANCE(C307,""change"")"),44.95)</f>
        <v>44.95</v>
      </c>
      <c r="G307" s="5">
        <f>IFERROR(__xludf.DUMMYFUNCTION("GOOGLEFINANCE(C307,""changepct"")/100"),0.0052)</f>
        <v>0.0052</v>
      </c>
      <c r="H307" s="4">
        <f>IFERROR(__xludf.DUMMYFUNCTION("GOOGLEFINANCE(C307,""marketcap"")"),2.649384351141E12)</f>
        <v>2649384351141</v>
      </c>
    </row>
    <row r="308">
      <c r="A308" s="3" t="s">
        <v>644</v>
      </c>
      <c r="B308" s="3" t="s">
        <v>29</v>
      </c>
      <c r="C308" s="3" t="s">
        <v>645</v>
      </c>
      <c r="D308" s="3" t="s">
        <v>22</v>
      </c>
      <c r="E308">
        <f>IFERROR(__xludf.DUMMYFUNCTION("GOOGLEFINANCE(C308,""price"")"),856.95)</f>
        <v>856.95</v>
      </c>
      <c r="F308" s="4">
        <f>IFERROR(__xludf.DUMMYFUNCTION("GOOGLEFINANCE(C308,""change"")"),30.5)</f>
        <v>30.5</v>
      </c>
      <c r="G308" s="5">
        <f>IFERROR(__xludf.DUMMYFUNCTION("GOOGLEFINANCE(C308,""changepct"")/100"),0.0369)</f>
        <v>0.0369</v>
      </c>
      <c r="H308" s="4">
        <f>IFERROR(__xludf.DUMMYFUNCTION("GOOGLEFINANCE(C308,""marketcap"")"),2.96885E11)</f>
        <v>296885000000</v>
      </c>
    </row>
    <row r="309">
      <c r="A309" s="3" t="s">
        <v>646</v>
      </c>
      <c r="B309" s="3" t="s">
        <v>91</v>
      </c>
      <c r="C309" s="3" t="s">
        <v>647</v>
      </c>
      <c r="D309" s="3" t="s">
        <v>13</v>
      </c>
      <c r="E309">
        <f>IFERROR(__xludf.DUMMYFUNCTION("GOOGLEFINANCE(C309,""price"")"),367.15)</f>
        <v>367.15</v>
      </c>
      <c r="F309" s="4">
        <f>IFERROR(__xludf.DUMMYFUNCTION("GOOGLEFINANCE(C309,""change"")"),4.1)</f>
        <v>4.1</v>
      </c>
      <c r="G309" s="5">
        <f>IFERROR(__xludf.DUMMYFUNCTION("GOOGLEFINANCE(C309,""changepct"")/100"),0.0113)</f>
        <v>0.0113</v>
      </c>
      <c r="H309" s="4">
        <f>IFERROR(__xludf.DUMMYFUNCTION("GOOGLEFINANCE(C309,""marketcap"")"),3.56001264041E11)</f>
        <v>356001264041</v>
      </c>
    </row>
    <row r="310">
      <c r="A310" s="3" t="s">
        <v>648</v>
      </c>
      <c r="B310" s="3" t="s">
        <v>15</v>
      </c>
      <c r="C310" s="3" t="s">
        <v>649</v>
      </c>
      <c r="D310" s="3" t="s">
        <v>13</v>
      </c>
      <c r="E310">
        <f>IFERROR(__xludf.DUMMYFUNCTION("GOOGLEFINANCE(C310,""price"")"),278.0)</f>
        <v>278</v>
      </c>
      <c r="F310" s="4">
        <f>IFERROR(__xludf.DUMMYFUNCTION("GOOGLEFINANCE(C310,""change"")"),0.15)</f>
        <v>0.15</v>
      </c>
      <c r="G310" s="5">
        <f>IFERROR(__xludf.DUMMYFUNCTION("GOOGLEFINANCE(C310,""changepct"")/100"),5.0E-4)</f>
        <v>0.0005</v>
      </c>
      <c r="H310" s="4">
        <f>IFERROR(__xludf.DUMMYFUNCTION("GOOGLEFINANCE(C310,""marketcap"")"),5.6009885815E10)</f>
        <v>56009885815</v>
      </c>
    </row>
    <row r="311">
      <c r="A311" s="3" t="s">
        <v>650</v>
      </c>
      <c r="B311" s="3" t="s">
        <v>91</v>
      </c>
      <c r="C311" s="3" t="s">
        <v>651</v>
      </c>
      <c r="D311" s="3" t="s">
        <v>13</v>
      </c>
      <c r="E311">
        <f>IFERROR(__xludf.DUMMYFUNCTION("GOOGLEFINANCE(C311,""price"")"),1590.0)</f>
        <v>1590</v>
      </c>
      <c r="F311" s="4">
        <f>IFERROR(__xludf.DUMMYFUNCTION("GOOGLEFINANCE(C311,""change"")"),79.25)</f>
        <v>79.25</v>
      </c>
      <c r="G311" s="5">
        <f>IFERROR(__xludf.DUMMYFUNCTION("GOOGLEFINANCE(C311,""changepct"")/100"),0.0525)</f>
        <v>0.0525</v>
      </c>
      <c r="H311" s="4">
        <f>IFERROR(__xludf.DUMMYFUNCTION("GOOGLEFINANCE(C311,""marketcap"")"),8.09224246E10)</f>
        <v>80922424600</v>
      </c>
    </row>
    <row r="312">
      <c r="A312" s="3" t="s">
        <v>652</v>
      </c>
      <c r="B312" s="3" t="s">
        <v>64</v>
      </c>
      <c r="C312" s="3" t="s">
        <v>653</v>
      </c>
      <c r="D312" s="3" t="s">
        <v>22</v>
      </c>
      <c r="E312">
        <f>IFERROR(__xludf.DUMMYFUNCTION("GOOGLEFINANCE(C312,""price"")"),3412.0)</f>
        <v>3412</v>
      </c>
      <c r="F312" s="4">
        <f>IFERROR(__xludf.DUMMYFUNCTION("GOOGLEFINANCE(C312,""change"")"),86.6)</f>
        <v>86.6</v>
      </c>
      <c r="G312" s="5">
        <f>IFERROR(__xludf.DUMMYFUNCTION("GOOGLEFINANCE(C312,""changepct"")/100"),0.026000000000000002)</f>
        <v>0.026</v>
      </c>
      <c r="H312" s="4">
        <f>IFERROR(__xludf.DUMMYFUNCTION("GOOGLEFINANCE(C312,""marketcap"")"),5.62938086525E11)</f>
        <v>562938086525</v>
      </c>
    </row>
    <row r="313">
      <c r="A313" s="3" t="s">
        <v>654</v>
      </c>
      <c r="B313" s="3" t="s">
        <v>82</v>
      </c>
      <c r="C313" s="3" t="s">
        <v>655</v>
      </c>
      <c r="D313" s="3" t="s">
        <v>13</v>
      </c>
      <c r="E313">
        <f>IFERROR(__xludf.DUMMYFUNCTION("GOOGLEFINANCE(C313,""price"")"),222.35)</f>
        <v>222.35</v>
      </c>
      <c r="F313" s="4">
        <f>IFERROR(__xludf.DUMMYFUNCTION("GOOGLEFINANCE(C313,""change"")"),-5.55)</f>
        <v>-5.55</v>
      </c>
      <c r="G313" s="5">
        <f>IFERROR(__xludf.DUMMYFUNCTION("GOOGLEFINANCE(C313,""changepct"")/100"),-0.024399999999999998)</f>
        <v>-0.0244</v>
      </c>
      <c r="H313" s="4">
        <f>IFERROR(__xludf.DUMMYFUNCTION("GOOGLEFINANCE(C313,""marketcap"")"),5.2247293029E10)</f>
        <v>52247293029</v>
      </c>
    </row>
    <row r="314">
      <c r="A314" s="3" t="s">
        <v>656</v>
      </c>
      <c r="B314" s="3" t="s">
        <v>82</v>
      </c>
      <c r="C314" s="3" t="s">
        <v>657</v>
      </c>
      <c r="D314" s="3" t="s">
        <v>13</v>
      </c>
      <c r="E314">
        <f>IFERROR(__xludf.DUMMYFUNCTION("GOOGLEFINANCE(C314,""price"")"),509.6)</f>
        <v>509.6</v>
      </c>
      <c r="F314" s="4">
        <f>IFERROR(__xludf.DUMMYFUNCTION("GOOGLEFINANCE(C314,""change"")"),-2.75)</f>
        <v>-2.75</v>
      </c>
      <c r="G314" s="5">
        <f>IFERROR(__xludf.DUMMYFUNCTION("GOOGLEFINANCE(C314,""changepct"")/100"),-0.0054)</f>
        <v>-0.0054</v>
      </c>
      <c r="H314" s="4">
        <f>IFERROR(__xludf.DUMMYFUNCTION("GOOGLEFINANCE(C314,""marketcap"")"),2.91439564527E11)</f>
        <v>291439564527</v>
      </c>
    </row>
    <row r="315">
      <c r="A315" s="3" t="s">
        <v>658</v>
      </c>
      <c r="B315" s="3" t="s">
        <v>26</v>
      </c>
      <c r="C315" s="3" t="s">
        <v>659</v>
      </c>
      <c r="D315" s="3" t="s">
        <v>13</v>
      </c>
      <c r="E315">
        <f>IFERROR(__xludf.DUMMYFUNCTION("GOOGLEFINANCE(C315,""price"")"),168.5)</f>
        <v>168.5</v>
      </c>
      <c r="F315" s="4">
        <f>IFERROR(__xludf.DUMMYFUNCTION("GOOGLEFINANCE(C315,""change"")"),0.2)</f>
        <v>0.2</v>
      </c>
      <c r="G315" s="5">
        <f>IFERROR(__xludf.DUMMYFUNCTION("GOOGLEFINANCE(C315,""changepct"")/100"),0.0012)</f>
        <v>0.0012</v>
      </c>
      <c r="H315" s="4">
        <f>IFERROR(__xludf.DUMMYFUNCTION("GOOGLEFINANCE(C315,""marketcap"")"),3.1633542093E10)</f>
        <v>31633542093</v>
      </c>
    </row>
    <row r="316">
      <c r="A316" s="3" t="s">
        <v>660</v>
      </c>
      <c r="B316" s="3" t="s">
        <v>82</v>
      </c>
      <c r="C316" s="3" t="s">
        <v>661</v>
      </c>
      <c r="D316" s="3" t="s">
        <v>22</v>
      </c>
      <c r="E316" t="str">
        <f>IFERROR(__xludf.DUMMYFUNCTION("GOOGLEFINANCE(C316,""price"")"),"#N/A")</f>
        <v>#N/A</v>
      </c>
      <c r="F316" s="4" t="str">
        <f>IFERROR(__xludf.DUMMYFUNCTION("GOOGLEFINANCE(C316,""change"")"),"#N/A")</f>
        <v>#N/A</v>
      </c>
      <c r="G316" s="5" t="str">
        <f>IFERROR(__xludf.DUMMYFUNCTION("GOOGLEFINANCE(C316,""changepct"")/100"),"#N/A")</f>
        <v>#N/A</v>
      </c>
      <c r="H316" s="4" t="str">
        <f>IFERROR(__xludf.DUMMYFUNCTION("GOOGLEFINANCE(C316,""marketcap"")"),"#N/A")</f>
        <v>#N/A</v>
      </c>
    </row>
    <row r="317">
      <c r="A317" s="3" t="s">
        <v>662</v>
      </c>
      <c r="B317" s="3" t="s">
        <v>29</v>
      </c>
      <c r="C317" s="3" t="s">
        <v>663</v>
      </c>
      <c r="D317" s="3" t="s">
        <v>13</v>
      </c>
      <c r="E317">
        <f>IFERROR(__xludf.DUMMYFUNCTION("GOOGLEFINANCE(C317,""price"")"),763.0)</f>
        <v>763</v>
      </c>
      <c r="F317" s="4">
        <f>IFERROR(__xludf.DUMMYFUNCTION("GOOGLEFINANCE(C317,""change"")"),-12.9)</f>
        <v>-12.9</v>
      </c>
      <c r="G317" s="5">
        <f>IFERROR(__xludf.DUMMYFUNCTION("GOOGLEFINANCE(C317,""changepct"")/100"),-0.0166)</f>
        <v>-0.0166</v>
      </c>
      <c r="H317" s="4">
        <f>IFERROR(__xludf.DUMMYFUNCTION("GOOGLEFINANCE(C317,""marketcap"")"),1.137349927E11)</f>
        <v>113734992700</v>
      </c>
    </row>
    <row r="318">
      <c r="A318" s="3" t="s">
        <v>664</v>
      </c>
      <c r="B318" s="3" t="s">
        <v>64</v>
      </c>
      <c r="C318" s="3" t="s">
        <v>665</v>
      </c>
      <c r="D318" s="3" t="s">
        <v>22</v>
      </c>
      <c r="E318">
        <f>IFERROR(__xludf.DUMMYFUNCTION("GOOGLEFINANCE(C318,""price"")"),2311.0)</f>
        <v>2311</v>
      </c>
      <c r="F318" s="4">
        <f>IFERROR(__xludf.DUMMYFUNCTION("GOOGLEFINANCE(C318,""change"")"),74.8)</f>
        <v>74.8</v>
      </c>
      <c r="G318" s="5">
        <f>IFERROR(__xludf.DUMMYFUNCTION("GOOGLEFINANCE(C318,""changepct"")/100"),0.0334)</f>
        <v>0.0334</v>
      </c>
      <c r="H318" s="4">
        <f>IFERROR(__xludf.DUMMYFUNCTION("GOOGLEFINANCE(C318,""marketcap"")"),4.335149277E11)</f>
        <v>433514927700</v>
      </c>
    </row>
    <row r="319">
      <c r="A319" s="3" t="s">
        <v>666</v>
      </c>
      <c r="B319" s="3" t="s">
        <v>29</v>
      </c>
      <c r="C319" s="3" t="s">
        <v>667</v>
      </c>
      <c r="D319" s="3" t="s">
        <v>13</v>
      </c>
      <c r="E319">
        <f>IFERROR(__xludf.DUMMYFUNCTION("GOOGLEFINANCE(C319,""price"")"),1392.25)</f>
        <v>1392.25</v>
      </c>
      <c r="F319" s="4">
        <f>IFERROR(__xludf.DUMMYFUNCTION("GOOGLEFINANCE(C319,""change"")"),4.15)</f>
        <v>4.15</v>
      </c>
      <c r="G319" s="5">
        <f>IFERROR(__xludf.DUMMYFUNCTION("GOOGLEFINANCE(C319,""changepct"")/100"),0.003)</f>
        <v>0.003</v>
      </c>
      <c r="H319" s="4">
        <f>IFERROR(__xludf.DUMMYFUNCTION("GOOGLEFINANCE(C319,""marketcap"")"),7.1088309616E10)</f>
        <v>71088309616</v>
      </c>
    </row>
    <row r="320">
      <c r="A320" s="3" t="s">
        <v>668</v>
      </c>
      <c r="B320" s="3" t="s">
        <v>29</v>
      </c>
      <c r="C320" s="3" t="s">
        <v>669</v>
      </c>
      <c r="D320" s="3" t="s">
        <v>22</v>
      </c>
      <c r="E320">
        <f>IFERROR(__xludf.DUMMYFUNCTION("GOOGLEFINANCE(C320,""price"")"),1070.0)</f>
        <v>1070</v>
      </c>
      <c r="F320" s="4">
        <f>IFERROR(__xludf.DUMMYFUNCTION("GOOGLEFINANCE(C320,""change"")"),6.1)</f>
        <v>6.1</v>
      </c>
      <c r="G320" s="5">
        <f>IFERROR(__xludf.DUMMYFUNCTION("GOOGLEFINANCE(C320,""changepct"")/100"),0.005699999999999999)</f>
        <v>0.0057</v>
      </c>
      <c r="H320" s="4">
        <f>IFERROR(__xludf.DUMMYFUNCTION("GOOGLEFINANCE(C320,""marketcap"")"),4.27645781057E11)</f>
        <v>427645781057</v>
      </c>
    </row>
    <row r="321">
      <c r="A321" s="3" t="s">
        <v>670</v>
      </c>
      <c r="B321" s="3" t="s">
        <v>32</v>
      </c>
      <c r="C321" s="3" t="s">
        <v>671</v>
      </c>
      <c r="D321" s="3" t="s">
        <v>13</v>
      </c>
      <c r="E321">
        <f>IFERROR(__xludf.DUMMYFUNCTION("GOOGLEFINANCE(C321,""price"")"),682.2)</f>
        <v>682.2</v>
      </c>
      <c r="F321" s="4">
        <f>IFERROR(__xludf.DUMMYFUNCTION("GOOGLEFINANCE(C321,""change"")"),1.4)</f>
        <v>1.4</v>
      </c>
      <c r="G321" s="5">
        <f>IFERROR(__xludf.DUMMYFUNCTION("GOOGLEFINANCE(C321,""changepct"")/100"),0.0021)</f>
        <v>0.0021</v>
      </c>
      <c r="H321" s="4">
        <f>IFERROR(__xludf.DUMMYFUNCTION("GOOGLEFINANCE(C321,""marketcap"")"),1.24540524068E11)</f>
        <v>124540524068</v>
      </c>
    </row>
    <row r="322">
      <c r="A322" s="3" t="s">
        <v>672</v>
      </c>
      <c r="B322" s="3" t="s">
        <v>100</v>
      </c>
      <c r="C322" s="3" t="s">
        <v>673</v>
      </c>
      <c r="D322" s="3" t="s">
        <v>13</v>
      </c>
      <c r="E322">
        <f>IFERROR(__xludf.DUMMYFUNCTION("GOOGLEFINANCE(C322,""price"")"),32.95)</f>
        <v>32.95</v>
      </c>
      <c r="F322" s="4">
        <f>IFERROR(__xludf.DUMMYFUNCTION("GOOGLEFINANCE(C322,""change"")"),0.45)</f>
        <v>0.45</v>
      </c>
      <c r="G322" s="5">
        <f>IFERROR(__xludf.DUMMYFUNCTION("GOOGLEFINANCE(C322,""changepct"")/100"),0.0138)</f>
        <v>0.0138</v>
      </c>
      <c r="H322" s="4">
        <f>IFERROR(__xludf.DUMMYFUNCTION("GOOGLEFINANCE(C322,""marketcap"")"),5.9220002746E10)</f>
        <v>59220002746</v>
      </c>
    </row>
    <row r="323">
      <c r="A323" s="3" t="s">
        <v>674</v>
      </c>
      <c r="B323" s="3" t="s">
        <v>100</v>
      </c>
      <c r="C323" s="3" t="s">
        <v>675</v>
      </c>
      <c r="D323" s="3" t="s">
        <v>13</v>
      </c>
      <c r="E323">
        <f>IFERROR(__xludf.DUMMYFUNCTION("GOOGLEFINANCE(C323,""price"")"),58.65)</f>
        <v>58.65</v>
      </c>
      <c r="F323" s="4">
        <f>IFERROR(__xludf.DUMMYFUNCTION("GOOGLEFINANCE(C323,""change"")"),0.8)</f>
        <v>0.8</v>
      </c>
      <c r="G323" s="5">
        <f>IFERROR(__xludf.DUMMYFUNCTION("GOOGLEFINANCE(C323,""changepct"")/100"),0.0138)</f>
        <v>0.0138</v>
      </c>
      <c r="H323" s="4">
        <f>IFERROR(__xludf.DUMMYFUNCTION("GOOGLEFINANCE(C323,""marketcap"")"),3.6791803941E10)</f>
        <v>36791803941</v>
      </c>
    </row>
    <row r="324">
      <c r="A324" s="3" t="s">
        <v>676</v>
      </c>
      <c r="B324" s="3" t="s">
        <v>47</v>
      </c>
      <c r="C324" s="3" t="s">
        <v>677</v>
      </c>
      <c r="D324" s="3" t="s">
        <v>13</v>
      </c>
      <c r="E324">
        <f>IFERROR(__xludf.DUMMYFUNCTION("GOOGLEFINANCE(C324,""price"")"),593.0)</f>
        <v>593</v>
      </c>
      <c r="F324" s="4">
        <f>IFERROR(__xludf.DUMMYFUNCTION("GOOGLEFINANCE(C324,""change"")"),23.25)</f>
        <v>23.25</v>
      </c>
      <c r="G324" s="5">
        <f>IFERROR(__xludf.DUMMYFUNCTION("GOOGLEFINANCE(C324,""changepct"")/100"),0.0408)</f>
        <v>0.0408</v>
      </c>
      <c r="H324" s="4">
        <f>IFERROR(__xludf.DUMMYFUNCTION("GOOGLEFINANCE(C324,""marketcap"")"),4.1910622649E10)</f>
        <v>41910622649</v>
      </c>
    </row>
    <row r="325">
      <c r="A325" s="3" t="s">
        <v>678</v>
      </c>
      <c r="B325" s="3" t="s">
        <v>44</v>
      </c>
      <c r="C325" s="3" t="s">
        <v>679</v>
      </c>
      <c r="D325" s="3" t="s">
        <v>13</v>
      </c>
      <c r="E325">
        <f>IFERROR(__xludf.DUMMYFUNCTION("GOOGLEFINANCE(C325,""price"")"),34.25)</f>
        <v>34.25</v>
      </c>
      <c r="F325" s="4">
        <f>IFERROR(__xludf.DUMMYFUNCTION("GOOGLEFINANCE(C325,""change"")"),0.55)</f>
        <v>0.55</v>
      </c>
      <c r="G325" s="5">
        <f>IFERROR(__xludf.DUMMYFUNCTION("GOOGLEFINANCE(C325,""changepct"")/100"),0.0163)</f>
        <v>0.0163</v>
      </c>
      <c r="H325" s="4">
        <f>IFERROR(__xludf.DUMMYFUNCTION("GOOGLEFINANCE(C325,""marketcap"")"),3.43037789827E11)</f>
        <v>343037789827</v>
      </c>
    </row>
    <row r="326">
      <c r="A326" s="3" t="s">
        <v>680</v>
      </c>
      <c r="B326" s="3" t="s">
        <v>44</v>
      </c>
      <c r="C326" s="3" t="s">
        <v>681</v>
      </c>
      <c r="D326" s="3" t="s">
        <v>13</v>
      </c>
      <c r="E326">
        <f>IFERROR(__xludf.DUMMYFUNCTION("GOOGLEFINANCE(C326,""price"")"),67.9)</f>
        <v>67.9</v>
      </c>
      <c r="F326" s="4">
        <f>IFERROR(__xludf.DUMMYFUNCTION("GOOGLEFINANCE(C326,""change"")"),1.85)</f>
        <v>1.85</v>
      </c>
      <c r="G326" s="5">
        <f>IFERROR(__xludf.DUMMYFUNCTION("GOOGLEFINANCE(C326,""changepct"")/100"),0.027999999999999997)</f>
        <v>0.028</v>
      </c>
      <c r="H326" s="4">
        <f>IFERROR(__xludf.DUMMYFUNCTION("GOOGLEFINANCE(C326,""marketcap"")"),9.4220256E10)</f>
        <v>94220256000</v>
      </c>
    </row>
    <row r="327">
      <c r="A327" s="3" t="s">
        <v>682</v>
      </c>
      <c r="B327" s="3" t="s">
        <v>26</v>
      </c>
      <c r="C327" s="3" t="s">
        <v>683</v>
      </c>
      <c r="D327" s="3" t="s">
        <v>22</v>
      </c>
      <c r="E327">
        <f>IFERROR(__xludf.DUMMYFUNCTION("GOOGLEFINANCE(C327,""price"")"),107.75)</f>
        <v>107.75</v>
      </c>
      <c r="F327" s="4">
        <f>IFERROR(__xludf.DUMMYFUNCTION("GOOGLEFINANCE(C327,""change"")"),2.15)</f>
        <v>2.15</v>
      </c>
      <c r="G327" s="5">
        <f>IFERROR(__xludf.DUMMYFUNCTION("GOOGLEFINANCE(C327,""changepct"")/100"),0.0204)</f>
        <v>0.0204</v>
      </c>
      <c r="H327" s="4">
        <f>IFERROR(__xludf.DUMMYFUNCTION("GOOGLEFINANCE(C327,""marketcap"")"),3.15919227943E11)</f>
        <v>315919227943</v>
      </c>
    </row>
    <row r="328">
      <c r="A328" s="3" t="s">
        <v>684</v>
      </c>
      <c r="B328" s="3" t="s">
        <v>35</v>
      </c>
      <c r="C328" s="3" t="s">
        <v>685</v>
      </c>
      <c r="D328" s="3" t="s">
        <v>13</v>
      </c>
      <c r="E328">
        <f>IFERROR(__xludf.DUMMYFUNCTION("GOOGLEFINANCE(C328,""price"")"),275.35)</f>
        <v>275.35</v>
      </c>
      <c r="F328" s="4">
        <f>IFERROR(__xludf.DUMMYFUNCTION("GOOGLEFINANCE(C328,""change"")"),-11.5)</f>
        <v>-11.5</v>
      </c>
      <c r="G328" s="5">
        <f>IFERROR(__xludf.DUMMYFUNCTION("GOOGLEFINANCE(C328,""changepct"")/100"),-0.0401)</f>
        <v>-0.0401</v>
      </c>
      <c r="H328" s="4">
        <f>IFERROR(__xludf.DUMMYFUNCTION("GOOGLEFINANCE(C328,""marketcap"")"),4.6243713666E10)</f>
        <v>46243713666</v>
      </c>
    </row>
    <row r="329">
      <c r="A329" s="3" t="s">
        <v>686</v>
      </c>
      <c r="B329" s="3" t="s">
        <v>44</v>
      </c>
      <c r="C329" s="3" t="s">
        <v>687</v>
      </c>
      <c r="D329" s="3" t="s">
        <v>22</v>
      </c>
      <c r="E329">
        <f>IFERROR(__xludf.DUMMYFUNCTION("GOOGLEFINANCE(C329,""price"")"),152.85)</f>
        <v>152.85</v>
      </c>
      <c r="F329" s="4">
        <f>IFERROR(__xludf.DUMMYFUNCTION("GOOGLEFINANCE(C329,""change"")"),2.5)</f>
        <v>2.5</v>
      </c>
      <c r="G329" s="5">
        <f>IFERROR(__xludf.DUMMYFUNCTION("GOOGLEFINANCE(C329,""changepct"")/100"),0.0166)</f>
        <v>0.0166</v>
      </c>
      <c r="H329" s="4">
        <f>IFERROR(__xludf.DUMMYFUNCTION("GOOGLEFINANCE(C329,""marketcap"")"),1.482114989777E12)</f>
        <v>1482114989777</v>
      </c>
    </row>
    <row r="330">
      <c r="A330" s="3" t="s">
        <v>688</v>
      </c>
      <c r="B330" s="3" t="s">
        <v>91</v>
      </c>
      <c r="C330" s="3" t="s">
        <v>689</v>
      </c>
      <c r="D330" s="3" t="s">
        <v>13</v>
      </c>
      <c r="E330">
        <f>IFERROR(__xludf.DUMMYFUNCTION("GOOGLEFINANCE(C330,""price"")"),654.1)</f>
        <v>654.1</v>
      </c>
      <c r="F330" s="4">
        <f>IFERROR(__xludf.DUMMYFUNCTION("GOOGLEFINANCE(C330,""change"")"),-4.65)</f>
        <v>-4.65</v>
      </c>
      <c r="G330" s="5">
        <f>IFERROR(__xludf.DUMMYFUNCTION("GOOGLEFINANCE(C330,""changepct"")/100"),-0.0070999999999999995)</f>
        <v>-0.0071</v>
      </c>
      <c r="H330" s="4">
        <f>IFERROR(__xludf.DUMMYFUNCTION("GOOGLEFINANCE(C330,""marketcap"")"),1.337378E11)</f>
        <v>133737800000</v>
      </c>
    </row>
    <row r="331">
      <c r="A331" s="3" t="s">
        <v>690</v>
      </c>
      <c r="B331" s="3" t="s">
        <v>26</v>
      </c>
      <c r="C331" s="3" t="s">
        <v>691</v>
      </c>
      <c r="D331" s="3" t="s">
        <v>22</v>
      </c>
      <c r="E331">
        <f>IFERROR(__xludf.DUMMYFUNCTION("GOOGLEFINANCE(C331,""price"")"),77.9)</f>
        <v>77.9</v>
      </c>
      <c r="F331" s="4">
        <f>IFERROR(__xludf.DUMMYFUNCTION("GOOGLEFINANCE(C331,""change"")"),2.55)</f>
        <v>2.55</v>
      </c>
      <c r="G331" s="5">
        <f>IFERROR(__xludf.DUMMYFUNCTION("GOOGLEFINANCE(C331,""changepct"")/100"),0.0338)</f>
        <v>0.0338</v>
      </c>
      <c r="H331" s="4">
        <f>IFERROR(__xludf.DUMMYFUNCTION("GOOGLEFINANCE(C331,""marketcap"")"),1.42984191008E11)</f>
        <v>142984191008</v>
      </c>
    </row>
    <row r="332">
      <c r="A332" s="3" t="s">
        <v>692</v>
      </c>
      <c r="B332" s="3" t="s">
        <v>157</v>
      </c>
      <c r="C332" s="3" t="s">
        <v>693</v>
      </c>
      <c r="D332" s="3" t="s">
        <v>13</v>
      </c>
      <c r="E332">
        <f>IFERROR(__xludf.DUMMYFUNCTION("GOOGLEFINANCE(C332,""price"")"),45.9)</f>
        <v>45.9</v>
      </c>
      <c r="F332" s="4">
        <f>IFERROR(__xludf.DUMMYFUNCTION("GOOGLEFINANCE(C332,""change"")"),0.7)</f>
        <v>0.7</v>
      </c>
      <c r="G332" s="5">
        <f>IFERROR(__xludf.DUMMYFUNCTION("GOOGLEFINANCE(C332,""changepct"")/100"),0.0155)</f>
        <v>0.0155</v>
      </c>
      <c r="H332" s="4">
        <f>IFERROR(__xludf.DUMMYFUNCTION("GOOGLEFINANCE(C332,""marketcap"")"),2.2517544718E10)</f>
        <v>22517544718</v>
      </c>
    </row>
    <row r="333">
      <c r="A333" s="3" t="s">
        <v>694</v>
      </c>
      <c r="B333" s="3" t="s">
        <v>35</v>
      </c>
      <c r="C333" s="3" t="s">
        <v>695</v>
      </c>
      <c r="D333" s="3" t="s">
        <v>22</v>
      </c>
      <c r="E333">
        <f>IFERROR(__xludf.DUMMYFUNCTION("GOOGLEFINANCE(C333,""price"")"),4384.15)</f>
        <v>4384.15</v>
      </c>
      <c r="F333" s="4">
        <f>IFERROR(__xludf.DUMMYFUNCTION("GOOGLEFINANCE(C333,""change"")"),105.2)</f>
        <v>105.2</v>
      </c>
      <c r="G333" s="5">
        <f>IFERROR(__xludf.DUMMYFUNCTION("GOOGLEFINANCE(C333,""changepct"")/100"),0.0246)</f>
        <v>0.0246</v>
      </c>
      <c r="H333" s="4">
        <f>IFERROR(__xludf.DUMMYFUNCTION("GOOGLEFINANCE(C333,""marketcap"")"),2.17198499155E11)</f>
        <v>217198499155</v>
      </c>
    </row>
    <row r="334">
      <c r="A334" s="3" t="s">
        <v>696</v>
      </c>
      <c r="B334" s="3" t="s">
        <v>11</v>
      </c>
      <c r="C334" s="3" t="s">
        <v>697</v>
      </c>
      <c r="D334" s="3" t="s">
        <v>22</v>
      </c>
      <c r="E334">
        <f>IFERROR(__xludf.DUMMYFUNCTION("GOOGLEFINANCE(C334,""price"")"),19350.0)</f>
        <v>19350</v>
      </c>
      <c r="F334" s="4">
        <f>IFERROR(__xludf.DUMMYFUNCTION("GOOGLEFINANCE(C334,""change"")"),237.6)</f>
        <v>237.6</v>
      </c>
      <c r="G334" s="5">
        <f>IFERROR(__xludf.DUMMYFUNCTION("GOOGLEFINANCE(C334,""changepct"")/100"),0.0124)</f>
        <v>0.0124</v>
      </c>
      <c r="H334" s="4">
        <f>IFERROR(__xludf.DUMMYFUNCTION("GOOGLEFINANCE(C334,""marketcap"")"),1.866522E12)</f>
        <v>1866522000000</v>
      </c>
    </row>
    <row r="335">
      <c r="A335" s="3" t="s">
        <v>698</v>
      </c>
      <c r="B335" s="3" t="s">
        <v>286</v>
      </c>
      <c r="C335" s="3" t="s">
        <v>699</v>
      </c>
      <c r="D335" s="3" t="s">
        <v>13</v>
      </c>
      <c r="E335">
        <f>IFERROR(__xludf.DUMMYFUNCTION("GOOGLEFINANCE(C335,""price"")"),64.8)</f>
        <v>64.8</v>
      </c>
      <c r="F335" s="4">
        <f>IFERROR(__xludf.DUMMYFUNCTION("GOOGLEFINANCE(C335,""change"")"),-0.35)</f>
        <v>-0.35</v>
      </c>
      <c r="G335" s="5">
        <f>IFERROR(__xludf.DUMMYFUNCTION("GOOGLEFINANCE(C335,""changepct"")/100"),-0.0054)</f>
        <v>-0.0054</v>
      </c>
      <c r="H335" s="4">
        <f>IFERROR(__xludf.DUMMYFUNCTION("GOOGLEFINANCE(C335,""marketcap"")"),6.7842233595E10)</f>
        <v>67842233595</v>
      </c>
    </row>
    <row r="336">
      <c r="A336" s="3" t="s">
        <v>700</v>
      </c>
      <c r="B336" s="3" t="s">
        <v>15</v>
      </c>
      <c r="C336" s="3" t="s">
        <v>701</v>
      </c>
      <c r="D336" s="3" t="s">
        <v>13</v>
      </c>
      <c r="E336">
        <f>IFERROR(__xludf.DUMMYFUNCTION("GOOGLEFINANCE(C336,""price"")"),1985.0)</f>
        <v>1985</v>
      </c>
      <c r="F336" s="4">
        <f>IFERROR(__xludf.DUMMYFUNCTION("GOOGLEFINANCE(C336,""change"")"),30.65)</f>
        <v>30.65</v>
      </c>
      <c r="G336" s="5">
        <f>IFERROR(__xludf.DUMMYFUNCTION("GOOGLEFINANCE(C336,""changepct"")/100"),0.015700000000000002)</f>
        <v>0.0157</v>
      </c>
      <c r="H336" s="4">
        <f>IFERROR(__xludf.DUMMYFUNCTION("GOOGLEFINANCE(C336,""marketcap"")"),2.958764E10)</f>
        <v>29587640000</v>
      </c>
    </row>
    <row r="337">
      <c r="A337" s="3" t="s">
        <v>702</v>
      </c>
      <c r="B337" s="3" t="s">
        <v>29</v>
      </c>
      <c r="C337" s="3" t="s">
        <v>703</v>
      </c>
      <c r="D337" s="3" t="s">
        <v>22</v>
      </c>
      <c r="E337">
        <f>IFERROR(__xludf.DUMMYFUNCTION("GOOGLEFINANCE(C337,""price"")"),279.0)</f>
        <v>279</v>
      </c>
      <c r="F337" s="4">
        <f>IFERROR(__xludf.DUMMYFUNCTION("GOOGLEFINANCE(C337,""change"")"),-11.45)</f>
        <v>-11.45</v>
      </c>
      <c r="G337" s="5">
        <f>IFERROR(__xludf.DUMMYFUNCTION("GOOGLEFINANCE(C337,""changepct"")/100"),-0.0394)</f>
        <v>-0.0394</v>
      </c>
      <c r="H337" s="4">
        <f>IFERROR(__xludf.DUMMYFUNCTION("GOOGLEFINANCE(C337,""marketcap"")"),1.74088465523E11)</f>
        <v>174088465523</v>
      </c>
    </row>
    <row r="338">
      <c r="A338" s="3" t="s">
        <v>704</v>
      </c>
      <c r="B338" s="3" t="s">
        <v>100</v>
      </c>
      <c r="C338" s="3" t="s">
        <v>705</v>
      </c>
      <c r="D338" s="3" t="s">
        <v>13</v>
      </c>
      <c r="E338">
        <f>IFERROR(__xludf.DUMMYFUNCTION("GOOGLEFINANCE(C338,""price"")"),910.0)</f>
        <v>910</v>
      </c>
      <c r="F338" s="4">
        <f>IFERROR(__xludf.DUMMYFUNCTION("GOOGLEFINANCE(C338,""change"")"),12.5)</f>
        <v>12.5</v>
      </c>
      <c r="G338" s="5">
        <f>IFERROR(__xludf.DUMMYFUNCTION("GOOGLEFINANCE(C338,""changepct"")/100"),0.0139)</f>
        <v>0.0139</v>
      </c>
      <c r="H338" s="4">
        <f>IFERROR(__xludf.DUMMYFUNCTION("GOOGLEFINANCE(C338,""marketcap"")"),3.30878002E11)</f>
        <v>330878002000</v>
      </c>
    </row>
    <row r="339">
      <c r="A339" s="3" t="s">
        <v>706</v>
      </c>
      <c r="B339" s="3" t="s">
        <v>50</v>
      </c>
      <c r="C339" s="3" t="s">
        <v>707</v>
      </c>
      <c r="D339" s="3" t="s">
        <v>22</v>
      </c>
      <c r="E339">
        <f>IFERROR(__xludf.DUMMYFUNCTION("GOOGLEFINANCE(C339,""price"")"),134.2)</f>
        <v>134.2</v>
      </c>
      <c r="F339" s="4">
        <f>IFERROR(__xludf.DUMMYFUNCTION("GOOGLEFINANCE(C339,""change"")"),3.95)</f>
        <v>3.95</v>
      </c>
      <c r="G339" s="5">
        <f>IFERROR(__xludf.DUMMYFUNCTION("GOOGLEFINANCE(C339,""changepct"")/100"),0.030299999999999997)</f>
        <v>0.0303</v>
      </c>
      <c r="H339" s="4">
        <f>IFERROR(__xludf.DUMMYFUNCTION("GOOGLEFINANCE(C339,""marketcap"")"),1.687643143716E12)</f>
        <v>1687643143716</v>
      </c>
    </row>
    <row r="340">
      <c r="A340" s="3" t="s">
        <v>708</v>
      </c>
      <c r="B340" s="3" t="s">
        <v>50</v>
      </c>
      <c r="C340" s="3" t="s">
        <v>709</v>
      </c>
      <c r="D340" s="3" t="s">
        <v>13</v>
      </c>
      <c r="E340">
        <f>IFERROR(__xludf.DUMMYFUNCTION("GOOGLEFINANCE(C340,""price"")"),190.05)</f>
        <v>190.05</v>
      </c>
      <c r="F340" s="4">
        <f>IFERROR(__xludf.DUMMYFUNCTION("GOOGLEFINANCE(C340,""change"")"),3.45)</f>
        <v>3.45</v>
      </c>
      <c r="G340" s="5">
        <f>IFERROR(__xludf.DUMMYFUNCTION("GOOGLEFINANCE(C340,""changepct"")/100"),0.018500000000000003)</f>
        <v>0.0185</v>
      </c>
      <c r="H340" s="4">
        <f>IFERROR(__xludf.DUMMYFUNCTION("GOOGLEFINANCE(C340,""marketcap"")"),2.06315697132E11)</f>
        <v>206315697132</v>
      </c>
    </row>
    <row r="341">
      <c r="A341" s="3" t="s">
        <v>710</v>
      </c>
      <c r="B341" s="3" t="s">
        <v>64</v>
      </c>
      <c r="C341" s="3" t="s">
        <v>711</v>
      </c>
      <c r="D341" s="3" t="s">
        <v>13</v>
      </c>
      <c r="E341">
        <f>IFERROR(__xludf.DUMMYFUNCTION("GOOGLEFINANCE(C341,""price"")"),3146.9)</f>
        <v>3146.9</v>
      </c>
      <c r="F341" s="4">
        <f>IFERROR(__xludf.DUMMYFUNCTION("GOOGLEFINANCE(C341,""change"")"),44.3)</f>
        <v>44.3</v>
      </c>
      <c r="G341" s="5">
        <f>IFERROR(__xludf.DUMMYFUNCTION("GOOGLEFINANCE(C341,""changepct"")/100"),0.0143)</f>
        <v>0.0143</v>
      </c>
      <c r="H341" s="4">
        <f>IFERROR(__xludf.DUMMYFUNCTION("GOOGLEFINANCE(C341,""marketcap"")"),2.7140437821E11)</f>
        <v>271404378210</v>
      </c>
    </row>
    <row r="342">
      <c r="A342" s="3" t="s">
        <v>712</v>
      </c>
      <c r="B342" s="3" t="s">
        <v>11</v>
      </c>
      <c r="C342" s="3" t="s">
        <v>713</v>
      </c>
      <c r="D342" s="3" t="s">
        <v>13</v>
      </c>
      <c r="E342">
        <f>IFERROR(__xludf.DUMMYFUNCTION("GOOGLEFINANCE(C342,""price"")"),260.0)</f>
        <v>260</v>
      </c>
      <c r="F342" s="4">
        <f>IFERROR(__xludf.DUMMYFUNCTION("GOOGLEFINANCE(C342,""change"")"),-0.7)</f>
        <v>-0.7</v>
      </c>
      <c r="G342" s="5">
        <f>IFERROR(__xludf.DUMMYFUNCTION("GOOGLEFINANCE(C342,""changepct"")/100"),-0.0027)</f>
        <v>-0.0027</v>
      </c>
      <c r="H342" s="4">
        <f>IFERROR(__xludf.DUMMYFUNCTION("GOOGLEFINANCE(C342,""marketcap"")"),5.5168204E10)</f>
        <v>55168204000</v>
      </c>
    </row>
    <row r="343">
      <c r="A343" s="3" t="s">
        <v>714</v>
      </c>
      <c r="B343" s="3" t="s">
        <v>15</v>
      </c>
      <c r="C343" s="3" t="s">
        <v>715</v>
      </c>
      <c r="D343" s="3" t="s">
        <v>13</v>
      </c>
      <c r="E343" t="str">
        <f>IFERROR(__xludf.DUMMYFUNCTION("GOOGLEFINANCE(C343,""price"")"),"#N/A")</f>
        <v>#N/A</v>
      </c>
      <c r="F343" s="4" t="str">
        <f>IFERROR(__xludf.DUMMYFUNCTION("GOOGLEFINANCE(C343,""change"")"),"#N/A")</f>
        <v>#N/A</v>
      </c>
      <c r="G343" s="5" t="str">
        <f>IFERROR(__xludf.DUMMYFUNCTION("GOOGLEFINANCE(C343,""changepct"")/100"),"#N/A")</f>
        <v>#N/A</v>
      </c>
      <c r="H343" s="4" t="str">
        <f>IFERROR(__xludf.DUMMYFUNCTION("GOOGLEFINANCE(C343,""marketcap"")"),"#N/A")</f>
        <v>#N/A</v>
      </c>
    </row>
    <row r="344">
      <c r="A344" s="3" t="s">
        <v>716</v>
      </c>
      <c r="B344" s="3" t="s">
        <v>157</v>
      </c>
      <c r="C344" s="3" t="s">
        <v>717</v>
      </c>
      <c r="D344" s="3" t="s">
        <v>22</v>
      </c>
      <c r="E344">
        <f>IFERROR(__xludf.DUMMYFUNCTION("GOOGLEFINANCE(C344,""price"")"),3084.1)</f>
        <v>3084.1</v>
      </c>
      <c r="F344" s="4">
        <f>IFERROR(__xludf.DUMMYFUNCTION("GOOGLEFINANCE(C344,""change"")"),18.3)</f>
        <v>18.3</v>
      </c>
      <c r="G344" s="5">
        <f>IFERROR(__xludf.DUMMYFUNCTION("GOOGLEFINANCE(C344,""changepct"")/100"),0.006)</f>
        <v>0.006</v>
      </c>
      <c r="H344" s="4">
        <f>IFERROR(__xludf.DUMMYFUNCTION("GOOGLEFINANCE(C344,""marketcap"")"),4.6774572357E11)</f>
        <v>467745723570</v>
      </c>
    </row>
    <row r="345">
      <c r="A345" s="3" t="s">
        <v>718</v>
      </c>
      <c r="B345" s="3" t="s">
        <v>29</v>
      </c>
      <c r="C345" s="3" t="s">
        <v>719</v>
      </c>
      <c r="D345" s="3" t="s">
        <v>13</v>
      </c>
      <c r="E345">
        <f>IFERROR(__xludf.DUMMYFUNCTION("GOOGLEFINANCE(C345,""price"")"),349.95)</f>
        <v>349.95</v>
      </c>
      <c r="F345" s="4">
        <f>IFERROR(__xludf.DUMMYFUNCTION("GOOGLEFINANCE(C345,""change"")"),-2.3)</f>
        <v>-2.3</v>
      </c>
      <c r="G345" s="5">
        <f>IFERROR(__xludf.DUMMYFUNCTION("GOOGLEFINANCE(C345,""changepct"")/100"),-0.006500000000000001)</f>
        <v>-0.0065</v>
      </c>
      <c r="H345" s="4">
        <f>IFERROR(__xludf.DUMMYFUNCTION("GOOGLEFINANCE(C345,""marketcap"")"),5.9006261388E10)</f>
        <v>59006261388</v>
      </c>
    </row>
    <row r="346">
      <c r="A346" s="3" t="s">
        <v>720</v>
      </c>
      <c r="B346" s="3" t="s">
        <v>100</v>
      </c>
      <c r="C346" s="3" t="s">
        <v>721</v>
      </c>
      <c r="D346" s="3" t="s">
        <v>13</v>
      </c>
      <c r="E346">
        <f>IFERROR(__xludf.DUMMYFUNCTION("GOOGLEFINANCE(C346,""price"")"),254.15)</f>
        <v>254.15</v>
      </c>
      <c r="F346" s="4">
        <f>IFERROR(__xludf.DUMMYFUNCTION("GOOGLEFINANCE(C346,""change"")"),2.35)</f>
        <v>2.35</v>
      </c>
      <c r="G346" s="5">
        <f>IFERROR(__xludf.DUMMYFUNCTION("GOOGLEFINANCE(C346,""changepct"")/100"),0.009300000000000001)</f>
        <v>0.0093</v>
      </c>
      <c r="H346" s="4">
        <f>IFERROR(__xludf.DUMMYFUNCTION("GOOGLEFINANCE(C346,""marketcap"")"),6.554576E10)</f>
        <v>65545760000</v>
      </c>
    </row>
    <row r="347">
      <c r="A347" s="3" t="s">
        <v>722</v>
      </c>
      <c r="B347" s="3" t="s">
        <v>286</v>
      </c>
      <c r="C347" s="3" t="s">
        <v>723</v>
      </c>
      <c r="D347" s="3" t="s">
        <v>22</v>
      </c>
      <c r="E347">
        <f>IFERROR(__xludf.DUMMYFUNCTION("GOOGLEFINANCE(C347,""price"")"),2150.0)</f>
        <v>2150</v>
      </c>
      <c r="F347" s="4">
        <f>IFERROR(__xludf.DUMMYFUNCTION("GOOGLEFINANCE(C347,""change"")"),106.05)</f>
        <v>106.05</v>
      </c>
      <c r="G347" s="5">
        <f>IFERROR(__xludf.DUMMYFUNCTION("GOOGLEFINANCE(C347,""changepct"")/100"),0.0519)</f>
        <v>0.0519</v>
      </c>
      <c r="H347" s="4">
        <f>IFERROR(__xludf.DUMMYFUNCTION("GOOGLEFINANCE(C347,""marketcap"")"),1.30888049729E11)</f>
        <v>130888049729</v>
      </c>
    </row>
    <row r="348">
      <c r="A348" s="3" t="s">
        <v>724</v>
      </c>
      <c r="B348" s="3" t="s">
        <v>79</v>
      </c>
      <c r="C348" s="3" t="s">
        <v>725</v>
      </c>
      <c r="D348" s="3" t="s">
        <v>22</v>
      </c>
      <c r="E348">
        <f>IFERROR(__xludf.DUMMYFUNCTION("GOOGLEFINANCE(C348,""price"")"),49029.95)</f>
        <v>49029.95</v>
      </c>
      <c r="F348" s="4">
        <f>IFERROR(__xludf.DUMMYFUNCTION("GOOGLEFINANCE(C348,""change"")"),1269.45)</f>
        <v>1269.45</v>
      </c>
      <c r="G348" s="5">
        <f>IFERROR(__xludf.DUMMYFUNCTION("GOOGLEFINANCE(C348,""changepct"")/100"),0.026600000000000002)</f>
        <v>0.0266</v>
      </c>
      <c r="H348" s="4">
        <f>IFERROR(__xludf.DUMMYFUNCTION("GOOGLEFINANCE(C348,""marketcap"")"),5.451233E11)</f>
        <v>545123300000</v>
      </c>
    </row>
    <row r="349">
      <c r="A349" s="3" t="s">
        <v>726</v>
      </c>
      <c r="B349" s="3" t="s">
        <v>64</v>
      </c>
      <c r="C349" s="3" t="s">
        <v>727</v>
      </c>
      <c r="D349" s="3" t="s">
        <v>13</v>
      </c>
      <c r="E349">
        <f>IFERROR(__xludf.DUMMYFUNCTION("GOOGLEFINANCE(C349,""price"")"),3623.0)</f>
        <v>3623</v>
      </c>
      <c r="F349" s="4">
        <f>IFERROR(__xludf.DUMMYFUNCTION("GOOGLEFINANCE(C349,""change"")"),102.7)</f>
        <v>102.7</v>
      </c>
      <c r="G349" s="5">
        <f>IFERROR(__xludf.DUMMYFUNCTION("GOOGLEFINANCE(C349,""changepct"")/100"),0.0292)</f>
        <v>0.0292</v>
      </c>
      <c r="H349" s="4">
        <f>IFERROR(__xludf.DUMMYFUNCTION("GOOGLEFINANCE(C349,""marketcap"")"),2.69557687607E11)</f>
        <v>269557687607</v>
      </c>
    </row>
    <row r="350">
      <c r="A350" s="3" t="s">
        <v>728</v>
      </c>
      <c r="B350" s="3" t="s">
        <v>50</v>
      </c>
      <c r="C350" s="3" t="s">
        <v>729</v>
      </c>
      <c r="D350" s="3" t="s">
        <v>22</v>
      </c>
      <c r="E350">
        <f>IFERROR(__xludf.DUMMYFUNCTION("GOOGLEFINANCE(C350,""price"")"),219.4)</f>
        <v>219.4</v>
      </c>
      <c r="F350" s="4">
        <f>IFERROR(__xludf.DUMMYFUNCTION("GOOGLEFINANCE(C350,""change"")"),-0.9)</f>
        <v>-0.9</v>
      </c>
      <c r="G350" s="5">
        <f>IFERROR(__xludf.DUMMYFUNCTION("GOOGLEFINANCE(C350,""changepct"")/100"),-0.0040999999999999995)</f>
        <v>-0.0041</v>
      </c>
      <c r="H350" s="4">
        <f>IFERROR(__xludf.DUMMYFUNCTION("GOOGLEFINANCE(C350,""marketcap"")"),3.29847270579E11)</f>
        <v>329847270579</v>
      </c>
    </row>
    <row r="351">
      <c r="A351" s="3" t="s">
        <v>730</v>
      </c>
      <c r="B351" s="3" t="s">
        <v>32</v>
      </c>
      <c r="C351" s="3" t="s">
        <v>731</v>
      </c>
      <c r="D351" s="3" t="s">
        <v>22</v>
      </c>
      <c r="E351">
        <f>IFERROR(__xludf.DUMMYFUNCTION("GOOGLEFINANCE(C351,""price"")"),4178.0)</f>
        <v>4178</v>
      </c>
      <c r="F351" s="4">
        <f>IFERROR(__xludf.DUMMYFUNCTION("GOOGLEFINANCE(C351,""change"")"),8.85)</f>
        <v>8.85</v>
      </c>
      <c r="G351" s="5">
        <f>IFERROR(__xludf.DUMMYFUNCTION("GOOGLEFINANCE(C351,""changepct"")/100"),0.0021)</f>
        <v>0.0021</v>
      </c>
      <c r="H351" s="4">
        <f>IFERROR(__xludf.DUMMYFUNCTION("GOOGLEFINANCE(C351,""marketcap"")"),1.913948E11)</f>
        <v>191394800000</v>
      </c>
    </row>
    <row r="352">
      <c r="A352" s="3" t="s">
        <v>732</v>
      </c>
      <c r="B352" s="3" t="s">
        <v>35</v>
      </c>
      <c r="C352" s="3" t="s">
        <v>733</v>
      </c>
      <c r="D352" s="3" t="s">
        <v>13</v>
      </c>
      <c r="E352" t="str">
        <f>IFERROR(__xludf.DUMMYFUNCTION("GOOGLEFINANCE(C352,""price"")"),"#N/A")</f>
        <v>#N/A</v>
      </c>
      <c r="F352" s="4" t="str">
        <f>IFERROR(__xludf.DUMMYFUNCTION("GOOGLEFINANCE(C352,""change"")"),"#N/A")</f>
        <v>#N/A</v>
      </c>
      <c r="G352" s="5" t="str">
        <f>IFERROR(__xludf.DUMMYFUNCTION("GOOGLEFINANCE(C352,""changepct"")/100"),"#N/A")</f>
        <v>#N/A</v>
      </c>
      <c r="H352" s="4" t="str">
        <f>IFERROR(__xludf.DUMMYFUNCTION("GOOGLEFINANCE(C352,""marketcap"")"),"#N/A")</f>
        <v>#N/A</v>
      </c>
    </row>
    <row r="353">
      <c r="A353" s="3" t="s">
        <v>734</v>
      </c>
      <c r="B353" s="3" t="s">
        <v>100</v>
      </c>
      <c r="C353" s="3" t="s">
        <v>735</v>
      </c>
      <c r="D353" s="3" t="s">
        <v>13</v>
      </c>
      <c r="E353">
        <f>IFERROR(__xludf.DUMMYFUNCTION("GOOGLEFINANCE(C353,""price"")"),1241.1)</f>
        <v>1241.1</v>
      </c>
      <c r="F353" s="4">
        <f>IFERROR(__xludf.DUMMYFUNCTION("GOOGLEFINANCE(C353,""change"")"),1.05)</f>
        <v>1.05</v>
      </c>
      <c r="G353" s="5">
        <f>IFERROR(__xludf.DUMMYFUNCTION("GOOGLEFINANCE(C353,""changepct"")/100"),8.0E-4)</f>
        <v>0.0008</v>
      </c>
      <c r="H353" s="4">
        <f>IFERROR(__xludf.DUMMYFUNCTION("GOOGLEFINANCE(C353,""marketcap"")"),2.2159269158E11)</f>
        <v>221592691580</v>
      </c>
    </row>
    <row r="354">
      <c r="A354" s="3" t="s">
        <v>736</v>
      </c>
      <c r="B354" s="3" t="s">
        <v>35</v>
      </c>
      <c r="C354" s="3" t="s">
        <v>737</v>
      </c>
      <c r="D354" s="3" t="s">
        <v>22</v>
      </c>
      <c r="E354">
        <f>IFERROR(__xludf.DUMMYFUNCTION("GOOGLEFINANCE(C354,""price"")"),2451.2)</f>
        <v>2451.2</v>
      </c>
      <c r="F354" s="4">
        <f>IFERROR(__xludf.DUMMYFUNCTION("GOOGLEFINANCE(C354,""change"")"),51.4)</f>
        <v>51.4</v>
      </c>
      <c r="G354" s="5">
        <f>IFERROR(__xludf.DUMMYFUNCTION("GOOGLEFINANCE(C354,""changepct"")/100"),0.021400000000000002)</f>
        <v>0.0214</v>
      </c>
      <c r="H354" s="4">
        <f>IFERROR(__xludf.DUMMYFUNCTION("GOOGLEFINANCE(C354,""marketcap"")"),1.245378966527E12)</f>
        <v>1245378966527</v>
      </c>
    </row>
    <row r="355">
      <c r="A355" s="3" t="s">
        <v>738</v>
      </c>
      <c r="B355" s="3" t="s">
        <v>29</v>
      </c>
      <c r="C355" s="3" t="s">
        <v>739</v>
      </c>
      <c r="D355" s="3" t="s">
        <v>22</v>
      </c>
      <c r="E355">
        <f>IFERROR(__xludf.DUMMYFUNCTION("GOOGLEFINANCE(C355,""price"")"),1772.0)</f>
        <v>1772</v>
      </c>
      <c r="F355" s="4">
        <f>IFERROR(__xludf.DUMMYFUNCTION("GOOGLEFINANCE(C355,""change"")"),-67.15)</f>
        <v>-67.15</v>
      </c>
      <c r="G355" s="5">
        <f>IFERROR(__xludf.DUMMYFUNCTION("GOOGLEFINANCE(C355,""changepct"")/100"),-0.0365)</f>
        <v>-0.0365</v>
      </c>
      <c r="H355" s="4">
        <f>IFERROR(__xludf.DUMMYFUNCTION("GOOGLEFINANCE(C355,""marketcap"")"),4.21420067229E11)</f>
        <v>421420067229</v>
      </c>
    </row>
    <row r="356">
      <c r="A356" s="3" t="s">
        <v>740</v>
      </c>
      <c r="B356" s="3" t="s">
        <v>91</v>
      </c>
      <c r="C356" s="3" t="s">
        <v>741</v>
      </c>
      <c r="D356" s="3" t="s">
        <v>13</v>
      </c>
      <c r="E356">
        <f>IFERROR(__xludf.DUMMYFUNCTION("GOOGLEFINANCE(C356,""price"")"),732.9)</f>
        <v>732.9</v>
      </c>
      <c r="F356" s="4">
        <f>IFERROR(__xludf.DUMMYFUNCTION("GOOGLEFINANCE(C356,""change"")"),-4.35)</f>
        <v>-4.35</v>
      </c>
      <c r="G356" s="5">
        <f>IFERROR(__xludf.DUMMYFUNCTION("GOOGLEFINANCE(C356,""changepct"")/100"),-0.0059)</f>
        <v>-0.0059</v>
      </c>
      <c r="H356" s="4">
        <f>IFERROR(__xludf.DUMMYFUNCTION("GOOGLEFINANCE(C356,""marketcap"")"),6.9878797705E10)</f>
        <v>69878797705</v>
      </c>
    </row>
    <row r="357">
      <c r="A357" s="3" t="s">
        <v>742</v>
      </c>
      <c r="B357" s="3" t="s">
        <v>15</v>
      </c>
      <c r="C357" s="3" t="s">
        <v>743</v>
      </c>
      <c r="D357" s="3" t="s">
        <v>13</v>
      </c>
      <c r="E357">
        <f>IFERROR(__xludf.DUMMYFUNCTION("GOOGLEFINANCE(C357,""price"")"),2318.6)</f>
        <v>2318.6</v>
      </c>
      <c r="F357" s="4">
        <f>IFERROR(__xludf.DUMMYFUNCTION("GOOGLEFINANCE(C357,""change"")"),46.55)</f>
        <v>46.55</v>
      </c>
      <c r="G357" s="5">
        <f>IFERROR(__xludf.DUMMYFUNCTION("GOOGLEFINANCE(C357,""changepct"")/100"),0.020499999999999997)</f>
        <v>0.0205</v>
      </c>
      <c r="H357" s="4">
        <f>IFERROR(__xludf.DUMMYFUNCTION("GOOGLEFINANCE(C357,""marketcap"")"),3.46727038189E11)</f>
        <v>346727038189</v>
      </c>
    </row>
    <row r="358">
      <c r="A358" s="3" t="s">
        <v>744</v>
      </c>
      <c r="B358" s="3" t="s">
        <v>15</v>
      </c>
      <c r="C358" s="3" t="s">
        <v>745</v>
      </c>
      <c r="D358" s="3" t="s">
        <v>13</v>
      </c>
      <c r="E358">
        <f>IFERROR(__xludf.DUMMYFUNCTION("GOOGLEFINANCE(C358,""price"")"),2341.0)</f>
        <v>2341</v>
      </c>
      <c r="F358" s="4">
        <f>IFERROR(__xludf.DUMMYFUNCTION("GOOGLEFINANCE(C358,""change"")"),22.8)</f>
        <v>22.8</v>
      </c>
      <c r="G358" s="5">
        <f>IFERROR(__xludf.DUMMYFUNCTION("GOOGLEFINANCE(C358,""changepct"")/100"),0.0098)</f>
        <v>0.0098</v>
      </c>
      <c r="H358" s="4">
        <f>IFERROR(__xludf.DUMMYFUNCTION("GOOGLEFINANCE(C358,""marketcap"")"),7.3046949871E10)</f>
        <v>73046949871</v>
      </c>
    </row>
    <row r="359">
      <c r="A359" s="3" t="s">
        <v>746</v>
      </c>
      <c r="B359" s="3" t="s">
        <v>29</v>
      </c>
      <c r="C359" s="3" t="s">
        <v>747</v>
      </c>
      <c r="D359" s="3" t="s">
        <v>22</v>
      </c>
      <c r="E359">
        <f>IFERROR(__xludf.DUMMYFUNCTION("GOOGLEFINANCE(C359,""price"")"),116.0)</f>
        <v>116</v>
      </c>
      <c r="F359" s="4">
        <f>IFERROR(__xludf.DUMMYFUNCTION("GOOGLEFINANCE(C359,""change"")"),1.35)</f>
        <v>1.35</v>
      </c>
      <c r="G359" s="5">
        <f>IFERROR(__xludf.DUMMYFUNCTION("GOOGLEFINANCE(C359,""changepct"")/100"),0.0118)</f>
        <v>0.0118</v>
      </c>
      <c r="H359" s="4">
        <f>IFERROR(__xludf.DUMMYFUNCTION("GOOGLEFINANCE(C359,""marketcap"")"),3.06117383893E11)</f>
        <v>306117383893</v>
      </c>
    </row>
    <row r="360">
      <c r="A360" s="3" t="s">
        <v>748</v>
      </c>
      <c r="B360" s="3" t="s">
        <v>44</v>
      </c>
      <c r="C360" s="3" t="s">
        <v>749</v>
      </c>
      <c r="D360" s="3" t="s">
        <v>22</v>
      </c>
      <c r="E360">
        <f>IFERROR(__xludf.DUMMYFUNCTION("GOOGLEFINANCE(C360,""price"")"),214.15)</f>
        <v>214.15</v>
      </c>
      <c r="F360" s="4">
        <f>IFERROR(__xludf.DUMMYFUNCTION("GOOGLEFINANCE(C360,""change"")"),-0.05)</f>
        <v>-0.05</v>
      </c>
      <c r="G360" s="5">
        <f>IFERROR(__xludf.DUMMYFUNCTION("GOOGLEFINANCE(C360,""changepct"")/100"),-2.0E-4)</f>
        <v>-0.0002</v>
      </c>
      <c r="H360" s="4">
        <f>IFERROR(__xludf.DUMMYFUNCTION("GOOGLEFINANCE(C360,""marketcap"")"),1.493101112E12)</f>
        <v>1493101112000</v>
      </c>
    </row>
    <row r="361">
      <c r="A361" s="3" t="s">
        <v>750</v>
      </c>
      <c r="B361" s="3" t="s">
        <v>100</v>
      </c>
      <c r="C361" s="3" t="s">
        <v>751</v>
      </c>
      <c r="D361" s="3" t="s">
        <v>13</v>
      </c>
      <c r="E361">
        <f>IFERROR(__xludf.DUMMYFUNCTION("GOOGLEFINANCE(C361,""price"")"),412.4)</f>
        <v>412.4</v>
      </c>
      <c r="F361" s="4">
        <f>IFERROR(__xludf.DUMMYFUNCTION("GOOGLEFINANCE(C361,""change"")"),-6.05)</f>
        <v>-6.05</v>
      </c>
      <c r="G361" s="5">
        <f>IFERROR(__xludf.DUMMYFUNCTION("GOOGLEFINANCE(C361,""changepct"")/100"),-0.014499999999999999)</f>
        <v>-0.0145</v>
      </c>
      <c r="H361" s="4">
        <f>IFERROR(__xludf.DUMMYFUNCTION("GOOGLEFINANCE(C361,""marketcap"")"),1.65315321393E11)</f>
        <v>165315321393</v>
      </c>
    </row>
    <row r="362">
      <c r="A362" s="3" t="s">
        <v>752</v>
      </c>
      <c r="B362" s="3" t="s">
        <v>15</v>
      </c>
      <c r="C362" s="3" t="s">
        <v>753</v>
      </c>
      <c r="D362" s="3" t="s">
        <v>13</v>
      </c>
      <c r="E362">
        <f>IFERROR(__xludf.DUMMYFUNCTION("GOOGLEFINANCE(C362,""price"")"),605.1)</f>
        <v>605.1</v>
      </c>
      <c r="F362" s="4">
        <f>IFERROR(__xludf.DUMMYFUNCTION("GOOGLEFINANCE(C362,""change"")"),7.8)</f>
        <v>7.8</v>
      </c>
      <c r="G362" s="5">
        <f>IFERROR(__xludf.DUMMYFUNCTION("GOOGLEFINANCE(C362,""changepct"")/100"),0.0131)</f>
        <v>0.0131</v>
      </c>
      <c r="H362" s="4">
        <f>IFERROR(__xludf.DUMMYFUNCTION("GOOGLEFINANCE(C362,""marketcap"")"),6.6554908383E10)</f>
        <v>66554908383</v>
      </c>
    </row>
    <row r="363">
      <c r="A363" s="3" t="s">
        <v>754</v>
      </c>
      <c r="B363" s="3" t="s">
        <v>20</v>
      </c>
      <c r="C363" s="3" t="s">
        <v>755</v>
      </c>
      <c r="D363" s="3" t="s">
        <v>13</v>
      </c>
      <c r="E363">
        <f>IFERROR(__xludf.DUMMYFUNCTION("GOOGLEFINANCE(C363,""price"")"),121.35)</f>
        <v>121.35</v>
      </c>
      <c r="F363" s="4">
        <f>IFERROR(__xludf.DUMMYFUNCTION("GOOGLEFINANCE(C363,""change"")"),1.3)</f>
        <v>1.3</v>
      </c>
      <c r="G363" s="5">
        <f>IFERROR(__xludf.DUMMYFUNCTION("GOOGLEFINANCE(C363,""changepct"")/100"),0.0108)</f>
        <v>0.0108</v>
      </c>
      <c r="H363" s="4">
        <f>IFERROR(__xludf.DUMMYFUNCTION("GOOGLEFINANCE(C363,""marketcap"")"),6.0756265211E10)</f>
        <v>60756265211</v>
      </c>
    </row>
    <row r="364">
      <c r="A364" s="3" t="s">
        <v>756</v>
      </c>
      <c r="B364" s="3" t="s">
        <v>32</v>
      </c>
      <c r="C364" s="3" t="s">
        <v>757</v>
      </c>
      <c r="D364" s="3" t="s">
        <v>13</v>
      </c>
      <c r="E364">
        <f>IFERROR(__xludf.DUMMYFUNCTION("GOOGLEFINANCE(C364,""price"")"),4422.0)</f>
        <v>4422</v>
      </c>
      <c r="F364" s="4">
        <f>IFERROR(__xludf.DUMMYFUNCTION("GOOGLEFINANCE(C364,""change"")"),28.65)</f>
        <v>28.65</v>
      </c>
      <c r="G364" s="5">
        <f>IFERROR(__xludf.DUMMYFUNCTION("GOOGLEFINANCE(C364,""changepct"")/100"),0.006500000000000001)</f>
        <v>0.0065</v>
      </c>
      <c r="H364" s="4">
        <f>IFERROR(__xludf.DUMMYFUNCTION("GOOGLEFINANCE(C364,""marketcap"")"),7.340245836E10)</f>
        <v>73402458360</v>
      </c>
    </row>
    <row r="365">
      <c r="A365" s="3" t="s">
        <v>758</v>
      </c>
      <c r="B365" s="3" t="s">
        <v>11</v>
      </c>
      <c r="C365" s="3" t="s">
        <v>759</v>
      </c>
      <c r="D365" s="3" t="s">
        <v>13</v>
      </c>
      <c r="E365">
        <f>IFERROR(__xludf.DUMMYFUNCTION("GOOGLEFINANCE(C365,""price"")"),14440.0)</f>
        <v>14440</v>
      </c>
      <c r="F365" s="4">
        <f>IFERROR(__xludf.DUMMYFUNCTION("GOOGLEFINANCE(C365,""change"")"),221.45)</f>
        <v>221.45</v>
      </c>
      <c r="G365" s="5">
        <f>IFERROR(__xludf.DUMMYFUNCTION("GOOGLEFINANCE(C365,""changepct"")/100"),0.015600000000000001)</f>
        <v>0.0156</v>
      </c>
      <c r="H365" s="4">
        <f>IFERROR(__xludf.DUMMYFUNCTION("GOOGLEFINANCE(C365,""marketcap"")"),4.68999995516E11)</f>
        <v>468999995516</v>
      </c>
    </row>
    <row r="366">
      <c r="A366" s="3" t="s">
        <v>760</v>
      </c>
      <c r="B366" s="3" t="s">
        <v>29</v>
      </c>
      <c r="C366" s="3" t="s">
        <v>761</v>
      </c>
      <c r="D366" s="3" t="s">
        <v>22</v>
      </c>
      <c r="E366">
        <f>IFERROR(__xludf.DUMMYFUNCTION("GOOGLEFINANCE(C366,""price"")"),31.4)</f>
        <v>31.4</v>
      </c>
      <c r="F366" s="4">
        <f>IFERROR(__xludf.DUMMYFUNCTION("GOOGLEFINANCE(C366,""change"")"),-1.25)</f>
        <v>-1.25</v>
      </c>
      <c r="G366" s="5">
        <f>IFERROR(__xludf.DUMMYFUNCTION("GOOGLEFINANCE(C366,""changepct"")/100"),-0.0383)</f>
        <v>-0.0383</v>
      </c>
      <c r="H366" s="4">
        <f>IFERROR(__xludf.DUMMYFUNCTION("GOOGLEFINANCE(C366,""marketcap"")"),3.45734701206E11)</f>
        <v>345734701206</v>
      </c>
    </row>
    <row r="367">
      <c r="A367" s="3" t="s">
        <v>762</v>
      </c>
      <c r="B367" s="3" t="s">
        <v>47</v>
      </c>
      <c r="C367" s="3" t="s">
        <v>763</v>
      </c>
      <c r="D367" s="3" t="s">
        <v>13</v>
      </c>
      <c r="E367">
        <f>IFERROR(__xludf.DUMMYFUNCTION("GOOGLEFINANCE(C367,""price"")"),589.1)</f>
        <v>589.1</v>
      </c>
      <c r="F367" s="4">
        <f>IFERROR(__xludf.DUMMYFUNCTION("GOOGLEFINANCE(C367,""change"")"),20.3)</f>
        <v>20.3</v>
      </c>
      <c r="G367" s="5">
        <f>IFERROR(__xludf.DUMMYFUNCTION("GOOGLEFINANCE(C367,""changepct"")/100"),0.035699999999999996)</f>
        <v>0.0357</v>
      </c>
      <c r="H367" s="4">
        <f>IFERROR(__xludf.DUMMYFUNCTION("GOOGLEFINANCE(C367,""marketcap"")"),8.7233747654E10)</f>
        <v>87233747654</v>
      </c>
    </row>
    <row r="368">
      <c r="A368" s="3" t="s">
        <v>764</v>
      </c>
      <c r="B368" s="3" t="s">
        <v>29</v>
      </c>
      <c r="C368" s="3" t="s">
        <v>765</v>
      </c>
      <c r="D368" s="3" t="s">
        <v>22</v>
      </c>
      <c r="E368">
        <f>IFERROR(__xludf.DUMMYFUNCTION("GOOGLEFINANCE(C368,""price"")"),92.2)</f>
        <v>92.2</v>
      </c>
      <c r="F368" s="4">
        <f>IFERROR(__xludf.DUMMYFUNCTION("GOOGLEFINANCE(C368,""change"")"),-0.05)</f>
        <v>-0.05</v>
      </c>
      <c r="G368" s="5">
        <f>IFERROR(__xludf.DUMMYFUNCTION("GOOGLEFINANCE(C368,""changepct"")/100"),-5.0E-4)</f>
        <v>-0.0005</v>
      </c>
      <c r="H368" s="4">
        <f>IFERROR(__xludf.DUMMYFUNCTION("GOOGLEFINANCE(C368,""marketcap"")"),5.527528117E10)</f>
        <v>55275281170</v>
      </c>
    </row>
    <row r="369">
      <c r="A369" s="3" t="s">
        <v>766</v>
      </c>
      <c r="B369" s="3" t="s">
        <v>29</v>
      </c>
      <c r="C369" s="3" t="s">
        <v>767</v>
      </c>
      <c r="D369" s="3" t="s">
        <v>22</v>
      </c>
      <c r="E369">
        <f>IFERROR(__xludf.DUMMYFUNCTION("GOOGLEFINANCE(C369,""price"")"),131.1)</f>
        <v>131.1</v>
      </c>
      <c r="F369" s="4">
        <f>IFERROR(__xludf.DUMMYFUNCTION("GOOGLEFINANCE(C369,""change"")"),1.6)</f>
        <v>1.6</v>
      </c>
      <c r="G369" s="5">
        <f>IFERROR(__xludf.DUMMYFUNCTION("GOOGLEFINANCE(C369,""changepct"")/100"),0.0124)</f>
        <v>0.0124</v>
      </c>
      <c r="H369" s="4">
        <f>IFERROR(__xludf.DUMMYFUNCTION("GOOGLEFINANCE(C369,""marketcap"")"),2.58815597668E11)</f>
        <v>258815597668</v>
      </c>
    </row>
    <row r="370">
      <c r="A370" s="3" t="s">
        <v>768</v>
      </c>
      <c r="B370" s="3" t="s">
        <v>47</v>
      </c>
      <c r="C370" s="3" t="s">
        <v>769</v>
      </c>
      <c r="D370" s="3" t="s">
        <v>13</v>
      </c>
      <c r="E370">
        <f>IFERROR(__xludf.DUMMYFUNCTION("GOOGLEFINANCE(C370,""price"")"),263.0)</f>
        <v>263</v>
      </c>
      <c r="F370" s="4">
        <f>IFERROR(__xludf.DUMMYFUNCTION("GOOGLEFINANCE(C370,""change"")"),1.65)</f>
        <v>1.65</v>
      </c>
      <c r="G370" s="5">
        <f>IFERROR(__xludf.DUMMYFUNCTION("GOOGLEFINANCE(C370,""changepct"")/100"),0.0063)</f>
        <v>0.0063</v>
      </c>
      <c r="H370" s="4">
        <f>IFERROR(__xludf.DUMMYFUNCTION("GOOGLEFINANCE(C370,""marketcap"")"),6.3098379281E10)</f>
        <v>63098379281</v>
      </c>
    </row>
    <row r="371">
      <c r="A371" s="3" t="s">
        <v>770</v>
      </c>
      <c r="B371" s="3" t="s">
        <v>11</v>
      </c>
      <c r="C371" s="3" t="s">
        <v>771</v>
      </c>
      <c r="D371" s="3" t="s">
        <v>13</v>
      </c>
      <c r="E371">
        <f>IFERROR(__xludf.DUMMYFUNCTION("GOOGLEFINANCE(C371,""price"")"),941.0)</f>
        <v>941</v>
      </c>
      <c r="F371" s="4">
        <f>IFERROR(__xludf.DUMMYFUNCTION("GOOGLEFINANCE(C371,""change"")"),-21.4)</f>
        <v>-21.4</v>
      </c>
      <c r="G371" s="5">
        <f>IFERROR(__xludf.DUMMYFUNCTION("GOOGLEFINANCE(C371,""changepct"")/100"),-0.0222)</f>
        <v>-0.0222</v>
      </c>
      <c r="H371" s="4">
        <f>IFERROR(__xludf.DUMMYFUNCTION("GOOGLEFINANCE(C371,""marketcap"")"),1.25548919138E11)</f>
        <v>125548919138</v>
      </c>
    </row>
    <row r="372">
      <c r="A372" s="3" t="s">
        <v>772</v>
      </c>
      <c r="B372" s="3" t="s">
        <v>100</v>
      </c>
      <c r="C372" s="3" t="s">
        <v>773</v>
      </c>
      <c r="D372" s="3" t="s">
        <v>13</v>
      </c>
      <c r="E372">
        <f>IFERROR(__xludf.DUMMYFUNCTION("GOOGLEFINANCE(C372,""price"")"),31.0)</f>
        <v>31</v>
      </c>
      <c r="F372" s="4">
        <f>IFERROR(__xludf.DUMMYFUNCTION("GOOGLEFINANCE(C372,""change"")"),0.05)</f>
        <v>0.05</v>
      </c>
      <c r="G372" s="5">
        <f>IFERROR(__xludf.DUMMYFUNCTION("GOOGLEFINANCE(C372,""changepct"")/100"),0.0016)</f>
        <v>0.0016</v>
      </c>
      <c r="H372" s="4">
        <f>IFERROR(__xludf.DUMMYFUNCTION("GOOGLEFINANCE(C372,""marketcap"")"),6.4635610193E10)</f>
        <v>64635610193</v>
      </c>
    </row>
    <row r="373">
      <c r="A373" s="3" t="s">
        <v>774</v>
      </c>
      <c r="B373" s="3" t="s">
        <v>35</v>
      </c>
      <c r="C373" s="3" t="s">
        <v>775</v>
      </c>
      <c r="D373" s="3" t="s">
        <v>13</v>
      </c>
      <c r="E373">
        <f>IFERROR(__xludf.DUMMYFUNCTION("GOOGLEFINANCE(C373,""price"")"),176.25)</f>
        <v>176.25</v>
      </c>
      <c r="F373" s="4">
        <f>IFERROR(__xludf.DUMMYFUNCTION("GOOGLEFINANCE(C373,""change"")"),8.9)</f>
        <v>8.9</v>
      </c>
      <c r="G373" s="5">
        <f>IFERROR(__xludf.DUMMYFUNCTION("GOOGLEFINANCE(C373,""changepct"")/100"),0.053200000000000004)</f>
        <v>0.0532</v>
      </c>
      <c r="H373" s="4">
        <f>IFERROR(__xludf.DUMMYFUNCTION("GOOGLEFINANCE(C373,""marketcap"")"),5.945178509E10)</f>
        <v>59451785090</v>
      </c>
    </row>
    <row r="374">
      <c r="A374" s="3" t="s">
        <v>776</v>
      </c>
      <c r="B374" s="3" t="s">
        <v>11</v>
      </c>
      <c r="C374" s="3" t="s">
        <v>777</v>
      </c>
      <c r="D374" s="3" t="s">
        <v>13</v>
      </c>
      <c r="E374">
        <f>IFERROR(__xludf.DUMMYFUNCTION("GOOGLEFINANCE(C374,""price"")"),593.8)</f>
        <v>593.8</v>
      </c>
      <c r="F374" s="4">
        <f>IFERROR(__xludf.DUMMYFUNCTION("GOOGLEFINANCE(C374,""change"")"),4.65)</f>
        <v>4.65</v>
      </c>
      <c r="G374" s="5">
        <f>IFERROR(__xludf.DUMMYFUNCTION("GOOGLEFINANCE(C374,""changepct"")/100"),0.0079)</f>
        <v>0.0079</v>
      </c>
      <c r="H374" s="4">
        <f>IFERROR(__xludf.DUMMYFUNCTION("GOOGLEFINANCE(C374,""marketcap"")"),1.758884133E11)</f>
        <v>175888413300</v>
      </c>
    </row>
    <row r="375">
      <c r="A375" s="3" t="s">
        <v>778</v>
      </c>
      <c r="B375" s="3" t="s">
        <v>157</v>
      </c>
      <c r="C375" s="3" t="s">
        <v>779</v>
      </c>
      <c r="D375" s="3" t="s">
        <v>13</v>
      </c>
      <c r="E375">
        <f>IFERROR(__xludf.DUMMYFUNCTION("GOOGLEFINANCE(C375,""price"")"),212.0)</f>
        <v>212</v>
      </c>
      <c r="F375" s="4">
        <f>IFERROR(__xludf.DUMMYFUNCTION("GOOGLEFINANCE(C375,""change"")"),0.3)</f>
        <v>0.3</v>
      </c>
      <c r="G375" s="5">
        <f>IFERROR(__xludf.DUMMYFUNCTION("GOOGLEFINANCE(C375,""changepct"")/100"),0.0014000000000000002)</f>
        <v>0.0014</v>
      </c>
      <c r="H375" s="4">
        <f>IFERROR(__xludf.DUMMYFUNCTION("GOOGLEFINANCE(C375,""marketcap"")"),4.12273856E10)</f>
        <v>41227385600</v>
      </c>
    </row>
    <row r="376">
      <c r="A376" s="3" t="s">
        <v>780</v>
      </c>
      <c r="B376" s="3" t="s">
        <v>157</v>
      </c>
      <c r="C376" s="3" t="s">
        <v>781</v>
      </c>
      <c r="D376" s="3" t="s">
        <v>13</v>
      </c>
      <c r="E376">
        <f>IFERROR(__xludf.DUMMYFUNCTION("GOOGLEFINANCE(C376,""price"")"),87.5)</f>
        <v>87.5</v>
      </c>
      <c r="F376" s="4">
        <f>IFERROR(__xludf.DUMMYFUNCTION("GOOGLEFINANCE(C376,""change"")"),1.8)</f>
        <v>1.8</v>
      </c>
      <c r="G376" s="5">
        <f>IFERROR(__xludf.DUMMYFUNCTION("GOOGLEFINANCE(C376,""changepct"")/100"),0.021)</f>
        <v>0.021</v>
      </c>
      <c r="H376" s="4">
        <f>IFERROR(__xludf.DUMMYFUNCTION("GOOGLEFINANCE(C376,""marketcap"")"),4.8467917758E10)</f>
        <v>48467917758</v>
      </c>
    </row>
    <row r="377">
      <c r="A377" s="3" t="s">
        <v>782</v>
      </c>
      <c r="B377" s="3" t="s">
        <v>26</v>
      </c>
      <c r="C377" s="3" t="s">
        <v>783</v>
      </c>
      <c r="D377" s="3" t="s">
        <v>13</v>
      </c>
      <c r="E377">
        <f>IFERROR(__xludf.DUMMYFUNCTION("GOOGLEFINANCE(C377,""price"")"),1695.0)</f>
        <v>1695</v>
      </c>
      <c r="F377" s="4">
        <f>IFERROR(__xludf.DUMMYFUNCTION("GOOGLEFINANCE(C377,""change"")"),15.85)</f>
        <v>15.85</v>
      </c>
      <c r="G377" s="5">
        <f>IFERROR(__xludf.DUMMYFUNCTION("GOOGLEFINANCE(C377,""changepct"")/100"),0.009399999999999999)</f>
        <v>0.0094</v>
      </c>
      <c r="H377" s="4">
        <f>IFERROR(__xludf.DUMMYFUNCTION("GOOGLEFINANCE(C377,""marketcap"")"),1.1930228232E11)</f>
        <v>119302282320</v>
      </c>
    </row>
    <row r="378">
      <c r="A378" s="3" t="s">
        <v>784</v>
      </c>
      <c r="B378" s="3" t="s">
        <v>79</v>
      </c>
      <c r="C378" s="3" t="s">
        <v>785</v>
      </c>
      <c r="D378" s="3" t="s">
        <v>13</v>
      </c>
      <c r="E378">
        <f>IFERROR(__xludf.DUMMYFUNCTION("GOOGLEFINANCE(C378,""price"")"),956.4)</f>
        <v>956.4</v>
      </c>
      <c r="F378" s="4">
        <f>IFERROR(__xludf.DUMMYFUNCTION("GOOGLEFINANCE(C378,""change"")"),0.25)</f>
        <v>0.25</v>
      </c>
      <c r="G378" s="5">
        <f>IFERROR(__xludf.DUMMYFUNCTION("GOOGLEFINANCE(C378,""changepct"")/100"),3.0E-4)</f>
        <v>0.0003</v>
      </c>
      <c r="H378" s="4">
        <f>IFERROR(__xludf.DUMMYFUNCTION("GOOGLEFINANCE(C378,""marketcap"")"),6.3671107433E10)</f>
        <v>63671107433</v>
      </c>
    </row>
    <row r="379">
      <c r="A379" s="3" t="s">
        <v>786</v>
      </c>
      <c r="B379" s="3" t="s">
        <v>47</v>
      </c>
      <c r="C379" s="3" t="s">
        <v>787</v>
      </c>
      <c r="D379" s="3" t="s">
        <v>13</v>
      </c>
      <c r="E379">
        <f>IFERROR(__xludf.DUMMYFUNCTION("GOOGLEFINANCE(C379,""price"")"),124.4)</f>
        <v>124.4</v>
      </c>
      <c r="F379" s="4">
        <f>IFERROR(__xludf.DUMMYFUNCTION("GOOGLEFINANCE(C379,""change"")"),0.55)</f>
        <v>0.55</v>
      </c>
      <c r="G379" s="5">
        <f>IFERROR(__xludf.DUMMYFUNCTION("GOOGLEFINANCE(C379,""changepct"")/100"),0.0044)</f>
        <v>0.0044</v>
      </c>
      <c r="H379" s="4">
        <f>IFERROR(__xludf.DUMMYFUNCTION("GOOGLEFINANCE(C379,""marketcap"")"),9.744813815E10)</f>
        <v>97448138150</v>
      </c>
    </row>
    <row r="380">
      <c r="A380" s="3" t="s">
        <v>788</v>
      </c>
      <c r="B380" s="3" t="s">
        <v>11</v>
      </c>
      <c r="C380" s="3" t="s">
        <v>789</v>
      </c>
      <c r="D380" s="3" t="s">
        <v>13</v>
      </c>
      <c r="E380">
        <f>IFERROR(__xludf.DUMMYFUNCTION("GOOGLEFINANCE(C380,""price"")"),984.55)</f>
        <v>984.55</v>
      </c>
      <c r="F380" s="4">
        <f>IFERROR(__xludf.DUMMYFUNCTION("GOOGLEFINANCE(C380,""change"")"),3.25)</f>
        <v>3.25</v>
      </c>
      <c r="G380" s="5">
        <f>IFERROR(__xludf.DUMMYFUNCTION("GOOGLEFINANCE(C380,""changepct"")/100"),0.0033)</f>
        <v>0.0033</v>
      </c>
      <c r="H380" s="4">
        <f>IFERROR(__xludf.DUMMYFUNCTION("GOOGLEFINANCE(C380,""marketcap"")"),2.44731086346E11)</f>
        <v>244731086346</v>
      </c>
    </row>
    <row r="381">
      <c r="A381" s="3" t="s">
        <v>790</v>
      </c>
      <c r="B381" s="3" t="s">
        <v>50</v>
      </c>
      <c r="C381" s="3" t="s">
        <v>791</v>
      </c>
      <c r="D381" s="3" t="s">
        <v>22</v>
      </c>
      <c r="E381">
        <f>IFERROR(__xludf.DUMMYFUNCTION("GOOGLEFINANCE(C381,""price"")"),2507.2)</f>
        <v>2507.2</v>
      </c>
      <c r="F381" s="4">
        <f>IFERROR(__xludf.DUMMYFUNCTION("GOOGLEFINANCE(C381,""change"")"),50.1)</f>
        <v>50.1</v>
      </c>
      <c r="G381" s="5">
        <f>IFERROR(__xludf.DUMMYFUNCTION("GOOGLEFINANCE(C381,""changepct"")/100"),0.0204)</f>
        <v>0.0204</v>
      </c>
      <c r="H381" s="4">
        <f>IFERROR(__xludf.DUMMYFUNCTION("GOOGLEFINANCE(C381,""marketcap"")"),1.698126714E13)</f>
        <v>16981267140000</v>
      </c>
    </row>
    <row r="382">
      <c r="A382" s="3" t="s">
        <v>792</v>
      </c>
      <c r="B382" s="3" t="s">
        <v>11</v>
      </c>
      <c r="C382" s="3" t="s">
        <v>793</v>
      </c>
      <c r="D382" s="3" t="s">
        <v>13</v>
      </c>
      <c r="E382">
        <f>IFERROR(__xludf.DUMMYFUNCTION("GOOGLEFINANCE(C382,""price"")"),142.6)</f>
        <v>142.6</v>
      </c>
      <c r="F382" s="4">
        <f>IFERROR(__xludf.DUMMYFUNCTION("GOOGLEFINANCE(C382,""change"")"),0.0)</f>
        <v>0</v>
      </c>
      <c r="G382" s="5">
        <f>IFERROR(__xludf.DUMMYFUNCTION("GOOGLEFINANCE(C382,""changepct"")/100"),0.0)</f>
        <v>0</v>
      </c>
      <c r="H382" s="4">
        <f>IFERROR(__xludf.DUMMYFUNCTION("GOOGLEFINANCE(C382,""marketcap"")"),3.779484E10)</f>
        <v>37794840000</v>
      </c>
    </row>
    <row r="383">
      <c r="A383" s="3" t="s">
        <v>794</v>
      </c>
      <c r="B383" s="3" t="s">
        <v>35</v>
      </c>
      <c r="C383" s="3" t="s">
        <v>795</v>
      </c>
      <c r="D383" s="3" t="s">
        <v>13</v>
      </c>
      <c r="E383">
        <f>IFERROR(__xludf.DUMMYFUNCTION("GOOGLEFINANCE(C383,""price"")"),898.1)</f>
        <v>898.1</v>
      </c>
      <c r="F383" s="4">
        <f>IFERROR(__xludf.DUMMYFUNCTION("GOOGLEFINANCE(C383,""change"")"),11.1)</f>
        <v>11.1</v>
      </c>
      <c r="G383" s="5">
        <f>IFERROR(__xludf.DUMMYFUNCTION("GOOGLEFINANCE(C383,""changepct"")/100"),0.0125)</f>
        <v>0.0125</v>
      </c>
      <c r="H383" s="4">
        <f>IFERROR(__xludf.DUMMYFUNCTION("GOOGLEFINANCE(C383,""marketcap"")"),4.952597E10)</f>
        <v>49525970000</v>
      </c>
    </row>
    <row r="384">
      <c r="A384" s="3" t="s">
        <v>796</v>
      </c>
      <c r="B384" s="3" t="s">
        <v>64</v>
      </c>
      <c r="C384" s="3" t="s">
        <v>797</v>
      </c>
      <c r="D384" s="3" t="s">
        <v>13</v>
      </c>
      <c r="E384">
        <f>IFERROR(__xludf.DUMMYFUNCTION("GOOGLEFINANCE(C384,""price"")"),1415.0)</f>
        <v>1415</v>
      </c>
      <c r="F384" s="4">
        <f>IFERROR(__xludf.DUMMYFUNCTION("GOOGLEFINANCE(C384,""change"")"),179.55)</f>
        <v>179.55</v>
      </c>
      <c r="G384" s="5">
        <f>IFERROR(__xludf.DUMMYFUNCTION("GOOGLEFINANCE(C384,""changepct"")/100"),0.14529999999999998)</f>
        <v>0.1453</v>
      </c>
      <c r="H384" s="4">
        <f>IFERROR(__xludf.DUMMYFUNCTION("GOOGLEFINANCE(C384,""marketcap"")"),8.8173154923E10)</f>
        <v>88173154923</v>
      </c>
    </row>
    <row r="385">
      <c r="A385" s="3" t="s">
        <v>798</v>
      </c>
      <c r="B385" s="3" t="s">
        <v>29</v>
      </c>
      <c r="C385" s="3" t="s">
        <v>799</v>
      </c>
      <c r="D385" s="3" t="s">
        <v>13</v>
      </c>
      <c r="E385">
        <f>IFERROR(__xludf.DUMMYFUNCTION("GOOGLEFINANCE(C385,""price"")"),936.0)</f>
        <v>936</v>
      </c>
      <c r="F385" s="4">
        <f>IFERROR(__xludf.DUMMYFUNCTION("GOOGLEFINANCE(C385,""change"")"),6.85)</f>
        <v>6.85</v>
      </c>
      <c r="G385" s="5">
        <f>IFERROR(__xludf.DUMMYFUNCTION("GOOGLEFINANCE(C385,""changepct"")/100"),0.0074)</f>
        <v>0.0074</v>
      </c>
      <c r="H385" s="4">
        <f>IFERROR(__xludf.DUMMYFUNCTION("GOOGLEFINANCE(C385,""marketcap"")"),8.8570608019E11)</f>
        <v>885706080190</v>
      </c>
    </row>
    <row r="386">
      <c r="A386" s="3" t="s">
        <v>800</v>
      </c>
      <c r="B386" s="3" t="s">
        <v>29</v>
      </c>
      <c r="C386" s="3" t="s">
        <v>801</v>
      </c>
      <c r="D386" s="3" t="s">
        <v>22</v>
      </c>
      <c r="E386">
        <f>IFERROR(__xludf.DUMMYFUNCTION("GOOGLEFINANCE(C386,""price"")"),1294.0)</f>
        <v>1294</v>
      </c>
      <c r="F386" s="4">
        <f>IFERROR(__xludf.DUMMYFUNCTION("GOOGLEFINANCE(C386,""change"")"),102.55)</f>
        <v>102.55</v>
      </c>
      <c r="G386" s="5">
        <f>IFERROR(__xludf.DUMMYFUNCTION("GOOGLEFINANCE(C386,""changepct"")/100"),0.0861)</f>
        <v>0.0861</v>
      </c>
      <c r="H386" s="4">
        <f>IFERROR(__xludf.DUMMYFUNCTION("GOOGLEFINANCE(C386,""marketcap"")"),1.288452923623E12)</f>
        <v>1288452923623</v>
      </c>
    </row>
    <row r="387">
      <c r="A387" s="3" t="s">
        <v>802</v>
      </c>
      <c r="B387" s="3" t="s">
        <v>47</v>
      </c>
      <c r="C387" s="3" t="s">
        <v>803</v>
      </c>
      <c r="D387" s="3" t="s">
        <v>13</v>
      </c>
      <c r="E387">
        <f>IFERROR(__xludf.DUMMYFUNCTION("GOOGLEFINANCE(C387,""price"")"),447.0)</f>
        <v>447</v>
      </c>
      <c r="F387" s="4">
        <f>IFERROR(__xludf.DUMMYFUNCTION("GOOGLEFINANCE(C387,""change"")"),1.8)</f>
        <v>1.8</v>
      </c>
      <c r="G387" s="5">
        <f>IFERROR(__xludf.DUMMYFUNCTION("GOOGLEFINANCE(C387,""changepct"")/100"),0.004)</f>
        <v>0.004</v>
      </c>
      <c r="H387" s="4">
        <f>IFERROR(__xludf.DUMMYFUNCTION("GOOGLEFINANCE(C387,""marketcap"")"),6.5716311754E10)</f>
        <v>65716311754</v>
      </c>
    </row>
    <row r="388">
      <c r="A388" s="3" t="s">
        <v>804</v>
      </c>
      <c r="B388" s="3" t="s">
        <v>44</v>
      </c>
      <c r="C388" s="3" t="s">
        <v>805</v>
      </c>
      <c r="D388" s="3" t="s">
        <v>13</v>
      </c>
      <c r="E388">
        <f>IFERROR(__xludf.DUMMYFUNCTION("GOOGLEFINANCE(C388,""price"")"),28.45)</f>
        <v>28.45</v>
      </c>
      <c r="F388" s="4">
        <f>IFERROR(__xludf.DUMMYFUNCTION("GOOGLEFINANCE(C388,""change"")"),0.3)</f>
        <v>0.3</v>
      </c>
      <c r="G388" s="5">
        <f>IFERROR(__xludf.DUMMYFUNCTION("GOOGLEFINANCE(C388,""changepct"")/100"),0.010700000000000001)</f>
        <v>0.0107</v>
      </c>
      <c r="H388" s="4">
        <f>IFERROR(__xludf.DUMMYFUNCTION("GOOGLEFINANCE(C388,""marketcap"")"),1.11409661399E11)</f>
        <v>111409661399</v>
      </c>
    </row>
    <row r="389">
      <c r="A389" s="3" t="s">
        <v>806</v>
      </c>
      <c r="B389" s="3" t="s">
        <v>15</v>
      </c>
      <c r="C389" s="3" t="s">
        <v>807</v>
      </c>
      <c r="D389" s="3" t="s">
        <v>13</v>
      </c>
      <c r="E389">
        <f>IFERROR(__xludf.DUMMYFUNCTION("GOOGLEFINANCE(C389,""price"")"),4219.0)</f>
        <v>4219</v>
      </c>
      <c r="F389" s="4">
        <f>IFERROR(__xludf.DUMMYFUNCTION("GOOGLEFINANCE(C389,""change"")"),124.5)</f>
        <v>124.5</v>
      </c>
      <c r="G389" s="5">
        <f>IFERROR(__xludf.DUMMYFUNCTION("GOOGLEFINANCE(C389,""changepct"")/100"),0.0304)</f>
        <v>0.0304</v>
      </c>
      <c r="H389" s="4">
        <f>IFERROR(__xludf.DUMMYFUNCTION("GOOGLEFINANCE(C389,""marketcap"")"),2.0857871105E11)</f>
        <v>208578711050</v>
      </c>
    </row>
    <row r="390">
      <c r="A390" s="3" t="s">
        <v>808</v>
      </c>
      <c r="B390" s="3" t="s">
        <v>35</v>
      </c>
      <c r="C390" s="3" t="s">
        <v>809</v>
      </c>
      <c r="D390" s="3" t="s">
        <v>22</v>
      </c>
      <c r="E390">
        <f>IFERROR(__xludf.DUMMYFUNCTION("GOOGLEFINANCE(C390,""price"")"),2426.0)</f>
        <v>2426</v>
      </c>
      <c r="F390" s="4">
        <f>IFERROR(__xludf.DUMMYFUNCTION("GOOGLEFINANCE(C390,""change"")"),5.2)</f>
        <v>5.2</v>
      </c>
      <c r="G390" s="5">
        <f>IFERROR(__xludf.DUMMYFUNCTION("GOOGLEFINANCE(C390,""changepct"")/100"),0.0021)</f>
        <v>0.0021</v>
      </c>
      <c r="H390" s="4">
        <f>IFERROR(__xludf.DUMMYFUNCTION("GOOGLEFINANCE(C390,""marketcap"")"),7.19710188E11)</f>
        <v>719710188000</v>
      </c>
    </row>
    <row r="391">
      <c r="A391" s="3" t="s">
        <v>810</v>
      </c>
      <c r="B391" s="3" t="s">
        <v>32</v>
      </c>
      <c r="C391" s="3" t="s">
        <v>811</v>
      </c>
      <c r="D391" s="3" t="s">
        <v>13</v>
      </c>
      <c r="E391">
        <f>IFERROR(__xludf.DUMMYFUNCTION("GOOGLEFINANCE(C391,""price"")"),6328.0)</f>
        <v>6328</v>
      </c>
      <c r="F391" s="4">
        <f>IFERROR(__xludf.DUMMYFUNCTION("GOOGLEFINANCE(C391,""change"")"),-11.8)</f>
        <v>-11.8</v>
      </c>
      <c r="G391" s="5">
        <f>IFERROR(__xludf.DUMMYFUNCTION("GOOGLEFINANCE(C391,""changepct"")/100"),-0.0019)</f>
        <v>-0.0019</v>
      </c>
      <c r="H391" s="4">
        <f>IFERROR(__xludf.DUMMYFUNCTION("GOOGLEFINANCE(C391,""marketcap"")"),1.45812917353E11)</f>
        <v>145812917353</v>
      </c>
    </row>
    <row r="392">
      <c r="A392" s="3" t="s">
        <v>812</v>
      </c>
      <c r="B392" s="3" t="s">
        <v>15</v>
      </c>
      <c r="C392" s="3" t="s">
        <v>813</v>
      </c>
      <c r="D392" s="3" t="s">
        <v>13</v>
      </c>
      <c r="E392">
        <f>IFERROR(__xludf.DUMMYFUNCTION("GOOGLEFINANCE(C392,""price"")"),2770.0)</f>
        <v>2770</v>
      </c>
      <c r="F392" s="4">
        <f>IFERROR(__xludf.DUMMYFUNCTION("GOOGLEFINANCE(C392,""change"")"),185.55)</f>
        <v>185.55</v>
      </c>
      <c r="G392" s="5">
        <f>IFERROR(__xludf.DUMMYFUNCTION("GOOGLEFINANCE(C392,""changepct"")/100"),0.0718)</f>
        <v>0.0718</v>
      </c>
      <c r="H392" s="4">
        <f>IFERROR(__xludf.DUMMYFUNCTION("GOOGLEFINANCE(C392,""marketcap"")"),4.34498903341E11)</f>
        <v>434498903341</v>
      </c>
    </row>
    <row r="393">
      <c r="A393" s="3" t="s">
        <v>814</v>
      </c>
      <c r="B393" s="3" t="s">
        <v>15</v>
      </c>
      <c r="C393" s="3" t="s">
        <v>815</v>
      </c>
      <c r="D393" s="3" t="s">
        <v>13</v>
      </c>
      <c r="E393">
        <f>IFERROR(__xludf.DUMMYFUNCTION("GOOGLEFINANCE(C393,""price"")"),110.3)</f>
        <v>110.3</v>
      </c>
      <c r="F393" s="4">
        <f>IFERROR(__xludf.DUMMYFUNCTION("GOOGLEFINANCE(C393,""change"")"),0.85)</f>
        <v>0.85</v>
      </c>
      <c r="G393" s="5">
        <f>IFERROR(__xludf.DUMMYFUNCTION("GOOGLEFINANCE(C393,""changepct"")/100"),0.0078000000000000005)</f>
        <v>0.0078</v>
      </c>
      <c r="H393" s="4">
        <f>IFERROR(__xludf.DUMMYFUNCTION("GOOGLEFINANCE(C393,""marketcap"")"),2.6361382069E10)</f>
        <v>26361382069</v>
      </c>
    </row>
    <row r="394">
      <c r="A394" s="3" t="s">
        <v>816</v>
      </c>
      <c r="B394" s="3" t="s">
        <v>32</v>
      </c>
      <c r="C394" s="3" t="s">
        <v>817</v>
      </c>
      <c r="D394" s="3" t="s">
        <v>13</v>
      </c>
      <c r="E394">
        <f>IFERROR(__xludf.DUMMYFUNCTION("GOOGLEFINANCE(C394,""price"")"),128.6)</f>
        <v>128.6</v>
      </c>
      <c r="F394" s="4">
        <f>IFERROR(__xludf.DUMMYFUNCTION("GOOGLEFINANCE(C394,""change"")"),11.65)</f>
        <v>11.65</v>
      </c>
      <c r="G394" s="5">
        <f>IFERROR(__xludf.DUMMYFUNCTION("GOOGLEFINANCE(C394,""changepct"")/100"),0.09960000000000001)</f>
        <v>0.0996</v>
      </c>
      <c r="H394" s="4">
        <f>IFERROR(__xludf.DUMMYFUNCTION("GOOGLEFINANCE(C394,""marketcap"")"),3.1750587022E10)</f>
        <v>31750587022</v>
      </c>
    </row>
    <row r="395">
      <c r="A395" s="3" t="s">
        <v>818</v>
      </c>
      <c r="B395" s="3" t="s">
        <v>157</v>
      </c>
      <c r="C395" s="3" t="s">
        <v>819</v>
      </c>
      <c r="D395" s="3" t="s">
        <v>13</v>
      </c>
      <c r="E395">
        <f>IFERROR(__xludf.DUMMYFUNCTION("GOOGLEFINANCE(C395,""price"")"),518.2)</f>
        <v>518.2</v>
      </c>
      <c r="F395" s="4">
        <f>IFERROR(__xludf.DUMMYFUNCTION("GOOGLEFINANCE(C395,""change"")"),-3.0)</f>
        <v>-3</v>
      </c>
      <c r="G395" s="5">
        <f>IFERROR(__xludf.DUMMYFUNCTION("GOOGLEFINANCE(C395,""changepct"")/100"),-0.0058)</f>
        <v>-0.0058</v>
      </c>
      <c r="H395" s="4">
        <f>IFERROR(__xludf.DUMMYFUNCTION("GOOGLEFINANCE(C395,""marketcap"")"),4.6716016975E10)</f>
        <v>46716016975</v>
      </c>
    </row>
    <row r="396">
      <c r="A396" s="3" t="s">
        <v>820</v>
      </c>
      <c r="B396" s="3" t="s">
        <v>11</v>
      </c>
      <c r="C396" s="3" t="s">
        <v>821</v>
      </c>
      <c r="D396" s="3" t="s">
        <v>13</v>
      </c>
      <c r="E396">
        <f>IFERROR(__xludf.DUMMYFUNCTION("GOOGLEFINANCE(C396,""price"")"),2815.0)</f>
        <v>2815</v>
      </c>
      <c r="F396" s="4">
        <f>IFERROR(__xludf.DUMMYFUNCTION("GOOGLEFINANCE(C396,""change"")"),-51.35)</f>
        <v>-51.35</v>
      </c>
      <c r="G396" s="5">
        <f>IFERROR(__xludf.DUMMYFUNCTION("GOOGLEFINANCE(C396,""changepct"")/100"),-0.0179)</f>
        <v>-0.0179</v>
      </c>
      <c r="H396" s="4">
        <f>IFERROR(__xludf.DUMMYFUNCTION("GOOGLEFINANCE(C396,""marketcap"")"),1.375992E11)</f>
        <v>137599200000</v>
      </c>
    </row>
    <row r="397">
      <c r="A397" s="3" t="s">
        <v>822</v>
      </c>
      <c r="B397" s="3" t="s">
        <v>32</v>
      </c>
      <c r="C397" s="3" t="s">
        <v>823</v>
      </c>
      <c r="D397" s="3" t="s">
        <v>13</v>
      </c>
      <c r="E397">
        <f>IFERROR(__xludf.DUMMYFUNCTION("GOOGLEFINANCE(C397,""price"")"),411.0)</f>
        <v>411</v>
      </c>
      <c r="F397" s="4">
        <f>IFERROR(__xludf.DUMMYFUNCTION("GOOGLEFINANCE(C397,""change"")"),2.55)</f>
        <v>2.55</v>
      </c>
      <c r="G397" s="5">
        <f>IFERROR(__xludf.DUMMYFUNCTION("GOOGLEFINANCE(C397,""changepct"")/100"),0.0062)</f>
        <v>0.0062</v>
      </c>
      <c r="H397" s="4">
        <f>IFERROR(__xludf.DUMMYFUNCTION("GOOGLEFINANCE(C397,""marketcap"")"),3.574068E10)</f>
        <v>35740680000</v>
      </c>
    </row>
    <row r="398">
      <c r="A398" s="3" t="s">
        <v>824</v>
      </c>
      <c r="B398" s="3" t="s">
        <v>47</v>
      </c>
      <c r="C398" s="3" t="s">
        <v>825</v>
      </c>
      <c r="D398" s="3" t="s">
        <v>13</v>
      </c>
      <c r="E398">
        <f>IFERROR(__xludf.DUMMYFUNCTION("GOOGLEFINANCE(C398,""price"")"),104.2)</f>
        <v>104.2</v>
      </c>
      <c r="F398" s="4">
        <f>IFERROR(__xludf.DUMMYFUNCTION("GOOGLEFINANCE(C398,""change"")"),0.55)</f>
        <v>0.55</v>
      </c>
      <c r="G398" s="5">
        <f>IFERROR(__xludf.DUMMYFUNCTION("GOOGLEFINANCE(C398,""changepct"")/100"),0.0053)</f>
        <v>0.0053</v>
      </c>
      <c r="H398" s="4">
        <f>IFERROR(__xludf.DUMMYFUNCTION("GOOGLEFINANCE(C398,""marketcap"")"),4.8393781722E10)</f>
        <v>48393781722</v>
      </c>
    </row>
    <row r="399">
      <c r="A399" s="3" t="s">
        <v>826</v>
      </c>
      <c r="B399" s="3" t="s">
        <v>57</v>
      </c>
      <c r="C399" s="3" t="s">
        <v>827</v>
      </c>
      <c r="D399" s="3" t="s">
        <v>13</v>
      </c>
      <c r="E399">
        <f>IFERROR(__xludf.DUMMYFUNCTION("GOOGLEFINANCE(C399,""price"")"),585.15)</f>
        <v>585.15</v>
      </c>
      <c r="F399" s="4">
        <f>IFERROR(__xludf.DUMMYFUNCTION("GOOGLEFINANCE(C399,""change"")"),-0.55)</f>
        <v>-0.55</v>
      </c>
      <c r="G399" s="5">
        <f>IFERROR(__xludf.DUMMYFUNCTION("GOOGLEFINANCE(C399,""changepct"")/100"),-9.0E-4)</f>
        <v>-0.0009</v>
      </c>
      <c r="H399" s="4">
        <f>IFERROR(__xludf.DUMMYFUNCTION("GOOGLEFINANCE(C399,""marketcap"")"),6.4067752773E10)</f>
        <v>64067752773</v>
      </c>
    </row>
    <row r="400">
      <c r="A400" s="3" t="s">
        <v>828</v>
      </c>
      <c r="B400" s="3" t="s">
        <v>20</v>
      </c>
      <c r="C400" s="3" t="s">
        <v>829</v>
      </c>
      <c r="D400" s="3" t="s">
        <v>22</v>
      </c>
      <c r="E400">
        <f>IFERROR(__xludf.DUMMYFUNCTION("GOOGLEFINANCE(C400,""price"")"),20425.25)</f>
        <v>20425.25</v>
      </c>
      <c r="F400" s="4">
        <f>IFERROR(__xludf.DUMMYFUNCTION("GOOGLEFINANCE(C400,""change"")"),9.8)</f>
        <v>9.8</v>
      </c>
      <c r="G400" s="5">
        <f>IFERROR(__xludf.DUMMYFUNCTION("GOOGLEFINANCE(C400,""changepct"")/100"),5.0E-4)</f>
        <v>0.0005</v>
      </c>
      <c r="H400" s="4">
        <f>IFERROR(__xludf.DUMMYFUNCTION("GOOGLEFINANCE(C400,""marketcap"")"),7.395832E11)</f>
        <v>739583200000</v>
      </c>
    </row>
    <row r="401">
      <c r="A401" s="3" t="s">
        <v>830</v>
      </c>
      <c r="B401" s="3" t="s">
        <v>29</v>
      </c>
      <c r="C401" s="3" t="s">
        <v>831</v>
      </c>
      <c r="D401" s="3" t="s">
        <v>13</v>
      </c>
      <c r="E401">
        <f>IFERROR(__xludf.DUMMYFUNCTION("GOOGLEFINANCE(C401,""price"")"),1936.0)</f>
        <v>1936</v>
      </c>
      <c r="F401" s="4">
        <f>IFERROR(__xludf.DUMMYFUNCTION("GOOGLEFINANCE(C401,""change"")"),-44.35)</f>
        <v>-44.35</v>
      </c>
      <c r="G401" s="5">
        <f>IFERROR(__xludf.DUMMYFUNCTION("GOOGLEFINANCE(C401,""changepct"")/100"),-0.022400000000000003)</f>
        <v>-0.0224</v>
      </c>
      <c r="H401" s="4">
        <f>IFERROR(__xludf.DUMMYFUNCTION("GOOGLEFINANCE(C401,""marketcap"")"),1.295104E11)</f>
        <v>129510400000</v>
      </c>
    </row>
    <row r="402">
      <c r="A402" s="3" t="s">
        <v>832</v>
      </c>
      <c r="B402" s="3" t="s">
        <v>29</v>
      </c>
      <c r="C402" s="3" t="s">
        <v>833</v>
      </c>
      <c r="D402" s="3" t="s">
        <v>22</v>
      </c>
      <c r="E402">
        <f>IFERROR(__xludf.DUMMYFUNCTION("GOOGLEFINANCE(C402,""price"")"),1382.0)</f>
        <v>1382</v>
      </c>
      <c r="F402" s="4">
        <f>IFERROR(__xludf.DUMMYFUNCTION("GOOGLEFINANCE(C402,""change"")"),-78.95)</f>
        <v>-78.95</v>
      </c>
      <c r="G402" s="5">
        <f>IFERROR(__xludf.DUMMYFUNCTION("GOOGLEFINANCE(C402,""changepct"")/100"),-0.054000000000000006)</f>
        <v>-0.054</v>
      </c>
      <c r="H402" s="4">
        <f>IFERROR(__xludf.DUMMYFUNCTION("GOOGLEFINANCE(C402,""marketcap"")"),3.73622194897E11)</f>
        <v>373622194897</v>
      </c>
    </row>
    <row r="403">
      <c r="A403" s="3" t="s">
        <v>834</v>
      </c>
      <c r="B403" s="3" t="s">
        <v>15</v>
      </c>
      <c r="C403" s="3" t="s">
        <v>835</v>
      </c>
      <c r="D403" s="3" t="s">
        <v>22</v>
      </c>
      <c r="E403">
        <f>IFERROR(__xludf.DUMMYFUNCTION("GOOGLEFINANCE(C403,""price"")"),2701.0)</f>
        <v>2701</v>
      </c>
      <c r="F403" s="4">
        <f>IFERROR(__xludf.DUMMYFUNCTION("GOOGLEFINANCE(C403,""change"")"),17.6)</f>
        <v>17.6</v>
      </c>
      <c r="G403" s="5">
        <f>IFERROR(__xludf.DUMMYFUNCTION("GOOGLEFINANCE(C403,""changepct"")/100"),0.0066)</f>
        <v>0.0066</v>
      </c>
      <c r="H403" s="4">
        <f>IFERROR(__xludf.DUMMYFUNCTION("GOOGLEFINANCE(C403,""marketcap"")"),9.5855091884E11)</f>
        <v>958550918840</v>
      </c>
    </row>
    <row r="404">
      <c r="A404" s="3" t="s">
        <v>836</v>
      </c>
      <c r="B404" s="3" t="s">
        <v>100</v>
      </c>
      <c r="C404" s="3" t="s">
        <v>837</v>
      </c>
      <c r="D404" s="3" t="s">
        <v>13</v>
      </c>
      <c r="E404">
        <f>IFERROR(__xludf.DUMMYFUNCTION("GOOGLEFINANCE(C404,""price"")"),699.0)</f>
        <v>699</v>
      </c>
      <c r="F404" s="4">
        <f>IFERROR(__xludf.DUMMYFUNCTION("GOOGLEFINANCE(C404,""change"")"),8.55)</f>
        <v>8.55</v>
      </c>
      <c r="G404" s="5">
        <f>IFERROR(__xludf.DUMMYFUNCTION("GOOGLEFINANCE(C404,""changepct"")/100"),0.0124)</f>
        <v>0.0124</v>
      </c>
      <c r="H404" s="4">
        <f>IFERROR(__xludf.DUMMYFUNCTION("GOOGLEFINANCE(C404,""marketcap"")"),6.640632E10)</f>
        <v>66406320000</v>
      </c>
    </row>
    <row r="405">
      <c r="A405" s="3" t="s">
        <v>838</v>
      </c>
      <c r="B405" s="3" t="s">
        <v>35</v>
      </c>
      <c r="C405" s="3" t="s">
        <v>839</v>
      </c>
      <c r="D405" s="3" t="s">
        <v>13</v>
      </c>
      <c r="E405">
        <f>IFERROR(__xludf.DUMMYFUNCTION("GOOGLEFINANCE(C405,""price"")"),2750.0)</f>
        <v>2750</v>
      </c>
      <c r="F405" s="4">
        <f>IFERROR(__xludf.DUMMYFUNCTION("GOOGLEFINANCE(C405,""change"")"),-39.9)</f>
        <v>-39.9</v>
      </c>
      <c r="G405" s="5">
        <f>IFERROR(__xludf.DUMMYFUNCTION("GOOGLEFINANCE(C405,""changepct"")/100"),-0.0143)</f>
        <v>-0.0143</v>
      </c>
      <c r="H405" s="4">
        <f>IFERROR(__xludf.DUMMYFUNCTION("GOOGLEFINANCE(C405,""marketcap"")"),2.481328E11)</f>
        <v>248132800000</v>
      </c>
    </row>
    <row r="406">
      <c r="A406" s="3" t="s">
        <v>840</v>
      </c>
      <c r="B406" s="3" t="s">
        <v>32</v>
      </c>
      <c r="C406" s="3" t="s">
        <v>841</v>
      </c>
      <c r="D406" s="3" t="s">
        <v>13</v>
      </c>
      <c r="E406">
        <f>IFERROR(__xludf.DUMMYFUNCTION("GOOGLEFINANCE(C406,""price"")"),384.0)</f>
        <v>384</v>
      </c>
      <c r="F406" s="4">
        <f>IFERROR(__xludf.DUMMYFUNCTION("GOOGLEFINANCE(C406,""change"")"),17.55)</f>
        <v>17.55</v>
      </c>
      <c r="G406" s="5">
        <f>IFERROR(__xludf.DUMMYFUNCTION("GOOGLEFINANCE(C406,""changepct"")/100"),0.0479)</f>
        <v>0.0479</v>
      </c>
      <c r="H406" s="4">
        <f>IFERROR(__xludf.DUMMYFUNCTION("GOOGLEFINANCE(C406,""marketcap"")"),1.37466711E10)</f>
        <v>13746671100</v>
      </c>
    </row>
    <row r="407">
      <c r="A407" s="3" t="s">
        <v>842</v>
      </c>
      <c r="B407" s="3" t="s">
        <v>64</v>
      </c>
      <c r="C407" s="3" t="s">
        <v>843</v>
      </c>
      <c r="D407" s="3" t="s">
        <v>13</v>
      </c>
      <c r="E407">
        <f>IFERROR(__xludf.DUMMYFUNCTION("GOOGLEFINANCE(C407,""price"")"),705.9)</f>
        <v>705.9</v>
      </c>
      <c r="F407" s="4">
        <f>IFERROR(__xludf.DUMMYFUNCTION("GOOGLEFINANCE(C407,""change"")"),8.35)</f>
        <v>8.35</v>
      </c>
      <c r="G407" s="5">
        <f>IFERROR(__xludf.DUMMYFUNCTION("GOOGLEFINANCE(C407,""changepct"")/100"),0.012)</f>
        <v>0.012</v>
      </c>
      <c r="H407" s="4">
        <f>IFERROR(__xludf.DUMMYFUNCTION("GOOGLEFINANCE(C407,""marketcap"")"),7.3372233234E10)</f>
        <v>73372233234</v>
      </c>
    </row>
    <row r="408">
      <c r="A408" s="3" t="s">
        <v>844</v>
      </c>
      <c r="B408" s="3" t="s">
        <v>29</v>
      </c>
      <c r="C408" s="3" t="s">
        <v>845</v>
      </c>
      <c r="D408" s="3" t="s">
        <v>13</v>
      </c>
      <c r="E408">
        <f>IFERROR(__xludf.DUMMYFUNCTION("GOOGLEFINANCE(C408,""price"")"),427.05)</f>
        <v>427.05</v>
      </c>
      <c r="F408" s="4">
        <f>IFERROR(__xludf.DUMMYFUNCTION("GOOGLEFINANCE(C408,""change"")"),-3.0)</f>
        <v>-3</v>
      </c>
      <c r="G408" s="5">
        <f>IFERROR(__xludf.DUMMYFUNCTION("GOOGLEFINANCE(C408,""changepct"")/100"),-0.006999999999999999)</f>
        <v>-0.007</v>
      </c>
      <c r="H408" s="4">
        <f>IFERROR(__xludf.DUMMYFUNCTION("GOOGLEFINANCE(C408,""marketcap"")"),3.0298030787E10)</f>
        <v>30298030787</v>
      </c>
    </row>
    <row r="409">
      <c r="A409" s="3" t="s">
        <v>846</v>
      </c>
      <c r="B409" s="3" t="s">
        <v>47</v>
      </c>
      <c r="C409" s="3" t="s">
        <v>847</v>
      </c>
      <c r="D409" s="3" t="s">
        <v>13</v>
      </c>
      <c r="E409">
        <f>IFERROR(__xludf.DUMMYFUNCTION("GOOGLEFINANCE(C409,""price"")"),38.1)</f>
        <v>38.1</v>
      </c>
      <c r="F409" s="4">
        <f>IFERROR(__xludf.DUMMYFUNCTION("GOOGLEFINANCE(C409,""change"")"),1.1)</f>
        <v>1.1</v>
      </c>
      <c r="G409" s="5">
        <f>IFERROR(__xludf.DUMMYFUNCTION("GOOGLEFINANCE(C409,""changepct"")/100"),0.0297)</f>
        <v>0.0297</v>
      </c>
      <c r="H409" s="4">
        <f>IFERROR(__xludf.DUMMYFUNCTION("GOOGLEFINANCE(C409,""marketcap"")"),2.304880932E10)</f>
        <v>23048809320</v>
      </c>
    </row>
    <row r="410">
      <c r="A410" s="3" t="s">
        <v>848</v>
      </c>
      <c r="B410" s="3" t="s">
        <v>20</v>
      </c>
      <c r="C410" s="3" t="s">
        <v>849</v>
      </c>
      <c r="D410" s="3" t="s">
        <v>13</v>
      </c>
      <c r="E410">
        <f>IFERROR(__xludf.DUMMYFUNCTION("GOOGLEFINANCE(C410,""price"")"),87.0)</f>
        <v>87</v>
      </c>
      <c r="F410" s="4">
        <f>IFERROR(__xludf.DUMMYFUNCTION("GOOGLEFINANCE(C410,""change"")"),0.5)</f>
        <v>0.5</v>
      </c>
      <c r="G410" s="5">
        <f>IFERROR(__xludf.DUMMYFUNCTION("GOOGLEFINANCE(C410,""changepct"")/100"),0.0058)</f>
        <v>0.0058</v>
      </c>
      <c r="H410" s="4">
        <f>IFERROR(__xludf.DUMMYFUNCTION("GOOGLEFINANCE(C410,""marketcap"")"),3.526474E10)</f>
        <v>35264740000</v>
      </c>
    </row>
    <row r="411">
      <c r="A411" s="3" t="s">
        <v>850</v>
      </c>
      <c r="B411" s="3" t="s">
        <v>29</v>
      </c>
      <c r="C411" s="3" t="s">
        <v>851</v>
      </c>
      <c r="D411" s="3" t="s">
        <v>22</v>
      </c>
      <c r="E411">
        <f>IFERROR(__xludf.DUMMYFUNCTION("GOOGLEFINANCE(C411,""price"")"),527.65)</f>
        <v>527.65</v>
      </c>
      <c r="F411" s="4">
        <f>IFERROR(__xludf.DUMMYFUNCTION("GOOGLEFINANCE(C411,""change"")"),-4.8)</f>
        <v>-4.8</v>
      </c>
      <c r="G411" s="5">
        <f>IFERROR(__xludf.DUMMYFUNCTION("GOOGLEFINANCE(C411,""changepct"")/100"),-0.009000000000000001)</f>
        <v>-0.009</v>
      </c>
      <c r="H411" s="4">
        <f>IFERROR(__xludf.DUMMYFUNCTION("GOOGLEFINANCE(C411,""marketcap"")"),4.712641708512E12)</f>
        <v>4712641708512</v>
      </c>
    </row>
    <row r="412">
      <c r="A412" s="3" t="s">
        <v>852</v>
      </c>
      <c r="B412" s="3" t="s">
        <v>26</v>
      </c>
      <c r="C412" s="3" t="s">
        <v>853</v>
      </c>
      <c r="D412" s="3" t="s">
        <v>22</v>
      </c>
      <c r="E412">
        <f>IFERROR(__xludf.DUMMYFUNCTION("GOOGLEFINANCE(C412,""price"")"),77.2)</f>
        <v>77.2</v>
      </c>
      <c r="F412" s="4">
        <f>IFERROR(__xludf.DUMMYFUNCTION("GOOGLEFINANCE(C412,""change"")"),3.4)</f>
        <v>3.4</v>
      </c>
      <c r="G412" s="5">
        <f>IFERROR(__xludf.DUMMYFUNCTION("GOOGLEFINANCE(C412,""changepct"")/100"),0.0461)</f>
        <v>0.0461</v>
      </c>
      <c r="H412" s="4">
        <f>IFERROR(__xludf.DUMMYFUNCTION("GOOGLEFINANCE(C412,""marketcap"")"),3.18670010052E11)</f>
        <v>318670010052</v>
      </c>
    </row>
    <row r="413">
      <c r="A413" s="3" t="s">
        <v>854</v>
      </c>
      <c r="B413" s="3" t="s">
        <v>100</v>
      </c>
      <c r="C413" s="3" t="s">
        <v>855</v>
      </c>
      <c r="D413" s="3" t="s">
        <v>13</v>
      </c>
      <c r="E413">
        <f>IFERROR(__xludf.DUMMYFUNCTION("GOOGLEFINANCE(C413,""price"")"),285.7)</f>
        <v>285.7</v>
      </c>
      <c r="F413" s="4">
        <f>IFERROR(__xludf.DUMMYFUNCTION("GOOGLEFINANCE(C413,""change"")"),6.55)</f>
        <v>6.55</v>
      </c>
      <c r="G413" s="5">
        <f>IFERROR(__xludf.DUMMYFUNCTION("GOOGLEFINANCE(C413,""changepct"")/100"),0.0235)</f>
        <v>0.0235</v>
      </c>
      <c r="H413" s="4">
        <f>IFERROR(__xludf.DUMMYFUNCTION("GOOGLEFINANCE(C413,""marketcap"")"),5.4119111202E10)</f>
        <v>54119111202</v>
      </c>
    </row>
    <row r="414">
      <c r="A414" s="3" t="s">
        <v>856</v>
      </c>
      <c r="B414" s="3" t="s">
        <v>174</v>
      </c>
      <c r="C414" s="3" t="s">
        <v>857</v>
      </c>
      <c r="D414" s="3" t="s">
        <v>13</v>
      </c>
      <c r="E414">
        <f>IFERROR(__xludf.DUMMYFUNCTION("GOOGLEFINANCE(C414,""price"")"),141.9)</f>
        <v>141.9</v>
      </c>
      <c r="F414" s="4">
        <f>IFERROR(__xludf.DUMMYFUNCTION("GOOGLEFINANCE(C414,""change"")"),1.7)</f>
        <v>1.7</v>
      </c>
      <c r="G414" s="5">
        <f>IFERROR(__xludf.DUMMYFUNCTION("GOOGLEFINANCE(C414,""changepct"")/100"),0.0121)</f>
        <v>0.0121</v>
      </c>
      <c r="H414" s="4">
        <f>IFERROR(__xludf.DUMMYFUNCTION("GOOGLEFINANCE(C414,""marketcap"")"),5.6443777073E10)</f>
        <v>56443777073</v>
      </c>
    </row>
    <row r="415">
      <c r="A415" s="3" t="s">
        <v>858</v>
      </c>
      <c r="B415" s="3" t="s">
        <v>32</v>
      </c>
      <c r="C415" s="3" t="s">
        <v>859</v>
      </c>
      <c r="D415" s="3" t="s">
        <v>13</v>
      </c>
      <c r="E415">
        <f>IFERROR(__xludf.DUMMYFUNCTION("GOOGLEFINANCE(C415,""price"")"),331.35)</f>
        <v>331.35</v>
      </c>
      <c r="F415" s="4">
        <f>IFERROR(__xludf.DUMMYFUNCTION("GOOGLEFINANCE(C415,""change"")"),-3.1)</f>
        <v>-3.1</v>
      </c>
      <c r="G415" s="5">
        <f>IFERROR(__xludf.DUMMYFUNCTION("GOOGLEFINANCE(C415,""changepct"")/100"),-0.009300000000000001)</f>
        <v>-0.0093</v>
      </c>
      <c r="H415" s="4">
        <f>IFERROR(__xludf.DUMMYFUNCTION("GOOGLEFINANCE(C415,""marketcap"")"),2.9818087644E10)</f>
        <v>29818087644</v>
      </c>
    </row>
    <row r="416">
      <c r="A416" s="3" t="s">
        <v>860</v>
      </c>
      <c r="B416" s="3" t="s">
        <v>35</v>
      </c>
      <c r="C416" s="3" t="s">
        <v>861</v>
      </c>
      <c r="D416" s="3" t="s">
        <v>13</v>
      </c>
      <c r="E416">
        <f>IFERROR(__xludf.DUMMYFUNCTION("GOOGLEFINANCE(C416,""price"")"),472.4)</f>
        <v>472.4</v>
      </c>
      <c r="F416" s="4">
        <f>IFERROR(__xludf.DUMMYFUNCTION("GOOGLEFINANCE(C416,""change"")"),14.5)</f>
        <v>14.5</v>
      </c>
      <c r="G416" s="5">
        <f>IFERROR(__xludf.DUMMYFUNCTION("GOOGLEFINANCE(C416,""changepct"")/100"),0.0317)</f>
        <v>0.0317</v>
      </c>
      <c r="H416" s="4">
        <f>IFERROR(__xludf.DUMMYFUNCTION("GOOGLEFINANCE(C416,""marketcap"")"),3.2848692872E10)</f>
        <v>32848692872</v>
      </c>
    </row>
    <row r="417">
      <c r="A417" s="3" t="s">
        <v>862</v>
      </c>
      <c r="B417" s="3" t="s">
        <v>157</v>
      </c>
      <c r="C417" s="3" t="s">
        <v>863</v>
      </c>
      <c r="D417" s="3" t="s">
        <v>13</v>
      </c>
      <c r="E417">
        <f>IFERROR(__xludf.DUMMYFUNCTION("GOOGLEFINANCE(C417,""price"")"),451.25)</f>
        <v>451.25</v>
      </c>
      <c r="F417" s="4">
        <f>IFERROR(__xludf.DUMMYFUNCTION("GOOGLEFINANCE(C417,""change"")"),-3.9)</f>
        <v>-3.9</v>
      </c>
      <c r="G417" s="5">
        <f>IFERROR(__xludf.DUMMYFUNCTION("GOOGLEFINANCE(C417,""changepct"")/100"),-0.0086)</f>
        <v>-0.0086</v>
      </c>
      <c r="H417" s="4">
        <f>IFERROR(__xludf.DUMMYFUNCTION("GOOGLEFINANCE(C417,""marketcap"")"),2.254392E11)</f>
        <v>225439200000</v>
      </c>
    </row>
    <row r="418">
      <c r="A418" s="3" t="s">
        <v>864</v>
      </c>
      <c r="B418" s="3" t="s">
        <v>32</v>
      </c>
      <c r="C418" s="3" t="s">
        <v>865</v>
      </c>
      <c r="D418" s="3" t="s">
        <v>13</v>
      </c>
      <c r="E418">
        <f>IFERROR(__xludf.DUMMYFUNCTION("GOOGLEFINANCE(C418,""price"")"),225.35)</f>
        <v>225.35</v>
      </c>
      <c r="F418" s="4">
        <f>IFERROR(__xludf.DUMMYFUNCTION("GOOGLEFINANCE(C418,""change"")"),3.4)</f>
        <v>3.4</v>
      </c>
      <c r="G418" s="5">
        <f>IFERROR(__xludf.DUMMYFUNCTION("GOOGLEFINANCE(C418,""changepct"")/100"),0.015300000000000001)</f>
        <v>0.0153</v>
      </c>
      <c r="H418" s="4">
        <f>IFERROR(__xludf.DUMMYFUNCTION("GOOGLEFINANCE(C418,""marketcap"")"),6.2629682164E10)</f>
        <v>62629682164</v>
      </c>
    </row>
    <row r="419">
      <c r="A419" s="3" t="s">
        <v>866</v>
      </c>
      <c r="B419" s="3" t="s">
        <v>32</v>
      </c>
      <c r="C419" s="3" t="s">
        <v>867</v>
      </c>
      <c r="D419" s="3" t="s">
        <v>22</v>
      </c>
      <c r="E419">
        <f>IFERROR(__xludf.DUMMYFUNCTION("GOOGLEFINANCE(C419,""price"")"),943.6)</f>
        <v>943.6</v>
      </c>
      <c r="F419" s="4">
        <f>IFERROR(__xludf.DUMMYFUNCTION("GOOGLEFINANCE(C419,""change"")"),48.75)</f>
        <v>48.75</v>
      </c>
      <c r="G419" s="5">
        <f>IFERROR(__xludf.DUMMYFUNCTION("GOOGLEFINANCE(C419,""changepct"")/100"),0.0545)</f>
        <v>0.0545</v>
      </c>
      <c r="H419" s="4">
        <f>IFERROR(__xludf.DUMMYFUNCTION("GOOGLEFINANCE(C419,""marketcap"")"),2.26010038256E12)</f>
        <v>2260100382560</v>
      </c>
    </row>
    <row r="420">
      <c r="A420" s="3" t="s">
        <v>868</v>
      </c>
      <c r="B420" s="3" t="s">
        <v>286</v>
      </c>
      <c r="C420" s="3" t="s">
        <v>869</v>
      </c>
      <c r="D420" s="3" t="s">
        <v>22</v>
      </c>
      <c r="E420">
        <f>IFERROR(__xludf.DUMMYFUNCTION("GOOGLEFINANCE(C420,""price"")"),472.2)</f>
        <v>472.2</v>
      </c>
      <c r="F420" s="4">
        <f>IFERROR(__xludf.DUMMYFUNCTION("GOOGLEFINANCE(C420,""change"")"),-1.8)</f>
        <v>-1.8</v>
      </c>
      <c r="G420" s="5">
        <f>IFERROR(__xludf.DUMMYFUNCTION("GOOGLEFINANCE(C420,""changepct"")/100"),-0.0038)</f>
        <v>-0.0038</v>
      </c>
      <c r="H420" s="4">
        <f>IFERROR(__xludf.DUMMYFUNCTION("GOOGLEFINANCE(C420,""marketcap"")"),1.8608670571E11)</f>
        <v>186086705710</v>
      </c>
    </row>
    <row r="421">
      <c r="A421" s="3" t="s">
        <v>870</v>
      </c>
      <c r="B421" s="3" t="s">
        <v>82</v>
      </c>
      <c r="C421" s="3" t="s">
        <v>871</v>
      </c>
      <c r="D421" s="3" t="s">
        <v>13</v>
      </c>
      <c r="E421">
        <f>IFERROR(__xludf.DUMMYFUNCTION("GOOGLEFINANCE(C421,""price"")"),4666.15)</f>
        <v>4666.15</v>
      </c>
      <c r="F421" s="4">
        <f>IFERROR(__xludf.DUMMYFUNCTION("GOOGLEFINANCE(C421,""change"")"),112.25)</f>
        <v>112.25</v>
      </c>
      <c r="G421" s="5">
        <f>IFERROR(__xludf.DUMMYFUNCTION("GOOGLEFINANCE(C421,""changepct"")/100"),0.0246)</f>
        <v>0.0246</v>
      </c>
      <c r="H421" s="4">
        <f>IFERROR(__xludf.DUMMYFUNCTION("GOOGLEFINANCE(C421,""marketcap"")"),9.4405918116E10)</f>
        <v>94405918116</v>
      </c>
    </row>
    <row r="422">
      <c r="A422" s="3" t="s">
        <v>872</v>
      </c>
      <c r="B422" s="3" t="s">
        <v>29</v>
      </c>
      <c r="C422" s="3" t="s">
        <v>873</v>
      </c>
      <c r="D422" s="3" t="s">
        <v>13</v>
      </c>
      <c r="E422">
        <f>IFERROR(__xludf.DUMMYFUNCTION("GOOGLEFINANCE(C422,""price"")"),2055.0)</f>
        <v>2055</v>
      </c>
      <c r="F422" s="4">
        <f>IFERROR(__xludf.DUMMYFUNCTION("GOOGLEFINANCE(C422,""change"")"),51.55)</f>
        <v>51.55</v>
      </c>
      <c r="G422" s="5">
        <f>IFERROR(__xludf.DUMMYFUNCTION("GOOGLEFINANCE(C422,""changepct"")/100"),0.025699999999999997)</f>
        <v>0.0257</v>
      </c>
      <c r="H422" s="4">
        <f>IFERROR(__xludf.DUMMYFUNCTION("GOOGLEFINANCE(C422,""marketcap"")"),2.26440039E11)</f>
        <v>226440039000</v>
      </c>
    </row>
    <row r="423">
      <c r="A423" s="3" t="s">
        <v>874</v>
      </c>
      <c r="B423" s="3" t="s">
        <v>82</v>
      </c>
      <c r="C423" s="3" t="s">
        <v>875</v>
      </c>
      <c r="D423" s="3" t="s">
        <v>13</v>
      </c>
      <c r="E423">
        <f>IFERROR(__xludf.DUMMYFUNCTION("GOOGLEFINANCE(C423,""price"")"),832.0)</f>
        <v>832</v>
      </c>
      <c r="F423" s="4">
        <f>IFERROR(__xludf.DUMMYFUNCTION("GOOGLEFINANCE(C423,""change"")"),28.4)</f>
        <v>28.4</v>
      </c>
      <c r="G423" s="5">
        <f>IFERROR(__xludf.DUMMYFUNCTION("GOOGLEFINANCE(C423,""changepct"")/100"),0.0353)</f>
        <v>0.0353</v>
      </c>
      <c r="H423" s="4">
        <f>IFERROR(__xludf.DUMMYFUNCTION("GOOGLEFINANCE(C423,""marketcap"")"),1.748267456E11)</f>
        <v>174826745600</v>
      </c>
    </row>
    <row r="424">
      <c r="A424" s="3" t="s">
        <v>876</v>
      </c>
      <c r="B424" s="3" t="s">
        <v>100</v>
      </c>
      <c r="C424" s="3" t="s">
        <v>877</v>
      </c>
      <c r="D424" s="3" t="s">
        <v>13</v>
      </c>
      <c r="E424">
        <f>IFERROR(__xludf.DUMMYFUNCTION("GOOGLEFINANCE(C424,""price"")"),517.0)</f>
        <v>517</v>
      </c>
      <c r="F424" s="4">
        <f>IFERROR(__xludf.DUMMYFUNCTION("GOOGLEFINANCE(C424,""change"")"),1.8)</f>
        <v>1.8</v>
      </c>
      <c r="G424" s="5">
        <f>IFERROR(__xludf.DUMMYFUNCTION("GOOGLEFINANCE(C424,""changepct"")/100"),0.0034999999999999996)</f>
        <v>0.0035</v>
      </c>
      <c r="H424" s="4">
        <f>IFERROR(__xludf.DUMMYFUNCTION("GOOGLEFINANCE(C424,""marketcap"")"),7.589771E10)</f>
        <v>75897710000</v>
      </c>
    </row>
    <row r="425">
      <c r="A425" s="3" t="s">
        <v>878</v>
      </c>
      <c r="B425" s="3" t="s">
        <v>82</v>
      </c>
      <c r="C425" s="3" t="s">
        <v>879</v>
      </c>
      <c r="D425" s="3" t="s">
        <v>13</v>
      </c>
      <c r="E425">
        <f>IFERROR(__xludf.DUMMYFUNCTION("GOOGLEFINANCE(C425,""price"")"),339.9)</f>
        <v>339.9</v>
      </c>
      <c r="F425" s="4">
        <f>IFERROR(__xludf.DUMMYFUNCTION("GOOGLEFINANCE(C425,""change"")"),-1.05)</f>
        <v>-1.05</v>
      </c>
      <c r="G425" s="5">
        <f>IFERROR(__xludf.DUMMYFUNCTION("GOOGLEFINANCE(C425,""changepct"")/100"),-0.0031)</f>
        <v>-0.0031</v>
      </c>
      <c r="H425" s="4">
        <f>IFERROR(__xludf.DUMMYFUNCTION("GOOGLEFINANCE(C425,""marketcap"")"),4.694079E10)</f>
        <v>46940790000</v>
      </c>
    </row>
    <row r="426">
      <c r="A426" s="3" t="s">
        <v>880</v>
      </c>
      <c r="B426" s="3" t="s">
        <v>15</v>
      </c>
      <c r="C426" s="3" t="s">
        <v>881</v>
      </c>
      <c r="D426" s="3" t="s">
        <v>13</v>
      </c>
      <c r="E426">
        <f>IFERROR(__xludf.DUMMYFUNCTION("GOOGLEFINANCE(C426,""price"")"),1881.8)</f>
        <v>1881.8</v>
      </c>
      <c r="F426" s="4">
        <f>IFERROR(__xludf.DUMMYFUNCTION("GOOGLEFINANCE(C426,""change"")"),6.1)</f>
        <v>6.1</v>
      </c>
      <c r="G426" s="5">
        <f>IFERROR(__xludf.DUMMYFUNCTION("GOOGLEFINANCE(C426,""changepct"")/100"),0.0033)</f>
        <v>0.0033</v>
      </c>
      <c r="H426" s="4">
        <f>IFERROR(__xludf.DUMMYFUNCTION("GOOGLEFINANCE(C426,""marketcap"")"),2.39039038442E11)</f>
        <v>239039038442</v>
      </c>
    </row>
    <row r="427">
      <c r="A427" s="3" t="s">
        <v>882</v>
      </c>
      <c r="B427" s="3" t="s">
        <v>35</v>
      </c>
      <c r="C427" s="3" t="s">
        <v>883</v>
      </c>
      <c r="D427" s="3" t="s">
        <v>13</v>
      </c>
      <c r="E427" t="str">
        <f>IFERROR(__xludf.DUMMYFUNCTION("GOOGLEFINANCE(C427,""price"")"),"#N/A")</f>
        <v>#N/A</v>
      </c>
      <c r="F427" s="4" t="str">
        <f>IFERROR(__xludf.DUMMYFUNCTION("GOOGLEFINANCE(C427,""change"")"),"#N/A")</f>
        <v>#N/A</v>
      </c>
      <c r="G427" s="5" t="str">
        <f>IFERROR(__xludf.DUMMYFUNCTION("GOOGLEFINANCE(C427,""changepct"")/100"),"#N/A")</f>
        <v>#N/A</v>
      </c>
      <c r="H427" s="4" t="str">
        <f>IFERROR(__xludf.DUMMYFUNCTION("GOOGLEFINANCE(C427,""marketcap"")"),"#N/A")</f>
        <v>#N/A</v>
      </c>
    </row>
    <row r="428">
      <c r="A428" s="3" t="s">
        <v>884</v>
      </c>
      <c r="B428" s="3" t="s">
        <v>32</v>
      </c>
      <c r="C428" s="3" t="s">
        <v>885</v>
      </c>
      <c r="D428" s="3" t="s">
        <v>13</v>
      </c>
      <c r="E428">
        <f>IFERROR(__xludf.DUMMYFUNCTION("GOOGLEFINANCE(C428,""price"")"),485.0)</f>
        <v>485</v>
      </c>
      <c r="F428" s="4">
        <f>IFERROR(__xludf.DUMMYFUNCTION("GOOGLEFINANCE(C428,""change"")"),14.75)</f>
        <v>14.75</v>
      </c>
      <c r="G428" s="5">
        <f>IFERROR(__xludf.DUMMYFUNCTION("GOOGLEFINANCE(C428,""changepct"")/100"),0.031400000000000004)</f>
        <v>0.0314</v>
      </c>
      <c r="H428" s="4">
        <f>IFERROR(__xludf.DUMMYFUNCTION("GOOGLEFINANCE(C428,""marketcap"")"),1.22588213399E11)</f>
        <v>122588213399</v>
      </c>
    </row>
    <row r="429">
      <c r="A429" s="3" t="s">
        <v>886</v>
      </c>
      <c r="B429" s="3" t="s">
        <v>15</v>
      </c>
      <c r="C429" s="3" t="s">
        <v>887</v>
      </c>
      <c r="D429" s="3" t="s">
        <v>13</v>
      </c>
      <c r="E429">
        <f>IFERROR(__xludf.DUMMYFUNCTION("GOOGLEFINANCE(C429,""price"")"),6.7)</f>
        <v>6.7</v>
      </c>
      <c r="F429" s="4">
        <f>IFERROR(__xludf.DUMMYFUNCTION("GOOGLEFINANCE(C429,""change"")"),0.6)</f>
        <v>0.6</v>
      </c>
      <c r="G429" s="5">
        <f>IFERROR(__xludf.DUMMYFUNCTION("GOOGLEFINANCE(C429,""changepct"")/100"),0.0984)</f>
        <v>0.0984</v>
      </c>
      <c r="H429" s="4">
        <f>IFERROR(__xludf.DUMMYFUNCTION("GOOGLEFINANCE(C429,""marketcap"")"),6.3910952211E10)</f>
        <v>63910952211</v>
      </c>
    </row>
    <row r="430">
      <c r="A430" s="3" t="s">
        <v>888</v>
      </c>
      <c r="B430" s="3" t="s">
        <v>79</v>
      </c>
      <c r="C430" s="3" t="s">
        <v>889</v>
      </c>
      <c r="D430" s="3" t="s">
        <v>13</v>
      </c>
      <c r="E430">
        <f>IFERROR(__xludf.DUMMYFUNCTION("GOOGLEFINANCE(C430,""price"")"),211.65)</f>
        <v>211.65</v>
      </c>
      <c r="F430" s="4">
        <f>IFERROR(__xludf.DUMMYFUNCTION("GOOGLEFINANCE(C430,""change"")"),-2.8)</f>
        <v>-2.8</v>
      </c>
      <c r="G430" s="5">
        <f>IFERROR(__xludf.DUMMYFUNCTION("GOOGLEFINANCE(C430,""changepct"")/100"),-0.0131)</f>
        <v>-0.0131</v>
      </c>
      <c r="H430" s="4">
        <f>IFERROR(__xludf.DUMMYFUNCTION("GOOGLEFINANCE(C430,""marketcap"")"),5.5368773038E10)</f>
        <v>55368773038</v>
      </c>
    </row>
    <row r="431">
      <c r="A431" s="3" t="s">
        <v>890</v>
      </c>
      <c r="B431" s="3" t="s">
        <v>11</v>
      </c>
      <c r="C431" s="3" t="s">
        <v>891</v>
      </c>
      <c r="D431" s="3" t="s">
        <v>13</v>
      </c>
      <c r="E431">
        <f>IFERROR(__xludf.DUMMYFUNCTION("GOOGLEFINANCE(C431,""price"")"),939.0)</f>
        <v>939</v>
      </c>
      <c r="F431" s="4">
        <f>IFERROR(__xludf.DUMMYFUNCTION("GOOGLEFINANCE(C431,""change"")"),-16.9)</f>
        <v>-16.9</v>
      </c>
      <c r="G431" s="5">
        <f>IFERROR(__xludf.DUMMYFUNCTION("GOOGLEFINANCE(C431,""changepct"")/100"),-0.0177)</f>
        <v>-0.0177</v>
      </c>
      <c r="H431" s="4">
        <f>IFERROR(__xludf.DUMMYFUNCTION("GOOGLEFINANCE(C431,""marketcap"")"),6.568263E10)</f>
        <v>65682630000</v>
      </c>
    </row>
    <row r="432">
      <c r="A432" s="3" t="s">
        <v>892</v>
      </c>
      <c r="B432" s="3" t="s">
        <v>91</v>
      </c>
      <c r="C432" s="3" t="s">
        <v>893</v>
      </c>
      <c r="D432" s="3" t="s">
        <v>13</v>
      </c>
      <c r="E432">
        <f>IFERROR(__xludf.DUMMYFUNCTION("GOOGLEFINANCE(C432,""price"")"),567.9)</f>
        <v>567.9</v>
      </c>
      <c r="F432" s="4">
        <f>IFERROR(__xludf.DUMMYFUNCTION("GOOGLEFINANCE(C432,""change"")"),-5.2)</f>
        <v>-5.2</v>
      </c>
      <c r="G432" s="5">
        <f>IFERROR(__xludf.DUMMYFUNCTION("GOOGLEFINANCE(C432,""changepct"")/100"),-0.0091)</f>
        <v>-0.0091</v>
      </c>
      <c r="H432" s="4">
        <f>IFERROR(__xludf.DUMMYFUNCTION("GOOGLEFINANCE(C432,""marketcap"")"),2.2587314534E11)</f>
        <v>225873145340</v>
      </c>
    </row>
    <row r="433">
      <c r="A433" s="3" t="s">
        <v>894</v>
      </c>
      <c r="B433" s="3" t="s">
        <v>47</v>
      </c>
      <c r="C433" s="3" t="s">
        <v>895</v>
      </c>
      <c r="D433" s="3" t="s">
        <v>13</v>
      </c>
      <c r="E433">
        <f>IFERROR(__xludf.DUMMYFUNCTION("GOOGLEFINANCE(C433,""price"")"),1760.2)</f>
        <v>1760.2</v>
      </c>
      <c r="F433" s="4">
        <f>IFERROR(__xludf.DUMMYFUNCTION("GOOGLEFINANCE(C433,""change"")"),52.25)</f>
        <v>52.25</v>
      </c>
      <c r="G433" s="5">
        <f>IFERROR(__xludf.DUMMYFUNCTION("GOOGLEFINANCE(C433,""changepct"")/100"),0.030600000000000002)</f>
        <v>0.0306</v>
      </c>
      <c r="H433" s="4">
        <f>IFERROR(__xludf.DUMMYFUNCTION("GOOGLEFINANCE(C433,""marketcap"")"),6.820041E10)</f>
        <v>68200410000</v>
      </c>
    </row>
    <row r="434">
      <c r="A434" s="3" t="s">
        <v>896</v>
      </c>
      <c r="B434" s="3" t="s">
        <v>79</v>
      </c>
      <c r="C434" s="3" t="s">
        <v>897</v>
      </c>
      <c r="D434" s="3" t="s">
        <v>13</v>
      </c>
      <c r="E434">
        <f>IFERROR(__xludf.DUMMYFUNCTION("GOOGLEFINANCE(C434,""price"")"),582.0)</f>
        <v>582</v>
      </c>
      <c r="F434" s="4">
        <f>IFERROR(__xludf.DUMMYFUNCTION("GOOGLEFINANCE(C434,""change"")"),-3.05)</f>
        <v>-3.05</v>
      </c>
      <c r="G434" s="5">
        <f>IFERROR(__xludf.DUMMYFUNCTION("GOOGLEFINANCE(C434,""changepct"")/100"),-0.0052)</f>
        <v>-0.0052</v>
      </c>
      <c r="H434" s="4">
        <f>IFERROR(__xludf.DUMMYFUNCTION("GOOGLEFINANCE(C434,""marketcap"")"),3.589305E10)</f>
        <v>35893050000</v>
      </c>
    </row>
    <row r="435">
      <c r="A435" s="3" t="s">
        <v>898</v>
      </c>
      <c r="B435" s="3" t="s">
        <v>11</v>
      </c>
      <c r="C435" s="3" t="s">
        <v>899</v>
      </c>
      <c r="D435" s="3" t="s">
        <v>13</v>
      </c>
      <c r="E435">
        <f>IFERROR(__xludf.DUMMYFUNCTION("GOOGLEFINANCE(C435,""price"")"),892.0)</f>
        <v>892</v>
      </c>
      <c r="F435" s="4">
        <f>IFERROR(__xludf.DUMMYFUNCTION("GOOGLEFINANCE(C435,""change"")"),-2.75)</f>
        <v>-2.75</v>
      </c>
      <c r="G435" s="5">
        <f>IFERROR(__xludf.DUMMYFUNCTION("GOOGLEFINANCE(C435,""changepct"")/100"),-0.0031)</f>
        <v>-0.0031</v>
      </c>
      <c r="H435" s="4">
        <f>IFERROR(__xludf.DUMMYFUNCTION("GOOGLEFINANCE(C435,""marketcap"")"),1.236435988E11)</f>
        <v>123643598800</v>
      </c>
    </row>
    <row r="436">
      <c r="A436" s="3" t="s">
        <v>900</v>
      </c>
      <c r="B436" s="3" t="s">
        <v>286</v>
      </c>
      <c r="C436" s="3" t="s">
        <v>901</v>
      </c>
      <c r="D436" s="3" t="s">
        <v>13</v>
      </c>
      <c r="E436">
        <f>IFERROR(__xludf.DUMMYFUNCTION("GOOGLEFINANCE(C436,""price"")"),37.05)</f>
        <v>37.05</v>
      </c>
      <c r="F436" s="4">
        <f>IFERROR(__xludf.DUMMYFUNCTION("GOOGLEFINANCE(C436,""change"")"),-0.35)</f>
        <v>-0.35</v>
      </c>
      <c r="G436" s="5">
        <f>IFERROR(__xludf.DUMMYFUNCTION("GOOGLEFINANCE(C436,""changepct"")/100"),-0.009399999999999999)</f>
        <v>-0.0094</v>
      </c>
      <c r="H436" s="4">
        <f>IFERROR(__xludf.DUMMYFUNCTION("GOOGLEFINANCE(C436,""marketcap"")"),6.3517036692E10)</f>
        <v>63517036692</v>
      </c>
    </row>
    <row r="437">
      <c r="A437" s="3" t="s">
        <v>902</v>
      </c>
      <c r="B437" s="3" t="s">
        <v>82</v>
      </c>
      <c r="C437" s="3" t="s">
        <v>903</v>
      </c>
      <c r="D437" s="3" t="s">
        <v>22</v>
      </c>
      <c r="E437">
        <f>IFERROR(__xludf.DUMMYFUNCTION("GOOGLEFINANCE(C437,""price"")"),904.4)</f>
        <v>904.4</v>
      </c>
      <c r="F437" s="4">
        <f>IFERROR(__xludf.DUMMYFUNCTION("GOOGLEFINANCE(C437,""change"")"),33.8)</f>
        <v>33.8</v>
      </c>
      <c r="G437" s="5">
        <f>IFERROR(__xludf.DUMMYFUNCTION("GOOGLEFINANCE(C437,""changepct"")/100"),0.0388)</f>
        <v>0.0388</v>
      </c>
      <c r="H437" s="4">
        <f>IFERROR(__xludf.DUMMYFUNCTION("GOOGLEFINANCE(C437,""marketcap"")"),4.31636280936E11)</f>
        <v>431636280936</v>
      </c>
    </row>
    <row r="438">
      <c r="A438" s="3" t="s">
        <v>904</v>
      </c>
      <c r="B438" s="3" t="s">
        <v>64</v>
      </c>
      <c r="C438" s="3" t="s">
        <v>905</v>
      </c>
      <c r="D438" s="3" t="s">
        <v>13</v>
      </c>
      <c r="E438">
        <f>IFERROR(__xludf.DUMMYFUNCTION("GOOGLEFINANCE(C438,""price"")"),692.0)</f>
        <v>692</v>
      </c>
      <c r="F438" s="4">
        <f>IFERROR(__xludf.DUMMYFUNCTION("GOOGLEFINANCE(C438,""change"")"),55.55)</f>
        <v>55.55</v>
      </c>
      <c r="G438" s="5">
        <f>IFERROR(__xludf.DUMMYFUNCTION("GOOGLEFINANCE(C438,""changepct"")/100"),0.0873)</f>
        <v>0.0873</v>
      </c>
      <c r="H438" s="4">
        <f>IFERROR(__xludf.DUMMYFUNCTION("GOOGLEFINANCE(C438,""marketcap"")"),9.4045567951E10)</f>
        <v>94045567951</v>
      </c>
    </row>
    <row r="439">
      <c r="A439" s="3" t="s">
        <v>906</v>
      </c>
      <c r="B439" s="3" t="s">
        <v>11</v>
      </c>
      <c r="C439" s="3" t="s">
        <v>907</v>
      </c>
      <c r="D439" s="3" t="s">
        <v>13</v>
      </c>
      <c r="E439">
        <f>IFERROR(__xludf.DUMMYFUNCTION("GOOGLEFINANCE(C439,""price"")"),11720.1)</f>
        <v>11720.1</v>
      </c>
      <c r="F439" s="4">
        <f>IFERROR(__xludf.DUMMYFUNCTION("GOOGLEFINANCE(C439,""change"")"),75.25)</f>
        <v>75.25</v>
      </c>
      <c r="G439" s="5">
        <f>IFERROR(__xludf.DUMMYFUNCTION("GOOGLEFINANCE(C439,""changepct"")/100"),0.006500000000000001)</f>
        <v>0.0065</v>
      </c>
      <c r="H439" s="4">
        <f>IFERROR(__xludf.DUMMYFUNCTION("GOOGLEFINANCE(C439,""marketcap"")"),3.0073775597E10)</f>
        <v>30073775597</v>
      </c>
    </row>
    <row r="440">
      <c r="A440" s="3" t="s">
        <v>908</v>
      </c>
      <c r="B440" s="3" t="s">
        <v>35</v>
      </c>
      <c r="C440" s="3" t="s">
        <v>909</v>
      </c>
      <c r="D440" s="3" t="s">
        <v>22</v>
      </c>
      <c r="E440">
        <f>IFERROR(__xludf.DUMMYFUNCTION("GOOGLEFINANCE(C440,""price"")"),910.0)</f>
        <v>910</v>
      </c>
      <c r="F440" s="4">
        <f>IFERROR(__xludf.DUMMYFUNCTION("GOOGLEFINANCE(C440,""change"")"),20.0)</f>
        <v>20</v>
      </c>
      <c r="G440" s="5">
        <f>IFERROR(__xludf.DUMMYFUNCTION("GOOGLEFINANCE(C440,""changepct"")/100"),0.0225)</f>
        <v>0.0225</v>
      </c>
      <c r="H440" s="4">
        <f>IFERROR(__xludf.DUMMYFUNCTION("GOOGLEFINANCE(C440,""marketcap"")"),2.31828233E11)</f>
        <v>231828233000</v>
      </c>
    </row>
    <row r="441">
      <c r="A441" s="3" t="s">
        <v>910</v>
      </c>
      <c r="B441" s="3" t="s">
        <v>11</v>
      </c>
      <c r="C441" s="3" t="s">
        <v>911</v>
      </c>
      <c r="D441" s="3" t="s">
        <v>13</v>
      </c>
      <c r="E441">
        <f>IFERROR(__xludf.DUMMYFUNCTION("GOOGLEFINANCE(C441,""price"")"),221.4)</f>
        <v>221.4</v>
      </c>
      <c r="F441" s="4">
        <f>IFERROR(__xludf.DUMMYFUNCTION("GOOGLEFINANCE(C441,""change"")"),1.5)</f>
        <v>1.5</v>
      </c>
      <c r="G441" s="5">
        <f>IFERROR(__xludf.DUMMYFUNCTION("GOOGLEFINANCE(C441,""changepct"")/100"),0.0068000000000000005)</f>
        <v>0.0068</v>
      </c>
      <c r="H441" s="4">
        <f>IFERROR(__xludf.DUMMYFUNCTION("GOOGLEFINANCE(C441,""marketcap"")"),4.1247820168E10)</f>
        <v>41247820168</v>
      </c>
    </row>
    <row r="442">
      <c r="A442" s="3" t="s">
        <v>912</v>
      </c>
      <c r="B442" s="3" t="s">
        <v>174</v>
      </c>
      <c r="C442" s="3" t="s">
        <v>913</v>
      </c>
      <c r="D442" s="3" t="s">
        <v>13</v>
      </c>
      <c r="E442">
        <f>IFERROR(__xludf.DUMMYFUNCTION("GOOGLEFINANCE(C442,""price"")"),1046.0)</f>
        <v>1046</v>
      </c>
      <c r="F442" s="4">
        <f>IFERROR(__xludf.DUMMYFUNCTION("GOOGLEFINANCE(C442,""change"")"),11.95)</f>
        <v>11.95</v>
      </c>
      <c r="G442" s="5">
        <f>IFERROR(__xludf.DUMMYFUNCTION("GOOGLEFINANCE(C442,""changepct"")/100"),0.0116)</f>
        <v>0.0116</v>
      </c>
      <c r="H442" s="4">
        <f>IFERROR(__xludf.DUMMYFUNCTION("GOOGLEFINANCE(C442,""marketcap"")"),2.9811E11)</f>
        <v>298110000000</v>
      </c>
    </row>
    <row r="443">
      <c r="A443" s="3" t="s">
        <v>914</v>
      </c>
      <c r="B443" s="3" t="s">
        <v>64</v>
      </c>
      <c r="C443" s="3" t="s">
        <v>915</v>
      </c>
      <c r="D443" s="3" t="s">
        <v>22</v>
      </c>
      <c r="E443">
        <f>IFERROR(__xludf.DUMMYFUNCTION("GOOGLEFINANCE(C443,""price"")"),3302.0)</f>
        <v>3302</v>
      </c>
      <c r="F443" s="4">
        <f>IFERROR(__xludf.DUMMYFUNCTION("GOOGLEFINANCE(C443,""change"")"),41.5)</f>
        <v>41.5</v>
      </c>
      <c r="G443" s="5">
        <f>IFERROR(__xludf.DUMMYFUNCTION("GOOGLEFINANCE(C443,""changepct"")/100"),0.0127)</f>
        <v>0.0127</v>
      </c>
      <c r="H443" s="4">
        <f>IFERROR(__xludf.DUMMYFUNCTION("GOOGLEFINANCE(C443,""marketcap"")"),1.2079693679492E13)</f>
        <v>12079693679492</v>
      </c>
    </row>
    <row r="444">
      <c r="A444" s="3" t="s">
        <v>916</v>
      </c>
      <c r="B444" s="3" t="s">
        <v>11</v>
      </c>
      <c r="C444" s="3" t="s">
        <v>917</v>
      </c>
      <c r="D444" s="3" t="s">
        <v>22</v>
      </c>
      <c r="E444">
        <f>IFERROR(__xludf.DUMMYFUNCTION("GOOGLEFINANCE(C444,""price"")"),811.05)</f>
        <v>811.05</v>
      </c>
      <c r="F444" s="4">
        <f>IFERROR(__xludf.DUMMYFUNCTION("GOOGLEFINANCE(C444,""change"")"),4.45)</f>
        <v>4.45</v>
      </c>
      <c r="G444" s="5">
        <f>IFERROR(__xludf.DUMMYFUNCTION("GOOGLEFINANCE(C444,""changepct"")/100"),0.0055000000000000005)</f>
        <v>0.0055</v>
      </c>
      <c r="H444" s="4">
        <f>IFERROR(__xludf.DUMMYFUNCTION("GOOGLEFINANCE(C444,""marketcap"")"),7.48352074438E11)</f>
        <v>748352074438</v>
      </c>
    </row>
    <row r="445">
      <c r="A445" s="3" t="s">
        <v>918</v>
      </c>
      <c r="B445" s="3" t="s">
        <v>64</v>
      </c>
      <c r="C445" s="3" t="s">
        <v>919</v>
      </c>
      <c r="D445" s="3" t="s">
        <v>13</v>
      </c>
      <c r="E445">
        <f>IFERROR(__xludf.DUMMYFUNCTION("GOOGLEFINANCE(C445,""price"")"),8690.0)</f>
        <v>8690</v>
      </c>
      <c r="F445" s="4">
        <f>IFERROR(__xludf.DUMMYFUNCTION("GOOGLEFINANCE(C445,""change"")"),130.0)</f>
        <v>130</v>
      </c>
      <c r="G445" s="5">
        <f>IFERROR(__xludf.DUMMYFUNCTION("GOOGLEFINANCE(C445,""changepct"")/100"),0.0152)</f>
        <v>0.0152</v>
      </c>
      <c r="H445" s="4">
        <f>IFERROR(__xludf.DUMMYFUNCTION("GOOGLEFINANCE(C445,""marketcap"")"),5.41066292992E11)</f>
        <v>541066292992</v>
      </c>
    </row>
    <row r="446">
      <c r="A446" s="3" t="s">
        <v>920</v>
      </c>
      <c r="B446" s="3" t="s">
        <v>29</v>
      </c>
      <c r="C446" s="3" t="s">
        <v>921</v>
      </c>
      <c r="D446" s="3" t="s">
        <v>13</v>
      </c>
      <c r="E446">
        <f>IFERROR(__xludf.DUMMYFUNCTION("GOOGLEFINANCE(C446,""price"")"),1475.0)</f>
        <v>1475</v>
      </c>
      <c r="F446" s="4">
        <f>IFERROR(__xludf.DUMMYFUNCTION("GOOGLEFINANCE(C446,""change"")"),0.8)</f>
        <v>0.8</v>
      </c>
      <c r="G446" s="5">
        <f>IFERROR(__xludf.DUMMYFUNCTION("GOOGLEFINANCE(C446,""changepct"")/100"),5.0E-4)</f>
        <v>0.0005</v>
      </c>
      <c r="H446" s="4">
        <f>IFERROR(__xludf.DUMMYFUNCTION("GOOGLEFINANCE(C446,""marketcap"")"),7.455723E10)</f>
        <v>74557230000</v>
      </c>
    </row>
    <row r="447">
      <c r="A447" s="3" t="s">
        <v>922</v>
      </c>
      <c r="B447" s="3" t="s">
        <v>82</v>
      </c>
      <c r="C447" s="3" t="s">
        <v>923</v>
      </c>
      <c r="D447" s="3" t="s">
        <v>13</v>
      </c>
      <c r="E447">
        <f>IFERROR(__xludf.DUMMYFUNCTION("GOOGLEFINANCE(C447,""price"")"),220.8)</f>
        <v>220.8</v>
      </c>
      <c r="F447" s="4">
        <f>IFERROR(__xludf.DUMMYFUNCTION("GOOGLEFINANCE(C447,""change"")"),2.4)</f>
        <v>2.4</v>
      </c>
      <c r="G447" s="5">
        <f>IFERROR(__xludf.DUMMYFUNCTION("GOOGLEFINANCE(C447,""changepct"")/100"),0.011000000000000001)</f>
        <v>0.011</v>
      </c>
      <c r="H447" s="4">
        <f>IFERROR(__xludf.DUMMYFUNCTION("GOOGLEFINANCE(C447,""marketcap"")"),2.060222089E10)</f>
        <v>20602220890</v>
      </c>
    </row>
    <row r="448">
      <c r="A448" s="3" t="s">
        <v>924</v>
      </c>
      <c r="B448" s="3" t="s">
        <v>82</v>
      </c>
      <c r="C448" s="3" t="s">
        <v>925</v>
      </c>
      <c r="D448" s="3" t="s">
        <v>22</v>
      </c>
      <c r="E448">
        <f>IFERROR(__xludf.DUMMYFUNCTION("GOOGLEFINANCE(C448,""price"")"),449.25)</f>
        <v>449.25</v>
      </c>
      <c r="F448" s="4">
        <f>IFERROR(__xludf.DUMMYFUNCTION("GOOGLEFINANCE(C448,""change"")"),7.0)</f>
        <v>7</v>
      </c>
      <c r="G448" s="5">
        <f>IFERROR(__xludf.DUMMYFUNCTION("GOOGLEFINANCE(C448,""changepct"")/100"),0.0158)</f>
        <v>0.0158</v>
      </c>
      <c r="H448" s="4">
        <f>IFERROR(__xludf.DUMMYFUNCTION("GOOGLEFINANCE(C448,""marketcap"")"),2.060222089E10)</f>
        <v>20602220890</v>
      </c>
    </row>
    <row r="449">
      <c r="A449" s="3" t="s">
        <v>926</v>
      </c>
      <c r="B449" s="3" t="s">
        <v>44</v>
      </c>
      <c r="C449" s="3" t="s">
        <v>927</v>
      </c>
      <c r="D449" s="3" t="s">
        <v>22</v>
      </c>
      <c r="E449">
        <f>IFERROR(__xludf.DUMMYFUNCTION("GOOGLEFINANCE(C449,""price"")"),222.05)</f>
        <v>222.05</v>
      </c>
      <c r="F449" s="4">
        <f>IFERROR(__xludf.DUMMYFUNCTION("GOOGLEFINANCE(C449,""change"")"),3.9)</f>
        <v>3.9</v>
      </c>
      <c r="G449" s="5">
        <f>IFERROR(__xludf.DUMMYFUNCTION("GOOGLEFINANCE(C449,""changepct"")/100"),0.0179)</f>
        <v>0.0179</v>
      </c>
      <c r="H449" s="4">
        <f>IFERROR(__xludf.DUMMYFUNCTION("GOOGLEFINANCE(C449,""marketcap"")"),7.09208357292E11)</f>
        <v>709208357292</v>
      </c>
    </row>
    <row r="450">
      <c r="A450" s="3" t="s">
        <v>928</v>
      </c>
      <c r="B450" s="3" t="s">
        <v>26</v>
      </c>
      <c r="C450" s="3" t="s">
        <v>929</v>
      </c>
      <c r="D450" s="3" t="s">
        <v>13</v>
      </c>
      <c r="E450" t="str">
        <f>IFERROR(__xludf.DUMMYFUNCTION("GOOGLEFINANCE(C450,""price"")"),"#N/A")</f>
        <v>#N/A</v>
      </c>
      <c r="F450" s="4" t="str">
        <f>IFERROR(__xludf.DUMMYFUNCTION("GOOGLEFINANCE(C450,""change"")"),"#N/A")</f>
        <v>#N/A</v>
      </c>
      <c r="G450" s="5" t="str">
        <f>IFERROR(__xludf.DUMMYFUNCTION("GOOGLEFINANCE(C450,""changepct"")/100"),"#N/A")</f>
        <v>#N/A</v>
      </c>
      <c r="H450" s="4" t="str">
        <f>IFERROR(__xludf.DUMMYFUNCTION("GOOGLEFINANCE(C450,""marketcap"")"),"#N/A")</f>
        <v>#N/A</v>
      </c>
    </row>
    <row r="451">
      <c r="A451" s="3" t="s">
        <v>930</v>
      </c>
      <c r="B451" s="3" t="s">
        <v>26</v>
      </c>
      <c r="C451" s="3" t="s">
        <v>931</v>
      </c>
      <c r="D451" s="3" t="s">
        <v>22</v>
      </c>
      <c r="E451">
        <f>IFERROR(__xludf.DUMMYFUNCTION("GOOGLEFINANCE(C451,""price"")"),107.8)</f>
        <v>107.8</v>
      </c>
      <c r="F451" s="4">
        <f>IFERROR(__xludf.DUMMYFUNCTION("GOOGLEFINANCE(C451,""change"")"),7.45)</f>
        <v>7.45</v>
      </c>
      <c r="G451" s="5">
        <f>IFERROR(__xludf.DUMMYFUNCTION("GOOGLEFINANCE(C451,""changepct"")/100"),0.0742)</f>
        <v>0.0742</v>
      </c>
      <c r="H451" s="4">
        <f>IFERROR(__xludf.DUMMYFUNCTION("GOOGLEFINANCE(C451,""marketcap"")"),1.314977063639E12)</f>
        <v>1314977063639</v>
      </c>
    </row>
    <row r="452">
      <c r="A452" s="3" t="s">
        <v>932</v>
      </c>
      <c r="B452" s="3" t="s">
        <v>47</v>
      </c>
      <c r="C452" s="3" t="s">
        <v>933</v>
      </c>
      <c r="D452" s="3" t="s">
        <v>13</v>
      </c>
      <c r="E452">
        <f>IFERROR(__xludf.DUMMYFUNCTION("GOOGLEFINANCE(C452,""price"")"),3498.65)</f>
        <v>3498.65</v>
      </c>
      <c r="F452" s="4">
        <f>IFERROR(__xludf.DUMMYFUNCTION("GOOGLEFINANCE(C452,""change"")"),-118.65)</f>
        <v>-118.65</v>
      </c>
      <c r="G452" s="5">
        <f>IFERROR(__xludf.DUMMYFUNCTION("GOOGLEFINANCE(C452,""changepct"")/100"),-0.032799999999999996)</f>
        <v>-0.0328</v>
      </c>
      <c r="H452" s="4">
        <f>IFERROR(__xludf.DUMMYFUNCTION("GOOGLEFINANCE(C452,""marketcap"")"),5.980061E10)</f>
        <v>59800610000</v>
      </c>
    </row>
    <row r="453">
      <c r="A453" s="3" t="s">
        <v>934</v>
      </c>
      <c r="B453" s="3" t="s">
        <v>64</v>
      </c>
      <c r="C453" s="3" t="s">
        <v>935</v>
      </c>
      <c r="D453" s="3" t="s">
        <v>22</v>
      </c>
      <c r="E453">
        <f>IFERROR(__xludf.DUMMYFUNCTION("GOOGLEFINANCE(C453,""price"")"),1050.0)</f>
        <v>1050</v>
      </c>
      <c r="F453" s="4">
        <f>IFERROR(__xludf.DUMMYFUNCTION("GOOGLEFINANCE(C453,""change"")"),12.0)</f>
        <v>12</v>
      </c>
      <c r="G453" s="5">
        <f>IFERROR(__xludf.DUMMYFUNCTION("GOOGLEFINANCE(C453,""changepct"")/100"),0.0116)</f>
        <v>0.0116</v>
      </c>
      <c r="H453" s="4">
        <f>IFERROR(__xludf.DUMMYFUNCTION("GOOGLEFINANCE(C453,""marketcap"")"),1.020644755556E12)</f>
        <v>1020644755556</v>
      </c>
    </row>
    <row r="454">
      <c r="A454" s="3" t="s">
        <v>936</v>
      </c>
      <c r="B454" s="3" t="s">
        <v>29</v>
      </c>
      <c r="C454" s="3" t="s">
        <v>937</v>
      </c>
      <c r="D454" s="3" t="s">
        <v>13</v>
      </c>
      <c r="E454">
        <f>IFERROR(__xludf.DUMMYFUNCTION("GOOGLEFINANCE(C454,""price"")"),82.1)</f>
        <v>82.1</v>
      </c>
      <c r="F454" s="4">
        <f>IFERROR(__xludf.DUMMYFUNCTION("GOOGLEFINANCE(C454,""change"")"),0.95)</f>
        <v>0.95</v>
      </c>
      <c r="G454" s="5">
        <f>IFERROR(__xludf.DUMMYFUNCTION("GOOGLEFINANCE(C454,""changepct"")/100"),0.011699999999999999)</f>
        <v>0.0117</v>
      </c>
      <c r="H454" s="4">
        <f>IFERROR(__xludf.DUMMYFUNCTION("GOOGLEFINANCE(C454,""marketcap"")"),1.34886802E11)</f>
        <v>134886802000</v>
      </c>
    </row>
    <row r="455">
      <c r="A455" s="3" t="s">
        <v>938</v>
      </c>
      <c r="B455" s="3" t="s">
        <v>20</v>
      </c>
      <c r="C455" s="3" t="s">
        <v>939</v>
      </c>
      <c r="D455" s="3" t="s">
        <v>22</v>
      </c>
      <c r="E455">
        <f>IFERROR(__xludf.DUMMYFUNCTION("GOOGLEFINANCE(C455,""price"")"),730.3)</f>
        <v>730.3</v>
      </c>
      <c r="F455" s="4">
        <f>IFERROR(__xludf.DUMMYFUNCTION("GOOGLEFINANCE(C455,""change"")"),10.3)</f>
        <v>10.3</v>
      </c>
      <c r="G455" s="5">
        <f>IFERROR(__xludf.DUMMYFUNCTION("GOOGLEFINANCE(C455,""changepct"")/100"),0.0143)</f>
        <v>0.0143</v>
      </c>
      <c r="H455" s="4">
        <f>IFERROR(__xludf.DUMMYFUNCTION("GOOGLEFINANCE(C455,""marketcap"")"),1.72564263805E11)</f>
        <v>172564263805</v>
      </c>
    </row>
    <row r="456">
      <c r="A456" s="3" t="s">
        <v>940</v>
      </c>
      <c r="B456" s="3" t="s">
        <v>15</v>
      </c>
      <c r="C456" s="3" t="s">
        <v>941</v>
      </c>
      <c r="D456" s="3" t="s">
        <v>13</v>
      </c>
      <c r="E456">
        <f>IFERROR(__xludf.DUMMYFUNCTION("GOOGLEFINANCE(C456,""price"")"),2055.0)</f>
        <v>2055</v>
      </c>
      <c r="F456" s="4">
        <f>IFERROR(__xludf.DUMMYFUNCTION("GOOGLEFINANCE(C456,""change"")"),-11.15)</f>
        <v>-11.15</v>
      </c>
      <c r="G456" s="5">
        <f>IFERROR(__xludf.DUMMYFUNCTION("GOOGLEFINANCE(C456,""changepct"")/100"),-0.0054)</f>
        <v>-0.0054</v>
      </c>
      <c r="H456" s="4">
        <f>IFERROR(__xludf.DUMMYFUNCTION("GOOGLEFINANCE(C456,""marketcap"")"),2.31423414E11)</f>
        <v>231423414000</v>
      </c>
    </row>
    <row r="457">
      <c r="A457" s="3" t="s">
        <v>942</v>
      </c>
      <c r="B457" s="3" t="s">
        <v>91</v>
      </c>
      <c r="C457" s="3" t="s">
        <v>943</v>
      </c>
      <c r="D457" s="3" t="s">
        <v>13</v>
      </c>
      <c r="E457">
        <f>IFERROR(__xludf.DUMMYFUNCTION("GOOGLEFINANCE(C457,""price"")"),636.0)</f>
        <v>636</v>
      </c>
      <c r="F457" s="4">
        <f>IFERROR(__xludf.DUMMYFUNCTION("GOOGLEFINANCE(C457,""change"")"),14.45)</f>
        <v>14.45</v>
      </c>
      <c r="G457" s="5">
        <f>IFERROR(__xludf.DUMMYFUNCTION("GOOGLEFINANCE(C457,""changepct"")/100"),0.0232)</f>
        <v>0.0232</v>
      </c>
      <c r="H457" s="4">
        <f>IFERROR(__xludf.DUMMYFUNCTION("GOOGLEFINANCE(C457,""marketcap"")"),3.381029E10)</f>
        <v>33810290000</v>
      </c>
    </row>
    <row r="458">
      <c r="A458" s="3" t="s">
        <v>944</v>
      </c>
      <c r="B458" s="3" t="s">
        <v>15</v>
      </c>
      <c r="C458" s="3" t="s">
        <v>945</v>
      </c>
      <c r="D458" s="3" t="s">
        <v>13</v>
      </c>
      <c r="E458">
        <f>IFERROR(__xludf.DUMMYFUNCTION("GOOGLEFINANCE(C458,""price"")"),2983.25)</f>
        <v>2983.25</v>
      </c>
      <c r="F458" s="4">
        <f>IFERROR(__xludf.DUMMYFUNCTION("GOOGLEFINANCE(C458,""change"")"),13.9)</f>
        <v>13.9</v>
      </c>
      <c r="G458" s="5">
        <f>IFERROR(__xludf.DUMMYFUNCTION("GOOGLEFINANCE(C458,""changepct"")/100"),0.004699999999999999)</f>
        <v>0.0047</v>
      </c>
      <c r="H458" s="4">
        <f>IFERROR(__xludf.DUMMYFUNCTION("GOOGLEFINANCE(C458,""marketcap"")"),2.23371699105E11)</f>
        <v>223371699105</v>
      </c>
    </row>
    <row r="459">
      <c r="A459" s="3" t="s">
        <v>946</v>
      </c>
      <c r="B459" s="3" t="s">
        <v>11</v>
      </c>
      <c r="C459" s="3" t="s">
        <v>947</v>
      </c>
      <c r="D459" s="3" t="s">
        <v>22</v>
      </c>
      <c r="E459">
        <f>IFERROR(__xludf.DUMMYFUNCTION("GOOGLEFINANCE(C459,""price"")"),2355.0)</f>
        <v>2355</v>
      </c>
      <c r="F459" s="4">
        <f>IFERROR(__xludf.DUMMYFUNCTION("GOOGLEFINANCE(C459,""change"")"),20.35)</f>
        <v>20.35</v>
      </c>
      <c r="G459" s="5">
        <f>IFERROR(__xludf.DUMMYFUNCTION("GOOGLEFINANCE(C459,""changepct"")/100"),0.0087)</f>
        <v>0.0087</v>
      </c>
      <c r="H459" s="4">
        <f>IFERROR(__xludf.DUMMYFUNCTION("GOOGLEFINANCE(C459,""marketcap"")"),2.095443070887E12)</f>
        <v>2095443070887</v>
      </c>
    </row>
    <row r="460">
      <c r="A460" s="3" t="s">
        <v>948</v>
      </c>
      <c r="B460" s="3" t="s">
        <v>32</v>
      </c>
      <c r="C460" s="3" t="s">
        <v>949</v>
      </c>
      <c r="D460" s="3" t="s">
        <v>22</v>
      </c>
      <c r="E460">
        <f>IFERROR(__xludf.DUMMYFUNCTION("GOOGLEFINANCE(C460,""price"")"),1523.45)</f>
        <v>1523.45</v>
      </c>
      <c r="F460" s="4">
        <f>IFERROR(__xludf.DUMMYFUNCTION("GOOGLEFINANCE(C460,""change"")"),20.65)</f>
        <v>20.65</v>
      </c>
      <c r="G460" s="5">
        <f>IFERROR(__xludf.DUMMYFUNCTION("GOOGLEFINANCE(C460,""changepct"")/100"),0.0137)</f>
        <v>0.0137</v>
      </c>
      <c r="H460" s="4">
        <f>IFERROR(__xludf.DUMMYFUNCTION("GOOGLEFINANCE(C460,""marketcap"")"),5.174154E11)</f>
        <v>517415400000</v>
      </c>
    </row>
    <row r="461">
      <c r="A461" s="3" t="s">
        <v>950</v>
      </c>
      <c r="B461" s="3" t="s">
        <v>44</v>
      </c>
      <c r="C461" s="3" t="s">
        <v>951</v>
      </c>
      <c r="D461" s="3" t="s">
        <v>22</v>
      </c>
      <c r="E461">
        <f>IFERROR(__xludf.DUMMYFUNCTION("GOOGLEFINANCE(C461,""price"")"),525.0)</f>
        <v>525</v>
      </c>
      <c r="F461" s="4">
        <f>IFERROR(__xludf.DUMMYFUNCTION("GOOGLEFINANCE(C461,""change"")"),22.15)</f>
        <v>22.15</v>
      </c>
      <c r="G461" s="5">
        <f>IFERROR(__xludf.DUMMYFUNCTION("GOOGLEFINANCE(C461,""changepct"")/100"),0.044000000000000004)</f>
        <v>0.044</v>
      </c>
      <c r="H461" s="4">
        <f>IFERROR(__xludf.DUMMYFUNCTION("GOOGLEFINANCE(C461,""marketcap"")"),2.52181655486E11)</f>
        <v>252181655486</v>
      </c>
    </row>
    <row r="462">
      <c r="A462" s="3" t="s">
        <v>952</v>
      </c>
      <c r="B462" s="3" t="s">
        <v>57</v>
      </c>
      <c r="C462" s="3" t="s">
        <v>953</v>
      </c>
      <c r="D462" s="3" t="s">
        <v>22</v>
      </c>
      <c r="E462">
        <f>IFERROR(__xludf.DUMMYFUNCTION("GOOGLEFINANCE(C462,""price"")"),1266.75)</f>
        <v>1266.75</v>
      </c>
      <c r="F462" s="4">
        <f>IFERROR(__xludf.DUMMYFUNCTION("GOOGLEFINANCE(C462,""change"")"),7.95)</f>
        <v>7.95</v>
      </c>
      <c r="G462" s="5">
        <f>IFERROR(__xludf.DUMMYFUNCTION("GOOGLEFINANCE(C462,""changepct"")/100"),0.0063)</f>
        <v>0.0063</v>
      </c>
      <c r="H462" s="4">
        <f>IFERROR(__xludf.DUMMYFUNCTION("GOOGLEFINANCE(C462,""marketcap"")"),4.509714E11)</f>
        <v>450971400000</v>
      </c>
    </row>
    <row r="463">
      <c r="A463" s="3" t="s">
        <v>954</v>
      </c>
      <c r="B463" s="3" t="s">
        <v>79</v>
      </c>
      <c r="C463" s="3" t="s">
        <v>955</v>
      </c>
      <c r="D463" s="3" t="s">
        <v>13</v>
      </c>
      <c r="E463">
        <f>IFERROR(__xludf.DUMMYFUNCTION("GOOGLEFINANCE(C463,""price"")"),39.65)</f>
        <v>39.65</v>
      </c>
      <c r="F463" s="4">
        <f>IFERROR(__xludf.DUMMYFUNCTION("GOOGLEFINANCE(C463,""change"")"),1.75)</f>
        <v>1.75</v>
      </c>
      <c r="G463" s="5">
        <f>IFERROR(__xludf.DUMMYFUNCTION("GOOGLEFINANCE(C463,""changepct"")/100"),0.0462)</f>
        <v>0.0462</v>
      </c>
      <c r="H463" s="4">
        <f>IFERROR(__xludf.DUMMYFUNCTION("GOOGLEFINANCE(C463,""marketcap"")"),1.98688777318E11)</f>
        <v>198688777318</v>
      </c>
    </row>
    <row r="464">
      <c r="A464" s="3" t="s">
        <v>956</v>
      </c>
      <c r="B464" s="3" t="s">
        <v>15</v>
      </c>
      <c r="C464" s="3" t="s">
        <v>957</v>
      </c>
      <c r="D464" s="3" t="s">
        <v>13</v>
      </c>
      <c r="E464">
        <f>IFERROR(__xludf.DUMMYFUNCTION("GOOGLEFINANCE(C464,""price"")"),171.5)</f>
        <v>171.5</v>
      </c>
      <c r="F464" s="4">
        <f>IFERROR(__xludf.DUMMYFUNCTION("GOOGLEFINANCE(C464,""change"")"),1.3)</f>
        <v>1.3</v>
      </c>
      <c r="G464" s="5">
        <f>IFERROR(__xludf.DUMMYFUNCTION("GOOGLEFINANCE(C464,""changepct"")/100"),0.0076)</f>
        <v>0.0076</v>
      </c>
      <c r="H464" s="4">
        <f>IFERROR(__xludf.DUMMYFUNCTION("GOOGLEFINANCE(C464,""marketcap"")"),5.54468761E10)</f>
        <v>55446876100</v>
      </c>
    </row>
    <row r="465">
      <c r="A465" s="3" t="s">
        <v>958</v>
      </c>
      <c r="B465" s="3" t="s">
        <v>82</v>
      </c>
      <c r="C465" s="3" t="s">
        <v>959</v>
      </c>
      <c r="D465" s="3" t="s">
        <v>13</v>
      </c>
      <c r="E465">
        <f>IFERROR(__xludf.DUMMYFUNCTION("GOOGLEFINANCE(C465,""price"")"),2080.0)</f>
        <v>2080</v>
      </c>
      <c r="F465" s="4">
        <f>IFERROR(__xludf.DUMMYFUNCTION("GOOGLEFINANCE(C465,""change"")"),-15.7)</f>
        <v>-15.7</v>
      </c>
      <c r="G465" s="5">
        <f>IFERROR(__xludf.DUMMYFUNCTION("GOOGLEFINANCE(C465,""changepct"")/100"),-0.0075)</f>
        <v>-0.0075</v>
      </c>
      <c r="H465" s="4">
        <f>IFERROR(__xludf.DUMMYFUNCTION("GOOGLEFINANCE(C465,""marketcap"")"),3.9954057558E11)</f>
        <v>399540575580</v>
      </c>
    </row>
    <row r="466">
      <c r="A466" s="3" t="s">
        <v>960</v>
      </c>
      <c r="B466" s="3" t="s">
        <v>29</v>
      </c>
      <c r="C466" s="3" t="s">
        <v>961</v>
      </c>
      <c r="D466" s="3" t="s">
        <v>13</v>
      </c>
      <c r="E466">
        <f>IFERROR(__xludf.DUMMYFUNCTION("GOOGLEFINANCE(C466,""price"")"),11.35)</f>
        <v>11.35</v>
      </c>
      <c r="F466" s="4">
        <f>IFERROR(__xludf.DUMMYFUNCTION("GOOGLEFINANCE(C466,""change"")"),0.05)</f>
        <v>0.05</v>
      </c>
      <c r="G466" s="5">
        <f>IFERROR(__xludf.DUMMYFUNCTION("GOOGLEFINANCE(C466,""changepct"")/100"),0.0044)</f>
        <v>0.0044</v>
      </c>
      <c r="H466" s="4">
        <f>IFERROR(__xludf.DUMMYFUNCTION("GOOGLEFINANCE(C466,""marketcap"")"),1.35221799516E11)</f>
        <v>135221799516</v>
      </c>
    </row>
    <row r="467">
      <c r="A467" s="3" t="s">
        <v>962</v>
      </c>
      <c r="B467" s="3" t="s">
        <v>15</v>
      </c>
      <c r="C467" s="3" t="s">
        <v>963</v>
      </c>
      <c r="D467" s="3" t="s">
        <v>13</v>
      </c>
      <c r="E467">
        <f>IFERROR(__xludf.DUMMYFUNCTION("GOOGLEFINANCE(C467,""price"")"),619.0)</f>
        <v>619</v>
      </c>
      <c r="F467" s="4">
        <f>IFERROR(__xludf.DUMMYFUNCTION("GOOGLEFINANCE(C467,""change"")"),19.3)</f>
        <v>19.3</v>
      </c>
      <c r="G467" s="5">
        <f>IFERROR(__xludf.DUMMYFUNCTION("GOOGLEFINANCE(C467,""changepct"")/100"),0.0322)</f>
        <v>0.0322</v>
      </c>
      <c r="H467" s="4">
        <f>IFERROR(__xludf.DUMMYFUNCTION("GOOGLEFINANCE(C467,""marketcap"")"),4.469890612E10)</f>
        <v>44698906120</v>
      </c>
    </row>
    <row r="468">
      <c r="A468" s="3" t="s">
        <v>964</v>
      </c>
      <c r="B468" s="3" t="s">
        <v>157</v>
      </c>
      <c r="C468" s="3" t="s">
        <v>965</v>
      </c>
      <c r="D468" s="3" t="s">
        <v>22</v>
      </c>
      <c r="E468">
        <f>IFERROR(__xludf.DUMMYFUNCTION("GOOGLEFINANCE(C468,""price"")"),739.9)</f>
        <v>739.9</v>
      </c>
      <c r="F468" s="4">
        <f>IFERROR(__xludf.DUMMYFUNCTION("GOOGLEFINANCE(C468,""change"")"),12.2)</f>
        <v>12.2</v>
      </c>
      <c r="G468" s="5">
        <f>IFERROR(__xludf.DUMMYFUNCTION("GOOGLEFINANCE(C468,""changepct"")/100"),0.0168)</f>
        <v>0.0168</v>
      </c>
      <c r="H468" s="4">
        <f>IFERROR(__xludf.DUMMYFUNCTION("GOOGLEFINANCE(C468,""marketcap"")"),5.55752828925E11)</f>
        <v>555752828925</v>
      </c>
    </row>
    <row r="469">
      <c r="A469" s="3" t="s">
        <v>966</v>
      </c>
      <c r="B469" s="3" t="s">
        <v>29</v>
      </c>
      <c r="C469" s="3" t="s">
        <v>967</v>
      </c>
      <c r="D469" s="3" t="s">
        <v>13</v>
      </c>
      <c r="E469">
        <f>IFERROR(__xludf.DUMMYFUNCTION("GOOGLEFINANCE(C469,""price"")"),692.5)</f>
        <v>692.5</v>
      </c>
      <c r="F469" s="4">
        <f>IFERROR(__xludf.DUMMYFUNCTION("GOOGLEFINANCE(C469,""change"")"),16.85)</f>
        <v>16.85</v>
      </c>
      <c r="G469" s="5">
        <f>IFERROR(__xludf.DUMMYFUNCTION("GOOGLEFINANCE(C469,""changepct"")/100"),0.024900000000000002)</f>
        <v>0.0249</v>
      </c>
      <c r="H469" s="4">
        <f>IFERROR(__xludf.DUMMYFUNCTION("GOOGLEFINANCE(C469,""marketcap"")"),8.792028475E10)</f>
        <v>87920284750</v>
      </c>
    </row>
    <row r="470">
      <c r="A470" s="3" t="s">
        <v>968</v>
      </c>
      <c r="B470" s="3" t="s">
        <v>29</v>
      </c>
      <c r="C470" s="3" t="s">
        <v>969</v>
      </c>
      <c r="D470" s="3" t="s">
        <v>13</v>
      </c>
      <c r="E470">
        <f>IFERROR(__xludf.DUMMYFUNCTION("GOOGLEFINANCE(C470,""price"")"),172.5)</f>
        <v>172.5</v>
      </c>
      <c r="F470" s="4">
        <f>IFERROR(__xludf.DUMMYFUNCTION("GOOGLEFINANCE(C470,""change"")"),0.45)</f>
        <v>0.45</v>
      </c>
      <c r="G470" s="5">
        <f>IFERROR(__xludf.DUMMYFUNCTION("GOOGLEFINANCE(C470,""changepct"")/100"),0.0026)</f>
        <v>0.0026</v>
      </c>
      <c r="H470" s="4">
        <f>IFERROR(__xludf.DUMMYFUNCTION("GOOGLEFINANCE(C470,""marketcap"")"),2.095360622E10)</f>
        <v>20953606220</v>
      </c>
    </row>
    <row r="471">
      <c r="A471" s="3" t="s">
        <v>970</v>
      </c>
      <c r="B471" s="3" t="s">
        <v>29</v>
      </c>
      <c r="C471" s="3" t="s">
        <v>971</v>
      </c>
      <c r="D471" s="3" t="s">
        <v>13</v>
      </c>
      <c r="E471">
        <f>IFERROR(__xludf.DUMMYFUNCTION("GOOGLEFINANCE(C471,""price"")"),19.2)</f>
        <v>19.2</v>
      </c>
      <c r="F471" s="4">
        <f>IFERROR(__xludf.DUMMYFUNCTION("GOOGLEFINANCE(C471,""change"")"),0.0)</f>
        <v>0</v>
      </c>
      <c r="G471" s="5">
        <f>IFERROR(__xludf.DUMMYFUNCTION("GOOGLEFINANCE(C471,""changepct"")/100"),0.0)</f>
        <v>0</v>
      </c>
      <c r="H471" s="4">
        <f>IFERROR(__xludf.DUMMYFUNCTION("GOOGLEFINANCE(C471,""marketcap"")"),3.318363E10)</f>
        <v>33183630000</v>
      </c>
    </row>
    <row r="472">
      <c r="A472" s="3" t="s">
        <v>972</v>
      </c>
      <c r="B472" s="3" t="s">
        <v>20</v>
      </c>
      <c r="C472" s="3" t="s">
        <v>973</v>
      </c>
      <c r="D472" s="3" t="s">
        <v>22</v>
      </c>
      <c r="E472">
        <f>IFERROR(__xludf.DUMMYFUNCTION("GOOGLEFINANCE(C472,""price"")"),6530.0)</f>
        <v>6530</v>
      </c>
      <c r="F472" s="4">
        <f>IFERROR(__xludf.DUMMYFUNCTION("GOOGLEFINANCE(C472,""change"")"),58.75)</f>
        <v>58.75</v>
      </c>
      <c r="G472" s="5">
        <f>IFERROR(__xludf.DUMMYFUNCTION("GOOGLEFINANCE(C472,""changepct"")/100"),0.0091)</f>
        <v>0.0091</v>
      </c>
      <c r="H472" s="4">
        <f>IFERROR(__xludf.DUMMYFUNCTION("GOOGLEFINANCE(C472,""marketcap"")"),1.887548E12)</f>
        <v>1887548000000</v>
      </c>
    </row>
    <row r="473">
      <c r="A473" s="3" t="s">
        <v>974</v>
      </c>
      <c r="B473" s="3" t="s">
        <v>29</v>
      </c>
      <c r="C473" s="3" t="s">
        <v>975</v>
      </c>
      <c r="D473" s="3" t="s">
        <v>13</v>
      </c>
      <c r="E473">
        <f>IFERROR(__xludf.DUMMYFUNCTION("GOOGLEFINANCE(C473,""price"")"),38.25)</f>
        <v>38.25</v>
      </c>
      <c r="F473" s="4">
        <f>IFERROR(__xludf.DUMMYFUNCTION("GOOGLEFINANCE(C473,""change"")"),0.1)</f>
        <v>0.1</v>
      </c>
      <c r="G473" s="5">
        <f>IFERROR(__xludf.DUMMYFUNCTION("GOOGLEFINANCE(C473,""changepct"")/100"),0.0026)</f>
        <v>0.0026</v>
      </c>
      <c r="H473" s="4">
        <f>IFERROR(__xludf.DUMMYFUNCTION("GOOGLEFINANCE(C473,""marketcap"")"),2.61092315692E11)</f>
        <v>261092315692</v>
      </c>
    </row>
    <row r="474">
      <c r="A474" s="3" t="s">
        <v>976</v>
      </c>
      <c r="B474" s="3" t="s">
        <v>11</v>
      </c>
      <c r="C474" s="3" t="s">
        <v>977</v>
      </c>
      <c r="D474" s="3" t="s">
        <v>22</v>
      </c>
      <c r="E474">
        <f>IFERROR(__xludf.DUMMYFUNCTION("GOOGLEFINANCE(C474,""price"")"),1627.0)</f>
        <v>1627</v>
      </c>
      <c r="F474" s="4">
        <f>IFERROR(__xludf.DUMMYFUNCTION("GOOGLEFINANCE(C474,""change"")"),8.6)</f>
        <v>8.6</v>
      </c>
      <c r="G474" s="5">
        <f>IFERROR(__xludf.DUMMYFUNCTION("GOOGLEFINANCE(C474,""changepct"")/100"),0.0053)</f>
        <v>0.0053</v>
      </c>
      <c r="H474" s="4">
        <f>IFERROR(__xludf.DUMMYFUNCTION("GOOGLEFINANCE(C474,""marketcap"")"),4.289841E11)</f>
        <v>428984100000</v>
      </c>
    </row>
    <row r="475">
      <c r="A475" s="3" t="s">
        <v>978</v>
      </c>
      <c r="B475" s="3" t="s">
        <v>11</v>
      </c>
      <c r="C475" s="3" t="s">
        <v>979</v>
      </c>
      <c r="D475" s="3" t="s">
        <v>22</v>
      </c>
      <c r="E475">
        <f>IFERROR(__xludf.DUMMYFUNCTION("GOOGLEFINANCE(C475,""price"")"),779.0)</f>
        <v>779</v>
      </c>
      <c r="F475" s="4">
        <f>IFERROR(__xludf.DUMMYFUNCTION("GOOGLEFINANCE(C475,""change"")"),-1.65)</f>
        <v>-1.65</v>
      </c>
      <c r="G475" s="5">
        <f>IFERROR(__xludf.DUMMYFUNCTION("GOOGLEFINANCE(C475,""changepct"")/100"),-0.0021)</f>
        <v>-0.0021</v>
      </c>
      <c r="H475" s="4">
        <f>IFERROR(__xludf.DUMMYFUNCTION("GOOGLEFINANCE(C475,""marketcap"")"),5.65614784998E11)</f>
        <v>565614784998</v>
      </c>
    </row>
    <row r="476">
      <c r="A476" s="3" t="s">
        <v>980</v>
      </c>
      <c r="B476" s="3" t="s">
        <v>11</v>
      </c>
      <c r="C476" s="3" t="s">
        <v>981</v>
      </c>
      <c r="D476" s="3" t="s">
        <v>13</v>
      </c>
      <c r="E476">
        <f>IFERROR(__xludf.DUMMYFUNCTION("GOOGLEFINANCE(C476,""price"")"),226.9)</f>
        <v>226.9</v>
      </c>
      <c r="F476" s="4">
        <f>IFERROR(__xludf.DUMMYFUNCTION("GOOGLEFINANCE(C476,""change"")"),2.6)</f>
        <v>2.6</v>
      </c>
      <c r="G476" s="5">
        <f>IFERROR(__xludf.DUMMYFUNCTION("GOOGLEFINANCE(C476,""changepct"")/100"),0.0116)</f>
        <v>0.0116</v>
      </c>
      <c r="H476" s="4">
        <f>IFERROR(__xludf.DUMMYFUNCTION("GOOGLEFINANCE(C476,""marketcap"")"),9.764605E10)</f>
        <v>97646050000</v>
      </c>
    </row>
    <row r="477">
      <c r="A477" s="3" t="s">
        <v>982</v>
      </c>
      <c r="B477" s="3" t="s">
        <v>57</v>
      </c>
      <c r="C477" s="3" t="s">
        <v>983</v>
      </c>
      <c r="D477" s="3" t="s">
        <v>13</v>
      </c>
      <c r="E477">
        <f>IFERROR(__xludf.DUMMYFUNCTION("GOOGLEFINANCE(C477,""price"")"),2785.0)</f>
        <v>2785</v>
      </c>
      <c r="F477" s="4">
        <f>IFERROR(__xludf.DUMMYFUNCTION("GOOGLEFINANCE(C477,""change"")"),50.2)</f>
        <v>50.2</v>
      </c>
      <c r="G477" s="5">
        <f>IFERROR(__xludf.DUMMYFUNCTION("GOOGLEFINANCE(C477,""changepct"")/100"),0.0184)</f>
        <v>0.0184</v>
      </c>
      <c r="H477" s="4">
        <f>IFERROR(__xludf.DUMMYFUNCTION("GOOGLEFINANCE(C477,""marketcap"")"),5.478035E10)</f>
        <v>54780350000</v>
      </c>
    </row>
    <row r="478">
      <c r="A478" s="3" t="s">
        <v>984</v>
      </c>
      <c r="B478" s="3" t="s">
        <v>11</v>
      </c>
      <c r="C478" s="3" t="s">
        <v>985</v>
      </c>
      <c r="D478" s="3" t="s">
        <v>13</v>
      </c>
      <c r="E478">
        <f>IFERROR(__xludf.DUMMYFUNCTION("GOOGLEFINANCE(C478,""price"")"),603.25)</f>
        <v>603.25</v>
      </c>
      <c r="F478" s="4">
        <f>IFERROR(__xludf.DUMMYFUNCTION("GOOGLEFINANCE(C478,""change"")"),-5.35)</f>
        <v>-5.35</v>
      </c>
      <c r="G478" s="5">
        <f>IFERROR(__xludf.DUMMYFUNCTION("GOOGLEFINANCE(C478,""changepct"")/100"),-0.0088)</f>
        <v>-0.0088</v>
      </c>
      <c r="H478" s="4">
        <f>IFERROR(__xludf.DUMMYFUNCTION("GOOGLEFINANCE(C478,""marketcap"")"),8.5462622797E10)</f>
        <v>85462622797</v>
      </c>
    </row>
    <row r="479">
      <c r="A479" s="3" t="s">
        <v>986</v>
      </c>
      <c r="B479" s="3" t="s">
        <v>11</v>
      </c>
      <c r="C479" s="3" t="s">
        <v>987</v>
      </c>
      <c r="D479" s="3" t="s">
        <v>13</v>
      </c>
      <c r="E479">
        <f>IFERROR(__xludf.DUMMYFUNCTION("GOOGLEFINANCE(C479,""price"")"),3201.0)</f>
        <v>3201</v>
      </c>
      <c r="F479" s="4">
        <f>IFERROR(__xludf.DUMMYFUNCTION("GOOGLEFINANCE(C479,""change"")"),22.0)</f>
        <v>22</v>
      </c>
      <c r="G479" s="5">
        <f>IFERROR(__xludf.DUMMYFUNCTION("GOOGLEFINANCE(C479,""changepct"")/100"),0.0069)</f>
        <v>0.0069</v>
      </c>
      <c r="H479" s="4">
        <f>IFERROR(__xludf.DUMMYFUNCTION("GOOGLEFINANCE(C479,""marketcap"")"),4.920489E10)</f>
        <v>49204890000</v>
      </c>
    </row>
    <row r="480">
      <c r="A480" s="3" t="s">
        <v>988</v>
      </c>
      <c r="B480" s="3" t="s">
        <v>57</v>
      </c>
      <c r="C480" s="3" t="s">
        <v>989</v>
      </c>
      <c r="D480" s="3" t="s">
        <v>13</v>
      </c>
      <c r="E480">
        <f>IFERROR(__xludf.DUMMYFUNCTION("GOOGLEFINANCE(C480,""price"")"),298.7)</f>
        <v>298.7</v>
      </c>
      <c r="F480" s="4">
        <f>IFERROR(__xludf.DUMMYFUNCTION("GOOGLEFINANCE(C480,""change"")"),-0.95)</f>
        <v>-0.95</v>
      </c>
      <c r="G480" s="5">
        <f>IFERROR(__xludf.DUMMYFUNCTION("GOOGLEFINANCE(C480,""changepct"")/100"),-0.0032)</f>
        <v>-0.0032</v>
      </c>
      <c r="H480" s="4">
        <f>IFERROR(__xludf.DUMMYFUNCTION("GOOGLEFINANCE(C480,""marketcap"")"),4.8954369078E10)</f>
        <v>48954369078</v>
      </c>
    </row>
    <row r="481">
      <c r="A481" s="3" t="s">
        <v>990</v>
      </c>
      <c r="B481" s="3" t="s">
        <v>64</v>
      </c>
      <c r="C481" s="3" t="s">
        <v>991</v>
      </c>
      <c r="D481" s="3" t="s">
        <v>13</v>
      </c>
      <c r="E481">
        <f>IFERROR(__xludf.DUMMYFUNCTION("GOOGLEFINANCE(C481,""price"")"),28.0)</f>
        <v>28</v>
      </c>
      <c r="F481" s="4">
        <f>IFERROR(__xludf.DUMMYFUNCTION("GOOGLEFINANCE(C481,""change"")"),-0.1)</f>
        <v>-0.1</v>
      </c>
      <c r="G481" s="5">
        <f>IFERROR(__xludf.DUMMYFUNCTION("GOOGLEFINANCE(C481,""changepct"")/100"),-0.0036)</f>
        <v>-0.0036</v>
      </c>
      <c r="H481" s="4">
        <f>IFERROR(__xludf.DUMMYFUNCTION("GOOGLEFINANCE(C481,""marketcap"")"),2.9718946141E10)</f>
        <v>29718946141</v>
      </c>
    </row>
    <row r="482">
      <c r="A482" s="3" t="s">
        <v>992</v>
      </c>
      <c r="B482" s="3" t="s">
        <v>35</v>
      </c>
      <c r="C482" s="3" t="s">
        <v>993</v>
      </c>
      <c r="D482" s="3" t="s">
        <v>13</v>
      </c>
      <c r="E482">
        <f>IFERROR(__xludf.DUMMYFUNCTION("GOOGLEFINANCE(C482,""price"")"),666.9)</f>
        <v>666.9</v>
      </c>
      <c r="F482" s="4">
        <f>IFERROR(__xludf.DUMMYFUNCTION("GOOGLEFINANCE(C482,""change"")"),9.15)</f>
        <v>9.15</v>
      </c>
      <c r="G482" s="5">
        <f>IFERROR(__xludf.DUMMYFUNCTION("GOOGLEFINANCE(C482,""changepct"")/100"),0.0139)</f>
        <v>0.0139</v>
      </c>
      <c r="H482" s="4">
        <f>IFERROR(__xludf.DUMMYFUNCTION("GOOGLEFINANCE(C482,""marketcap"")"),1.8177979384E10)</f>
        <v>18177979384</v>
      </c>
    </row>
    <row r="483">
      <c r="A483" s="3" t="s">
        <v>994</v>
      </c>
      <c r="B483" s="3" t="s">
        <v>79</v>
      </c>
      <c r="C483" s="3" t="s">
        <v>995</v>
      </c>
      <c r="D483" s="3" t="s">
        <v>13</v>
      </c>
      <c r="E483">
        <f>IFERROR(__xludf.DUMMYFUNCTION("GOOGLEFINANCE(C483,""price"")"),303.5)</f>
        <v>303.5</v>
      </c>
      <c r="F483" s="4">
        <f>IFERROR(__xludf.DUMMYFUNCTION("GOOGLEFINANCE(C483,""change"")"),8.15)</f>
        <v>8.15</v>
      </c>
      <c r="G483" s="5">
        <f>IFERROR(__xludf.DUMMYFUNCTION("GOOGLEFINANCE(C483,""changepct"")/100"),0.0276)</f>
        <v>0.0276</v>
      </c>
      <c r="H483" s="4">
        <f>IFERROR(__xludf.DUMMYFUNCTION("GOOGLEFINANCE(C483,""marketcap"")"),8.723328625E10)</f>
        <v>87233286250</v>
      </c>
    </row>
    <row r="484">
      <c r="A484" s="3" t="s">
        <v>996</v>
      </c>
      <c r="B484" s="3" t="s">
        <v>82</v>
      </c>
      <c r="C484" s="3" t="s">
        <v>997</v>
      </c>
      <c r="D484" s="3" t="s">
        <v>13</v>
      </c>
      <c r="E484">
        <f>IFERROR(__xludf.DUMMYFUNCTION("GOOGLEFINANCE(C484,""price"")"),350.0)</f>
        <v>350</v>
      </c>
      <c r="F484" s="4">
        <f>IFERROR(__xludf.DUMMYFUNCTION("GOOGLEFINANCE(C484,""change"")"),23.9)</f>
        <v>23.9</v>
      </c>
      <c r="G484" s="5">
        <f>IFERROR(__xludf.DUMMYFUNCTION("GOOGLEFINANCE(C484,""changepct"")/100"),0.0733)</f>
        <v>0.0733</v>
      </c>
      <c r="H484" s="4">
        <f>IFERROR(__xludf.DUMMYFUNCTION("GOOGLEFINANCE(C484,""marketcap"")"),5.340038361E10)</f>
        <v>53400383610</v>
      </c>
    </row>
    <row r="485">
      <c r="A485" s="3" t="s">
        <v>998</v>
      </c>
      <c r="B485" s="3" t="s">
        <v>11</v>
      </c>
      <c r="C485" s="3" t="s">
        <v>999</v>
      </c>
      <c r="D485" s="3" t="s">
        <v>13</v>
      </c>
      <c r="E485">
        <f>IFERROR(__xludf.DUMMYFUNCTION("GOOGLEFINANCE(C485,""price"")"),882.0)</f>
        <v>882</v>
      </c>
      <c r="F485" s="4">
        <f>IFERROR(__xludf.DUMMYFUNCTION("GOOGLEFINANCE(C485,""change"")"),5.75)</f>
        <v>5.75</v>
      </c>
      <c r="G485" s="5">
        <f>IFERROR(__xludf.DUMMYFUNCTION("GOOGLEFINANCE(C485,""changepct"")/100"),0.0066)</f>
        <v>0.0066</v>
      </c>
      <c r="H485" s="4">
        <f>IFERROR(__xludf.DUMMYFUNCTION("GOOGLEFINANCE(C485,""marketcap"")"),5.737486579E11)</f>
        <v>573748657900</v>
      </c>
    </row>
    <row r="486">
      <c r="A486" s="3" t="s">
        <v>1000</v>
      </c>
      <c r="B486" s="3" t="s">
        <v>26</v>
      </c>
      <c r="C486" s="3" t="s">
        <v>1001</v>
      </c>
      <c r="D486" s="3" t="s">
        <v>22</v>
      </c>
      <c r="E486">
        <f>IFERROR(__xludf.DUMMYFUNCTION("GOOGLEFINANCE(C486,""price"")"),254.3)</f>
        <v>254.3</v>
      </c>
      <c r="F486" s="4">
        <f>IFERROR(__xludf.DUMMYFUNCTION("GOOGLEFINANCE(C486,""change"")"),8.8)</f>
        <v>8.8</v>
      </c>
      <c r="G486" s="5">
        <f>IFERROR(__xludf.DUMMYFUNCTION("GOOGLEFINANCE(C486,""changepct"")/100"),0.0358)</f>
        <v>0.0358</v>
      </c>
      <c r="H486" s="4">
        <f>IFERROR(__xludf.DUMMYFUNCTION("GOOGLEFINANCE(C486,""marketcap"")"),9.4146751E11)</f>
        <v>941467510000</v>
      </c>
    </row>
    <row r="487">
      <c r="A487" s="3" t="s">
        <v>1002</v>
      </c>
      <c r="B487" s="3" t="s">
        <v>11</v>
      </c>
      <c r="C487" s="3" t="s">
        <v>1003</v>
      </c>
      <c r="D487" s="3" t="s">
        <v>13</v>
      </c>
      <c r="E487">
        <f>IFERROR(__xludf.DUMMYFUNCTION("GOOGLEFINANCE(C487,""price"")"),2020.0)</f>
        <v>2020</v>
      </c>
      <c r="F487" s="4">
        <f>IFERROR(__xludf.DUMMYFUNCTION("GOOGLEFINANCE(C487,""change"")"),-3.95)</f>
        <v>-3.95</v>
      </c>
      <c r="G487" s="5">
        <f>IFERROR(__xludf.DUMMYFUNCTION("GOOGLEFINANCE(C487,""changepct"")/100"),-0.002)</f>
        <v>-0.002</v>
      </c>
      <c r="H487" s="4">
        <f>IFERROR(__xludf.DUMMYFUNCTION("GOOGLEFINANCE(C487,""marketcap"")"),2.8468576239E10)</f>
        <v>28468576239</v>
      </c>
    </row>
    <row r="488">
      <c r="A488" s="3" t="s">
        <v>1004</v>
      </c>
      <c r="B488" s="3" t="s">
        <v>35</v>
      </c>
      <c r="C488" s="3" t="s">
        <v>1005</v>
      </c>
      <c r="D488" s="3" t="s">
        <v>13</v>
      </c>
      <c r="E488">
        <f>IFERROR(__xludf.DUMMYFUNCTION("GOOGLEFINANCE(C488,""price"")"),2186.0)</f>
        <v>2186</v>
      </c>
      <c r="F488" s="4">
        <f>IFERROR(__xludf.DUMMYFUNCTION("GOOGLEFINANCE(C488,""change"")"),0.3)</f>
        <v>0.3</v>
      </c>
      <c r="G488" s="5">
        <f>IFERROR(__xludf.DUMMYFUNCTION("GOOGLEFINANCE(C488,""changepct"")/100"),1.0E-4)</f>
        <v>0.0001</v>
      </c>
      <c r="H488" s="4">
        <f>IFERROR(__xludf.DUMMYFUNCTION("GOOGLEFINANCE(C488,""marketcap"")"),2.243527E11)</f>
        <v>224352700000</v>
      </c>
    </row>
    <row r="489">
      <c r="A489" s="3" t="s">
        <v>1006</v>
      </c>
      <c r="B489" s="3" t="s">
        <v>174</v>
      </c>
      <c r="C489" s="3" t="s">
        <v>1007</v>
      </c>
      <c r="D489" s="3" t="s">
        <v>22</v>
      </c>
      <c r="E489">
        <f>IFERROR(__xludf.DUMMYFUNCTION("GOOGLEFINANCE(C489,""price"")"),8.7)</f>
        <v>8.7</v>
      </c>
      <c r="F489" s="4">
        <f>IFERROR(__xludf.DUMMYFUNCTION("GOOGLEFINANCE(C489,""change"")"),0.05)</f>
        <v>0.05</v>
      </c>
      <c r="G489" s="5">
        <f>IFERROR(__xludf.DUMMYFUNCTION("GOOGLEFINANCE(C489,""changepct"")/100"),0.0058)</f>
        <v>0.0058</v>
      </c>
      <c r="H489" s="4">
        <f>IFERROR(__xludf.DUMMYFUNCTION("GOOGLEFINANCE(C489,""marketcap"")"),2.81360733286E11)</f>
        <v>281360733286</v>
      </c>
    </row>
    <row r="490">
      <c r="A490" s="3" t="s">
        <v>1008</v>
      </c>
      <c r="B490" s="3" t="s">
        <v>11</v>
      </c>
      <c r="C490" s="3" t="s">
        <v>1009</v>
      </c>
      <c r="D490" s="3" t="s">
        <v>22</v>
      </c>
      <c r="E490">
        <f>IFERROR(__xludf.DUMMYFUNCTION("GOOGLEFINANCE(C490,""price"")"),1001.0)</f>
        <v>1001</v>
      </c>
      <c r="F490" s="4">
        <f>IFERROR(__xludf.DUMMYFUNCTION("GOOGLEFINANCE(C490,""change"")"),30.5)</f>
        <v>30.5</v>
      </c>
      <c r="G490" s="5">
        <f>IFERROR(__xludf.DUMMYFUNCTION("GOOGLEFINANCE(C490,""changepct"")/100"),0.031400000000000004)</f>
        <v>0.0314</v>
      </c>
      <c r="H490" s="4">
        <f>IFERROR(__xludf.DUMMYFUNCTION("GOOGLEFINANCE(C490,""marketcap"")"),3.3206399203E11)</f>
        <v>332063992030</v>
      </c>
    </row>
    <row r="491">
      <c r="A491" s="3" t="s">
        <v>1010</v>
      </c>
      <c r="B491" s="3" t="s">
        <v>82</v>
      </c>
      <c r="C491" s="3" t="s">
        <v>1011</v>
      </c>
      <c r="D491" s="3" t="s">
        <v>13</v>
      </c>
      <c r="E491" t="str">
        <f>IFERROR(__xludf.DUMMYFUNCTION("GOOGLEFINANCE(C491,""price"")"),"#N/A")</f>
        <v>#N/A</v>
      </c>
      <c r="F491" s="4" t="str">
        <f>IFERROR(__xludf.DUMMYFUNCTION("GOOGLEFINANCE(C491,""change"")"),"#N/A")</f>
        <v>#N/A</v>
      </c>
      <c r="G491" s="5" t="str">
        <f>IFERROR(__xludf.DUMMYFUNCTION("GOOGLEFINANCE(C491,""changepct"")/100"),"#N/A")</f>
        <v>#N/A</v>
      </c>
      <c r="H491" s="4" t="str">
        <f>IFERROR(__xludf.DUMMYFUNCTION("GOOGLEFINANCE(C491,""marketcap"")"),"#N/A")</f>
        <v>#N/A</v>
      </c>
    </row>
    <row r="492">
      <c r="A492" s="3" t="s">
        <v>1012</v>
      </c>
      <c r="B492" s="3" t="s">
        <v>26</v>
      </c>
      <c r="C492" s="3" t="s">
        <v>1013</v>
      </c>
      <c r="D492" s="3" t="s">
        <v>13</v>
      </c>
      <c r="E492">
        <f>IFERROR(__xludf.DUMMYFUNCTION("GOOGLEFINANCE(C492,""price"")"),225.6)</f>
        <v>225.6</v>
      </c>
      <c r="F492" s="4">
        <f>IFERROR(__xludf.DUMMYFUNCTION("GOOGLEFINANCE(C492,""change"")"),13.15)</f>
        <v>13.15</v>
      </c>
      <c r="G492" s="5">
        <f>IFERROR(__xludf.DUMMYFUNCTION("GOOGLEFINANCE(C492,""changepct"")/100"),0.061900000000000004)</f>
        <v>0.0619</v>
      </c>
      <c r="H492" s="4">
        <f>IFERROR(__xludf.DUMMYFUNCTION("GOOGLEFINANCE(C492,""marketcap"")"),5.8907395596E10)</f>
        <v>58907395596</v>
      </c>
    </row>
    <row r="493">
      <c r="A493" s="3" t="s">
        <v>1014</v>
      </c>
      <c r="B493" s="3" t="s">
        <v>79</v>
      </c>
      <c r="C493" s="3" t="s">
        <v>1015</v>
      </c>
      <c r="D493" s="3" t="s">
        <v>13</v>
      </c>
      <c r="E493">
        <f>IFERROR(__xludf.DUMMYFUNCTION("GOOGLEFINANCE(C493,""price"")"),70.0)</f>
        <v>70</v>
      </c>
      <c r="F493" s="4">
        <f>IFERROR(__xludf.DUMMYFUNCTION("GOOGLEFINANCE(C493,""change"")"),0.6)</f>
        <v>0.6</v>
      </c>
      <c r="G493" s="5">
        <f>IFERROR(__xludf.DUMMYFUNCTION("GOOGLEFINANCE(C493,""changepct"")/100"),0.0086)</f>
        <v>0.0086</v>
      </c>
      <c r="H493" s="4">
        <f>IFERROR(__xludf.DUMMYFUNCTION("GOOGLEFINANCE(C493,""marketcap"")"),6.8870155331E10)</f>
        <v>68870155331</v>
      </c>
    </row>
    <row r="494">
      <c r="A494" s="3" t="s">
        <v>1016</v>
      </c>
      <c r="B494" s="3" t="s">
        <v>57</v>
      </c>
      <c r="C494" s="3" t="s">
        <v>1017</v>
      </c>
      <c r="D494" s="3" t="s">
        <v>13</v>
      </c>
      <c r="E494">
        <f>IFERROR(__xludf.DUMMYFUNCTION("GOOGLEFINANCE(C494,""price"")"),589.0)</f>
        <v>589</v>
      </c>
      <c r="F494" s="4">
        <f>IFERROR(__xludf.DUMMYFUNCTION("GOOGLEFINANCE(C494,""change"")"),54.5)</f>
        <v>54.5</v>
      </c>
      <c r="G494" s="5">
        <f>IFERROR(__xludf.DUMMYFUNCTION("GOOGLEFINANCE(C494,""changepct"")/100"),0.102)</f>
        <v>0.102</v>
      </c>
      <c r="H494" s="4">
        <f>IFERROR(__xludf.DUMMYFUNCTION("GOOGLEFINANCE(C494,""marketcap"")"),9.11157975E10)</f>
        <v>91115797500</v>
      </c>
    </row>
    <row r="495">
      <c r="A495" s="3" t="s">
        <v>1018</v>
      </c>
      <c r="B495" s="3" t="s">
        <v>11</v>
      </c>
      <c r="C495" s="3" t="s">
        <v>1019</v>
      </c>
      <c r="D495" s="3" t="s">
        <v>13</v>
      </c>
      <c r="E495">
        <f>IFERROR(__xludf.DUMMYFUNCTION("GOOGLEFINANCE(C495,""price"")"),1772.05)</f>
        <v>1772.05</v>
      </c>
      <c r="F495" s="4">
        <f>IFERROR(__xludf.DUMMYFUNCTION("GOOGLEFINANCE(C495,""change"")"),-9.05)</f>
        <v>-9.05</v>
      </c>
      <c r="G495" s="5">
        <f>IFERROR(__xludf.DUMMYFUNCTION("GOOGLEFINANCE(C495,""changepct"")/100"),-0.0051)</f>
        <v>-0.0051</v>
      </c>
      <c r="H495" s="4">
        <f>IFERROR(__xludf.DUMMYFUNCTION("GOOGLEFINANCE(C495,""marketcap"")"),2.249945E11)</f>
        <v>224994500000</v>
      </c>
    </row>
    <row r="496">
      <c r="A496" s="3" t="s">
        <v>1020</v>
      </c>
      <c r="B496" s="3" t="s">
        <v>64</v>
      </c>
      <c r="C496" s="3" t="s">
        <v>1021</v>
      </c>
      <c r="D496" s="3" t="s">
        <v>22</v>
      </c>
      <c r="E496">
        <f>IFERROR(__xludf.DUMMYFUNCTION("GOOGLEFINANCE(C496,""price"")"),423.95)</f>
        <v>423.95</v>
      </c>
      <c r="F496" s="4">
        <f>IFERROR(__xludf.DUMMYFUNCTION("GOOGLEFINANCE(C496,""change"")"),7.95)</f>
        <v>7.95</v>
      </c>
      <c r="G496" s="5">
        <f>IFERROR(__xludf.DUMMYFUNCTION("GOOGLEFINANCE(C496,""changepct"")/100"),0.0191)</f>
        <v>0.0191</v>
      </c>
      <c r="H496" s="4">
        <f>IFERROR(__xludf.DUMMYFUNCTION("GOOGLEFINANCE(C496,""marketcap"")"),2.8606841129E10)</f>
        <v>28606841129</v>
      </c>
    </row>
    <row r="497">
      <c r="A497" s="3" t="s">
        <v>1022</v>
      </c>
      <c r="B497" s="3" t="s">
        <v>32</v>
      </c>
      <c r="C497" s="3" t="s">
        <v>1023</v>
      </c>
      <c r="D497" s="3" t="s">
        <v>13</v>
      </c>
      <c r="E497">
        <f>IFERROR(__xludf.DUMMYFUNCTION("GOOGLEFINANCE(C497,""price"")"),220.9)</f>
        <v>220.9</v>
      </c>
      <c r="F497" s="4">
        <f>IFERROR(__xludf.DUMMYFUNCTION("GOOGLEFINANCE(C497,""change"")"),3.25)</f>
        <v>3.25</v>
      </c>
      <c r="G497" s="5">
        <f>IFERROR(__xludf.DUMMYFUNCTION("GOOGLEFINANCE(C497,""changepct"")/100"),0.0149)</f>
        <v>0.0149</v>
      </c>
      <c r="H497" s="4">
        <f>IFERROR(__xludf.DUMMYFUNCTION("GOOGLEFINANCE(C497,""marketcap"")"),3.1844282139E10)</f>
        <v>31844282139</v>
      </c>
    </row>
    <row r="498">
      <c r="A498" s="3" t="s">
        <v>1024</v>
      </c>
      <c r="B498" s="3" t="s">
        <v>29</v>
      </c>
      <c r="C498" s="3" t="s">
        <v>1025</v>
      </c>
      <c r="D498" s="3" t="s">
        <v>13</v>
      </c>
      <c r="E498">
        <f>IFERROR(__xludf.DUMMYFUNCTION("GOOGLEFINANCE(C498,""price"")"),15.0)</f>
        <v>15</v>
      </c>
      <c r="F498" s="4">
        <f>IFERROR(__xludf.DUMMYFUNCTION("GOOGLEFINANCE(C498,""change"")"),0.45)</f>
        <v>0.45</v>
      </c>
      <c r="G498" s="5">
        <f>IFERROR(__xludf.DUMMYFUNCTION("GOOGLEFINANCE(C498,""changepct"")/100"),0.030899999999999997)</f>
        <v>0.0309</v>
      </c>
      <c r="H498" s="4">
        <f>IFERROR(__xludf.DUMMYFUNCTION("GOOGLEFINANCE(C498,""marketcap"")"),3.74321241286E11)</f>
        <v>374321241286</v>
      </c>
    </row>
    <row r="499">
      <c r="A499" s="3" t="s">
        <v>1026</v>
      </c>
      <c r="B499" s="3" t="s">
        <v>286</v>
      </c>
      <c r="C499" s="3" t="s">
        <v>1027</v>
      </c>
      <c r="D499" s="3" t="s">
        <v>22</v>
      </c>
      <c r="E499">
        <f>IFERROR(__xludf.DUMMYFUNCTION("GOOGLEFINANCE(C499,""price"")"),245.5)</f>
        <v>245.5</v>
      </c>
      <c r="F499" s="4">
        <f>IFERROR(__xludf.DUMMYFUNCTION("GOOGLEFINANCE(C499,""change"")"),-2.55)</f>
        <v>-2.55</v>
      </c>
      <c r="G499" s="5">
        <f>IFERROR(__xludf.DUMMYFUNCTION("GOOGLEFINANCE(C499,""changepct"")/100"),-0.0103)</f>
        <v>-0.0103</v>
      </c>
      <c r="H499" s="4">
        <f>IFERROR(__xludf.DUMMYFUNCTION("GOOGLEFINANCE(C499,""marketcap"")"),2.37344324892E11)</f>
        <v>237344324892</v>
      </c>
    </row>
    <row r="500">
      <c r="A500" s="3" t="s">
        <v>1028</v>
      </c>
      <c r="B500" s="3" t="s">
        <v>64</v>
      </c>
      <c r="C500" s="3" t="s">
        <v>1029</v>
      </c>
      <c r="D500" s="3" t="s">
        <v>13</v>
      </c>
      <c r="E500">
        <f>IFERROR(__xludf.DUMMYFUNCTION("GOOGLEFINANCE(C500,""price"")"),246.85)</f>
        <v>246.85</v>
      </c>
      <c r="F500" s="4">
        <f>IFERROR(__xludf.DUMMYFUNCTION("GOOGLEFINANCE(C500,""change"")"),0.95)</f>
        <v>0.95</v>
      </c>
      <c r="G500" s="5">
        <f>IFERROR(__xludf.DUMMYFUNCTION("GOOGLEFINANCE(C500,""changepct"")/100"),0.0039000000000000003)</f>
        <v>0.0039</v>
      </c>
      <c r="H500" s="4">
        <f>IFERROR(__xludf.DUMMYFUNCTION("GOOGLEFINANCE(C500,""marketcap"")"),5.598783958E10)</f>
        <v>55987839580</v>
      </c>
    </row>
    <row r="501">
      <c r="A501" s="3" t="s">
        <v>1030</v>
      </c>
      <c r="B501" s="3" t="s">
        <v>11</v>
      </c>
      <c r="C501" s="3" t="s">
        <v>1031</v>
      </c>
      <c r="D501" s="3" t="s">
        <v>13</v>
      </c>
      <c r="E501">
        <f>IFERROR(__xludf.DUMMYFUNCTION("GOOGLEFINANCE(C501,""price"")"),1618.0)</f>
        <v>1618</v>
      </c>
      <c r="F501" s="4">
        <f>IFERROR(__xludf.DUMMYFUNCTION("GOOGLEFINANCE(C501,""change"")"),-35.35)</f>
        <v>-35.35</v>
      </c>
      <c r="G501" s="5">
        <f>IFERROR(__xludf.DUMMYFUNCTION("GOOGLEFINANCE(C501,""changepct"")/100"),-0.021400000000000002)</f>
        <v>-0.0214</v>
      </c>
      <c r="H501" s="4">
        <f>IFERROR(__xludf.DUMMYFUNCTION("GOOGLEFINANCE(C501,""marketcap"")"),1.029504E11)</f>
        <v>102950400000</v>
      </c>
    </row>
    <row r="502">
      <c r="A502" s="3" t="s">
        <v>1032</v>
      </c>
      <c r="B502" s="3" t="s">
        <v>64</v>
      </c>
      <c r="C502" s="3" t="s">
        <v>1033</v>
      </c>
      <c r="D502" s="3" t="s">
        <v>13</v>
      </c>
      <c r="E502">
        <f>IFERROR(__xludf.DUMMYFUNCTION("GOOGLEFINANCE(C502,""price"")"),2170.0)</f>
        <v>2170</v>
      </c>
      <c r="F502" s="4">
        <f>IFERROR(__xludf.DUMMYFUNCTION("GOOGLEFINANCE(C502,""change"")"),62.0)</f>
        <v>62</v>
      </c>
      <c r="G502" s="5">
        <f>IFERROR(__xludf.DUMMYFUNCTION("GOOGLEFINANCE(C502,""changepct"")/100"),0.0294)</f>
        <v>0.0294</v>
      </c>
      <c r="H502" s="4">
        <f>IFERROR(__xludf.DUMMYFUNCTION("GOOGLEFINANCE(C502,""marketcap"")"),7.199186E10)</f>
        <v>71991860000</v>
      </c>
    </row>
  </sheetData>
  <drawing r:id="rId1"/>
</worksheet>
</file>